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png" ContentType="image/png"/>
  <Default Extension="svg" ContentType="image/svg+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2.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drawings/drawing16.xml" ContentType="application/vnd.openxmlformats-officedocument.drawing+xml"/>
  <Override PartName="/xl/ctrlProps/ctrlProp201.xml" ContentType="application/vnd.ms-excel.controlproperties+xml"/>
  <Override PartName="/xl/ctrlProps/ctrlProp202.xml" ContentType="application/vnd.ms-excel.controlproperties+xml"/>
  <Override PartName="/xl/drawings/drawing1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20.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harts/chart19.xml" ContentType="application/vnd.openxmlformats-officedocument.drawingml.chart+xml"/>
  <Override PartName="/xl/charts/chart20.xml" ContentType="application/vnd.openxmlformats-officedocument.drawingml.chart+xml"/>
  <Override PartName="/xl/drawings/drawing21.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22.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drawings/drawing23.xml" ContentType="application/vnd.openxmlformats-officedocument.drawing+xml"/>
  <Override PartName="/xl/charts/chart25.xml" ContentType="application/vnd.openxmlformats-officedocument.drawingml.chart+xml"/>
  <Override PartName="/xl/charts/style14.xml" ContentType="application/vnd.ms-office.chartstyle+xml"/>
  <Override PartName="/xl/charts/colors14.xml" ContentType="application/vnd.ms-office.chartcolorstyle+xml"/>
  <Override PartName="/xl/charts/chart2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907"/>
  <workbookPr showInkAnnotation="0" codeName="ThisWorkbook" autoCompressPictures="0"/>
  <mc:AlternateContent xmlns:mc="http://schemas.openxmlformats.org/markup-compatibility/2006">
    <mc:Choice Requires="x15">
      <x15ac:absPath xmlns:x15ac="http://schemas.microsoft.com/office/spreadsheetml/2010/11/ac" url="/Users/shawn.flahave/projects/poc/resources/"/>
    </mc:Choice>
  </mc:AlternateContent>
  <bookViews>
    <workbookView xWindow="0" yWindow="460" windowWidth="28800" windowHeight="17540" tabRatio="647" firstSheet="1" activeTab="5"/>
  </bookViews>
  <sheets>
    <sheet name="Core_Control" sheetId="118" r:id="rId1"/>
    <sheet name="Add-In_Control" sheetId="119" r:id="rId2"/>
    <sheet name="Core Design" sheetId="136" r:id="rId3"/>
    <sheet name="Add-In Design" sheetId="137" r:id="rId4"/>
    <sheet name="Bind_Dashboard" sheetId="120" r:id="rId5"/>
    <sheet name="Projection &amp; Rate Setting" sheetId="139" r:id="rId6"/>
    <sheet name="EE_Modeler" sheetId="140" r:id="rId7"/>
    <sheet name="Chart_Data" sheetId="121" state="hidden" r:id="rId8"/>
    <sheet name="Contribution Calc" sheetId="149" state="hidden" r:id="rId9"/>
    <sheet name="PMPM Cost Breakdown" sheetId="146" state="hidden" r:id="rId10"/>
    <sheet name="Enrollment Table" sheetId="141" state="hidden" r:id="rId11"/>
    <sheet name="Rate Table" sheetId="142" state="hidden" r:id="rId12"/>
    <sheet name="Contributions Table" sheetId="143" state="hidden" r:id="rId13"/>
    <sheet name="2018 Data" sheetId="144" state="hidden" r:id="rId14"/>
    <sheet name="2019 Data" sheetId="145" state="hidden" r:id="rId15"/>
    <sheet name="Data Lists" sheetId="148" state="hidden" r:id="rId16"/>
    <sheet name="MV Calculator" sheetId="33" state="hidden" r:id="rId17"/>
    <sheet name="Add-In_List" sheetId="122" state="hidden" r:id="rId18"/>
    <sheet name="POS_Ratios" sheetId="133" state="hidden" r:id="rId19"/>
    <sheet name="POS_Cost" sheetId="134" state="hidden" r:id="rId20"/>
    <sheet name="All" sheetId="123" state="hidden" r:id="rId21"/>
    <sheet name="IP" sheetId="129" state="hidden" r:id="rId22"/>
    <sheet name="OP" sheetId="130" state="hidden" r:id="rId23"/>
    <sheet name="ASC" sheetId="131" state="hidden" r:id="rId24"/>
    <sheet name="Office" sheetId="132" state="hidden" r:id="rId25"/>
    <sheet name="HRA Balance Calc" sheetId="125" state="hidden" r:id="rId26"/>
    <sheet name="HRA Graphing Data" sheetId="126" state="hidden" r:id="rId27"/>
    <sheet name="Employer Summary" sheetId="127" state="hidden" r:id="rId28"/>
    <sheet name="Winners-Losers HRA" sheetId="128" state="hidden" r:id="rId29"/>
    <sheet name="Assumptions-Output Override" sheetId="60" state="hidden" r:id="rId30"/>
    <sheet name="Assumptions-Output Target" sheetId="61" state="hidden" r:id="rId31"/>
    <sheet name="Winners-Losers Charts" sheetId="62" state="hidden" r:id="rId32"/>
    <sheet name="Winners-Losers Values PMPM" sheetId="63" state="hidden" r:id="rId33"/>
    <sheet name="Net Impact Graphs" sheetId="64" state="hidden" r:id="rId34"/>
    <sheet name="Comparison of Plans" sheetId="65" state="hidden" r:id="rId35"/>
    <sheet name="Chronic Cost Model Summary" sheetId="66" state="hidden" r:id="rId36"/>
    <sheet name="PPP Detail" sheetId="67" state="hidden" r:id="rId37"/>
    <sheet name="PPP Detail Override" sheetId="68" state="hidden" r:id="rId38"/>
    <sheet name="Chronic Summary" sheetId="69" state="hidden" r:id="rId39"/>
    <sheet name="Discretionary Pivot" sheetId="70" state="hidden" r:id="rId40"/>
    <sheet name="Discretionary Detail" sheetId="71" state="hidden" r:id="rId41"/>
    <sheet name="NM Upgrade List" sheetId="72" state="hidden" r:id="rId42"/>
    <sheet name="Shoppable Detail" sheetId="73" state="hidden" r:id="rId43"/>
    <sheet name="Chronic Detail&gt;&gt;&gt;&gt;" sheetId="74" state="hidden" r:id="rId44"/>
    <sheet name="Cost Model -Chron Override All" sheetId="75" state="hidden" r:id="rId45"/>
    <sheet name="Cost Model -Asthma" sheetId="76" state="hidden" r:id="rId46"/>
    <sheet name="Cost Model -Asthma Override" sheetId="77" state="hidden" r:id="rId47"/>
    <sheet name="Cost Model  -Biploar Mood" sheetId="78" state="hidden" r:id="rId48"/>
    <sheet name="Cost Model  -Biploar Mood Ovrd" sheetId="79" state="hidden" r:id="rId49"/>
    <sheet name="Cost Model -Cardiac failure" sheetId="80" state="hidden" r:id="rId50"/>
    <sheet name="Cost Model -Cardiac failure Ovr" sheetId="81" state="hidden" r:id="rId51"/>
    <sheet name="Cost Model -Cardiomyopathy" sheetId="82" state="hidden" r:id="rId52"/>
    <sheet name="Cost Model -Cardiomyopathy Ovrd" sheetId="83" state="hidden" r:id="rId53"/>
    <sheet name="Cost Model-COPD" sheetId="84" state="hidden" r:id="rId54"/>
    <sheet name="Cost Model-COPD Override" sheetId="85" state="hidden" r:id="rId55"/>
    <sheet name="Cost Model -CKD" sheetId="86" state="hidden" r:id="rId56"/>
    <sheet name="Cost Model -CKD Override" sheetId="87" state="hidden" r:id="rId57"/>
    <sheet name="Cost Model -Diabetes insipidus" sheetId="88" state="hidden" r:id="rId58"/>
    <sheet name="Cost Model -Diabetes ins Ovrd" sheetId="89" state="hidden" r:id="rId59"/>
    <sheet name="Cost Model - Diabetes1" sheetId="90" state="hidden" r:id="rId60"/>
    <sheet name="Cost Model - Diabetes1 Override" sheetId="91" state="hidden" r:id="rId61"/>
    <sheet name="Cost Model -Epilepsy" sheetId="92" state="hidden" r:id="rId62"/>
    <sheet name="Cost Model -Epilepsy Override" sheetId="93" state="hidden" r:id="rId63"/>
    <sheet name="Cost Model - Glaucoma" sheetId="94" state="hidden" r:id="rId64"/>
    <sheet name="Cost Model - Glaucoma Override" sheetId="95" state="hidden" r:id="rId65"/>
    <sheet name="Cost Model - Haemophilia" sheetId="96" state="hidden" r:id="rId66"/>
    <sheet name="Cost Model - Haemophilia Ovrd" sheetId="97" state="hidden" r:id="rId67"/>
    <sheet name="Cost Model -HIV" sheetId="98" state="hidden" r:id="rId68"/>
    <sheet name="Cost Model -HIV Override" sheetId="99" state="hidden" r:id="rId69"/>
    <sheet name="Cost Model -Hyperlipidaemia HC" sheetId="100" state="hidden" r:id="rId70"/>
    <sheet name="Cost Model -Hyperlipidaemia Ovr" sheetId="101" state="hidden" r:id="rId71"/>
    <sheet name="Cost Model -Hypertension-HBP" sheetId="102" state="hidden" r:id="rId72"/>
    <sheet name="Cost Model -Hypertension-HBP Ov" sheetId="103" state="hidden" r:id="rId73"/>
    <sheet name="Cost Model - Hypothyroidism" sheetId="104" state="hidden" r:id="rId74"/>
    <sheet name="Cost Model - Hypothyroidism Ovr" sheetId="105" state="hidden" r:id="rId75"/>
    <sheet name="Cost Model -Multiple sclerosis" sheetId="106" state="hidden" r:id="rId76"/>
    <sheet name="Cost Model -Multiple scler Ovr" sheetId="107" state="hidden" r:id="rId77"/>
    <sheet name="Cost Model -Parkinson's disease" sheetId="108" state="hidden" r:id="rId78"/>
    <sheet name="Cost Model -Parkinson's dis Ovr" sheetId="109" state="hidden" r:id="rId79"/>
    <sheet name="Cost Model - Rheumatoid arthir" sheetId="110" state="hidden" r:id="rId80"/>
    <sheet name="Cost Model - Rheumatoid art Ovr" sheetId="111" state="hidden" r:id="rId81"/>
    <sheet name="Cost Model Schizophrenia" sheetId="112" state="hidden" r:id="rId82"/>
    <sheet name="Cost Model Schizophrenia Ovrd" sheetId="113" state="hidden" r:id="rId83"/>
    <sheet name="Cost Model -Lupus" sheetId="114" state="hidden" r:id="rId84"/>
    <sheet name="Cost Model -Lupus Override" sheetId="115" state="hidden" r:id="rId85"/>
    <sheet name="Cost Model -Clinical depression" sheetId="116" state="hidden" r:id="rId86"/>
    <sheet name="Cost Model -Clinical depres Ovr" sheetId="117" state="hidden" r:id="rId87"/>
    <sheet name="Sheet2" sheetId="34" state="hidden" r:id="rId88"/>
    <sheet name="User Guide" sheetId="56" state="hidden" r:id="rId89"/>
    <sheet name="Enrollment Restrictions" sheetId="42" state="hidden" r:id="rId90"/>
    <sheet name="MV Cont. Table - Medical" sheetId="45" state="hidden" r:id="rId91"/>
    <sheet name="MV Cont. Table - Rx Only" sheetId="49" state="hidden" r:id="rId92"/>
    <sheet name="MV Cont. Table - Combined" sheetId="53" state="hidden" r:id="rId93"/>
    <sheet name="Variation Results" sheetId="40" state="hidden" r:id="rId94"/>
  </sheets>
  <externalReferences>
    <externalReference r:id="rId95"/>
    <externalReference r:id="rId96"/>
    <externalReference r:id="rId97"/>
    <externalReference r:id="rId98"/>
  </externalReferences>
  <definedNames>
    <definedName name="_xlnm._FilterDatabase" localSheetId="20" hidden="1">All!$F$1:$S$32</definedName>
    <definedName name="_xlnm._FilterDatabase" localSheetId="40" hidden="1">'Discretionary Detail'!$A$3:$I$65</definedName>
    <definedName name="_xlnm._FilterDatabase" localSheetId="93" hidden="1">'Variation Results'!$B$9:$H$9</definedName>
    <definedName name="_Ref208379894" localSheetId="88">'User Guide'!$B$2</definedName>
    <definedName name="_Ref335038647" localSheetId="88">'User Guide'!$B$5</definedName>
    <definedName name="_Ref335038657" localSheetId="88">'User Guide'!$B$6</definedName>
    <definedName name="_Ref335038679" localSheetId="88">'User Guide'!$B$10</definedName>
    <definedName name="_Ref335038685" localSheetId="88">'User Guide'!$B$82</definedName>
    <definedName name="_Toc339986725" localSheetId="88">'User Guide'!$B$9</definedName>
    <definedName name="_Toc339986726" localSheetId="88">'User Guide'!$B$12</definedName>
    <definedName name="_Toc339986730" localSheetId="88">'User Guide'!$B$77</definedName>
    <definedName name="_Toc339986732" localSheetId="88">'User Guide'!$B$80</definedName>
    <definedName name="add_in_subsidy" localSheetId="8">'[4]Add-In_Control'!$J$6</definedName>
    <definedName name="add_in_subsidy" localSheetId="9">'[2]Add-In_Control'!$J$6</definedName>
    <definedName name="add_in_subsidy">'Add-In_Control'!$J$6</definedName>
    <definedName name="baseline_av" localSheetId="8">[4]Core_Control!$D$11</definedName>
    <definedName name="baseline_av" localSheetId="9">[3]Core_Control!$D$10</definedName>
    <definedName name="baseline_av">Core_Control!$D$11</definedName>
    <definedName name="copay_max" localSheetId="8">'[4]Add-In_Control'!$N$12</definedName>
    <definedName name="copay_max" localSheetId="9">'[3]Add-In_Control'!$N$12</definedName>
    <definedName name="copay_max">'Add-In_Control'!$N$12</definedName>
    <definedName name="copay_min" localSheetId="8">'[4]Add-In_Control'!$N$11</definedName>
    <definedName name="copay_min" localSheetId="9">'[3]Add-In_Control'!$N$11</definedName>
    <definedName name="copay_min">'Add-In_Control'!$N$11</definedName>
    <definedName name="copay_unit" localSheetId="8">'[4]Add-In_Control'!$N$10</definedName>
    <definedName name="copay_unit" localSheetId="9">'[3]Add-In_Control'!$N$10</definedName>
    <definedName name="copay_unit">'Add-In_Control'!$N$10</definedName>
    <definedName name="core_account" localSheetId="9">[3]Core_Control!$F$19</definedName>
    <definedName name="core_account">Core_Control!$F$20</definedName>
    <definedName name="core_av" localSheetId="8">[4]Core_Control!$F$18</definedName>
    <definedName name="core_av" localSheetId="9">[3]Core_Control!$F$17</definedName>
    <definedName name="core_av">Core_Control!$F$18</definedName>
    <definedName name="core_coins" localSheetId="8">[4]Core_Control!$F$22</definedName>
    <definedName name="core_coins" localSheetId="9">[3]Core_Control!$F$21</definedName>
    <definedName name="core_coins">Core_Control!$F$22</definedName>
    <definedName name="core_ded" localSheetId="8">[4]Core_Control!$F$21</definedName>
    <definedName name="core_ded" localSheetId="9">[3]Core_Control!$F$20</definedName>
    <definedName name="core_ded">Core_Control!$F$21</definedName>
    <definedName name="core_er" localSheetId="8">[4]Core_Control!$F$28</definedName>
    <definedName name="core_er" localSheetId="9">[3]Core_Control!$F$27</definedName>
    <definedName name="core_er">Core_Control!$F$28</definedName>
    <definedName name="core_inpt" localSheetId="8">[4]Core_Control!$F$27</definedName>
    <definedName name="core_inpt" localSheetId="9">[3]Core_Control!$F$26</definedName>
    <definedName name="core_inpt">Core_Control!$F$27</definedName>
    <definedName name="core_oopm" localSheetId="8">[4]Core_Control!$F$23</definedName>
    <definedName name="core_oopm" localSheetId="9">[3]Core_Control!$F$22</definedName>
    <definedName name="core_oopm">Core_Control!$F$23</definedName>
    <definedName name="core_pcp" localSheetId="8">[4]Core_Control!$F$25</definedName>
    <definedName name="core_pcp" localSheetId="9">[3]Core_Control!$F$24</definedName>
    <definedName name="core_pcp">Core_Control!$F$25</definedName>
    <definedName name="core_rx_form" localSheetId="9">[3]Core_Control!$F$31</definedName>
    <definedName name="core_rx_form">Core_Control!$F$32</definedName>
    <definedName name="core_rx_gen" localSheetId="9">[3]Core_Control!$F$30</definedName>
    <definedName name="core_rx_gen">Core_Control!$F$31</definedName>
    <definedName name="core_rx_nonform" localSheetId="9">[3]Core_Control!$F$32</definedName>
    <definedName name="core_rx_nonform">Core_Control!$F$33</definedName>
    <definedName name="core_rx_spec" localSheetId="9">[3]Core_Control!$F$33</definedName>
    <definedName name="core_rx_spec">Core_Control!$F$34</definedName>
    <definedName name="core_spec" localSheetId="8">[4]Core_Control!$F$26</definedName>
    <definedName name="core_spec" localSheetId="9">[3]Core_Control!$F$25</definedName>
    <definedName name="core_spec">Core_Control!$F$26</definedName>
    <definedName name="core_uc" localSheetId="8">[4]Core_Control!$F$29</definedName>
    <definedName name="core_uc" localSheetId="9">[3]Core_Control!$F$28</definedName>
    <definedName name="core_uc">Core_Control!$F$29</definedName>
    <definedName name="cost_share_target" localSheetId="8">[4]All!$Q$36</definedName>
    <definedName name="cost_share_target" localSheetId="9">[3]All!$Q$36</definedName>
    <definedName name="cost_share_target">All!$Q$36</definedName>
    <definedName name="curr_account" localSheetId="9">[3]Core_Control!$D$19</definedName>
    <definedName name="curr_account">Core_Control!$D$20</definedName>
    <definedName name="curr_av" localSheetId="8">[4]Core_Control!$D$18</definedName>
    <definedName name="curr_av" localSheetId="9">[2]Core_Control!$D$18</definedName>
    <definedName name="curr_av">Core_Control!$D$18</definedName>
    <definedName name="curr_coins" localSheetId="9">[3]Core_Control!$D$21</definedName>
    <definedName name="curr_coins">Core_Control!$D$22</definedName>
    <definedName name="curr_ded" localSheetId="9">[3]Core_Control!$D$20</definedName>
    <definedName name="curr_ded">Core_Control!$D$21</definedName>
    <definedName name="curr_er">Core_Control!$D$28</definedName>
    <definedName name="curr_inpt">Core_Control!$D$27</definedName>
    <definedName name="curr_oopm" localSheetId="9">[3]Core_Control!$D$22</definedName>
    <definedName name="curr_oopm">Core_Control!$D$23</definedName>
    <definedName name="curr_pcp">Core_Control!$D$25</definedName>
    <definedName name="curr_rx_form">Core_Control!$D$32</definedName>
    <definedName name="curr_rx_gen">Core_Control!$D$31</definedName>
    <definedName name="curr_rx_nonform">Core_Control!$D$33</definedName>
    <definedName name="curr_rx_spec">Core_Control!$D$34</definedName>
    <definedName name="curr_spec">Core_Control!$D$26</definedName>
    <definedName name="curr_uc">Core_Control!$D$29</definedName>
    <definedName name="ee_count" localSheetId="8">[4]Core_Control!$D$5</definedName>
    <definedName name="ee_count" localSheetId="9">[3]Core_Control!$D$5</definedName>
    <definedName name="ee_count">Core_Control!$D$5</definedName>
    <definedName name="FAMH" localSheetId="13">#REF!</definedName>
    <definedName name="FAMH" localSheetId="14">#REF!</definedName>
    <definedName name="FAMH" localSheetId="12">#REF!</definedName>
    <definedName name="FAMH" localSheetId="11">#REF!</definedName>
    <definedName name="FAML" localSheetId="13">#REF!</definedName>
    <definedName name="FAML" localSheetId="14">#REF!</definedName>
    <definedName name="FAML" localSheetId="12">#REF!</definedName>
    <definedName name="FAML" localSheetId="11">#REF!</definedName>
    <definedName name="HasBeenOpened" hidden="1">TRUE</definedName>
    <definedName name="mem_ee_ratio" localSheetId="8">[4]Core_Control!$D$6</definedName>
    <definedName name="mem_ee_ratio" localSheetId="9">[3]Core_Control!$D$6</definedName>
    <definedName name="mem_ee_ratio">Core_Control!$D$6</definedName>
    <definedName name="MM" localSheetId="47">'Cost Model  -Biploar Mood'!$G$2</definedName>
    <definedName name="MM" localSheetId="48">'Cost Model  -Biploar Mood Ovrd'!$G$2</definedName>
    <definedName name="MM" localSheetId="59">'Cost Model - Diabetes1'!$G$2</definedName>
    <definedName name="MM" localSheetId="60">'Cost Model - Diabetes1 Override'!$G$2</definedName>
    <definedName name="MM" localSheetId="63">'Cost Model - Glaucoma'!$G$2</definedName>
    <definedName name="MM" localSheetId="64">'Cost Model - Glaucoma Override'!$G$2</definedName>
    <definedName name="MM" localSheetId="65">'Cost Model - Haemophilia'!$G$2</definedName>
    <definedName name="MM" localSheetId="66">'Cost Model - Haemophilia Ovrd'!$G$2</definedName>
    <definedName name="MM" localSheetId="73">'Cost Model - Hypothyroidism'!$G$2</definedName>
    <definedName name="MM" localSheetId="74">'Cost Model - Hypothyroidism Ovr'!$G$2</definedName>
    <definedName name="MM" localSheetId="80">'Cost Model - Rheumatoid art Ovr'!$H$2</definedName>
    <definedName name="MM" localSheetId="79">'Cost Model - Rheumatoid arthir'!$H$2</definedName>
    <definedName name="MM" localSheetId="45">'Cost Model -Asthma'!$G$2</definedName>
    <definedName name="MM" localSheetId="46">'Cost Model -Asthma Override'!$G$2</definedName>
    <definedName name="MM" localSheetId="49">'Cost Model -Cardiac failure'!$G$2</definedName>
    <definedName name="MM" localSheetId="50">'Cost Model -Cardiac failure Ovr'!$G$2</definedName>
    <definedName name="MM" localSheetId="51">'Cost Model -Cardiomyopathy'!$G$2</definedName>
    <definedName name="MM" localSheetId="52">'Cost Model -Cardiomyopathy Ovrd'!$G$2</definedName>
    <definedName name="MM" localSheetId="44">'Cost Model -Chron Override All'!$G$2</definedName>
    <definedName name="MM" localSheetId="55">'Cost Model -CKD'!$G$2</definedName>
    <definedName name="MM" localSheetId="56">'Cost Model -CKD Override'!$G$2</definedName>
    <definedName name="MM" localSheetId="86">'Cost Model -Clinical depres Ovr'!$G$2</definedName>
    <definedName name="MM" localSheetId="85">'Cost Model -Clinical depression'!$G$2</definedName>
    <definedName name="MM" localSheetId="58">'Cost Model -Diabetes ins Ovrd'!$H$2</definedName>
    <definedName name="MM" localSheetId="57">'Cost Model -Diabetes insipidus'!$H$2</definedName>
    <definedName name="MM" localSheetId="61">'Cost Model -Epilepsy'!$G$2</definedName>
    <definedName name="MM" localSheetId="62">'Cost Model -Epilepsy Override'!$G$2</definedName>
    <definedName name="MM" localSheetId="67">'Cost Model -HIV'!$G$2</definedName>
    <definedName name="MM" localSheetId="68">'Cost Model -HIV Override'!$G$2</definedName>
    <definedName name="MM" localSheetId="69">'Cost Model -Hyperlipidaemia HC'!$G$2</definedName>
    <definedName name="MM" localSheetId="70">'Cost Model -Hyperlipidaemia Ovr'!$G$2</definedName>
    <definedName name="MM" localSheetId="71">'Cost Model -Hypertension-HBP'!$G$2</definedName>
    <definedName name="MM" localSheetId="72">'Cost Model -Hypertension-HBP Ov'!$G$2</definedName>
    <definedName name="MM" localSheetId="83">'Cost Model -Lupus'!$G$2</definedName>
    <definedName name="MM" localSheetId="84">'Cost Model -Lupus Override'!$G$2</definedName>
    <definedName name="MM" localSheetId="76">'Cost Model -Multiple scler Ovr'!$G$2</definedName>
    <definedName name="MM" localSheetId="75">'Cost Model -Multiple sclerosis'!$G$2</definedName>
    <definedName name="MM" localSheetId="78">'Cost Model -Parkinson''s dis Ovr'!$G$2</definedName>
    <definedName name="MM" localSheetId="77">'Cost Model -Parkinson''s disease'!$G$2</definedName>
    <definedName name="MM" localSheetId="81">'Cost Model Schizophrenia'!$G$2</definedName>
    <definedName name="MM" localSheetId="82">'Cost Model Schizophrenia Ovrd'!$G$2</definedName>
    <definedName name="MM" localSheetId="53">'Cost Model-COPD'!$G$2</definedName>
    <definedName name="MM" localSheetId="54">'Cost Model-COPD Override'!$G$2</definedName>
    <definedName name="MM" localSheetId="36">'PPP Detail'!$H$2</definedName>
    <definedName name="MM" localSheetId="37">'PPP Detail Override'!$H$2</definedName>
    <definedName name="payroll_global_max">'Add-In_Control'!$N$17</definedName>
    <definedName name="payroll_max" localSheetId="8">'[4]Add-In_Control'!$N$16</definedName>
    <definedName name="payroll_max" localSheetId="9">'[3]Add-In_Control'!$N$16</definedName>
    <definedName name="payroll_max">'Add-In_Control'!$N$16</definedName>
    <definedName name="payroll_min" localSheetId="8">'[4]Add-In_Control'!$N$15</definedName>
    <definedName name="payroll_min" localSheetId="9">'[3]Add-In_Control'!$N$15</definedName>
    <definedName name="payroll_min">'Add-In_Control'!$N$15</definedName>
    <definedName name="payroll_unit" localSheetId="8">'[4]Add-In_Control'!$N$14</definedName>
    <definedName name="payroll_unit" localSheetId="9">'[3]Add-In_Control'!$N$14</definedName>
    <definedName name="payroll_unit">'Add-In_Control'!$N$14</definedName>
    <definedName name="pepm_curr" localSheetId="8">[4]Core_Control!$D$9</definedName>
    <definedName name="pepm_curr" localSheetId="9">[3]Core_Control!$D$8</definedName>
    <definedName name="pepm_curr">Core_Control!$D$9</definedName>
    <definedName name="pepm_target" localSheetId="8">[4]Core_Control!$D$10</definedName>
    <definedName name="pepm_target" localSheetId="9">[3]Core_Control!$D$9</definedName>
    <definedName name="pepm_target">Core_Control!$D$10</definedName>
    <definedName name="period_freq">'Add-In_Control'!$N$19</definedName>
    <definedName name="period_max" localSheetId="8">'[4]Add-In_Control'!$N$20</definedName>
    <definedName name="period_max" localSheetId="9">'[3]Add-In_Control'!$N$20</definedName>
    <definedName name="period_max">'Add-In_Control'!$N$21</definedName>
    <definedName name="period_min" localSheetId="8">'[4]Add-In_Control'!$N$19</definedName>
    <definedName name="period_min" localSheetId="9">'[3]Add-In_Control'!$N$19</definedName>
    <definedName name="period_min">'Add-In_Control'!$N$20</definedName>
    <definedName name="plan_sponsor" localSheetId="8">[4]Core_Control!$D$4</definedName>
    <definedName name="plan_sponsor" localSheetId="9">[3]Core_Control!$D$4</definedName>
    <definedName name="plan_sponsor">Core_Control!$D$4</definedName>
    <definedName name="_xlnm.Print_Area" localSheetId="3">'Add-In Design'!$A$1:$X$37</definedName>
    <definedName name="_xlnm.Print_Area" localSheetId="4">Bind_Dashboard!$A$1:$K$53</definedName>
    <definedName name="_xlnm.Print_Area" localSheetId="35">'Chronic Cost Model Summary'!$B$1:$H$30</definedName>
    <definedName name="_xlnm.Print_Area" localSheetId="2">'Core Design'!$A$1:$J$27</definedName>
    <definedName name="_xlnm.Print_Area" localSheetId="6">EE_Modeler!$A$1:$AG$56</definedName>
    <definedName name="_xlnm.Print_Area" localSheetId="41">'NM Upgrade List'!$A$2:$E$51</definedName>
    <definedName name="_xlnm.Print_Titles" localSheetId="3">'Add-In Design'!$1:$3</definedName>
    <definedName name="_xlnm.Print_Titles" localSheetId="2">'Core Design'!$1:$3</definedName>
    <definedName name="revtier" localSheetId="13">#REF!</definedName>
    <definedName name="revtier" localSheetId="14">#REF!</definedName>
    <definedName name="revtier" localSheetId="12">#REF!</definedName>
    <definedName name="revtier" localSheetId="11">#REF!</definedName>
    <definedName name="savings_target" localSheetId="8">[4]Core_Control!$D$12</definedName>
    <definedName name="savings_target" localSheetId="9">[3]Core_Control!$D$11</definedName>
    <definedName name="savings_target">Core_Control!$D$12</definedName>
    <definedName name="solver_adj" localSheetId="30" hidden="1">'Assumptions-Output Target'!$F$75</definedName>
    <definedName name="solver_cvg" localSheetId="30" hidden="1">0.0001</definedName>
    <definedName name="solver_drv" localSheetId="30" hidden="1">1</definedName>
    <definedName name="solver_eng" localSheetId="30" hidden="1">1</definedName>
    <definedName name="solver_est" localSheetId="30" hidden="1">1</definedName>
    <definedName name="solver_itr" localSheetId="30" hidden="1">2147483647</definedName>
    <definedName name="solver_mip" localSheetId="30" hidden="1">2147483647</definedName>
    <definedName name="solver_mni" localSheetId="30" hidden="1">30</definedName>
    <definedName name="solver_mrt" localSheetId="30" hidden="1">0.075</definedName>
    <definedName name="solver_msl" localSheetId="30" hidden="1">2</definedName>
    <definedName name="solver_neg" localSheetId="30" hidden="1">1</definedName>
    <definedName name="solver_nod" localSheetId="30" hidden="1">2147483647</definedName>
    <definedName name="solver_num" localSheetId="30" hidden="1">0</definedName>
    <definedName name="solver_nwt" localSheetId="30" hidden="1">1</definedName>
    <definedName name="solver_opt" localSheetId="30" hidden="1">'Assumptions-Output Target'!$G$71</definedName>
    <definedName name="solver_pre" localSheetId="30" hidden="1">0.000001</definedName>
    <definedName name="solver_rbv" localSheetId="30" hidden="1">1</definedName>
    <definedName name="solver_rlx" localSheetId="30" hidden="1">2</definedName>
    <definedName name="solver_rsd" localSheetId="30" hidden="1">0</definedName>
    <definedName name="solver_scl" localSheetId="30" hidden="1">1</definedName>
    <definedName name="solver_sho" localSheetId="30" hidden="1">2</definedName>
    <definedName name="solver_ssz" localSheetId="30" hidden="1">100</definedName>
    <definedName name="solver_tim" localSheetId="30" hidden="1">2147483647</definedName>
    <definedName name="solver_tol" localSheetId="30" hidden="1">0.01</definedName>
    <definedName name="solver_typ" localSheetId="30" hidden="1">3</definedName>
    <definedName name="solver_val" localSheetId="30" hidden="1">-0.1</definedName>
    <definedName name="solver_ver" localSheetId="30" hidden="1">3</definedName>
    <definedName name="SPH" localSheetId="13">#REF!</definedName>
    <definedName name="SPH" localSheetId="14">#REF!</definedName>
    <definedName name="SPH" localSheetId="12">#REF!</definedName>
    <definedName name="SPH" localSheetId="11">#REF!</definedName>
    <definedName name="SPL" localSheetId="13">#REF!</definedName>
    <definedName name="SPL" localSheetId="14">#REF!</definedName>
    <definedName name="SPL" localSheetId="12">#REF!</definedName>
    <definedName name="SPL" localSheetId="11">#REF!</definedName>
    <definedName name="Sub_Inc" localSheetId="13">#REF!</definedName>
    <definedName name="Sub_Inc" localSheetId="14">#REF!</definedName>
    <definedName name="Sub_Inc" localSheetId="12">#REF!</definedName>
    <definedName name="Sub_Inc" localSheetId="11">#REF!</definedName>
    <definedName name="Summary" localSheetId="28">'Winners-Losers HRA'!$A$5:$AA$105</definedName>
    <definedName name="Summary" localSheetId="32">'Winners-Losers Values PMPM'!$A$5:$AA$105</definedName>
    <definedName name="trend_rate" localSheetId="8">[4]Core_Control!$D$7</definedName>
    <definedName name="trend_rate" localSheetId="9">[2]Core_Control!$D$7</definedName>
    <definedName name="trend_rate">Core_Control!$D$7</definedName>
    <definedName name="upgrade_subsidy">'[3]Add-In_Control'!$J$6</definedName>
  </definedNames>
  <calcPr calcId="150001" concurrentCalc="0"/>
  <pivotCaches>
    <pivotCache cacheId="0" r:id="rId99"/>
  </pivotCaches>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37" i="149" l="1"/>
  <c r="C36" i="149"/>
  <c r="C35" i="149"/>
  <c r="C34" i="149"/>
  <c r="H16" i="149"/>
  <c r="H15" i="149"/>
  <c r="H14" i="149"/>
  <c r="H13" i="149"/>
  <c r="Q4" i="141"/>
  <c r="E3" i="149"/>
  <c r="C3" i="149"/>
  <c r="B7" i="149"/>
  <c r="B6" i="149"/>
  <c r="B5" i="149"/>
  <c r="B4" i="149"/>
  <c r="D3" i="144" a="1"/>
  <c r="G3" i="144"/>
  <c r="O3" i="145"/>
  <c r="C98" i="139"/>
  <c r="F3" i="144"/>
  <c r="N3" i="145"/>
  <c r="C91" i="139"/>
  <c r="E3" i="144"/>
  <c r="M3" i="145"/>
  <c r="C84" i="139"/>
  <c r="D3" i="144"/>
  <c r="L3" i="145"/>
  <c r="C77" i="139"/>
  <c r="C58" i="139"/>
  <c r="C51" i="139"/>
  <c r="C44" i="139"/>
  <c r="C37" i="139"/>
  <c r="C12" i="149"/>
  <c r="C13" i="149"/>
  <c r="C14" i="149"/>
  <c r="C15" i="149"/>
  <c r="C16" i="149"/>
  <c r="G3" i="148"/>
  <c r="F11" i="149"/>
  <c r="E11" i="149"/>
  <c r="J16" i="149"/>
  <c r="J15" i="149"/>
  <c r="J14" i="149"/>
  <c r="K7" i="145"/>
  <c r="B102" i="139"/>
  <c r="K6" i="145"/>
  <c r="B101" i="139"/>
  <c r="K5" i="145"/>
  <c r="B100" i="139"/>
  <c r="K4" i="145"/>
  <c r="B99" i="139"/>
  <c r="B95" i="139"/>
  <c r="B94" i="139"/>
  <c r="B93" i="139"/>
  <c r="B92" i="139"/>
  <c r="B88" i="139"/>
  <c r="B87" i="139"/>
  <c r="B86" i="139"/>
  <c r="B85" i="139"/>
  <c r="B62" i="139"/>
  <c r="B61" i="139"/>
  <c r="B60" i="139"/>
  <c r="B59" i="139"/>
  <c r="B55" i="139"/>
  <c r="B54" i="139"/>
  <c r="B53" i="139"/>
  <c r="B52" i="139"/>
  <c r="B48" i="139"/>
  <c r="B47" i="139"/>
  <c r="B46" i="139"/>
  <c r="B45" i="139"/>
  <c r="R5" i="142"/>
  <c r="R6" i="142"/>
  <c r="R7" i="142"/>
  <c r="R8" i="142"/>
  <c r="R9" i="142"/>
  <c r="R10" i="142"/>
  <c r="R11" i="142"/>
  <c r="R12" i="142"/>
  <c r="R13" i="142"/>
  <c r="R14" i="142"/>
  <c r="R15" i="142"/>
  <c r="R16" i="142"/>
  <c r="R17" i="142"/>
  <c r="R18" i="142"/>
  <c r="R19" i="142"/>
  <c r="R20" i="142"/>
  <c r="R21" i="142"/>
  <c r="R22" i="142"/>
  <c r="R23" i="142"/>
  <c r="R24" i="142"/>
  <c r="R25" i="142"/>
  <c r="R26" i="142"/>
  <c r="R27" i="142"/>
  <c r="R28" i="142"/>
  <c r="D3" i="149"/>
  <c r="D12" i="149"/>
  <c r="R5" i="141"/>
  <c r="R6" i="141"/>
  <c r="R7" i="141"/>
  <c r="R8" i="141"/>
  <c r="R9" i="141"/>
  <c r="R10" i="141"/>
  <c r="R11" i="141"/>
  <c r="R12" i="141"/>
  <c r="R13" i="141"/>
  <c r="R14" i="141"/>
  <c r="R15" i="141"/>
  <c r="R16" i="141"/>
  <c r="R17" i="141"/>
  <c r="R18" i="141"/>
  <c r="R19" i="141"/>
  <c r="R20" i="141"/>
  <c r="R21" i="141"/>
  <c r="R22" i="141"/>
  <c r="R23" i="141"/>
  <c r="R24" i="141"/>
  <c r="R25" i="141"/>
  <c r="R26" i="141"/>
  <c r="R27" i="141"/>
  <c r="R28" i="141"/>
  <c r="B15" i="139"/>
  <c r="F23" i="149"/>
  <c r="F22" i="149"/>
  <c r="F21" i="149"/>
  <c r="C29" i="140"/>
  <c r="I17" i="118"/>
  <c r="J17" i="118"/>
  <c r="M18" i="118"/>
  <c r="M19" i="118"/>
  <c r="M20" i="118"/>
  <c r="M21" i="118"/>
  <c r="M22" i="118"/>
  <c r="M23" i="118"/>
  <c r="C33" i="140"/>
  <c r="C31" i="140"/>
  <c r="C30" i="140"/>
  <c r="D33" i="140"/>
  <c r="C1" i="121"/>
  <c r="B24" i="121"/>
  <c r="F12" i="149"/>
  <c r="E12" i="149"/>
  <c r="B21" i="146"/>
  <c r="R5" i="143"/>
  <c r="R6" i="143"/>
  <c r="R7" i="143"/>
  <c r="R8" i="143"/>
  <c r="R9" i="143"/>
  <c r="R10" i="143"/>
  <c r="R11" i="143"/>
  <c r="R12" i="143"/>
  <c r="R13" i="143"/>
  <c r="R14" i="143"/>
  <c r="R15" i="143"/>
  <c r="R16" i="143"/>
  <c r="R17" i="143"/>
  <c r="R18" i="143"/>
  <c r="R19" i="143"/>
  <c r="R20" i="143"/>
  <c r="R21" i="143"/>
  <c r="R22" i="143"/>
  <c r="R23" i="143"/>
  <c r="R24" i="143"/>
  <c r="R25" i="143"/>
  <c r="R26" i="143"/>
  <c r="R27" i="143"/>
  <c r="R28" i="143"/>
  <c r="H8" i="142"/>
  <c r="H8" i="141"/>
  <c r="H12" i="142"/>
  <c r="H12" i="141"/>
  <c r="H16" i="142"/>
  <c r="H16" i="141"/>
  <c r="H20" i="142"/>
  <c r="H20" i="141"/>
  <c r="H24" i="142"/>
  <c r="H24" i="141"/>
  <c r="H28" i="142"/>
  <c r="G8" i="142"/>
  <c r="G8" i="141"/>
  <c r="G12" i="142"/>
  <c r="G12" i="141"/>
  <c r="G16" i="142"/>
  <c r="G16" i="141"/>
  <c r="G20" i="142"/>
  <c r="G20" i="141"/>
  <c r="G24" i="142"/>
  <c r="G24" i="141"/>
  <c r="G28" i="142"/>
  <c r="F8" i="142"/>
  <c r="F8" i="141"/>
  <c r="F12" i="142"/>
  <c r="F12" i="141"/>
  <c r="F16" i="142"/>
  <c r="F16" i="141"/>
  <c r="F20" i="142"/>
  <c r="F20" i="141"/>
  <c r="F24" i="142"/>
  <c r="F24" i="141"/>
  <c r="F28" i="142"/>
  <c r="E8" i="142"/>
  <c r="E8" i="141"/>
  <c r="E12" i="142"/>
  <c r="E12" i="141"/>
  <c r="E16" i="142"/>
  <c r="E16" i="141"/>
  <c r="E20" i="142"/>
  <c r="E20" i="141"/>
  <c r="E24" i="142"/>
  <c r="E24" i="141"/>
  <c r="E28" i="142"/>
  <c r="H7" i="142"/>
  <c r="H7" i="141"/>
  <c r="H11" i="142"/>
  <c r="H11" i="141"/>
  <c r="H15" i="142"/>
  <c r="H15" i="141"/>
  <c r="H19" i="142"/>
  <c r="H19" i="141"/>
  <c r="H23" i="142"/>
  <c r="H23" i="141"/>
  <c r="H27" i="142"/>
  <c r="G7" i="142"/>
  <c r="G7" i="141"/>
  <c r="G11" i="142"/>
  <c r="G11" i="141"/>
  <c r="G15" i="142"/>
  <c r="G15" i="141"/>
  <c r="G19" i="142"/>
  <c r="G19" i="141"/>
  <c r="G23" i="142"/>
  <c r="G23" i="141"/>
  <c r="G27" i="142"/>
  <c r="F7" i="142"/>
  <c r="F7" i="141"/>
  <c r="F11" i="142"/>
  <c r="F11" i="141"/>
  <c r="F15" i="142"/>
  <c r="F15" i="141"/>
  <c r="F19" i="142"/>
  <c r="F19" i="141"/>
  <c r="F23" i="142"/>
  <c r="F23" i="141"/>
  <c r="F27" i="142"/>
  <c r="E7" i="142"/>
  <c r="E7" i="141"/>
  <c r="E11" i="142"/>
  <c r="E11" i="141"/>
  <c r="E15" i="142"/>
  <c r="E15" i="141"/>
  <c r="E19" i="142"/>
  <c r="E19" i="141"/>
  <c r="E23" i="142"/>
  <c r="E23" i="141"/>
  <c r="E27" i="142"/>
  <c r="H6" i="142"/>
  <c r="H6" i="141"/>
  <c r="H10" i="142"/>
  <c r="H10" i="141"/>
  <c r="H14" i="142"/>
  <c r="H14" i="141"/>
  <c r="H18" i="142"/>
  <c r="H18" i="141"/>
  <c r="H22" i="142"/>
  <c r="H22" i="141"/>
  <c r="H26" i="142"/>
  <c r="G6" i="142"/>
  <c r="G6" i="141"/>
  <c r="G10" i="142"/>
  <c r="G10" i="141"/>
  <c r="G14" i="142"/>
  <c r="G14" i="141"/>
  <c r="G18" i="142"/>
  <c r="G18" i="141"/>
  <c r="G22" i="142"/>
  <c r="G22" i="141"/>
  <c r="G26" i="142"/>
  <c r="F6" i="142"/>
  <c r="F6" i="141"/>
  <c r="F10" i="142"/>
  <c r="F10" i="141"/>
  <c r="F14" i="142"/>
  <c r="F14" i="141"/>
  <c r="F18" i="142"/>
  <c r="F18" i="141"/>
  <c r="F22" i="142"/>
  <c r="F22" i="141"/>
  <c r="F26" i="142"/>
  <c r="E6" i="142"/>
  <c r="E6" i="141"/>
  <c r="E10" i="142"/>
  <c r="E10" i="141"/>
  <c r="E14" i="142"/>
  <c r="E14" i="141"/>
  <c r="E18" i="142"/>
  <c r="E18" i="141"/>
  <c r="E22" i="142"/>
  <c r="E22" i="141"/>
  <c r="E26" i="142"/>
  <c r="H5" i="142"/>
  <c r="H5" i="141"/>
  <c r="H9" i="142"/>
  <c r="H9" i="141"/>
  <c r="H13" i="142"/>
  <c r="H13" i="141"/>
  <c r="H17" i="142"/>
  <c r="H17" i="141"/>
  <c r="H21" i="142"/>
  <c r="H21" i="141"/>
  <c r="H25" i="142"/>
  <c r="G5" i="142"/>
  <c r="G5" i="141"/>
  <c r="G9" i="142"/>
  <c r="G9" i="141"/>
  <c r="G13" i="142"/>
  <c r="G13" i="141"/>
  <c r="G17" i="142"/>
  <c r="G17" i="141"/>
  <c r="G21" i="142"/>
  <c r="G21" i="141"/>
  <c r="G25" i="142"/>
  <c r="F5" i="142"/>
  <c r="F5" i="141"/>
  <c r="F9" i="142"/>
  <c r="F9" i="141"/>
  <c r="F13" i="142"/>
  <c r="F13" i="141"/>
  <c r="F17" i="142"/>
  <c r="F17" i="141"/>
  <c r="F21" i="142"/>
  <c r="F21" i="141"/>
  <c r="F25" i="142"/>
  <c r="I58" i="145"/>
  <c r="I59" i="145"/>
  <c r="I60" i="145"/>
  <c r="I61" i="145"/>
  <c r="I62" i="145"/>
  <c r="I63" i="145"/>
  <c r="I64" i="145"/>
  <c r="I65" i="145"/>
  <c r="I66" i="145"/>
  <c r="I67" i="145"/>
  <c r="I68" i="145"/>
  <c r="I69" i="145"/>
  <c r="I70" i="145"/>
  <c r="I71" i="145"/>
  <c r="I72" i="145"/>
  <c r="I73" i="145"/>
  <c r="I74" i="145"/>
  <c r="I75" i="145"/>
  <c r="I76" i="145"/>
  <c r="I77" i="145"/>
  <c r="L54" i="144"/>
  <c r="L55" i="144"/>
  <c r="L56" i="144"/>
  <c r="L57" i="144"/>
  <c r="L58" i="144"/>
  <c r="L59" i="144"/>
  <c r="L60" i="144"/>
  <c r="L61" i="144"/>
  <c r="L62" i="144"/>
  <c r="L63" i="144"/>
  <c r="L64" i="144"/>
  <c r="L65" i="144"/>
  <c r="L66" i="144"/>
  <c r="L67" i="144"/>
  <c r="L68" i="144"/>
  <c r="L69" i="144"/>
  <c r="L70" i="144"/>
  <c r="L71" i="144"/>
  <c r="L72" i="144"/>
  <c r="L73" i="144"/>
  <c r="A4" i="145"/>
  <c r="A5" i="145"/>
  <c r="A6" i="145"/>
  <c r="A7" i="145"/>
  <c r="A8" i="145"/>
  <c r="A9" i="145"/>
  <c r="A10" i="145"/>
  <c r="A11" i="145"/>
  <c r="A12" i="145"/>
  <c r="A13" i="145"/>
  <c r="A14" i="145"/>
  <c r="A15" i="145"/>
  <c r="A16" i="145"/>
  <c r="A17" i="145"/>
  <c r="A18" i="145"/>
  <c r="A19" i="145"/>
  <c r="A20" i="145"/>
  <c r="A21" i="145"/>
  <c r="A22" i="145"/>
  <c r="A23" i="145"/>
  <c r="A24" i="145"/>
  <c r="A25" i="145"/>
  <c r="A26" i="145"/>
  <c r="A27" i="145"/>
  <c r="A28" i="145"/>
  <c r="A29" i="145"/>
  <c r="C29" i="145"/>
  <c r="C28" i="145"/>
  <c r="C27" i="145"/>
  <c r="C26" i="145"/>
  <c r="K73" i="144"/>
  <c r="J73" i="144"/>
  <c r="I73" i="144"/>
  <c r="H73" i="144"/>
  <c r="K72" i="144"/>
  <c r="J72" i="144"/>
  <c r="I72" i="144"/>
  <c r="H72" i="144"/>
  <c r="K71" i="144"/>
  <c r="J71" i="144"/>
  <c r="I71" i="144"/>
  <c r="H71" i="144"/>
  <c r="K70" i="144"/>
  <c r="J70" i="144"/>
  <c r="I70" i="144"/>
  <c r="H70" i="144"/>
  <c r="K69" i="144"/>
  <c r="J69" i="144"/>
  <c r="I69" i="144"/>
  <c r="H69" i="144"/>
  <c r="K68" i="144"/>
  <c r="J68" i="144"/>
  <c r="I68" i="144"/>
  <c r="H68" i="144"/>
  <c r="K67" i="144"/>
  <c r="J67" i="144"/>
  <c r="I67" i="144"/>
  <c r="H67" i="144"/>
  <c r="K66" i="144"/>
  <c r="J66" i="144"/>
  <c r="I66" i="144"/>
  <c r="H66" i="144"/>
  <c r="K65" i="144"/>
  <c r="J65" i="144"/>
  <c r="I65" i="144"/>
  <c r="H65" i="144"/>
  <c r="K64" i="144"/>
  <c r="J64" i="144"/>
  <c r="I64" i="144"/>
  <c r="H64" i="144"/>
  <c r="K63" i="144"/>
  <c r="J63" i="144"/>
  <c r="I63" i="144"/>
  <c r="H63" i="144"/>
  <c r="K62" i="144"/>
  <c r="J62" i="144"/>
  <c r="I62" i="144"/>
  <c r="H62" i="144"/>
  <c r="K61" i="144"/>
  <c r="J61" i="144"/>
  <c r="I61" i="144"/>
  <c r="H61" i="144"/>
  <c r="K60" i="144"/>
  <c r="J60" i="144"/>
  <c r="I60" i="144"/>
  <c r="H60" i="144"/>
  <c r="K59" i="144"/>
  <c r="J59" i="144"/>
  <c r="I59" i="144"/>
  <c r="H59" i="144"/>
  <c r="K58" i="144"/>
  <c r="J58" i="144"/>
  <c r="I58" i="144"/>
  <c r="H58" i="144"/>
  <c r="K57" i="144"/>
  <c r="J57" i="144"/>
  <c r="I57" i="144"/>
  <c r="H57" i="144"/>
  <c r="K56" i="144"/>
  <c r="J56" i="144"/>
  <c r="I56" i="144"/>
  <c r="H56" i="144"/>
  <c r="K55" i="144"/>
  <c r="J55" i="144"/>
  <c r="I55" i="144"/>
  <c r="H55" i="144"/>
  <c r="K54" i="144"/>
  <c r="J54" i="144"/>
  <c r="I54" i="144"/>
  <c r="H54" i="144"/>
  <c r="B55" i="145"/>
  <c r="D3" i="145" a="1"/>
  <c r="D3" i="145"/>
  <c r="D57" i="145"/>
  <c r="K23" i="145"/>
  <c r="K22" i="145"/>
  <c r="K21" i="145"/>
  <c r="K20" i="145"/>
  <c r="K19" i="145"/>
  <c r="K18" i="145"/>
  <c r="K17" i="145"/>
  <c r="K16" i="145"/>
  <c r="K15" i="145"/>
  <c r="K14" i="145"/>
  <c r="K13" i="145"/>
  <c r="K12" i="145"/>
  <c r="K11" i="145"/>
  <c r="K10" i="145"/>
  <c r="K9" i="145"/>
  <c r="K8" i="145"/>
  <c r="C77" i="145"/>
  <c r="C76" i="145"/>
  <c r="C75" i="145"/>
  <c r="C74" i="145"/>
  <c r="C73" i="145"/>
  <c r="C72" i="145"/>
  <c r="C71" i="145"/>
  <c r="C70" i="145"/>
  <c r="C69" i="145"/>
  <c r="C68" i="145"/>
  <c r="C67" i="145"/>
  <c r="C66" i="145"/>
  <c r="C65" i="145"/>
  <c r="C64" i="145"/>
  <c r="C63" i="145"/>
  <c r="C62" i="145"/>
  <c r="C61" i="145"/>
  <c r="C60" i="145"/>
  <c r="C59" i="145"/>
  <c r="C58" i="145"/>
  <c r="C53" i="145"/>
  <c r="C52" i="145"/>
  <c r="C51" i="145"/>
  <c r="C50" i="145"/>
  <c r="C49" i="145"/>
  <c r="C48" i="145"/>
  <c r="C47" i="145"/>
  <c r="C46" i="145"/>
  <c r="C45" i="145"/>
  <c r="C44" i="145"/>
  <c r="C43" i="145"/>
  <c r="C42" i="145"/>
  <c r="C41" i="145"/>
  <c r="C40" i="145"/>
  <c r="C39" i="145"/>
  <c r="C38" i="145"/>
  <c r="C37" i="145"/>
  <c r="C36" i="145"/>
  <c r="C35" i="145"/>
  <c r="C34" i="145"/>
  <c r="C23" i="145"/>
  <c r="C22" i="145"/>
  <c r="C21" i="145"/>
  <c r="C20" i="145"/>
  <c r="C19" i="145"/>
  <c r="C18" i="145"/>
  <c r="C17" i="145"/>
  <c r="C16" i="145"/>
  <c r="C15" i="145"/>
  <c r="C14" i="145"/>
  <c r="C13" i="145"/>
  <c r="C12" i="145"/>
  <c r="C11" i="145"/>
  <c r="C10" i="145"/>
  <c r="C9" i="145"/>
  <c r="C8" i="145"/>
  <c r="C7" i="145"/>
  <c r="C6" i="145"/>
  <c r="C5" i="145"/>
  <c r="C4" i="145"/>
  <c r="B74" i="145"/>
  <c r="B70" i="145"/>
  <c r="B66" i="145"/>
  <c r="B62" i="145"/>
  <c r="B58" i="145"/>
  <c r="B50" i="145"/>
  <c r="B46" i="145"/>
  <c r="B42" i="145"/>
  <c r="B38" i="145"/>
  <c r="B34" i="145"/>
  <c r="B20" i="145"/>
  <c r="B16" i="145"/>
  <c r="B12" i="145"/>
  <c r="B8" i="145"/>
  <c r="B4" i="145"/>
  <c r="F103" i="144"/>
  <c r="F102" i="144"/>
  <c r="F101" i="144"/>
  <c r="F100" i="144"/>
  <c r="F99" i="144"/>
  <c r="F95" i="144"/>
  <c r="F94" i="144"/>
  <c r="F93" i="144"/>
  <c r="F92" i="144"/>
  <c r="F91" i="144"/>
  <c r="E95" i="144"/>
  <c r="E94" i="144"/>
  <c r="E93" i="144"/>
  <c r="E92" i="144"/>
  <c r="E91" i="144"/>
  <c r="E90" i="144"/>
  <c r="E82" i="144"/>
  <c r="E96" i="144"/>
  <c r="G26" i="144"/>
  <c r="F26" i="144"/>
  <c r="E26" i="144"/>
  <c r="D26" i="144"/>
  <c r="A4" i="144"/>
  <c r="A5" i="144"/>
  <c r="A6" i="144"/>
  <c r="A7" i="144"/>
  <c r="A8" i="144"/>
  <c r="A9" i="144"/>
  <c r="A10" i="144"/>
  <c r="A11" i="144"/>
  <c r="A12" i="144"/>
  <c r="A13" i="144"/>
  <c r="A14" i="144"/>
  <c r="A15" i="144"/>
  <c r="A16" i="144"/>
  <c r="A17" i="144"/>
  <c r="A18" i="144"/>
  <c r="A19" i="144"/>
  <c r="A20" i="144"/>
  <c r="A21" i="144"/>
  <c r="A22" i="144"/>
  <c r="A23" i="144"/>
  <c r="A24" i="144"/>
  <c r="A25" i="144"/>
  <c r="A26" i="144"/>
  <c r="I23" i="144"/>
  <c r="I22" i="144"/>
  <c r="I21" i="144"/>
  <c r="I20" i="144"/>
  <c r="I19" i="144"/>
  <c r="I18" i="144"/>
  <c r="I17" i="144"/>
  <c r="I16" i="144"/>
  <c r="I15" i="144"/>
  <c r="I14" i="144"/>
  <c r="I13" i="144"/>
  <c r="I12" i="144"/>
  <c r="I11" i="144"/>
  <c r="I10" i="144"/>
  <c r="I9" i="144"/>
  <c r="I8" i="144"/>
  <c r="I7" i="144"/>
  <c r="I6" i="144"/>
  <c r="I5" i="144"/>
  <c r="I4" i="144"/>
  <c r="B70" i="144"/>
  <c r="B66" i="144"/>
  <c r="B62" i="144"/>
  <c r="B58" i="144"/>
  <c r="B54" i="144"/>
  <c r="B46" i="144"/>
  <c r="B42" i="144"/>
  <c r="B38" i="144"/>
  <c r="B34" i="144"/>
  <c r="B30" i="144"/>
  <c r="B20" i="144"/>
  <c r="B16" i="144"/>
  <c r="B12" i="144"/>
  <c r="B8" i="144"/>
  <c r="B4" i="144"/>
  <c r="D113" i="144"/>
  <c r="D112" i="144"/>
  <c r="D111" i="144"/>
  <c r="D110" i="144"/>
  <c r="C73" i="144"/>
  <c r="C72" i="144"/>
  <c r="C71" i="144"/>
  <c r="C70" i="144"/>
  <c r="C69" i="144"/>
  <c r="C68" i="144"/>
  <c r="C67" i="144"/>
  <c r="C66" i="144"/>
  <c r="C65" i="144"/>
  <c r="C64" i="144"/>
  <c r="C63" i="144"/>
  <c r="C62" i="144"/>
  <c r="C61" i="144"/>
  <c r="C60" i="144"/>
  <c r="C59" i="144"/>
  <c r="C58" i="144"/>
  <c r="C57" i="144"/>
  <c r="C56" i="144"/>
  <c r="C55" i="144"/>
  <c r="C54" i="144"/>
  <c r="C49" i="144"/>
  <c r="C48" i="144"/>
  <c r="C47" i="144"/>
  <c r="C46" i="144"/>
  <c r="C45" i="144"/>
  <c r="C44" i="144"/>
  <c r="C43" i="144"/>
  <c r="C42" i="144"/>
  <c r="C41" i="144"/>
  <c r="C40" i="144"/>
  <c r="C39" i="144"/>
  <c r="C38" i="144"/>
  <c r="C37" i="144"/>
  <c r="C36" i="144"/>
  <c r="C35" i="144"/>
  <c r="C34" i="144"/>
  <c r="C33" i="144"/>
  <c r="C32" i="144"/>
  <c r="C31" i="144"/>
  <c r="C30" i="144"/>
  <c r="C23" i="144"/>
  <c r="C22" i="144"/>
  <c r="C21" i="144"/>
  <c r="C20" i="144"/>
  <c r="C19" i="144"/>
  <c r="C18" i="144"/>
  <c r="C17" i="144"/>
  <c r="C16" i="144"/>
  <c r="C15" i="144"/>
  <c r="C14" i="144"/>
  <c r="C13" i="144"/>
  <c r="C12" i="144"/>
  <c r="C11" i="144"/>
  <c r="C10" i="144"/>
  <c r="C9" i="144"/>
  <c r="C8" i="144"/>
  <c r="C7" i="144"/>
  <c r="C6" i="144"/>
  <c r="C5" i="144"/>
  <c r="C4" i="144"/>
  <c r="G25" i="144"/>
  <c r="F25" i="144"/>
  <c r="E25" i="144"/>
  <c r="D25" i="144"/>
  <c r="D29" i="144"/>
  <c r="D53" i="144"/>
  <c r="H53" i="144"/>
  <c r="D33" i="145"/>
  <c r="G3" i="145"/>
  <c r="F3" i="145"/>
  <c r="E3" i="145"/>
  <c r="K17" i="118"/>
  <c r="L17" i="118"/>
  <c r="G53" i="144"/>
  <c r="K53" i="144"/>
  <c r="G29" i="144"/>
  <c r="E53" i="144"/>
  <c r="I53" i="144"/>
  <c r="F113" i="144"/>
  <c r="E29" i="144"/>
  <c r="F53" i="144"/>
  <c r="J53" i="144"/>
  <c r="F29" i="144"/>
  <c r="E57" i="145"/>
  <c r="E33" i="145"/>
  <c r="F57" i="145"/>
  <c r="F33" i="145"/>
  <c r="G33" i="145"/>
  <c r="G57" i="145"/>
  <c r="B25" i="146"/>
  <c r="B24" i="146"/>
  <c r="B23" i="146"/>
  <c r="B22" i="146"/>
  <c r="F110" i="144"/>
  <c r="F111" i="144"/>
  <c r="F112" i="144"/>
  <c r="D44" i="119"/>
  <c r="D43" i="119"/>
  <c r="D42" i="119"/>
  <c r="D41" i="119"/>
  <c r="D40" i="119"/>
  <c r="D39" i="119"/>
  <c r="D38" i="119"/>
  <c r="D37" i="119"/>
  <c r="D36" i="119"/>
  <c r="D35" i="119"/>
  <c r="D34" i="119"/>
  <c r="D33" i="119"/>
  <c r="D32" i="119"/>
  <c r="D31" i="119"/>
  <c r="D30" i="119"/>
  <c r="D29" i="119"/>
  <c r="D28" i="119"/>
  <c r="D27" i="119"/>
  <c r="D26" i="119"/>
  <c r="D25" i="119"/>
  <c r="D24" i="119"/>
  <c r="D23" i="119"/>
  <c r="D22" i="119"/>
  <c r="D21" i="119"/>
  <c r="D20" i="119"/>
  <c r="D19" i="119"/>
  <c r="D18" i="119"/>
  <c r="D17" i="119"/>
  <c r="D16" i="119"/>
  <c r="D15" i="119"/>
  <c r="D14" i="119"/>
  <c r="D13" i="119"/>
  <c r="D12" i="119"/>
  <c r="D11" i="119"/>
  <c r="S44" i="140"/>
  <c r="M24" i="118"/>
  <c r="M25" i="118"/>
  <c r="M26" i="118"/>
  <c r="M27" i="118"/>
  <c r="M28" i="118"/>
  <c r="M29" i="118"/>
  <c r="M30" i="118"/>
  <c r="M31" i="118"/>
  <c r="D31" i="118"/>
  <c r="M32" i="118"/>
  <c r="M33" i="118"/>
  <c r="M34" i="118"/>
  <c r="D34" i="118"/>
  <c r="F87" i="144"/>
  <c r="F86" i="144"/>
  <c r="F85" i="144"/>
  <c r="F84" i="144"/>
  <c r="E103" i="144"/>
  <c r="E102" i="144"/>
  <c r="E101" i="144"/>
  <c r="E100" i="144"/>
  <c r="E99" i="144"/>
  <c r="D104" i="144"/>
  <c r="D103" i="144"/>
  <c r="D102" i="144"/>
  <c r="D101" i="144"/>
  <c r="D100" i="144"/>
  <c r="D99" i="144"/>
  <c r="D98" i="144"/>
  <c r="E87" i="144"/>
  <c r="E86" i="144"/>
  <c r="E85" i="144"/>
  <c r="E84" i="144"/>
  <c r="E83" i="144"/>
  <c r="D96" i="144"/>
  <c r="D88" i="144"/>
  <c r="D95" i="144"/>
  <c r="D87" i="144"/>
  <c r="D94" i="144"/>
  <c r="D86" i="144"/>
  <c r="D93" i="144"/>
  <c r="D85" i="144"/>
  <c r="D92" i="144"/>
  <c r="D84" i="144"/>
  <c r="D91" i="144"/>
  <c r="D83" i="144"/>
  <c r="D90" i="144"/>
  <c r="D82" i="144"/>
  <c r="E106" i="144"/>
  <c r="K106" i="139"/>
  <c r="J106" i="139"/>
  <c r="I106" i="139"/>
  <c r="H106" i="139"/>
  <c r="E106" i="139"/>
  <c r="D106" i="139"/>
  <c r="B123" i="139"/>
  <c r="B81" i="139"/>
  <c r="B80" i="139"/>
  <c r="B79" i="139"/>
  <c r="B78" i="139"/>
  <c r="B41" i="139"/>
  <c r="B40" i="139"/>
  <c r="B39" i="139"/>
  <c r="B38" i="139"/>
  <c r="B34" i="139"/>
  <c r="B33" i="139"/>
  <c r="B32" i="139"/>
  <c r="B31" i="139"/>
  <c r="B70" i="139"/>
  <c r="C114" i="139"/>
  <c r="B69" i="139"/>
  <c r="C113" i="139"/>
  <c r="B68" i="139"/>
  <c r="C116" i="139"/>
  <c r="B67" i="139"/>
  <c r="C119" i="139"/>
  <c r="H24" i="143"/>
  <c r="G24" i="143"/>
  <c r="F24" i="143"/>
  <c r="E24" i="143"/>
  <c r="H23" i="143"/>
  <c r="G23" i="143"/>
  <c r="F23" i="143"/>
  <c r="E23" i="143"/>
  <c r="H22" i="143"/>
  <c r="G22" i="143"/>
  <c r="F22" i="143"/>
  <c r="E22" i="143"/>
  <c r="H21" i="143"/>
  <c r="G21" i="143"/>
  <c r="F21" i="143"/>
  <c r="E21" i="143"/>
  <c r="H20" i="143"/>
  <c r="G20" i="143"/>
  <c r="F20" i="143"/>
  <c r="E20" i="143"/>
  <c r="H19" i="143"/>
  <c r="G19" i="143"/>
  <c r="F19" i="143"/>
  <c r="E19" i="143"/>
  <c r="H18" i="143"/>
  <c r="G18" i="143"/>
  <c r="F18" i="143"/>
  <c r="E18" i="143"/>
  <c r="H17" i="143"/>
  <c r="G17" i="143"/>
  <c r="F17" i="143"/>
  <c r="E17" i="143"/>
  <c r="H16" i="143"/>
  <c r="G16" i="143"/>
  <c r="F16" i="143"/>
  <c r="E16" i="143"/>
  <c r="H15" i="143"/>
  <c r="G15" i="143"/>
  <c r="F15" i="143"/>
  <c r="E15" i="143"/>
  <c r="H14" i="143"/>
  <c r="G14" i="143"/>
  <c r="F14" i="143"/>
  <c r="E14" i="143"/>
  <c r="H13" i="143"/>
  <c r="G13" i="143"/>
  <c r="F13" i="143"/>
  <c r="E13" i="143"/>
  <c r="H12" i="143"/>
  <c r="G12" i="143"/>
  <c r="F12" i="143"/>
  <c r="E12" i="143"/>
  <c r="H11" i="143"/>
  <c r="G11" i="143"/>
  <c r="F11" i="143"/>
  <c r="E11" i="143"/>
  <c r="H10" i="143"/>
  <c r="G10" i="143"/>
  <c r="F10" i="143"/>
  <c r="E10" i="143"/>
  <c r="H9" i="143"/>
  <c r="G9" i="143"/>
  <c r="F9" i="143"/>
  <c r="E9" i="143"/>
  <c r="H8" i="143"/>
  <c r="H28" i="143"/>
  <c r="G8" i="143"/>
  <c r="G28" i="143"/>
  <c r="F8" i="143"/>
  <c r="F28" i="143"/>
  <c r="E8" i="143"/>
  <c r="H7" i="143"/>
  <c r="H27" i="143"/>
  <c r="G7" i="143"/>
  <c r="G27" i="143"/>
  <c r="F7" i="143"/>
  <c r="F27" i="143"/>
  <c r="E7" i="143"/>
  <c r="H6" i="143"/>
  <c r="H26" i="143"/>
  <c r="G6" i="143"/>
  <c r="G26" i="143"/>
  <c r="F6" i="143"/>
  <c r="F26" i="143"/>
  <c r="E6" i="143"/>
  <c r="H5" i="143"/>
  <c r="H25" i="143"/>
  <c r="G5" i="143"/>
  <c r="G25" i="143"/>
  <c r="F5" i="143"/>
  <c r="F25" i="143"/>
  <c r="E5" i="143"/>
  <c r="C28" i="143"/>
  <c r="B28" i="143"/>
  <c r="C27" i="143"/>
  <c r="B27" i="143"/>
  <c r="C26" i="143"/>
  <c r="B26" i="143"/>
  <c r="C25" i="143"/>
  <c r="B25" i="143"/>
  <c r="C24" i="143"/>
  <c r="C23" i="143"/>
  <c r="C22" i="143"/>
  <c r="C21" i="143"/>
  <c r="C20" i="143"/>
  <c r="C19" i="143"/>
  <c r="C18" i="143"/>
  <c r="C17" i="143"/>
  <c r="C16" i="143"/>
  <c r="C15" i="143"/>
  <c r="C14" i="143"/>
  <c r="C13" i="143"/>
  <c r="C12" i="143"/>
  <c r="C11" i="143"/>
  <c r="C10" i="143"/>
  <c r="C9" i="143"/>
  <c r="C8" i="143"/>
  <c r="C7" i="143"/>
  <c r="C6" i="143"/>
  <c r="C5" i="143"/>
  <c r="Q4" i="143"/>
  <c r="H4" i="143"/>
  <c r="G4" i="143"/>
  <c r="F4" i="143"/>
  <c r="E4" i="143"/>
  <c r="I3" i="143"/>
  <c r="E3" i="143"/>
  <c r="B2" i="143"/>
  <c r="C2" i="143"/>
  <c r="E21" i="142"/>
  <c r="E17" i="142"/>
  <c r="E13" i="142"/>
  <c r="E9" i="142"/>
  <c r="E5" i="142"/>
  <c r="Q4" i="142"/>
  <c r="H4" i="142"/>
  <c r="G4" i="142"/>
  <c r="F4" i="142"/>
  <c r="E4" i="142"/>
  <c r="C28" i="142"/>
  <c r="C27" i="142"/>
  <c r="C26" i="142"/>
  <c r="C25" i="142"/>
  <c r="C24" i="142"/>
  <c r="C23" i="142"/>
  <c r="C22" i="142"/>
  <c r="C21" i="142"/>
  <c r="C20" i="142"/>
  <c r="C19" i="142"/>
  <c r="C18" i="142"/>
  <c r="C17" i="142"/>
  <c r="C16" i="142"/>
  <c r="C15" i="142"/>
  <c r="C14" i="142"/>
  <c r="C13" i="142"/>
  <c r="C12" i="142"/>
  <c r="C11" i="142"/>
  <c r="C10" i="142"/>
  <c r="C9" i="142"/>
  <c r="C8" i="142"/>
  <c r="C7" i="142"/>
  <c r="C6" i="142"/>
  <c r="C5" i="142"/>
  <c r="B28" i="142"/>
  <c r="B27" i="142"/>
  <c r="B26" i="142"/>
  <c r="D26" i="142"/>
  <c r="B25" i="142"/>
  <c r="D25" i="142"/>
  <c r="I3" i="142"/>
  <c r="E3" i="142"/>
  <c r="I3" i="141"/>
  <c r="E3" i="141"/>
  <c r="B2" i="142"/>
  <c r="B2" i="141"/>
  <c r="H28" i="141"/>
  <c r="G28" i="141"/>
  <c r="F28" i="141"/>
  <c r="G27" i="141"/>
  <c r="F27" i="141"/>
  <c r="H26" i="141"/>
  <c r="F26" i="141"/>
  <c r="G25" i="141"/>
  <c r="E21" i="141"/>
  <c r="E17" i="141"/>
  <c r="E13" i="141"/>
  <c r="E9" i="141"/>
  <c r="E27" i="141"/>
  <c r="E26" i="141"/>
  <c r="E5" i="141"/>
  <c r="H4" i="141"/>
  <c r="G4" i="141"/>
  <c r="F4" i="141"/>
  <c r="E4" i="141"/>
  <c r="C28" i="141"/>
  <c r="C27" i="141"/>
  <c r="C26" i="141"/>
  <c r="C25" i="141"/>
  <c r="C24" i="141"/>
  <c r="C23" i="141"/>
  <c r="C22" i="141"/>
  <c r="C21" i="141"/>
  <c r="C20" i="141"/>
  <c r="C19" i="141"/>
  <c r="C18" i="141"/>
  <c r="C17" i="141"/>
  <c r="C16" i="141"/>
  <c r="C15" i="141"/>
  <c r="C14" i="141"/>
  <c r="C13" i="141"/>
  <c r="C12" i="141"/>
  <c r="C11" i="141"/>
  <c r="C10" i="141"/>
  <c r="C9" i="141"/>
  <c r="C5" i="141"/>
  <c r="C8" i="141"/>
  <c r="C7" i="141"/>
  <c r="C6" i="141"/>
  <c r="B28" i="141"/>
  <c r="B27" i="141"/>
  <c r="B26" i="141"/>
  <c r="B25" i="141"/>
  <c r="B115" i="139"/>
  <c r="K4" i="143"/>
  <c r="J4" i="143"/>
  <c r="J16" i="145"/>
  <c r="R7" i="145"/>
  <c r="H21" i="144"/>
  <c r="H13" i="144"/>
  <c r="H11" i="144"/>
  <c r="H8" i="144"/>
  <c r="H6" i="144"/>
  <c r="F24" i="144"/>
  <c r="D28" i="143"/>
  <c r="D26" i="143"/>
  <c r="D28" i="142"/>
  <c r="C2" i="142"/>
  <c r="E28" i="141"/>
  <c r="D28" i="141"/>
  <c r="D27" i="141"/>
  <c r="D26" i="141"/>
  <c r="H25" i="141"/>
  <c r="C7" i="139"/>
  <c r="D7" i="139"/>
  <c r="B2" i="139"/>
  <c r="D49" i="140"/>
  <c r="D35" i="140"/>
  <c r="N34" i="140"/>
  <c r="N53" i="140"/>
  <c r="M34" i="140"/>
  <c r="M41" i="140"/>
  <c r="L34" i="140"/>
  <c r="L52" i="140"/>
  <c r="K34" i="140"/>
  <c r="K55" i="140"/>
  <c r="J34" i="140"/>
  <c r="I34" i="140"/>
  <c r="H34" i="140"/>
  <c r="H53" i="140"/>
  <c r="G34" i="140"/>
  <c r="G52" i="140"/>
  <c r="AF33" i="140"/>
  <c r="AE33" i="140"/>
  <c r="AD33" i="140"/>
  <c r="AC33" i="140"/>
  <c r="AB33" i="140"/>
  <c r="AA33" i="140"/>
  <c r="Z33" i="140"/>
  <c r="Y33" i="140"/>
  <c r="W33" i="140"/>
  <c r="V33" i="140"/>
  <c r="U33" i="140"/>
  <c r="T33" i="140"/>
  <c r="S33" i="140"/>
  <c r="R33" i="140"/>
  <c r="Q33" i="140"/>
  <c r="P33" i="140"/>
  <c r="N33" i="140"/>
  <c r="M33" i="140"/>
  <c r="L33" i="140"/>
  <c r="K33" i="140"/>
  <c r="J33" i="140"/>
  <c r="I33" i="140"/>
  <c r="H33" i="140"/>
  <c r="G33" i="140"/>
  <c r="D32" i="140"/>
  <c r="D22" i="140"/>
  <c r="D31" i="140"/>
  <c r="D21" i="140"/>
  <c r="D23" i="140"/>
  <c r="D18" i="140"/>
  <c r="D4" i="140"/>
  <c r="B2" i="140"/>
  <c r="C125" i="139"/>
  <c r="C120" i="139"/>
  <c r="C112" i="139"/>
  <c r="C108" i="139"/>
  <c r="C17" i="139"/>
  <c r="B2" i="136"/>
  <c r="C2" i="120"/>
  <c r="C109" i="139"/>
  <c r="C121" i="139"/>
  <c r="C117" i="139"/>
  <c r="C115" i="139"/>
  <c r="C123" i="139"/>
  <c r="C110" i="139"/>
  <c r="C107" i="139"/>
  <c r="C111" i="139"/>
  <c r="C2" i="141"/>
  <c r="C118" i="139"/>
  <c r="C122" i="139"/>
  <c r="C126" i="139"/>
  <c r="J12" i="145"/>
  <c r="R5" i="145"/>
  <c r="B7" i="141"/>
  <c r="D7" i="141"/>
  <c r="R6" i="145"/>
  <c r="R9" i="145"/>
  <c r="B23" i="141"/>
  <c r="D23" i="141"/>
  <c r="J8" i="145"/>
  <c r="G109" i="144"/>
  <c r="R8" i="145"/>
  <c r="B20" i="143"/>
  <c r="D20" i="143"/>
  <c r="J4" i="145"/>
  <c r="J20" i="145"/>
  <c r="H109" i="144"/>
  <c r="D22" i="118"/>
  <c r="D27" i="118"/>
  <c r="D32" i="118"/>
  <c r="E107" i="144"/>
  <c r="D23" i="118"/>
  <c r="D28" i="118"/>
  <c r="D33" i="118"/>
  <c r="D25" i="141"/>
  <c r="D25" i="143"/>
  <c r="D27" i="143"/>
  <c r="E28" i="143"/>
  <c r="E109" i="144"/>
  <c r="D20" i="118"/>
  <c r="D25" i="118"/>
  <c r="D29" i="118"/>
  <c r="D27" i="142"/>
  <c r="D21" i="118"/>
  <c r="D26" i="118"/>
  <c r="I39" i="140"/>
  <c r="E55" i="140"/>
  <c r="E51" i="140"/>
  <c r="E45" i="140"/>
  <c r="E41" i="140"/>
  <c r="E37" i="140"/>
  <c r="E46" i="140"/>
  <c r="E54" i="140"/>
  <c r="E50" i="140"/>
  <c r="E44" i="140"/>
  <c r="E40" i="140"/>
  <c r="E36" i="140"/>
  <c r="E38" i="140"/>
  <c r="E53" i="140"/>
  <c r="E47" i="140"/>
  <c r="E43" i="140"/>
  <c r="E39" i="140"/>
  <c r="E52" i="140"/>
  <c r="E42" i="140"/>
  <c r="J54" i="140"/>
  <c r="J44" i="140"/>
  <c r="H50" i="140"/>
  <c r="C32" i="140"/>
  <c r="L37" i="140"/>
  <c r="M39" i="140"/>
  <c r="C23" i="140"/>
  <c r="L43" i="140"/>
  <c r="H38" i="140"/>
  <c r="L55" i="140"/>
  <c r="I41" i="140"/>
  <c r="K37" i="140"/>
  <c r="F83" i="144"/>
  <c r="E26" i="143"/>
  <c r="B11" i="142"/>
  <c r="D11" i="142"/>
  <c r="B10" i="142"/>
  <c r="D10" i="142"/>
  <c r="B10" i="141"/>
  <c r="D10" i="141"/>
  <c r="B11" i="141"/>
  <c r="D11" i="141"/>
  <c r="O4" i="141"/>
  <c r="E66" i="139"/>
  <c r="N4" i="142"/>
  <c r="N4" i="141"/>
  <c r="D66" i="139"/>
  <c r="J4" i="142"/>
  <c r="J4" i="141"/>
  <c r="O4" i="142"/>
  <c r="K4" i="141"/>
  <c r="O4" i="143"/>
  <c r="T5" i="143"/>
  <c r="B17" i="141"/>
  <c r="D17" i="141"/>
  <c r="B18" i="142"/>
  <c r="D18" i="142"/>
  <c r="I4" i="143"/>
  <c r="I4" i="142"/>
  <c r="I4" i="141"/>
  <c r="B7" i="143"/>
  <c r="D7" i="143"/>
  <c r="B6" i="142"/>
  <c r="D6" i="142"/>
  <c r="B107" i="139"/>
  <c r="M4" i="143"/>
  <c r="T3" i="143"/>
  <c r="M4" i="142"/>
  <c r="M4" i="141"/>
  <c r="C66" i="139"/>
  <c r="F25" i="141"/>
  <c r="B15" i="143"/>
  <c r="D15" i="143"/>
  <c r="B13" i="143"/>
  <c r="D13" i="143"/>
  <c r="B13" i="142"/>
  <c r="D13" i="142"/>
  <c r="B14" i="143"/>
  <c r="D14" i="143"/>
  <c r="B16" i="142"/>
  <c r="D16" i="142"/>
  <c r="B14" i="142"/>
  <c r="D14" i="142"/>
  <c r="B13" i="141"/>
  <c r="D13" i="141"/>
  <c r="B16" i="143"/>
  <c r="D16" i="143"/>
  <c r="B16" i="141"/>
  <c r="D16" i="141"/>
  <c r="B15" i="141"/>
  <c r="D15" i="141"/>
  <c r="B15" i="142"/>
  <c r="D15" i="142"/>
  <c r="L4" i="143"/>
  <c r="L4" i="142"/>
  <c r="L4" i="141"/>
  <c r="B119" i="139"/>
  <c r="P4" i="142"/>
  <c r="P4" i="143"/>
  <c r="T6" i="143"/>
  <c r="P4" i="141"/>
  <c r="F66" i="139"/>
  <c r="B6" i="141"/>
  <c r="D6" i="141"/>
  <c r="B14" i="141"/>
  <c r="D14" i="141"/>
  <c r="B111" i="139"/>
  <c r="N4" i="143"/>
  <c r="T4" i="143"/>
  <c r="B12" i="141"/>
  <c r="D12" i="141"/>
  <c r="K4" i="142"/>
  <c r="B11" i="143"/>
  <c r="D11" i="143"/>
  <c r="B9" i="143"/>
  <c r="D9" i="143"/>
  <c r="B12" i="143"/>
  <c r="D12" i="143"/>
  <c r="B9" i="142"/>
  <c r="D9" i="142"/>
  <c r="B12" i="142"/>
  <c r="D12" i="142"/>
  <c r="B9" i="141"/>
  <c r="D9" i="141"/>
  <c r="B10" i="143"/>
  <c r="D10" i="143"/>
  <c r="E27" i="143"/>
  <c r="K38" i="140"/>
  <c r="K42" i="140"/>
  <c r="G36" i="140"/>
  <c r="H40" i="140"/>
  <c r="K45" i="140"/>
  <c r="H52" i="140"/>
  <c r="K54" i="140"/>
  <c r="G37" i="140"/>
  <c r="G38" i="140"/>
  <c r="G43" i="140"/>
  <c r="H46" i="140"/>
  <c r="H51" i="140"/>
  <c r="G55" i="140"/>
  <c r="K36" i="140"/>
  <c r="H37" i="140"/>
  <c r="N37" i="140"/>
  <c r="J38" i="140"/>
  <c r="J39" i="140"/>
  <c r="N39" i="140"/>
  <c r="J40" i="140"/>
  <c r="J41" i="140"/>
  <c r="N41" i="140"/>
  <c r="G42" i="140"/>
  <c r="L42" i="140"/>
  <c r="H43" i="140"/>
  <c r="N43" i="140"/>
  <c r="K44" i="140"/>
  <c r="G45" i="140"/>
  <c r="L45" i="140"/>
  <c r="J46" i="140"/>
  <c r="K47" i="140"/>
  <c r="J50" i="140"/>
  <c r="J51" i="140"/>
  <c r="J52" i="140"/>
  <c r="K53" i="140"/>
  <c r="G54" i="140"/>
  <c r="L54" i="140"/>
  <c r="H55" i="140"/>
  <c r="N55" i="140"/>
  <c r="N40" i="140"/>
  <c r="N46" i="140"/>
  <c r="N51" i="140"/>
  <c r="N52" i="140"/>
  <c r="L36" i="140"/>
  <c r="J37" i="140"/>
  <c r="G39" i="140"/>
  <c r="K39" i="140"/>
  <c r="K40" i="140"/>
  <c r="G41" i="140"/>
  <c r="K41" i="140"/>
  <c r="H42" i="140"/>
  <c r="N42" i="140"/>
  <c r="J43" i="140"/>
  <c r="G44" i="140"/>
  <c r="L44" i="140"/>
  <c r="H45" i="140"/>
  <c r="N45" i="140"/>
  <c r="K46" i="140"/>
  <c r="G47" i="140"/>
  <c r="L47" i="140"/>
  <c r="K50" i="140"/>
  <c r="K51" i="140"/>
  <c r="K52" i="140"/>
  <c r="G53" i="140"/>
  <c r="L53" i="140"/>
  <c r="H54" i="140"/>
  <c r="N54" i="140"/>
  <c r="J55" i="140"/>
  <c r="J36" i="140"/>
  <c r="N38" i="140"/>
  <c r="J47" i="140"/>
  <c r="N50" i="140"/>
  <c r="J53" i="140"/>
  <c r="H36" i="140"/>
  <c r="N36" i="140"/>
  <c r="L38" i="140"/>
  <c r="H39" i="140"/>
  <c r="L39" i="140"/>
  <c r="G40" i="140"/>
  <c r="L40" i="140"/>
  <c r="H41" i="140"/>
  <c r="L41" i="140"/>
  <c r="J42" i="140"/>
  <c r="K43" i="140"/>
  <c r="H44" i="140"/>
  <c r="N44" i="140"/>
  <c r="J45" i="140"/>
  <c r="G46" i="140"/>
  <c r="L46" i="140"/>
  <c r="H47" i="140"/>
  <c r="N47" i="140"/>
  <c r="G50" i="140"/>
  <c r="L50" i="140"/>
  <c r="G51" i="140"/>
  <c r="L51" i="140"/>
  <c r="C124" i="139"/>
  <c r="E25" i="143"/>
  <c r="H27" i="141"/>
  <c r="G26" i="141"/>
  <c r="E25" i="141"/>
  <c r="E25" i="142"/>
  <c r="D24" i="144"/>
  <c r="H7" i="144"/>
  <c r="H15" i="144"/>
  <c r="H19" i="144"/>
  <c r="H23" i="144"/>
  <c r="G24" i="144"/>
  <c r="H4" i="144"/>
  <c r="H5" i="144"/>
  <c r="H9" i="144"/>
  <c r="H10" i="144"/>
  <c r="H12" i="144"/>
  <c r="H14" i="144"/>
  <c r="H16" i="144"/>
  <c r="H17" i="144"/>
  <c r="H18" i="144"/>
  <c r="H20" i="144"/>
  <c r="H22" i="144"/>
  <c r="I24" i="144"/>
  <c r="E24" i="144"/>
  <c r="C49" i="140"/>
  <c r="C18" i="140"/>
  <c r="C35" i="140"/>
  <c r="I46" i="140"/>
  <c r="I36" i="140"/>
  <c r="I55" i="140"/>
  <c r="I53" i="140"/>
  <c r="I50" i="140"/>
  <c r="I45" i="140"/>
  <c r="I43" i="140"/>
  <c r="I40" i="140"/>
  <c r="I38" i="140"/>
  <c r="I51" i="140"/>
  <c r="I47" i="140"/>
  <c r="M46" i="140"/>
  <c r="M36" i="140"/>
  <c r="M55" i="140"/>
  <c r="M53" i="140"/>
  <c r="M50" i="140"/>
  <c r="M45" i="140"/>
  <c r="M43" i="140"/>
  <c r="M40" i="140"/>
  <c r="M38" i="140"/>
  <c r="M51" i="140"/>
  <c r="M47" i="140"/>
  <c r="I37" i="140"/>
  <c r="M37" i="140"/>
  <c r="I42" i="140"/>
  <c r="M42" i="140"/>
  <c r="I44" i="140"/>
  <c r="M44" i="140"/>
  <c r="I52" i="140"/>
  <c r="M52" i="140"/>
  <c r="I54" i="140"/>
  <c r="M54" i="140"/>
  <c r="E80" i="144"/>
  <c r="G82" i="144"/>
  <c r="E79" i="144"/>
  <c r="F82" i="144"/>
  <c r="F88" i="144"/>
  <c r="F96" i="144"/>
  <c r="B24" i="142"/>
  <c r="D24" i="142"/>
  <c r="B23" i="143"/>
  <c r="D23" i="143"/>
  <c r="B22" i="141"/>
  <c r="D22" i="141"/>
  <c r="B8" i="142"/>
  <c r="D8" i="142"/>
  <c r="B8" i="143"/>
  <c r="D8" i="143"/>
  <c r="B5" i="142"/>
  <c r="D5" i="142"/>
  <c r="B7" i="142"/>
  <c r="D7" i="142"/>
  <c r="B5" i="141"/>
  <c r="D5" i="141"/>
  <c r="B5" i="143"/>
  <c r="D5" i="143"/>
  <c r="B17" i="143"/>
  <c r="D17" i="143"/>
  <c r="B8" i="141"/>
  <c r="D8" i="141"/>
  <c r="B6" i="143"/>
  <c r="D6" i="143"/>
  <c r="B18" i="143"/>
  <c r="D18" i="143"/>
  <c r="B20" i="142"/>
  <c r="D20" i="142"/>
  <c r="B19" i="143"/>
  <c r="D19" i="143"/>
  <c r="B19" i="141"/>
  <c r="D19" i="141"/>
  <c r="B20" i="141"/>
  <c r="D20" i="141"/>
  <c r="B17" i="142"/>
  <c r="D17" i="142"/>
  <c r="B18" i="141"/>
  <c r="D18" i="141"/>
  <c r="B19" i="142"/>
  <c r="D19" i="142"/>
  <c r="B24" i="143"/>
  <c r="D24" i="143"/>
  <c r="B24" i="141"/>
  <c r="D24" i="141"/>
  <c r="B22" i="143"/>
  <c r="D22" i="143"/>
  <c r="B23" i="142"/>
  <c r="D23" i="142"/>
  <c r="B21" i="141"/>
  <c r="D21" i="141"/>
  <c r="B21" i="142"/>
  <c r="D21" i="142"/>
  <c r="B22" i="142"/>
  <c r="D22" i="142"/>
  <c r="B21" i="143"/>
  <c r="D21" i="143"/>
  <c r="E88" i="144"/>
  <c r="C43" i="140"/>
  <c r="C52" i="140"/>
  <c r="C42" i="140"/>
  <c r="C38" i="140"/>
  <c r="C51" i="140"/>
  <c r="C41" i="140"/>
  <c r="C55" i="140"/>
  <c r="C54" i="140"/>
  <c r="C50" i="140"/>
  <c r="C53" i="140"/>
  <c r="C39" i="140"/>
  <c r="C40" i="140"/>
  <c r="H24" i="144"/>
  <c r="B3" i="145"/>
  <c r="F90" i="144"/>
  <c r="G90" i="144"/>
  <c r="D9" i="118"/>
  <c r="J3" i="145"/>
  <c r="D11" i="145"/>
  <c r="E4" i="145"/>
  <c r="E8" i="145"/>
  <c r="E12" i="145"/>
  <c r="E16" i="145"/>
  <c r="E20" i="145"/>
  <c r="G4" i="145"/>
  <c r="G8" i="145"/>
  <c r="G12" i="145"/>
  <c r="G16" i="145"/>
  <c r="G20" i="145"/>
  <c r="D5" i="145"/>
  <c r="D14" i="145"/>
  <c r="D19" i="145"/>
  <c r="D23" i="145"/>
  <c r="F7" i="145"/>
  <c r="F11" i="145"/>
  <c r="F15" i="145"/>
  <c r="F19" i="145"/>
  <c r="F23" i="145"/>
  <c r="E6" i="145"/>
  <c r="G10" i="145"/>
  <c r="G18" i="145"/>
  <c r="D16" i="145"/>
  <c r="F5" i="145"/>
  <c r="F13" i="145"/>
  <c r="F21" i="145"/>
  <c r="E15" i="145"/>
  <c r="G7" i="145"/>
  <c r="G15" i="145"/>
  <c r="G23" i="145"/>
  <c r="D18" i="145"/>
  <c r="F6" i="145"/>
  <c r="F14" i="145"/>
  <c r="F22" i="145"/>
  <c r="D6" i="145"/>
  <c r="D13" i="145"/>
  <c r="E5" i="145"/>
  <c r="E9" i="145"/>
  <c r="E13" i="145"/>
  <c r="E17" i="145"/>
  <c r="E21" i="145"/>
  <c r="G5" i="145"/>
  <c r="G9" i="145"/>
  <c r="G13" i="145"/>
  <c r="G17" i="145"/>
  <c r="G21" i="145"/>
  <c r="D8" i="145"/>
  <c r="D15" i="145"/>
  <c r="D20" i="145"/>
  <c r="F4" i="145"/>
  <c r="F8" i="145"/>
  <c r="F12" i="145"/>
  <c r="F16" i="145"/>
  <c r="F20" i="145"/>
  <c r="D7" i="145"/>
  <c r="D17" i="145"/>
  <c r="E10" i="145"/>
  <c r="E14" i="145"/>
  <c r="E18" i="145"/>
  <c r="E22" i="145"/>
  <c r="G6" i="145"/>
  <c r="G14" i="145"/>
  <c r="G22" i="145"/>
  <c r="D10" i="145"/>
  <c r="D21" i="145"/>
  <c r="F9" i="145"/>
  <c r="F17" i="145"/>
  <c r="D9" i="145"/>
  <c r="E7" i="145"/>
  <c r="E11" i="145"/>
  <c r="E19" i="145"/>
  <c r="E23" i="145"/>
  <c r="G11" i="145"/>
  <c r="G19" i="145"/>
  <c r="D12" i="145"/>
  <c r="D22" i="145"/>
  <c r="F10" i="145"/>
  <c r="F18" i="145"/>
  <c r="J24" i="144"/>
  <c r="D6" i="118"/>
  <c r="C21" i="140"/>
  <c r="C19" i="140"/>
  <c r="D4" i="145"/>
  <c r="F28" i="145"/>
  <c r="G29" i="145"/>
  <c r="F27" i="145"/>
  <c r="E28" i="145"/>
  <c r="F26" i="145"/>
  <c r="G27" i="145"/>
  <c r="G26" i="145"/>
  <c r="E29" i="145"/>
  <c r="G28" i="145"/>
  <c r="E27" i="145"/>
  <c r="E26" i="145"/>
  <c r="D26" i="145"/>
  <c r="H26" i="145"/>
  <c r="E110" i="144"/>
  <c r="D29" i="145"/>
  <c r="D28" i="145"/>
  <c r="F29" i="145"/>
  <c r="D27" i="145"/>
  <c r="H27" i="145"/>
  <c r="E111" i="144"/>
  <c r="B57" i="145"/>
  <c r="E75" i="145"/>
  <c r="B33" i="145"/>
  <c r="E44" i="145"/>
  <c r="N15" i="143"/>
  <c r="C22" i="140"/>
  <c r="C24" i="140"/>
  <c r="L20" i="145"/>
  <c r="M21" i="141"/>
  <c r="I21" i="141"/>
  <c r="I12" i="141"/>
  <c r="L11" i="145"/>
  <c r="M12" i="141"/>
  <c r="K20" i="141"/>
  <c r="N19" i="145"/>
  <c r="O20" i="141"/>
  <c r="I16" i="141"/>
  <c r="L15" i="145"/>
  <c r="M16" i="141"/>
  <c r="O15" i="145"/>
  <c r="P16" i="141"/>
  <c r="L16" i="141"/>
  <c r="I9" i="141"/>
  <c r="L8" i="145"/>
  <c r="M9" i="141"/>
  <c r="J5" i="141"/>
  <c r="M4" i="145"/>
  <c r="N5" i="141"/>
  <c r="K10" i="141"/>
  <c r="N9" i="145"/>
  <c r="O10" i="141"/>
  <c r="L15" i="141"/>
  <c r="O14" i="145"/>
  <c r="P15" i="141"/>
  <c r="J21" i="141"/>
  <c r="M20" i="145"/>
  <c r="N21" i="141"/>
  <c r="J6" i="141"/>
  <c r="M5" i="145"/>
  <c r="N6" i="141"/>
  <c r="L5" i="145"/>
  <c r="M6" i="141"/>
  <c r="I6" i="141"/>
  <c r="L21" i="145"/>
  <c r="M22" i="141"/>
  <c r="I22" i="141"/>
  <c r="N8" i="145"/>
  <c r="O9" i="141"/>
  <c r="K9" i="141"/>
  <c r="L14" i="141"/>
  <c r="O13" i="145"/>
  <c r="P14" i="141"/>
  <c r="J20" i="141"/>
  <c r="M19" i="145"/>
  <c r="N20" i="141"/>
  <c r="I20" i="141"/>
  <c r="L19" i="145"/>
  <c r="M20" i="141"/>
  <c r="J18" i="141"/>
  <c r="M17" i="145"/>
  <c r="L10" i="145"/>
  <c r="M11" i="141"/>
  <c r="I11" i="141"/>
  <c r="L5" i="141"/>
  <c r="O4" i="145"/>
  <c r="P5" i="141"/>
  <c r="M10" i="145"/>
  <c r="J11" i="141"/>
  <c r="N15" i="145"/>
  <c r="O16" i="141"/>
  <c r="K16" i="141"/>
  <c r="O20" i="145"/>
  <c r="P21" i="141"/>
  <c r="L21" i="141"/>
  <c r="L4" i="145"/>
  <c r="M5" i="141"/>
  <c r="I5" i="141"/>
  <c r="N13" i="145"/>
  <c r="O14" i="141"/>
  <c r="K14" i="141"/>
  <c r="J22" i="141"/>
  <c r="M21" i="145"/>
  <c r="N22" i="141"/>
  <c r="M7" i="145"/>
  <c r="N8" i="141"/>
  <c r="J8" i="141"/>
  <c r="O17" i="145"/>
  <c r="P18" i="141"/>
  <c r="L18" i="141"/>
  <c r="K15" i="141"/>
  <c r="N14" i="145"/>
  <c r="O15" i="141"/>
  <c r="L22" i="145"/>
  <c r="M23" i="141"/>
  <c r="I23" i="141"/>
  <c r="L9" i="141"/>
  <c r="O8" i="145"/>
  <c r="P9" i="141"/>
  <c r="I24" i="141"/>
  <c r="L23" i="145"/>
  <c r="M24" i="141"/>
  <c r="O19" i="145"/>
  <c r="P20" i="141"/>
  <c r="L20" i="141"/>
  <c r="L12" i="145"/>
  <c r="M13" i="141"/>
  <c r="I13" i="141"/>
  <c r="N5" i="145"/>
  <c r="O6" i="141"/>
  <c r="K6" i="141"/>
  <c r="O10" i="145"/>
  <c r="P11" i="141"/>
  <c r="L11" i="141"/>
  <c r="M16" i="145"/>
  <c r="N17" i="141"/>
  <c r="J17" i="141"/>
  <c r="K22" i="141"/>
  <c r="N21" i="145"/>
  <c r="O22" i="141"/>
  <c r="M9" i="145"/>
  <c r="N10" i="141"/>
  <c r="J10" i="141"/>
  <c r="L9" i="145"/>
  <c r="M10" i="141"/>
  <c r="I10" i="141"/>
  <c r="K5" i="141"/>
  <c r="N4" i="145"/>
  <c r="O5" i="141"/>
  <c r="L10" i="141"/>
  <c r="O9" i="145"/>
  <c r="P10" i="141"/>
  <c r="M15" i="145"/>
  <c r="N16" i="141"/>
  <c r="J16" i="141"/>
  <c r="K21" i="141"/>
  <c r="N20" i="145"/>
  <c r="O21" i="141"/>
  <c r="K7" i="141"/>
  <c r="N6" i="145"/>
  <c r="O7" i="141"/>
  <c r="N18" i="145"/>
  <c r="O19" i="141"/>
  <c r="K19" i="141"/>
  <c r="I15" i="141"/>
  <c r="L14" i="145"/>
  <c r="M15" i="141"/>
  <c r="J7" i="141"/>
  <c r="M6" i="145"/>
  <c r="N7" i="141"/>
  <c r="K12" i="141"/>
  <c r="N11" i="145"/>
  <c r="O12" i="141"/>
  <c r="L17" i="141"/>
  <c r="O16" i="145"/>
  <c r="P17" i="141"/>
  <c r="J23" i="141"/>
  <c r="M22" i="145"/>
  <c r="N23" i="141"/>
  <c r="I8" i="141"/>
  <c r="L7" i="145"/>
  <c r="M8" i="141"/>
  <c r="L12" i="141"/>
  <c r="O11" i="145"/>
  <c r="P12" i="141"/>
  <c r="M8" i="145"/>
  <c r="N9" i="141"/>
  <c r="J9" i="141"/>
  <c r="O18" i="145"/>
  <c r="P19" i="141"/>
  <c r="L19" i="141"/>
  <c r="L17" i="145"/>
  <c r="M18" i="141"/>
  <c r="I18" i="141"/>
  <c r="N12" i="145"/>
  <c r="O13" i="141"/>
  <c r="K13" i="141"/>
  <c r="J24" i="141"/>
  <c r="M23" i="145"/>
  <c r="N24" i="141"/>
  <c r="L6" i="145"/>
  <c r="M7" i="141"/>
  <c r="I7" i="141"/>
  <c r="M14" i="145"/>
  <c r="N15" i="141"/>
  <c r="J15" i="141"/>
  <c r="O7" i="145"/>
  <c r="P8" i="141"/>
  <c r="L8" i="141"/>
  <c r="O23" i="145"/>
  <c r="P24" i="141"/>
  <c r="L24" i="141"/>
  <c r="L16" i="145"/>
  <c r="M17" i="141"/>
  <c r="I17" i="141"/>
  <c r="O6" i="145"/>
  <c r="P7" i="141"/>
  <c r="L7" i="141"/>
  <c r="M12" i="145"/>
  <c r="N13" i="141"/>
  <c r="J13" i="141"/>
  <c r="N17" i="145"/>
  <c r="O18" i="141"/>
  <c r="K18" i="141"/>
  <c r="O22" i="145"/>
  <c r="P23" i="141"/>
  <c r="L23" i="141"/>
  <c r="M13" i="145"/>
  <c r="N14" i="141"/>
  <c r="J14" i="141"/>
  <c r="I14" i="141"/>
  <c r="L13" i="145"/>
  <c r="M14" i="141"/>
  <c r="O5" i="145"/>
  <c r="P6" i="141"/>
  <c r="L6" i="141"/>
  <c r="M11" i="145"/>
  <c r="N12" i="141"/>
  <c r="J12" i="141"/>
  <c r="N16" i="145"/>
  <c r="O17" i="141"/>
  <c r="K17" i="141"/>
  <c r="O21" i="145"/>
  <c r="P22" i="141"/>
  <c r="L22" i="141"/>
  <c r="N10" i="145"/>
  <c r="O11" i="141"/>
  <c r="K11" i="141"/>
  <c r="K23" i="141"/>
  <c r="N22" i="145"/>
  <c r="O23" i="141"/>
  <c r="I19" i="141"/>
  <c r="L18" i="145"/>
  <c r="M19" i="141"/>
  <c r="K8" i="141"/>
  <c r="N7" i="145"/>
  <c r="O8" i="141"/>
  <c r="L13" i="141"/>
  <c r="O12" i="145"/>
  <c r="P13" i="141"/>
  <c r="J19" i="141"/>
  <c r="M18" i="145"/>
  <c r="N19" i="141"/>
  <c r="K24" i="141"/>
  <c r="N23" i="145"/>
  <c r="O24" i="141"/>
  <c r="H18" i="145"/>
  <c r="H15" i="145"/>
  <c r="E24" i="145"/>
  <c r="H14" i="145"/>
  <c r="G24" i="145"/>
  <c r="H5" i="145"/>
  <c r="F24" i="145"/>
  <c r="H20" i="145"/>
  <c r="H8" i="145"/>
  <c r="H19" i="145"/>
  <c r="H6" i="145"/>
  <c r="H17" i="145"/>
  <c r="H11" i="145"/>
  <c r="H23" i="145"/>
  <c r="H16" i="145"/>
  <c r="H22" i="145"/>
  <c r="H7" i="145"/>
  <c r="H21" i="145"/>
  <c r="H10" i="145"/>
  <c r="H9" i="145"/>
  <c r="H13" i="145"/>
  <c r="H12" i="145"/>
  <c r="N11" i="141"/>
  <c r="N18" i="141"/>
  <c r="F50" i="145"/>
  <c r="O21" i="143"/>
  <c r="E47" i="145"/>
  <c r="N18" i="143"/>
  <c r="G74" i="145"/>
  <c r="L21" i="142"/>
  <c r="F58" i="145"/>
  <c r="O5" i="142"/>
  <c r="G61" i="145"/>
  <c r="P8" i="142"/>
  <c r="F71" i="145"/>
  <c r="K18" i="142"/>
  <c r="E66" i="145"/>
  <c r="N13" i="142"/>
  <c r="G64" i="145"/>
  <c r="L11" i="142"/>
  <c r="F66" i="145"/>
  <c r="K13" i="142"/>
  <c r="G43" i="145"/>
  <c r="P14" i="143"/>
  <c r="D39" i="145"/>
  <c r="M10" i="143"/>
  <c r="E60" i="145"/>
  <c r="N7" i="142"/>
  <c r="F69" i="145"/>
  <c r="K16" i="142"/>
  <c r="G59" i="145"/>
  <c r="P6" i="142"/>
  <c r="F76" i="145"/>
  <c r="K23" i="142"/>
  <c r="D76" i="145"/>
  <c r="I23" i="142"/>
  <c r="D58" i="145"/>
  <c r="I5" i="142"/>
  <c r="D66" i="145"/>
  <c r="M13" i="142"/>
  <c r="D62" i="145"/>
  <c r="M9" i="142"/>
  <c r="D41" i="145"/>
  <c r="I12" i="143"/>
  <c r="G36" i="145"/>
  <c r="P7" i="143"/>
  <c r="F36" i="145"/>
  <c r="O7" i="143"/>
  <c r="H28" i="145"/>
  <c r="E112" i="144"/>
  <c r="H29" i="145"/>
  <c r="E113" i="144"/>
  <c r="G37" i="145"/>
  <c r="L8" i="143"/>
  <c r="E39" i="145"/>
  <c r="N10" i="143"/>
  <c r="E46" i="145"/>
  <c r="J17" i="143"/>
  <c r="E52" i="145"/>
  <c r="J23" i="143"/>
  <c r="D35" i="145"/>
  <c r="I6" i="143"/>
  <c r="G46" i="145"/>
  <c r="P17" i="143"/>
  <c r="F49" i="145"/>
  <c r="O20" i="143"/>
  <c r="F73" i="145"/>
  <c r="K20" i="142"/>
  <c r="D48" i="145"/>
  <c r="M19" i="143"/>
  <c r="E37" i="145"/>
  <c r="N8" i="143"/>
  <c r="G63" i="145"/>
  <c r="P10" i="142"/>
  <c r="D52" i="145"/>
  <c r="M23" i="143"/>
  <c r="D72" i="145"/>
  <c r="F43" i="145"/>
  <c r="O14" i="143"/>
  <c r="D61" i="145"/>
  <c r="G38" i="145"/>
  <c r="P9" i="143"/>
  <c r="E74" i="145"/>
  <c r="J21" i="142"/>
  <c r="E48" i="145"/>
  <c r="J19" i="143"/>
  <c r="D59" i="145"/>
  <c r="G75" i="145"/>
  <c r="L22" i="142"/>
  <c r="E41" i="145"/>
  <c r="N12" i="143"/>
  <c r="G71" i="145"/>
  <c r="L18" i="142"/>
  <c r="G44" i="145"/>
  <c r="L15" i="143"/>
  <c r="E64" i="145"/>
  <c r="J11" i="142"/>
  <c r="G51" i="145"/>
  <c r="P22" i="143"/>
  <c r="G48" i="145"/>
  <c r="P19" i="143"/>
  <c r="G60" i="145"/>
  <c r="P7" i="142"/>
  <c r="D53" i="145"/>
  <c r="M24" i="143"/>
  <c r="D75" i="145"/>
  <c r="E35" i="145"/>
  <c r="J6" i="143"/>
  <c r="F60" i="145"/>
  <c r="O7" i="142"/>
  <c r="G62" i="145"/>
  <c r="P9" i="142"/>
  <c r="E38" i="145"/>
  <c r="N9" i="143"/>
  <c r="D45" i="145"/>
  <c r="M16" i="143"/>
  <c r="F34" i="145"/>
  <c r="D37" i="145"/>
  <c r="I8" i="143"/>
  <c r="E45" i="145"/>
  <c r="G49" i="145"/>
  <c r="P20" i="143"/>
  <c r="E51" i="145"/>
  <c r="N22" i="143"/>
  <c r="G41" i="145"/>
  <c r="P12" i="143"/>
  <c r="E36" i="145"/>
  <c r="N7" i="143"/>
  <c r="F51" i="145"/>
  <c r="O22" i="143"/>
  <c r="D43" i="145"/>
  <c r="M14" i="143"/>
  <c r="F44" i="145"/>
  <c r="O15" i="143"/>
  <c r="D36" i="145"/>
  <c r="M7" i="143"/>
  <c r="F39" i="145"/>
  <c r="K10" i="143"/>
  <c r="D47" i="145"/>
  <c r="I18" i="143"/>
  <c r="F40" i="145"/>
  <c r="K11" i="143"/>
  <c r="G52" i="145"/>
  <c r="P23" i="143"/>
  <c r="E42" i="145"/>
  <c r="N13" i="143"/>
  <c r="E50" i="145"/>
  <c r="J21" i="143"/>
  <c r="G45" i="145"/>
  <c r="P16" i="143"/>
  <c r="F53" i="145"/>
  <c r="O24" i="143"/>
  <c r="F42" i="145"/>
  <c r="O13" i="143"/>
  <c r="F45" i="145"/>
  <c r="K16" i="143"/>
  <c r="D46" i="145"/>
  <c r="M17" i="143"/>
  <c r="F37" i="145"/>
  <c r="O8" i="143"/>
  <c r="D38" i="145"/>
  <c r="M9" i="143"/>
  <c r="E34" i="145"/>
  <c r="N5" i="143"/>
  <c r="G50" i="145"/>
  <c r="L21" i="143"/>
  <c r="E49" i="145"/>
  <c r="N20" i="143"/>
  <c r="G39" i="145"/>
  <c r="P10" i="143"/>
  <c r="D51" i="145"/>
  <c r="M22" i="143"/>
  <c r="E40" i="145"/>
  <c r="N11" i="143"/>
  <c r="F52" i="145"/>
  <c r="O23" i="143"/>
  <c r="D44" i="145"/>
  <c r="M15" i="143"/>
  <c r="F47" i="145"/>
  <c r="O18" i="143"/>
  <c r="E43" i="145"/>
  <c r="J14" i="143"/>
  <c r="F48" i="145"/>
  <c r="K19" i="143"/>
  <c r="D40" i="145"/>
  <c r="I11" i="143"/>
  <c r="G35" i="145"/>
  <c r="L6" i="143"/>
  <c r="F41" i="145"/>
  <c r="O12" i="143"/>
  <c r="G53" i="145"/>
  <c r="P24" i="143"/>
  <c r="G42" i="145"/>
  <c r="P13" i="143"/>
  <c r="D34" i="145"/>
  <c r="G34" i="145"/>
  <c r="L5" i="143"/>
  <c r="F46" i="145"/>
  <c r="K17" i="143"/>
  <c r="D50" i="145"/>
  <c r="M21" i="143"/>
  <c r="F38" i="145"/>
  <c r="O9" i="143"/>
  <c r="D42" i="145"/>
  <c r="M13" i="143"/>
  <c r="F35" i="145"/>
  <c r="K6" i="143"/>
  <c r="G47" i="145"/>
  <c r="P18" i="143"/>
  <c r="E53" i="145"/>
  <c r="N24" i="143"/>
  <c r="G40" i="145"/>
  <c r="P11" i="143"/>
  <c r="D65" i="145"/>
  <c r="F65" i="145"/>
  <c r="O12" i="142"/>
  <c r="D60" i="145"/>
  <c r="F68" i="145"/>
  <c r="O15" i="142"/>
  <c r="D64" i="145"/>
  <c r="I11" i="142"/>
  <c r="F74" i="145"/>
  <c r="O21" i="142"/>
  <c r="E62" i="145"/>
  <c r="F59" i="145"/>
  <c r="O6" i="142"/>
  <c r="D67" i="145"/>
  <c r="D77" i="145"/>
  <c r="E65" i="145"/>
  <c r="J12" i="142"/>
  <c r="F70" i="145"/>
  <c r="O17" i="142"/>
  <c r="G70" i="145"/>
  <c r="L17" i="142"/>
  <c r="G77" i="145"/>
  <c r="L24" i="142"/>
  <c r="D70" i="145"/>
  <c r="E72" i="145"/>
  <c r="J19" i="142"/>
  <c r="G72" i="145"/>
  <c r="L19" i="142"/>
  <c r="E76" i="145"/>
  <c r="N23" i="142"/>
  <c r="G68" i="145"/>
  <c r="P15" i="142"/>
  <c r="E67" i="145"/>
  <c r="J14" i="142"/>
  <c r="E73" i="145"/>
  <c r="J20" i="142"/>
  <c r="G73" i="145"/>
  <c r="F61" i="145"/>
  <c r="O8" i="142"/>
  <c r="E71" i="145"/>
  <c r="G58" i="145"/>
  <c r="L5" i="142"/>
  <c r="F77" i="145"/>
  <c r="K24" i="142"/>
  <c r="D71" i="145"/>
  <c r="P14" i="145"/>
  <c r="Q15" i="141"/>
  <c r="P18" i="145"/>
  <c r="Q19" i="141"/>
  <c r="D49" i="145"/>
  <c r="D69" i="145"/>
  <c r="F72" i="145"/>
  <c r="E63" i="145"/>
  <c r="N10" i="142"/>
  <c r="G69" i="145"/>
  <c r="P16" i="142"/>
  <c r="E77" i="145"/>
  <c r="J24" i="142"/>
  <c r="D68" i="145"/>
  <c r="D74" i="145"/>
  <c r="E68" i="145"/>
  <c r="N15" i="142"/>
  <c r="G76" i="145"/>
  <c r="P23" i="142"/>
  <c r="E69" i="145"/>
  <c r="J16" i="142"/>
  <c r="F67" i="145"/>
  <c r="O14" i="142"/>
  <c r="F62" i="145"/>
  <c r="O9" i="142"/>
  <c r="G67" i="145"/>
  <c r="P14" i="142"/>
  <c r="G66" i="145"/>
  <c r="P13" i="142"/>
  <c r="E59" i="145"/>
  <c r="F64" i="145"/>
  <c r="K11" i="142"/>
  <c r="F63" i="145"/>
  <c r="O10" i="142"/>
  <c r="E61" i="145"/>
  <c r="N8" i="142"/>
  <c r="F75" i="145"/>
  <c r="D63" i="145"/>
  <c r="G65" i="145"/>
  <c r="P12" i="142"/>
  <c r="E58" i="145"/>
  <c r="N5" i="142"/>
  <c r="J22" i="142"/>
  <c r="N22" i="142"/>
  <c r="J15" i="143"/>
  <c r="D73" i="145"/>
  <c r="E70" i="145"/>
  <c r="K21" i="143"/>
  <c r="K28" i="141"/>
  <c r="D118" i="139"/>
  <c r="P28" i="141"/>
  <c r="E122" i="139"/>
  <c r="M27" i="141"/>
  <c r="P22" i="145"/>
  <c r="Q23" i="141"/>
  <c r="P9" i="145"/>
  <c r="Q10" i="141"/>
  <c r="P17" i="145"/>
  <c r="Q18" i="141"/>
  <c r="P8" i="145"/>
  <c r="Q9" i="141"/>
  <c r="P21" i="145"/>
  <c r="Q22" i="141"/>
  <c r="P12" i="145"/>
  <c r="Q13" i="141"/>
  <c r="P23" i="145"/>
  <c r="Q24" i="141"/>
  <c r="M26" i="141"/>
  <c r="L28" i="141"/>
  <c r="D122" i="139"/>
  <c r="I27" i="141"/>
  <c r="D109" i="139"/>
  <c r="K25" i="141"/>
  <c r="D115" i="139"/>
  <c r="P16" i="145"/>
  <c r="Q17" i="141"/>
  <c r="P11" i="145"/>
  <c r="Q12" i="141"/>
  <c r="L26" i="141"/>
  <c r="D120" i="139"/>
  <c r="K26" i="141"/>
  <c r="D116" i="139"/>
  <c r="L27" i="141"/>
  <c r="D121" i="139"/>
  <c r="P26" i="141"/>
  <c r="E120" i="139"/>
  <c r="I25" i="141"/>
  <c r="D107" i="139"/>
  <c r="P25" i="141"/>
  <c r="E119" i="139"/>
  <c r="I26" i="141"/>
  <c r="D108" i="139"/>
  <c r="O26" i="141"/>
  <c r="E116" i="139"/>
  <c r="M28" i="141"/>
  <c r="P13" i="145"/>
  <c r="Q14" i="141"/>
  <c r="P10" i="145"/>
  <c r="Q11" i="141"/>
  <c r="P19" i="145"/>
  <c r="Q20" i="141"/>
  <c r="P20" i="145"/>
  <c r="Q21" i="141"/>
  <c r="P15" i="145"/>
  <c r="Q16" i="141"/>
  <c r="P27" i="141"/>
  <c r="E121" i="139"/>
  <c r="N27" i="141"/>
  <c r="E113" i="139"/>
  <c r="I28" i="141"/>
  <c r="D110" i="139"/>
  <c r="M25" i="141"/>
  <c r="O28" i="141"/>
  <c r="E118" i="139"/>
  <c r="L25" i="141"/>
  <c r="D119" i="139"/>
  <c r="O27" i="141"/>
  <c r="E117" i="139"/>
  <c r="O25" i="141"/>
  <c r="E115" i="139"/>
  <c r="J28" i="141"/>
  <c r="D114" i="139"/>
  <c r="J27" i="141"/>
  <c r="D113" i="139"/>
  <c r="N26" i="141"/>
  <c r="E112" i="139"/>
  <c r="N25" i="141"/>
  <c r="E111" i="139"/>
  <c r="K27" i="141"/>
  <c r="D117" i="139"/>
  <c r="N28" i="141"/>
  <c r="E114" i="139"/>
  <c r="J26" i="141"/>
  <c r="D112" i="139"/>
  <c r="J25" i="141"/>
  <c r="D111" i="139"/>
  <c r="P6" i="145"/>
  <c r="Q7" i="141"/>
  <c r="P7" i="145"/>
  <c r="Q8" i="141"/>
  <c r="P5" i="145"/>
  <c r="Q6" i="141"/>
  <c r="L6" i="142"/>
  <c r="J18" i="143"/>
  <c r="O18" i="142"/>
  <c r="J13" i="142"/>
  <c r="K5" i="142"/>
  <c r="P11" i="142"/>
  <c r="P21" i="142"/>
  <c r="N23" i="143"/>
  <c r="K7" i="142"/>
  <c r="L23" i="143"/>
  <c r="K21" i="142"/>
  <c r="J7" i="142"/>
  <c r="K9" i="143"/>
  <c r="M12" i="143"/>
  <c r="J24" i="143"/>
  <c r="L8" i="142"/>
  <c r="O13" i="142"/>
  <c r="O25" i="142"/>
  <c r="G115" i="139"/>
  <c r="E108" i="139"/>
  <c r="C5" i="149"/>
  <c r="E107" i="139"/>
  <c r="C4" i="149"/>
  <c r="E110" i="139"/>
  <c r="C7" i="149"/>
  <c r="E109" i="139"/>
  <c r="C6" i="149"/>
  <c r="L14" i="143"/>
  <c r="I10" i="143"/>
  <c r="O23" i="142"/>
  <c r="C25" i="140"/>
  <c r="C27" i="140"/>
  <c r="O16" i="142"/>
  <c r="E114" i="144"/>
  <c r="F114" i="144"/>
  <c r="I10" i="142"/>
  <c r="M19" i="142"/>
  <c r="M5" i="142"/>
  <c r="I21" i="142"/>
  <c r="M23" i="142"/>
  <c r="I12" i="142"/>
  <c r="I15" i="142"/>
  <c r="I18" i="142"/>
  <c r="M17" i="142"/>
  <c r="M7" i="142"/>
  <c r="M6" i="142"/>
  <c r="I8" i="142"/>
  <c r="I9" i="142"/>
  <c r="M11" i="142"/>
  <c r="M22" i="142"/>
  <c r="I13" i="142"/>
  <c r="I19" i="142"/>
  <c r="L7" i="143"/>
  <c r="I19" i="143"/>
  <c r="I15" i="143"/>
  <c r="I16" i="143"/>
  <c r="P24" i="142"/>
  <c r="J23" i="142"/>
  <c r="J10" i="143"/>
  <c r="K7" i="143"/>
  <c r="J8" i="143"/>
  <c r="I22" i="143"/>
  <c r="I13" i="143"/>
  <c r="L11" i="143"/>
  <c r="J11" i="143"/>
  <c r="I17" i="143"/>
  <c r="N6" i="143"/>
  <c r="P18" i="142"/>
  <c r="N17" i="143"/>
  <c r="L10" i="142"/>
  <c r="M8" i="143"/>
  <c r="M18" i="142"/>
  <c r="I6" i="142"/>
  <c r="P21" i="143"/>
  <c r="J12" i="143"/>
  <c r="J22" i="143"/>
  <c r="N21" i="143"/>
  <c r="I22" i="142"/>
  <c r="M18" i="143"/>
  <c r="I24" i="143"/>
  <c r="K13" i="143"/>
  <c r="O24" i="142"/>
  <c r="P6" i="143"/>
  <c r="K18" i="143"/>
  <c r="M15" i="142"/>
  <c r="J5" i="143"/>
  <c r="L17" i="143"/>
  <c r="I21" i="143"/>
  <c r="M6" i="143"/>
  <c r="O16" i="143"/>
  <c r="O28" i="143"/>
  <c r="C55" i="139"/>
  <c r="J13" i="143"/>
  <c r="I14" i="143"/>
  <c r="K14" i="143"/>
  <c r="L22" i="143"/>
  <c r="N16" i="142"/>
  <c r="P8" i="143"/>
  <c r="P15" i="143"/>
  <c r="P27" i="143"/>
  <c r="C61" i="139"/>
  <c r="L13" i="143"/>
  <c r="K24" i="143"/>
  <c r="N19" i="143"/>
  <c r="L9" i="142"/>
  <c r="N21" i="142"/>
  <c r="N11" i="142"/>
  <c r="K17" i="142"/>
  <c r="O6" i="143"/>
  <c r="O11" i="143"/>
  <c r="L12" i="143"/>
  <c r="J7" i="143"/>
  <c r="L9" i="143"/>
  <c r="K8" i="142"/>
  <c r="L16" i="143"/>
  <c r="N14" i="143"/>
  <c r="L19" i="143"/>
  <c r="I17" i="142"/>
  <c r="M8" i="142"/>
  <c r="I7" i="142"/>
  <c r="L15" i="142"/>
  <c r="K6" i="142"/>
  <c r="K15" i="143"/>
  <c r="O20" i="142"/>
  <c r="K20" i="143"/>
  <c r="N12" i="142"/>
  <c r="L7" i="142"/>
  <c r="K8" i="143"/>
  <c r="K12" i="143"/>
  <c r="K23" i="143"/>
  <c r="L24" i="143"/>
  <c r="K15" i="142"/>
  <c r="K14" i="142"/>
  <c r="J9" i="143"/>
  <c r="O19" i="143"/>
  <c r="N19" i="142"/>
  <c r="I7" i="143"/>
  <c r="J20" i="143"/>
  <c r="I23" i="143"/>
  <c r="K12" i="142"/>
  <c r="N14" i="142"/>
  <c r="O17" i="143"/>
  <c r="P5" i="143"/>
  <c r="P22" i="142"/>
  <c r="I14" i="142"/>
  <c r="M14" i="142"/>
  <c r="P19" i="142"/>
  <c r="P27" i="142"/>
  <c r="G121" i="139"/>
  <c r="N20" i="142"/>
  <c r="L20" i="143"/>
  <c r="P17" i="142"/>
  <c r="J18" i="142"/>
  <c r="N18" i="142"/>
  <c r="J16" i="143"/>
  <c r="N16" i="143"/>
  <c r="L10" i="143"/>
  <c r="P5" i="142"/>
  <c r="J9" i="142"/>
  <c r="N9" i="142"/>
  <c r="I9" i="143"/>
  <c r="L18" i="143"/>
  <c r="K22" i="143"/>
  <c r="M11" i="143"/>
  <c r="M27" i="143"/>
  <c r="M12" i="142"/>
  <c r="O10" i="143"/>
  <c r="L20" i="142"/>
  <c r="P20" i="142"/>
  <c r="I24" i="142"/>
  <c r="M24" i="142"/>
  <c r="M5" i="143"/>
  <c r="I5" i="143"/>
  <c r="O5" i="143"/>
  <c r="K5" i="143"/>
  <c r="I20" i="143"/>
  <c r="M20" i="143"/>
  <c r="L13" i="142"/>
  <c r="J5" i="142"/>
  <c r="N24" i="142"/>
  <c r="K10" i="142"/>
  <c r="L23" i="142"/>
  <c r="L12" i="142"/>
  <c r="L14" i="142"/>
  <c r="I16" i="142"/>
  <c r="M16" i="142"/>
  <c r="J8" i="142"/>
  <c r="O11" i="142"/>
  <c r="J10" i="142"/>
  <c r="K19" i="142"/>
  <c r="O19" i="142"/>
  <c r="J6" i="142"/>
  <c r="N6" i="142"/>
  <c r="M21" i="142"/>
  <c r="K9" i="142"/>
  <c r="K22" i="142"/>
  <c r="O22" i="142"/>
  <c r="M10" i="142"/>
  <c r="J15" i="142"/>
  <c r="L16" i="142"/>
  <c r="J17" i="142"/>
  <c r="N17" i="142"/>
  <c r="M20" i="142"/>
  <c r="I20" i="142"/>
  <c r="G112" i="144"/>
  <c r="G113" i="144"/>
  <c r="G111" i="144"/>
  <c r="G110" i="144"/>
  <c r="D127" i="139"/>
  <c r="D131" i="139"/>
  <c r="Q26" i="141"/>
  <c r="Q28" i="141"/>
  <c r="Q27" i="141"/>
  <c r="D15" i="149"/>
  <c r="C40" i="139"/>
  <c r="K25" i="142"/>
  <c r="F115" i="139"/>
  <c r="I28" i="143"/>
  <c r="P25" i="142"/>
  <c r="D36" i="149"/>
  <c r="D22" i="149"/>
  <c r="G36" i="149"/>
  <c r="G34" i="149"/>
  <c r="D34" i="149"/>
  <c r="D20" i="149"/>
  <c r="J26" i="142"/>
  <c r="F112" i="139"/>
  <c r="O27" i="142"/>
  <c r="G117" i="139"/>
  <c r="L25" i="143"/>
  <c r="J119" i="139"/>
  <c r="L25" i="142"/>
  <c r="F119" i="139"/>
  <c r="G37" i="149"/>
  <c r="D37" i="149"/>
  <c r="D23" i="149"/>
  <c r="D35" i="149"/>
  <c r="D21" i="149"/>
  <c r="G35" i="149"/>
  <c r="N27" i="142"/>
  <c r="G113" i="139"/>
  <c r="P26" i="142"/>
  <c r="G120" i="139"/>
  <c r="I25" i="142"/>
  <c r="F107" i="139"/>
  <c r="L26" i="142"/>
  <c r="F120" i="139"/>
  <c r="L28" i="142"/>
  <c r="F122" i="139"/>
  <c r="J25" i="142"/>
  <c r="F111" i="139"/>
  <c r="K27" i="142"/>
  <c r="F117" i="139"/>
  <c r="K28" i="143"/>
  <c r="J118" i="139"/>
  <c r="O28" i="142"/>
  <c r="G118" i="139"/>
  <c r="I26" i="142"/>
  <c r="F108" i="139"/>
  <c r="L27" i="143"/>
  <c r="J121" i="139"/>
  <c r="N25" i="142"/>
  <c r="G111" i="139"/>
  <c r="N28" i="142"/>
  <c r="G114" i="139"/>
  <c r="M27" i="142"/>
  <c r="D6" i="149"/>
  <c r="N26" i="142"/>
  <c r="G112" i="139"/>
  <c r="L26" i="143"/>
  <c r="J120" i="139"/>
  <c r="L27" i="142"/>
  <c r="F121" i="139"/>
  <c r="M28" i="142"/>
  <c r="D7" i="149"/>
  <c r="L28" i="143"/>
  <c r="J122" i="139"/>
  <c r="O26" i="142"/>
  <c r="G116" i="139"/>
  <c r="I25" i="143"/>
  <c r="K26" i="142"/>
  <c r="F116" i="139"/>
  <c r="K28" i="142"/>
  <c r="F118" i="139"/>
  <c r="O27" i="143"/>
  <c r="C54" i="139"/>
  <c r="J26" i="143"/>
  <c r="J112" i="139"/>
  <c r="I28" i="142"/>
  <c r="F110" i="139"/>
  <c r="I27" i="142"/>
  <c r="F109" i="139"/>
  <c r="J28" i="142"/>
  <c r="F114" i="139"/>
  <c r="K26" i="143"/>
  <c r="J116" i="139"/>
  <c r="M26" i="142"/>
  <c r="D5" i="149"/>
  <c r="M25" i="142"/>
  <c r="J27" i="142"/>
  <c r="F113" i="139"/>
  <c r="P28" i="142"/>
  <c r="G122" i="139"/>
  <c r="J27" i="143"/>
  <c r="J113" i="139"/>
  <c r="P28" i="143"/>
  <c r="J28" i="143"/>
  <c r="J114" i="139"/>
  <c r="O25" i="143"/>
  <c r="P25" i="143"/>
  <c r="K27" i="143"/>
  <c r="J117" i="139"/>
  <c r="N25" i="143"/>
  <c r="C45" i="139"/>
  <c r="K109" i="139"/>
  <c r="C80" i="139"/>
  <c r="M28" i="143"/>
  <c r="C41" i="139"/>
  <c r="I26" i="143"/>
  <c r="J108" i="139"/>
  <c r="K25" i="143"/>
  <c r="J115" i="139"/>
  <c r="K118" i="139"/>
  <c r="C95" i="139"/>
  <c r="J25" i="143"/>
  <c r="J111" i="139"/>
  <c r="P26" i="143"/>
  <c r="N26" i="143"/>
  <c r="C46" i="139"/>
  <c r="M25" i="143"/>
  <c r="C38" i="139"/>
  <c r="I27" i="143"/>
  <c r="J109" i="139"/>
  <c r="O26" i="143"/>
  <c r="K121" i="139"/>
  <c r="C101" i="139"/>
  <c r="M26" i="143"/>
  <c r="C39" i="139"/>
  <c r="N28" i="143"/>
  <c r="C48" i="139"/>
  <c r="N27" i="143"/>
  <c r="C47" i="139"/>
  <c r="K117" i="139"/>
  <c r="C94" i="139"/>
  <c r="J110" i="139"/>
  <c r="G119" i="139"/>
  <c r="G114" i="144"/>
  <c r="C34" i="139"/>
  <c r="E126" i="139"/>
  <c r="C32" i="139"/>
  <c r="E124" i="139"/>
  <c r="C33" i="139"/>
  <c r="E125" i="139"/>
  <c r="K119" i="139"/>
  <c r="C99" i="139"/>
  <c r="C59" i="139"/>
  <c r="K115" i="139"/>
  <c r="C92" i="139"/>
  <c r="C52" i="139"/>
  <c r="C49" i="139"/>
  <c r="C42" i="139"/>
  <c r="K116" i="139"/>
  <c r="C93" i="139"/>
  <c r="C53" i="139"/>
  <c r="K120" i="139"/>
  <c r="C100" i="139"/>
  <c r="C60" i="139"/>
  <c r="K122" i="139"/>
  <c r="C102" i="139"/>
  <c r="C62" i="139"/>
  <c r="I121" i="139"/>
  <c r="J107" i="139"/>
  <c r="J127" i="139"/>
  <c r="J131" i="139"/>
  <c r="K113" i="139"/>
  <c r="C87" i="139"/>
  <c r="H120" i="139"/>
  <c r="G110" i="139"/>
  <c r="G109" i="139"/>
  <c r="I109" i="139"/>
  <c r="K114" i="139"/>
  <c r="C88" i="139"/>
  <c r="G108" i="139"/>
  <c r="K111" i="139"/>
  <c r="C85" i="139"/>
  <c r="H109" i="139"/>
  <c r="K110" i="139"/>
  <c r="C81" i="139"/>
  <c r="D16" i="149"/>
  <c r="D24" i="149"/>
  <c r="K108" i="139"/>
  <c r="C79" i="139"/>
  <c r="D14" i="149"/>
  <c r="K107" i="139"/>
  <c r="C78" i="139"/>
  <c r="D13" i="149"/>
  <c r="D26" i="149"/>
  <c r="D25" i="149"/>
  <c r="G107" i="139"/>
  <c r="D4" i="149"/>
  <c r="D8" i="149"/>
  <c r="I122" i="139"/>
  <c r="H121" i="139"/>
  <c r="K112" i="139"/>
  <c r="C86" i="139"/>
  <c r="H113" i="139"/>
  <c r="H114" i="139"/>
  <c r="I116" i="139"/>
  <c r="I118" i="139"/>
  <c r="H117" i="139"/>
  <c r="H115" i="139"/>
  <c r="I117" i="139"/>
  <c r="H108" i="139"/>
  <c r="I119" i="139"/>
  <c r="I120" i="139"/>
  <c r="H110" i="139"/>
  <c r="H118" i="139"/>
  <c r="H112" i="139"/>
  <c r="H122" i="139"/>
  <c r="H111" i="139"/>
  <c r="H116" i="139"/>
  <c r="H119" i="139"/>
  <c r="F127" i="139"/>
  <c r="F131" i="139"/>
  <c r="I115" i="139"/>
  <c r="C56" i="139"/>
  <c r="C63" i="139"/>
  <c r="A41" i="139"/>
  <c r="I113" i="139"/>
  <c r="I110" i="139"/>
  <c r="A40" i="139"/>
  <c r="A38" i="139"/>
  <c r="H107" i="139"/>
  <c r="H127" i="139"/>
  <c r="A39" i="139"/>
  <c r="I107" i="139"/>
  <c r="I114" i="139"/>
  <c r="I108" i="139"/>
  <c r="I111" i="139"/>
  <c r="F35" i="149"/>
  <c r="H35" i="149"/>
  <c r="F37" i="149"/>
  <c r="H37" i="149"/>
  <c r="F34" i="149"/>
  <c r="H34" i="149"/>
  <c r="F36" i="149"/>
  <c r="H36" i="149"/>
  <c r="D17" i="149"/>
  <c r="I112" i="139"/>
  <c r="H131" i="139"/>
  <c r="C7" i="136"/>
  <c r="D7" i="136"/>
  <c r="B7" i="136"/>
  <c r="D6" i="136"/>
  <c r="C6" i="136"/>
  <c r="B6" i="136"/>
  <c r="D5" i="136"/>
  <c r="C5" i="136"/>
  <c r="B5" i="136"/>
  <c r="B2" i="137"/>
  <c r="M2" i="137"/>
  <c r="D12" i="121"/>
  <c r="D11" i="118"/>
  <c r="B35" i="122"/>
  <c r="D35" i="122"/>
  <c r="B34" i="122"/>
  <c r="D34" i="122"/>
  <c r="B33" i="122"/>
  <c r="D33" i="122"/>
  <c r="B32" i="122"/>
  <c r="D32" i="122"/>
  <c r="B29" i="122"/>
  <c r="D29" i="122"/>
  <c r="B31" i="122"/>
  <c r="D31" i="122"/>
  <c r="B30" i="122"/>
  <c r="D30" i="122"/>
  <c r="B28" i="122"/>
  <c r="D28" i="122"/>
  <c r="B26" i="122"/>
  <c r="D26" i="122"/>
  <c r="B25" i="122"/>
  <c r="D25" i="122"/>
  <c r="B13" i="122"/>
  <c r="D13" i="122"/>
  <c r="B24" i="122"/>
  <c r="D24" i="122"/>
  <c r="B23" i="122"/>
  <c r="D23" i="122"/>
  <c r="B22" i="122"/>
  <c r="D22" i="122"/>
  <c r="B21" i="122"/>
  <c r="D21" i="122"/>
  <c r="H8" i="119"/>
  <c r="AF33" i="134"/>
  <c r="AK33" i="134"/>
  <c r="AE33" i="134"/>
  <c r="AJ33" i="134"/>
  <c r="AD33" i="134"/>
  <c r="AI33" i="134"/>
  <c r="AC33" i="134"/>
  <c r="AH33" i="134"/>
  <c r="AF32" i="134"/>
  <c r="AK32" i="134"/>
  <c r="AE32" i="134"/>
  <c r="AJ32" i="134"/>
  <c r="AD32" i="134"/>
  <c r="AI32" i="134"/>
  <c r="AC32" i="134"/>
  <c r="AH32" i="134"/>
  <c r="AF31" i="134"/>
  <c r="AK31" i="134"/>
  <c r="AE31" i="134"/>
  <c r="AJ31" i="134"/>
  <c r="AD31" i="134"/>
  <c r="AI31" i="134"/>
  <c r="AC31" i="134"/>
  <c r="AH31" i="134"/>
  <c r="AF30" i="134"/>
  <c r="AK30" i="134"/>
  <c r="AE30" i="134"/>
  <c r="AJ30" i="134"/>
  <c r="AD30" i="134"/>
  <c r="AI30" i="134"/>
  <c r="AC30" i="134"/>
  <c r="AH30" i="134"/>
  <c r="AF29" i="134"/>
  <c r="AK29" i="134"/>
  <c r="AE29" i="134"/>
  <c r="AJ29" i="134"/>
  <c r="AD29" i="134"/>
  <c r="AI29" i="134"/>
  <c r="AC29" i="134"/>
  <c r="AH29" i="134"/>
  <c r="AF28" i="134"/>
  <c r="AK28" i="134"/>
  <c r="AE28" i="134"/>
  <c r="AJ28" i="134"/>
  <c r="AD28" i="134"/>
  <c r="AI28" i="134"/>
  <c r="AC28" i="134"/>
  <c r="AH28" i="134"/>
  <c r="AF27" i="134"/>
  <c r="AK27" i="134"/>
  <c r="AE27" i="134"/>
  <c r="AJ27" i="134"/>
  <c r="AD27" i="134"/>
  <c r="AI27" i="134"/>
  <c r="AC27" i="134"/>
  <c r="AH27" i="134"/>
  <c r="AF26" i="134"/>
  <c r="AK26" i="134"/>
  <c r="AE26" i="134"/>
  <c r="AJ26" i="134"/>
  <c r="AD26" i="134"/>
  <c r="AI26" i="134"/>
  <c r="AC26" i="134"/>
  <c r="AH26" i="134"/>
  <c r="AF25" i="134"/>
  <c r="AK25" i="134"/>
  <c r="AE25" i="134"/>
  <c r="AJ25" i="134"/>
  <c r="AD25" i="134"/>
  <c r="AI25" i="134"/>
  <c r="AC25" i="134"/>
  <c r="AH25" i="134"/>
  <c r="AF24" i="134"/>
  <c r="AK24" i="134"/>
  <c r="AE24" i="134"/>
  <c r="AJ24" i="134"/>
  <c r="AD24" i="134"/>
  <c r="AI24" i="134"/>
  <c r="AC24" i="134"/>
  <c r="AH24" i="134"/>
  <c r="AF23" i="134"/>
  <c r="AK23" i="134"/>
  <c r="AE23" i="134"/>
  <c r="AJ23" i="134"/>
  <c r="AD23" i="134"/>
  <c r="AI23" i="134"/>
  <c r="AC23" i="134"/>
  <c r="AH23" i="134"/>
  <c r="AF22" i="134"/>
  <c r="AK22" i="134"/>
  <c r="AE22" i="134"/>
  <c r="AJ22" i="134"/>
  <c r="AD22" i="134"/>
  <c r="AI22" i="134"/>
  <c r="AC22" i="134"/>
  <c r="AH22" i="134"/>
  <c r="AF21" i="134"/>
  <c r="AK21" i="134"/>
  <c r="AE21" i="134"/>
  <c r="AJ21" i="134"/>
  <c r="AD21" i="134"/>
  <c r="AI21" i="134"/>
  <c r="AC21" i="134"/>
  <c r="AH21" i="134"/>
  <c r="AF20" i="134"/>
  <c r="AK20" i="134"/>
  <c r="AE20" i="134"/>
  <c r="AJ20" i="134"/>
  <c r="AD20" i="134"/>
  <c r="AI20" i="134"/>
  <c r="AC20" i="134"/>
  <c r="AH20" i="134"/>
  <c r="AF19" i="134"/>
  <c r="AK19" i="134"/>
  <c r="AE19" i="134"/>
  <c r="AJ19" i="134"/>
  <c r="AD19" i="134"/>
  <c r="AI19" i="134"/>
  <c r="AC19" i="134"/>
  <c r="AH19" i="134"/>
  <c r="AF18" i="134"/>
  <c r="AK18" i="134"/>
  <c r="AE18" i="134"/>
  <c r="AJ18" i="134"/>
  <c r="AD18" i="134"/>
  <c r="AI18" i="134"/>
  <c r="AC18" i="134"/>
  <c r="AH18" i="134"/>
  <c r="AF17" i="134"/>
  <c r="AK17" i="134"/>
  <c r="AE17" i="134"/>
  <c r="AJ17" i="134"/>
  <c r="AD17" i="134"/>
  <c r="AI17" i="134"/>
  <c r="AC17" i="134"/>
  <c r="AH17" i="134"/>
  <c r="AF16" i="134"/>
  <c r="AK16" i="134"/>
  <c r="AE16" i="134"/>
  <c r="AJ16" i="134"/>
  <c r="AD16" i="134"/>
  <c r="AI16" i="134"/>
  <c r="AC16" i="134"/>
  <c r="AH16" i="134"/>
  <c r="AF15" i="134"/>
  <c r="AK15" i="134"/>
  <c r="AE15" i="134"/>
  <c r="AJ15" i="134"/>
  <c r="AD15" i="134"/>
  <c r="AI15" i="134"/>
  <c r="AC15" i="134"/>
  <c r="AH15" i="134"/>
  <c r="AF14" i="134"/>
  <c r="AK14" i="134"/>
  <c r="AE14" i="134"/>
  <c r="AJ14" i="134"/>
  <c r="AD14" i="134"/>
  <c r="AI14" i="134"/>
  <c r="AC14" i="134"/>
  <c r="AH14" i="134"/>
  <c r="AF13" i="134"/>
  <c r="AK13" i="134"/>
  <c r="AE13" i="134"/>
  <c r="AJ13" i="134"/>
  <c r="AD13" i="134"/>
  <c r="AI13" i="134"/>
  <c r="AC13" i="134"/>
  <c r="AH13" i="134"/>
  <c r="AF12" i="134"/>
  <c r="AK12" i="134"/>
  <c r="AE12" i="134"/>
  <c r="AJ12" i="134"/>
  <c r="AD12" i="134"/>
  <c r="AI12" i="134"/>
  <c r="AC12" i="134"/>
  <c r="AH12" i="134"/>
  <c r="AF11" i="134"/>
  <c r="AK11" i="134"/>
  <c r="AE11" i="134"/>
  <c r="AJ11" i="134"/>
  <c r="AD11" i="134"/>
  <c r="AI11" i="134"/>
  <c r="AC11" i="134"/>
  <c r="AH11" i="134"/>
  <c r="AF10" i="134"/>
  <c r="AK10" i="134"/>
  <c r="AE10" i="134"/>
  <c r="AJ10" i="134"/>
  <c r="AD10" i="134"/>
  <c r="AI10" i="134"/>
  <c r="AC10" i="134"/>
  <c r="AH10" i="134"/>
  <c r="AF9" i="134"/>
  <c r="AK9" i="134"/>
  <c r="AE9" i="134"/>
  <c r="AJ9" i="134"/>
  <c r="AD9" i="134"/>
  <c r="AI9" i="134"/>
  <c r="AC9" i="134"/>
  <c r="AH9" i="134"/>
  <c r="AF8" i="134"/>
  <c r="AK8" i="134"/>
  <c r="AE8" i="134"/>
  <c r="AJ8" i="134"/>
  <c r="AD8" i="134"/>
  <c r="AI8" i="134"/>
  <c r="AC8" i="134"/>
  <c r="AH8" i="134"/>
  <c r="AF7" i="134"/>
  <c r="AK7" i="134"/>
  <c r="AE7" i="134"/>
  <c r="AJ7" i="134"/>
  <c r="AD7" i="134"/>
  <c r="AI7" i="134"/>
  <c r="AC7" i="134"/>
  <c r="AH7" i="134"/>
  <c r="AF6" i="134"/>
  <c r="AK6" i="134"/>
  <c r="AE6" i="134"/>
  <c r="AJ6" i="134"/>
  <c r="AD6" i="134"/>
  <c r="AI6" i="134"/>
  <c r="AC6" i="134"/>
  <c r="AH6" i="134"/>
  <c r="AF5" i="134"/>
  <c r="AK5" i="134"/>
  <c r="AE5" i="134"/>
  <c r="AJ5" i="134"/>
  <c r="AD5" i="134"/>
  <c r="AI5" i="134"/>
  <c r="AC5" i="134"/>
  <c r="AH5" i="134"/>
  <c r="AF4" i="134"/>
  <c r="AK4" i="134"/>
  <c r="AE4" i="134"/>
  <c r="AJ4" i="134"/>
  <c r="AD4" i="134"/>
  <c r="AI4" i="134"/>
  <c r="AC4" i="134"/>
  <c r="AH4" i="134"/>
  <c r="AF3" i="134"/>
  <c r="AK3" i="134"/>
  <c r="AE3" i="134"/>
  <c r="AJ3" i="134"/>
  <c r="AD3" i="134"/>
  <c r="AI3" i="134"/>
  <c r="AC3" i="134"/>
  <c r="AH3" i="134"/>
  <c r="Q36" i="129"/>
  <c r="I32" i="132"/>
  <c r="I31" i="132"/>
  <c r="I30" i="132"/>
  <c r="I29" i="132"/>
  <c r="I28" i="132"/>
  <c r="I27" i="132"/>
  <c r="I26" i="132"/>
  <c r="I25" i="132"/>
  <c r="I24" i="132"/>
  <c r="I23" i="132"/>
  <c r="I22" i="132"/>
  <c r="I21" i="132"/>
  <c r="I20" i="132"/>
  <c r="I19" i="132"/>
  <c r="I18" i="132"/>
  <c r="I17" i="132"/>
  <c r="I16" i="132"/>
  <c r="I15" i="132"/>
  <c r="I14" i="132"/>
  <c r="I13" i="132"/>
  <c r="I12" i="132"/>
  <c r="I11" i="132"/>
  <c r="I10" i="132"/>
  <c r="I9" i="132"/>
  <c r="I8" i="132"/>
  <c r="I7" i="132"/>
  <c r="I6" i="132"/>
  <c r="I5" i="132"/>
  <c r="I4" i="132"/>
  <c r="I3" i="132"/>
  <c r="I2" i="132"/>
  <c r="I32" i="131"/>
  <c r="I31" i="131"/>
  <c r="I30" i="131"/>
  <c r="I29" i="131"/>
  <c r="I28" i="131"/>
  <c r="I27" i="131"/>
  <c r="I26" i="131"/>
  <c r="I25" i="131"/>
  <c r="I24" i="131"/>
  <c r="I23" i="131"/>
  <c r="I22" i="131"/>
  <c r="I21" i="131"/>
  <c r="I20" i="131"/>
  <c r="I19" i="131"/>
  <c r="I18" i="131"/>
  <c r="I17" i="131"/>
  <c r="I16" i="131"/>
  <c r="I15" i="131"/>
  <c r="I14" i="131"/>
  <c r="I13" i="131"/>
  <c r="I12" i="131"/>
  <c r="I11" i="131"/>
  <c r="I10" i="131"/>
  <c r="I9" i="131"/>
  <c r="I8" i="131"/>
  <c r="I7" i="131"/>
  <c r="I6" i="131"/>
  <c r="I5" i="131"/>
  <c r="I4" i="131"/>
  <c r="I3" i="131"/>
  <c r="I2" i="131"/>
  <c r="I32" i="130"/>
  <c r="I31" i="130"/>
  <c r="I30" i="130"/>
  <c r="I29" i="130"/>
  <c r="I28" i="130"/>
  <c r="I27" i="130"/>
  <c r="I26" i="130"/>
  <c r="I25" i="130"/>
  <c r="I24" i="130"/>
  <c r="I23" i="130"/>
  <c r="I22" i="130"/>
  <c r="I21" i="130"/>
  <c r="I20" i="130"/>
  <c r="I19" i="130"/>
  <c r="I18" i="130"/>
  <c r="I17" i="130"/>
  <c r="I16" i="130"/>
  <c r="I15" i="130"/>
  <c r="I14" i="130"/>
  <c r="I13" i="130"/>
  <c r="I12" i="130"/>
  <c r="I11" i="130"/>
  <c r="I10" i="130"/>
  <c r="I9" i="130"/>
  <c r="I8" i="130"/>
  <c r="I7" i="130"/>
  <c r="I6" i="130"/>
  <c r="I5" i="130"/>
  <c r="I4" i="130"/>
  <c r="I3" i="130"/>
  <c r="I2" i="130"/>
  <c r="I32" i="129"/>
  <c r="I31" i="129"/>
  <c r="I30" i="129"/>
  <c r="I29" i="129"/>
  <c r="I28" i="129"/>
  <c r="I27" i="129"/>
  <c r="I26" i="129"/>
  <c r="I25" i="129"/>
  <c r="I24" i="129"/>
  <c r="I23" i="129"/>
  <c r="I22" i="129"/>
  <c r="I21" i="129"/>
  <c r="I20" i="129"/>
  <c r="I19" i="129"/>
  <c r="I18" i="129"/>
  <c r="I17" i="129"/>
  <c r="I16" i="129"/>
  <c r="I15" i="129"/>
  <c r="I14" i="129"/>
  <c r="I13" i="129"/>
  <c r="I12" i="129"/>
  <c r="I11" i="129"/>
  <c r="I10" i="129"/>
  <c r="I9" i="129"/>
  <c r="I8" i="129"/>
  <c r="I7" i="129"/>
  <c r="I6" i="129"/>
  <c r="I5" i="129"/>
  <c r="I4" i="129"/>
  <c r="I3" i="129"/>
  <c r="I2" i="129"/>
  <c r="AC33" i="133"/>
  <c r="AB33" i="133"/>
  <c r="AC32" i="133"/>
  <c r="AB32" i="133"/>
  <c r="AC31" i="133"/>
  <c r="AB31" i="133"/>
  <c r="AC30" i="133"/>
  <c r="AB30" i="133"/>
  <c r="AC29" i="133"/>
  <c r="AB29" i="133"/>
  <c r="AC28" i="133"/>
  <c r="AB28" i="133"/>
  <c r="AC27" i="133"/>
  <c r="AB27" i="133"/>
  <c r="AC26" i="133"/>
  <c r="AB26" i="133"/>
  <c r="AC25" i="133"/>
  <c r="AB25" i="133"/>
  <c r="AC24" i="133"/>
  <c r="AB24" i="133"/>
  <c r="AC23" i="133"/>
  <c r="AB23" i="133"/>
  <c r="AC22" i="133"/>
  <c r="AB22" i="133"/>
  <c r="AC21" i="133"/>
  <c r="AB21" i="133"/>
  <c r="AC20" i="133"/>
  <c r="AB20" i="133"/>
  <c r="AC19" i="133"/>
  <c r="AB19" i="133"/>
  <c r="AC18" i="133"/>
  <c r="AB18" i="133"/>
  <c r="AC17" i="133"/>
  <c r="AB17" i="133"/>
  <c r="AC16" i="133"/>
  <c r="AB16" i="133"/>
  <c r="AC15" i="133"/>
  <c r="AB15" i="133"/>
  <c r="AC14" i="133"/>
  <c r="AB14" i="133"/>
  <c r="AC13" i="133"/>
  <c r="AB13" i="133"/>
  <c r="AC12" i="133"/>
  <c r="AB12" i="133"/>
  <c r="AC11" i="133"/>
  <c r="AB11" i="133"/>
  <c r="AC10" i="133"/>
  <c r="AB10" i="133"/>
  <c r="AC9" i="133"/>
  <c r="AB9" i="133"/>
  <c r="AC8" i="133"/>
  <c r="AB8" i="133"/>
  <c r="AC7" i="133"/>
  <c r="AB7" i="133"/>
  <c r="AC6" i="133"/>
  <c r="AB6" i="133"/>
  <c r="AC5" i="133"/>
  <c r="AB5" i="133"/>
  <c r="AC4" i="133"/>
  <c r="AB4" i="133"/>
  <c r="AC3" i="133"/>
  <c r="AB3" i="133"/>
  <c r="K38" i="132"/>
  <c r="J38" i="132"/>
  <c r="J37" i="132"/>
  <c r="L37" i="132"/>
  <c r="Q36" i="132"/>
  <c r="K38" i="131"/>
  <c r="J38" i="131"/>
  <c r="J37" i="131"/>
  <c r="L37" i="131"/>
  <c r="Q36" i="131"/>
  <c r="K38" i="130"/>
  <c r="J38" i="130"/>
  <c r="J37" i="130"/>
  <c r="L37" i="130"/>
  <c r="Q36" i="130"/>
  <c r="K38" i="129"/>
  <c r="J38" i="129"/>
  <c r="J37" i="129"/>
  <c r="L37" i="129"/>
  <c r="C2" i="132"/>
  <c r="E2" i="132"/>
  <c r="D2" i="132"/>
  <c r="D10" i="132"/>
  <c r="C10" i="132"/>
  <c r="E10" i="132"/>
  <c r="D3" i="132"/>
  <c r="C3" i="132"/>
  <c r="E3" i="132"/>
  <c r="C15" i="132"/>
  <c r="E15" i="132"/>
  <c r="D15" i="132"/>
  <c r="E20" i="132"/>
  <c r="D20" i="132"/>
  <c r="C20" i="132"/>
  <c r="D23" i="132"/>
  <c r="C23" i="132"/>
  <c r="E23" i="132"/>
  <c r="E4" i="132"/>
  <c r="D4" i="132"/>
  <c r="C4" i="132"/>
  <c r="E8" i="129"/>
  <c r="D8" i="129"/>
  <c r="C8" i="129"/>
  <c r="C11" i="129"/>
  <c r="D11" i="129"/>
  <c r="E11" i="129"/>
  <c r="D14" i="129"/>
  <c r="C14" i="129"/>
  <c r="E14" i="129"/>
  <c r="E17" i="129"/>
  <c r="C17" i="129"/>
  <c r="D17" i="129"/>
  <c r="E18" i="129"/>
  <c r="D18" i="129"/>
  <c r="C18" i="129"/>
  <c r="C25" i="129"/>
  <c r="D25" i="129"/>
  <c r="E25" i="129"/>
  <c r="D28" i="129"/>
  <c r="C28" i="129"/>
  <c r="E28" i="129"/>
  <c r="E5" i="132"/>
  <c r="C5" i="132"/>
  <c r="D5" i="132"/>
  <c r="D21" i="132"/>
  <c r="E21" i="132"/>
  <c r="C21" i="132"/>
  <c r="E13" i="131"/>
  <c r="C13" i="131"/>
  <c r="D13" i="131"/>
  <c r="D10" i="131"/>
  <c r="C10" i="131"/>
  <c r="E10" i="131"/>
  <c r="E12" i="131"/>
  <c r="C12" i="131"/>
  <c r="D12" i="131"/>
  <c r="E32" i="132"/>
  <c r="D32" i="132"/>
  <c r="C32" i="132"/>
  <c r="D13" i="132"/>
  <c r="E13" i="132"/>
  <c r="C13" i="132"/>
  <c r="C6" i="132"/>
  <c r="E6" i="132"/>
  <c r="D6" i="132"/>
  <c r="E12" i="132"/>
  <c r="D12" i="132"/>
  <c r="C12" i="132"/>
  <c r="D19" i="132"/>
  <c r="C19" i="132"/>
  <c r="E19" i="132"/>
  <c r="C22" i="132"/>
  <c r="E22" i="132"/>
  <c r="D22" i="132"/>
  <c r="E24" i="132"/>
  <c r="C24" i="132"/>
  <c r="D24" i="132"/>
  <c r="E27" i="132"/>
  <c r="C27" i="132"/>
  <c r="D27" i="132"/>
  <c r="C29" i="132"/>
  <c r="E29" i="132"/>
  <c r="D29" i="132"/>
  <c r="D30" i="132"/>
  <c r="C30" i="132"/>
  <c r="E30" i="132"/>
  <c r="E13" i="130"/>
  <c r="C13" i="130"/>
  <c r="D13" i="130"/>
  <c r="E10" i="130"/>
  <c r="C10" i="130"/>
  <c r="D10" i="130"/>
  <c r="C21" i="130"/>
  <c r="E21" i="130"/>
  <c r="D21" i="130"/>
  <c r="L38" i="130"/>
  <c r="J39" i="130"/>
  <c r="L38" i="129"/>
  <c r="J39" i="129"/>
  <c r="I34" i="129"/>
  <c r="AA22" i="129"/>
  <c r="I34" i="130"/>
  <c r="S9" i="130"/>
  <c r="I34" i="131"/>
  <c r="I34" i="132"/>
  <c r="S2" i="132"/>
  <c r="AA22" i="132"/>
  <c r="L38" i="131"/>
  <c r="J39" i="131"/>
  <c r="L38" i="132"/>
  <c r="K39" i="132"/>
  <c r="K39" i="130"/>
  <c r="K39" i="129"/>
  <c r="AA19" i="130"/>
  <c r="S4" i="130"/>
  <c r="S26" i="130"/>
  <c r="AA34" i="130"/>
  <c r="S29" i="132"/>
  <c r="S2" i="130"/>
  <c r="AA28" i="130"/>
  <c r="AA31" i="130"/>
  <c r="S27" i="132"/>
  <c r="AA23" i="132"/>
  <c r="S25" i="132"/>
  <c r="AA29" i="132"/>
  <c r="S23" i="132"/>
  <c r="AA6" i="132"/>
  <c r="S28" i="132"/>
  <c r="AA32" i="132"/>
  <c r="S26" i="132"/>
  <c r="AA34" i="132"/>
  <c r="S27" i="130"/>
  <c r="AA23" i="130"/>
  <c r="S10" i="130"/>
  <c r="AA20" i="130"/>
  <c r="S18" i="129"/>
  <c r="AA27" i="129"/>
  <c r="S32" i="130"/>
  <c r="AA5" i="130"/>
  <c r="S25" i="130"/>
  <c r="AA29" i="130"/>
  <c r="S3" i="130"/>
  <c r="AA3" i="130"/>
  <c r="S20" i="131"/>
  <c r="AA21" i="131"/>
  <c r="AA4" i="130"/>
  <c r="S21" i="132"/>
  <c r="AA12" i="132"/>
  <c r="S16" i="132"/>
  <c r="AA11" i="132"/>
  <c r="AA26" i="130"/>
  <c r="S10" i="132"/>
  <c r="AA20" i="132"/>
  <c r="AA31" i="132"/>
  <c r="S18" i="132"/>
  <c r="AA27" i="132"/>
  <c r="S31" i="132"/>
  <c r="AA15" i="132"/>
  <c r="S18" i="130"/>
  <c r="AA27" i="130"/>
  <c r="S24" i="130"/>
  <c r="AA7" i="130"/>
  <c r="S8" i="130"/>
  <c r="AA17" i="130"/>
  <c r="AA19" i="129"/>
  <c r="AA9" i="130"/>
  <c r="S17" i="132"/>
  <c r="AA33" i="132"/>
  <c r="AA19" i="132"/>
  <c r="S32" i="132"/>
  <c r="AA5" i="132"/>
  <c r="S15" i="130"/>
  <c r="S19" i="129"/>
  <c r="AA13" i="129"/>
  <c r="S31" i="130"/>
  <c r="AA15" i="130"/>
  <c r="AA22" i="130"/>
  <c r="S16" i="129"/>
  <c r="AA11" i="129"/>
  <c r="S16" i="130"/>
  <c r="AA11" i="130"/>
  <c r="S30" i="132"/>
  <c r="AA10" i="132"/>
  <c r="S24" i="132"/>
  <c r="AA7" i="132"/>
  <c r="K39" i="131"/>
  <c r="AA28" i="132"/>
  <c r="J39" i="132"/>
  <c r="S32" i="131"/>
  <c r="AA5" i="131"/>
  <c r="AA19" i="131"/>
  <c r="S28" i="131"/>
  <c r="AA32" i="131"/>
  <c r="S17" i="131"/>
  <c r="AA33" i="131"/>
  <c r="S12" i="130"/>
  <c r="AA2" i="130"/>
  <c r="S24" i="129"/>
  <c r="AA7" i="129"/>
  <c r="S5" i="129"/>
  <c r="S7" i="129"/>
  <c r="AA24" i="129"/>
  <c r="S32" i="129"/>
  <c r="AA5" i="129"/>
  <c r="S31" i="131"/>
  <c r="AA15" i="131"/>
  <c r="S18" i="131"/>
  <c r="AA27" i="131"/>
  <c r="S30" i="130"/>
  <c r="AA10" i="130"/>
  <c r="S22" i="130"/>
  <c r="AA8" i="130"/>
  <c r="S21" i="130"/>
  <c r="AA12" i="130"/>
  <c r="S20" i="130"/>
  <c r="AA21" i="130"/>
  <c r="S19" i="130"/>
  <c r="AA13" i="130"/>
  <c r="S17" i="130"/>
  <c r="AA33" i="130"/>
  <c r="S23" i="130"/>
  <c r="AA6" i="130"/>
  <c r="S29" i="130"/>
  <c r="S28" i="130"/>
  <c r="AA32" i="130"/>
  <c r="S5" i="130"/>
  <c r="S7" i="130"/>
  <c r="AA24" i="130"/>
  <c r="S6" i="130"/>
  <c r="AA14" i="130"/>
  <c r="S11" i="130"/>
  <c r="AA18" i="130"/>
  <c r="S13" i="130"/>
  <c r="AA16" i="130"/>
  <c r="S21" i="129"/>
  <c r="AA12" i="129"/>
  <c r="AA9" i="129"/>
  <c r="S25" i="129"/>
  <c r="AA29" i="129"/>
  <c r="S29" i="131"/>
  <c r="S6" i="131"/>
  <c r="AA14" i="131"/>
  <c r="S2" i="131"/>
  <c r="S28" i="129"/>
  <c r="AA32" i="129"/>
  <c r="S8" i="129"/>
  <c r="AA17" i="129"/>
  <c r="S30" i="131"/>
  <c r="AA10" i="131"/>
  <c r="S27" i="131"/>
  <c r="AA23" i="131"/>
  <c r="S23" i="131"/>
  <c r="AA6" i="131"/>
  <c r="S24" i="131"/>
  <c r="AA7" i="131"/>
  <c r="S12" i="131"/>
  <c r="AA2" i="131"/>
  <c r="S22" i="131"/>
  <c r="AA8" i="131"/>
  <c r="S21" i="131"/>
  <c r="AA12" i="131"/>
  <c r="S19" i="131"/>
  <c r="AA13" i="131"/>
  <c r="S14" i="131"/>
  <c r="AA30" i="131"/>
  <c r="S13" i="131"/>
  <c r="AA16" i="131"/>
  <c r="AA31" i="131"/>
  <c r="AA9" i="131"/>
  <c r="S4" i="131"/>
  <c r="S7" i="131"/>
  <c r="AA24" i="131"/>
  <c r="S11" i="131"/>
  <c r="AA18" i="131"/>
  <c r="S10" i="131"/>
  <c r="AA20" i="131"/>
  <c r="S3" i="131"/>
  <c r="AA3" i="131"/>
  <c r="S5" i="131"/>
  <c r="AA25" i="132"/>
  <c r="AA26" i="132"/>
  <c r="S14" i="129"/>
  <c r="AA30" i="129"/>
  <c r="S29" i="129"/>
  <c r="S15" i="132"/>
  <c r="S14" i="132"/>
  <c r="AA30" i="132"/>
  <c r="S13" i="132"/>
  <c r="AA16" i="132"/>
  <c r="S12" i="132"/>
  <c r="AA2" i="132"/>
  <c r="AA4" i="132"/>
  <c r="S11" i="132"/>
  <c r="AA18" i="132"/>
  <c r="S9" i="132"/>
  <c r="S8" i="132"/>
  <c r="AA17" i="132"/>
  <c r="S7" i="132"/>
  <c r="AA24" i="132"/>
  <c r="S19" i="132"/>
  <c r="AA13" i="132"/>
  <c r="S6" i="132"/>
  <c r="AA14" i="132"/>
  <c r="S22" i="132"/>
  <c r="AA8" i="132"/>
  <c r="S5" i="132"/>
  <c r="S20" i="132"/>
  <c r="AA21" i="132"/>
  <c r="S3" i="132"/>
  <c r="AA3" i="132"/>
  <c r="AA9" i="132"/>
  <c r="S25" i="131"/>
  <c r="AA29" i="131"/>
  <c r="AA4" i="131"/>
  <c r="S8" i="131"/>
  <c r="AA17" i="131"/>
  <c r="S11" i="129"/>
  <c r="AA18" i="129"/>
  <c r="S23" i="129"/>
  <c r="AA6" i="129"/>
  <c r="AA4" i="129"/>
  <c r="S9" i="131"/>
  <c r="AA22" i="131"/>
  <c r="S26" i="129"/>
  <c r="AA34" i="129"/>
  <c r="S22" i="129"/>
  <c r="AA8" i="129"/>
  <c r="S9" i="129"/>
  <c r="S6" i="129"/>
  <c r="AA14" i="129"/>
  <c r="AA31" i="129"/>
  <c r="S2" i="129"/>
  <c r="S12" i="129"/>
  <c r="AA2" i="129"/>
  <c r="S3" i="129"/>
  <c r="AA3" i="129"/>
  <c r="S10" i="129"/>
  <c r="AA20" i="129"/>
  <c r="S30" i="129"/>
  <c r="AA10" i="129"/>
  <c r="S17" i="129"/>
  <c r="AA33" i="129"/>
  <c r="S4" i="129"/>
  <c r="S20" i="129"/>
  <c r="AA21" i="129"/>
  <c r="S15" i="129"/>
  <c r="S26" i="131"/>
  <c r="AA34" i="131"/>
  <c r="S4" i="132"/>
  <c r="S16" i="131"/>
  <c r="AA11" i="131"/>
  <c r="S15" i="131"/>
  <c r="S14" i="130"/>
  <c r="AA30" i="130"/>
  <c r="S31" i="129"/>
  <c r="AA15" i="129"/>
  <c r="S13" i="129"/>
  <c r="AA16" i="129"/>
  <c r="S27" i="129"/>
  <c r="AA23" i="129"/>
  <c r="D10" i="119"/>
  <c r="B27" i="122"/>
  <c r="D27" i="122"/>
  <c r="I44" i="119"/>
  <c r="H42" i="119"/>
  <c r="H41" i="119"/>
  <c r="I41" i="119"/>
  <c r="H43" i="119"/>
  <c r="H44" i="119"/>
  <c r="I42" i="119"/>
  <c r="I43" i="119"/>
  <c r="F41" i="119"/>
  <c r="E41" i="119"/>
  <c r="B14" i="137"/>
  <c r="M14" i="137"/>
  <c r="F18" i="119"/>
  <c r="E18" i="119"/>
  <c r="M22" i="137"/>
  <c r="B22" i="137"/>
  <c r="F26" i="119"/>
  <c r="E26" i="119"/>
  <c r="M30" i="137"/>
  <c r="B30" i="137"/>
  <c r="F34" i="119"/>
  <c r="E34" i="119"/>
  <c r="F42" i="119"/>
  <c r="E42" i="119"/>
  <c r="M15" i="137"/>
  <c r="B15" i="137"/>
  <c r="F19" i="119"/>
  <c r="E19" i="119"/>
  <c r="B23" i="137"/>
  <c r="M23" i="137"/>
  <c r="E27" i="119"/>
  <c r="F27" i="119"/>
  <c r="B31" i="137"/>
  <c r="M31" i="137"/>
  <c r="F35" i="119"/>
  <c r="E35" i="119"/>
  <c r="F43" i="119"/>
  <c r="E43" i="119"/>
  <c r="B29" i="137"/>
  <c r="M29" i="137"/>
  <c r="F33" i="119"/>
  <c r="E33" i="119"/>
  <c r="M24" i="137"/>
  <c r="B24" i="137"/>
  <c r="F28" i="119"/>
  <c r="E28" i="119"/>
  <c r="M32" i="137"/>
  <c r="B32" i="137"/>
  <c r="F36" i="119"/>
  <c r="E36" i="119"/>
  <c r="F44" i="119"/>
  <c r="E44" i="119"/>
  <c r="M7" i="137"/>
  <c r="B7" i="137"/>
  <c r="E11" i="119"/>
  <c r="F11" i="119"/>
  <c r="B9" i="137"/>
  <c r="M9" i="137"/>
  <c r="F13" i="119"/>
  <c r="E13" i="119"/>
  <c r="B25" i="137"/>
  <c r="M25" i="137"/>
  <c r="F29" i="119"/>
  <c r="E29" i="119"/>
  <c r="B33" i="137"/>
  <c r="M33" i="137"/>
  <c r="F37" i="119"/>
  <c r="E37" i="119"/>
  <c r="B21" i="137"/>
  <c r="M21" i="137"/>
  <c r="F25" i="119"/>
  <c r="E25" i="119"/>
  <c r="B18" i="137"/>
  <c r="M18" i="137"/>
  <c r="E22" i="119"/>
  <c r="F22" i="119"/>
  <c r="M26" i="137"/>
  <c r="B26" i="137"/>
  <c r="F30" i="119"/>
  <c r="E30" i="119"/>
  <c r="M34" i="137"/>
  <c r="B34" i="137"/>
  <c r="F38" i="119"/>
  <c r="E38" i="119"/>
  <c r="M13" i="137"/>
  <c r="B13" i="137"/>
  <c r="F17" i="119"/>
  <c r="E17" i="119"/>
  <c r="M8" i="137"/>
  <c r="B8" i="137"/>
  <c r="F12" i="119"/>
  <c r="E12" i="119"/>
  <c r="M11" i="137"/>
  <c r="B11" i="137"/>
  <c r="F15" i="119"/>
  <c r="E15" i="119"/>
  <c r="M19" i="137"/>
  <c r="B19" i="137"/>
  <c r="F23" i="119"/>
  <c r="E23" i="119"/>
  <c r="B27" i="137"/>
  <c r="M27" i="137"/>
  <c r="E31" i="119"/>
  <c r="F31" i="119"/>
  <c r="M36" i="137"/>
  <c r="B36" i="137"/>
  <c r="E39" i="119"/>
  <c r="F39" i="119"/>
  <c r="M12" i="137"/>
  <c r="B12" i="137"/>
  <c r="F16" i="119"/>
  <c r="E16" i="119"/>
  <c r="M28" i="137"/>
  <c r="B28" i="137"/>
  <c r="F32" i="119"/>
  <c r="E32" i="119"/>
  <c r="M37" i="137"/>
  <c r="B37" i="137"/>
  <c r="F40" i="119"/>
  <c r="E40" i="119"/>
  <c r="B20" i="137"/>
  <c r="M20" i="137"/>
  <c r="E24" i="119"/>
  <c r="F24" i="119"/>
  <c r="B17" i="137"/>
  <c r="M17" i="137"/>
  <c r="F21" i="119"/>
  <c r="E21" i="119"/>
  <c r="M16" i="137"/>
  <c r="B16" i="137"/>
  <c r="E20" i="119"/>
  <c r="F20" i="119"/>
  <c r="M10" i="137"/>
  <c r="B10" i="137"/>
  <c r="F14" i="119"/>
  <c r="E14" i="119"/>
  <c r="M6" i="137"/>
  <c r="B6" i="137"/>
  <c r="F10" i="119"/>
  <c r="E10" i="119"/>
  <c r="AA25" i="130"/>
  <c r="S34" i="130"/>
  <c r="S34" i="132"/>
  <c r="AB34" i="132"/>
  <c r="AB32" i="132"/>
  <c r="AB28" i="132"/>
  <c r="AB26" i="132"/>
  <c r="AB12" i="132"/>
  <c r="AB8" i="132"/>
  <c r="AB4" i="132"/>
  <c r="AB27" i="132"/>
  <c r="AB31" i="132"/>
  <c r="AB29" i="132"/>
  <c r="AB11" i="132"/>
  <c r="AB7" i="132"/>
  <c r="AB3" i="132"/>
  <c r="AB30" i="132"/>
  <c r="AB25" i="132"/>
  <c r="AB22" i="132"/>
  <c r="AB21" i="132"/>
  <c r="AB18" i="132"/>
  <c r="AB17" i="132"/>
  <c r="AB14" i="132"/>
  <c r="AB13" i="132"/>
  <c r="AB9" i="132"/>
  <c r="AB5" i="132"/>
  <c r="AB19" i="132"/>
  <c r="AB15" i="132"/>
  <c r="AB10" i="132"/>
  <c r="AB6" i="132"/>
  <c r="AB2" i="132"/>
  <c r="AB33" i="132"/>
  <c r="AB24" i="132"/>
  <c r="AB16" i="132"/>
  <c r="AB23" i="132"/>
  <c r="AB20" i="132"/>
  <c r="S34" i="131"/>
  <c r="AA28" i="131"/>
  <c r="AA25" i="131"/>
  <c r="AA26" i="131"/>
  <c r="AB26" i="130"/>
  <c r="AB25" i="130"/>
  <c r="AB24" i="130"/>
  <c r="AB20" i="130"/>
  <c r="AB23" i="130"/>
  <c r="AB19" i="130"/>
  <c r="AB15" i="130"/>
  <c r="AB11" i="130"/>
  <c r="AB7" i="130"/>
  <c r="AB3" i="130"/>
  <c r="AB22" i="130"/>
  <c r="AB18" i="130"/>
  <c r="AB14" i="130"/>
  <c r="AB10" i="130"/>
  <c r="AB6" i="130"/>
  <c r="AB2" i="130"/>
  <c r="AB34" i="130"/>
  <c r="AB31" i="130"/>
  <c r="AB30" i="130"/>
  <c r="AB27" i="130"/>
  <c r="AB21" i="130"/>
  <c r="AB17" i="130"/>
  <c r="AB13" i="130"/>
  <c r="AB9" i="130"/>
  <c r="AB5" i="130"/>
  <c r="AB33" i="130"/>
  <c r="AB32" i="130"/>
  <c r="AB29" i="130"/>
  <c r="AB28" i="130"/>
  <c r="AB8" i="130"/>
  <c r="AB4" i="130"/>
  <c r="AB16" i="130"/>
  <c r="AB12" i="130"/>
  <c r="AB24" i="131"/>
  <c r="AB19" i="131"/>
  <c r="AB15" i="131"/>
  <c r="AB11" i="131"/>
  <c r="AB7" i="131"/>
  <c r="AB3" i="131"/>
  <c r="AB17" i="131"/>
  <c r="AB13" i="131"/>
  <c r="AB2" i="131"/>
  <c r="AB16" i="131"/>
  <c r="AB12" i="131"/>
  <c r="AB23" i="131"/>
  <c r="AB8" i="131"/>
  <c r="AB10" i="131"/>
  <c r="AB5" i="131"/>
  <c r="AB18" i="131"/>
  <c r="AB14" i="131"/>
  <c r="AB6" i="131"/>
  <c r="AB4" i="131"/>
  <c r="AB21" i="131"/>
  <c r="AB22" i="131"/>
  <c r="AB20" i="131"/>
  <c r="AB9" i="131"/>
  <c r="AB20" i="129"/>
  <c r="AB16" i="129"/>
  <c r="AB12" i="129"/>
  <c r="AB8" i="129"/>
  <c r="AB4" i="129"/>
  <c r="AB19" i="129"/>
  <c r="AB15" i="129"/>
  <c r="AB11" i="129"/>
  <c r="AB7" i="129"/>
  <c r="AB3" i="129"/>
  <c r="AB22" i="129"/>
  <c r="AB18" i="129"/>
  <c r="AB14" i="129"/>
  <c r="AB10" i="129"/>
  <c r="AB6" i="129"/>
  <c r="AB2" i="129"/>
  <c r="AB24" i="129"/>
  <c r="AB23" i="129"/>
  <c r="AB21" i="129"/>
  <c r="AB17" i="129"/>
  <c r="AB13" i="129"/>
  <c r="AB9" i="129"/>
  <c r="AB5" i="129"/>
  <c r="AA28" i="129"/>
  <c r="S34" i="129"/>
  <c r="AA25" i="129"/>
  <c r="AB25" i="129"/>
  <c r="AA26" i="129"/>
  <c r="G22" i="119"/>
  <c r="G35" i="119"/>
  <c r="G26" i="119"/>
  <c r="G13" i="119"/>
  <c r="G19" i="119"/>
  <c r="G15" i="119"/>
  <c r="G39" i="119"/>
  <c r="G33" i="119"/>
  <c r="G23" i="119"/>
  <c r="G12" i="119"/>
  <c r="G18" i="119"/>
  <c r="G31" i="119"/>
  <c r="G17" i="119"/>
  <c r="G40" i="119"/>
  <c r="G16" i="119"/>
  <c r="G30" i="119"/>
  <c r="G25" i="119"/>
  <c r="G11" i="119"/>
  <c r="G27" i="119"/>
  <c r="G42" i="119"/>
  <c r="G28" i="119"/>
  <c r="G43" i="119"/>
  <c r="G32" i="119"/>
  <c r="G24" i="119"/>
  <c r="G36" i="119"/>
  <c r="U26" i="137"/>
  <c r="W26" i="137"/>
  <c r="V26" i="137"/>
  <c r="G14" i="119"/>
  <c r="G21" i="119"/>
  <c r="E22" i="137"/>
  <c r="F22" i="137"/>
  <c r="G22" i="137"/>
  <c r="U27" i="137"/>
  <c r="V27" i="137"/>
  <c r="W27" i="137"/>
  <c r="G21" i="137"/>
  <c r="F21" i="137"/>
  <c r="E21" i="137"/>
  <c r="W25" i="137"/>
  <c r="V25" i="137"/>
  <c r="K25" i="137"/>
  <c r="J25" i="137"/>
  <c r="U25" i="137"/>
  <c r="I25" i="137"/>
  <c r="V23" i="137"/>
  <c r="W23" i="137"/>
  <c r="U23" i="137"/>
  <c r="F12" i="137"/>
  <c r="G12" i="137"/>
  <c r="E12" i="137"/>
  <c r="U24" i="137"/>
  <c r="V24" i="137"/>
  <c r="W24" i="137"/>
  <c r="F29" i="137"/>
  <c r="E29" i="137"/>
  <c r="G29" i="137"/>
  <c r="S13" i="137"/>
  <c r="V13" i="137"/>
  <c r="J13" i="137"/>
  <c r="K13" i="137"/>
  <c r="Q13" i="137"/>
  <c r="I13" i="137"/>
  <c r="W13" i="137"/>
  <c r="U13" i="137"/>
  <c r="R13" i="137"/>
  <c r="F14" i="137"/>
  <c r="E14" i="137"/>
  <c r="G14" i="137"/>
  <c r="G20" i="119"/>
  <c r="V28" i="137"/>
  <c r="U28" i="137"/>
  <c r="W28" i="137"/>
  <c r="U8" i="137"/>
  <c r="V8" i="137"/>
  <c r="W8" i="137"/>
  <c r="U34" i="137"/>
  <c r="U35" i="137"/>
  <c r="V34" i="137"/>
  <c r="V35" i="137"/>
  <c r="W34" i="137"/>
  <c r="W35" i="137"/>
  <c r="W7" i="137"/>
  <c r="U7" i="137"/>
  <c r="V7" i="137"/>
  <c r="V33" i="137"/>
  <c r="W33" i="137"/>
  <c r="U33" i="137"/>
  <c r="V9" i="137"/>
  <c r="U9" i="137"/>
  <c r="W9" i="137"/>
  <c r="J17" i="137"/>
  <c r="R17" i="137"/>
  <c r="V17" i="137"/>
  <c r="K17" i="137"/>
  <c r="Q17" i="137"/>
  <c r="I17" i="137"/>
  <c r="U17" i="137"/>
  <c r="S17" i="137"/>
  <c r="W17" i="137"/>
  <c r="V16" i="137"/>
  <c r="U16" i="137"/>
  <c r="R16" i="137"/>
  <c r="Q16" i="137"/>
  <c r="S16" i="137"/>
  <c r="W16" i="137"/>
  <c r="V10" i="137"/>
  <c r="U10" i="137"/>
  <c r="W10" i="137"/>
  <c r="W6" i="137"/>
  <c r="U6" i="137"/>
  <c r="V6" i="137"/>
  <c r="G34" i="119"/>
  <c r="G41" i="119"/>
  <c r="AB27" i="131"/>
  <c r="AB33" i="131"/>
  <c r="AB30" i="131"/>
  <c r="AB31" i="131"/>
  <c r="AB26" i="131"/>
  <c r="AB34" i="131"/>
  <c r="AB28" i="131"/>
  <c r="AB29" i="131"/>
  <c r="AB26" i="129"/>
  <c r="AB31" i="129"/>
  <c r="AB25" i="131"/>
  <c r="AB29" i="129"/>
  <c r="AB32" i="129"/>
  <c r="AB28" i="129"/>
  <c r="AB33" i="129"/>
  <c r="AB32" i="131"/>
  <c r="AB27" i="129"/>
  <c r="AB34" i="129"/>
  <c r="AB30" i="129"/>
  <c r="G29" i="119"/>
  <c r="G37" i="119"/>
  <c r="G44" i="119"/>
  <c r="G10" i="119"/>
  <c r="D10" i="118"/>
  <c r="D10" i="61"/>
  <c r="Q36" i="123"/>
  <c r="F6" i="129"/>
  <c r="J37" i="123"/>
  <c r="L37" i="123"/>
  <c r="K38" i="123"/>
  <c r="J38" i="123"/>
  <c r="G38" i="119"/>
  <c r="C2" i="119"/>
  <c r="C2" i="118"/>
  <c r="F27" i="61"/>
  <c r="T1" i="73"/>
  <c r="E27" i="61"/>
  <c r="S1" i="73"/>
  <c r="D27" i="61"/>
  <c r="R1" i="73"/>
  <c r="G73" i="61"/>
  <c r="D11" i="61"/>
  <c r="D33" i="61"/>
  <c r="E33" i="61"/>
  <c r="F33" i="61"/>
  <c r="L12" i="125"/>
  <c r="M12" i="125"/>
  <c r="Q117" i="125"/>
  <c r="Q116" i="125"/>
  <c r="Q115" i="125"/>
  <c r="Q114" i="125"/>
  <c r="Q113" i="125"/>
  <c r="Q112" i="125"/>
  <c r="Q111" i="125"/>
  <c r="Q110" i="125"/>
  <c r="Q109" i="125"/>
  <c r="Q108" i="125"/>
  <c r="Q107" i="125"/>
  <c r="Q106" i="125"/>
  <c r="Q105" i="125"/>
  <c r="Q104" i="125"/>
  <c r="Q103" i="125"/>
  <c r="Q102" i="125"/>
  <c r="Q101" i="125"/>
  <c r="Q100" i="125"/>
  <c r="Q99" i="125"/>
  <c r="Q98" i="125"/>
  <c r="Q97" i="125"/>
  <c r="Q96" i="125"/>
  <c r="Q95" i="125"/>
  <c r="Q94" i="125"/>
  <c r="Q93" i="125"/>
  <c r="Q92" i="125"/>
  <c r="Q91" i="125"/>
  <c r="Q90" i="125"/>
  <c r="Q89" i="125"/>
  <c r="Q88" i="125"/>
  <c r="Q87" i="125"/>
  <c r="Q86" i="125"/>
  <c r="Q85" i="125"/>
  <c r="Q84" i="125"/>
  <c r="Q83" i="125"/>
  <c r="Q82" i="125"/>
  <c r="Q81" i="125"/>
  <c r="Q80" i="125"/>
  <c r="Q79" i="125"/>
  <c r="Q78" i="125"/>
  <c r="Q77" i="125"/>
  <c r="Q76" i="125"/>
  <c r="Q75" i="125"/>
  <c r="Q74" i="125"/>
  <c r="Q73" i="125"/>
  <c r="Q72" i="125"/>
  <c r="Q71" i="125"/>
  <c r="Q70" i="125"/>
  <c r="Q69" i="125"/>
  <c r="Q68" i="125"/>
  <c r="Q67" i="125"/>
  <c r="Q66" i="125"/>
  <c r="Q65" i="125"/>
  <c r="Q64" i="125"/>
  <c r="Q63" i="125"/>
  <c r="Q62" i="125"/>
  <c r="Q61" i="125"/>
  <c r="Q60" i="125"/>
  <c r="Q59" i="125"/>
  <c r="Q58" i="125"/>
  <c r="Q57" i="125"/>
  <c r="Q56" i="125"/>
  <c r="Q55" i="125"/>
  <c r="Q54" i="125"/>
  <c r="Q53" i="125"/>
  <c r="Q52" i="125"/>
  <c r="Q51" i="125"/>
  <c r="Q50" i="125"/>
  <c r="Q49" i="125"/>
  <c r="Q48" i="125"/>
  <c r="Q47" i="125"/>
  <c r="Q46" i="125"/>
  <c r="Q45" i="125"/>
  <c r="Q44" i="125"/>
  <c r="Q43" i="125"/>
  <c r="Q42" i="125"/>
  <c r="Q41" i="125"/>
  <c r="Q40" i="125"/>
  <c r="Q39" i="125"/>
  <c r="Q38" i="125"/>
  <c r="Q37" i="125"/>
  <c r="Q36" i="125"/>
  <c r="Q35" i="125"/>
  <c r="Q34" i="125"/>
  <c r="Q33" i="125"/>
  <c r="Q32" i="125"/>
  <c r="Q31" i="125"/>
  <c r="Q30" i="125"/>
  <c r="Q29" i="125"/>
  <c r="Q28" i="125"/>
  <c r="Q27" i="125"/>
  <c r="Q26" i="125"/>
  <c r="Q25" i="125"/>
  <c r="Q24" i="125"/>
  <c r="Q23" i="125"/>
  <c r="Q22" i="125"/>
  <c r="Q21" i="125"/>
  <c r="Q20" i="125"/>
  <c r="Q19" i="125"/>
  <c r="Q18" i="125"/>
  <c r="I10" i="125"/>
  <c r="AO107" i="128"/>
  <c r="G107" i="128"/>
  <c r="F107" i="128"/>
  <c r="E107" i="128"/>
  <c r="D107" i="128"/>
  <c r="C107" i="128"/>
  <c r="B107" i="128"/>
  <c r="B111" i="128"/>
  <c r="AC105" i="128"/>
  <c r="P105" i="128"/>
  <c r="AC104" i="128"/>
  <c r="P104" i="128"/>
  <c r="AC103" i="128"/>
  <c r="P103" i="128"/>
  <c r="AC102" i="128"/>
  <c r="P102" i="128"/>
  <c r="AC101" i="128"/>
  <c r="P101" i="128"/>
  <c r="AC100" i="128"/>
  <c r="P100" i="128"/>
  <c r="AC99" i="128"/>
  <c r="P99" i="128"/>
  <c r="AC98" i="128"/>
  <c r="P98" i="128"/>
  <c r="AC97" i="128"/>
  <c r="P97" i="128"/>
  <c r="AC96" i="128"/>
  <c r="P96" i="128"/>
  <c r="AC95" i="128"/>
  <c r="P95" i="128"/>
  <c r="AC94" i="128"/>
  <c r="P94" i="128"/>
  <c r="AC93" i="128"/>
  <c r="P93" i="128"/>
  <c r="AC92" i="128"/>
  <c r="P92" i="128"/>
  <c r="AC91" i="128"/>
  <c r="P91" i="128"/>
  <c r="AC90" i="128"/>
  <c r="P90" i="128"/>
  <c r="AC89" i="128"/>
  <c r="P89" i="128"/>
  <c r="AC88" i="128"/>
  <c r="P88" i="128"/>
  <c r="AC87" i="128"/>
  <c r="P87" i="128"/>
  <c r="AC86" i="128"/>
  <c r="P86" i="128"/>
  <c r="AC85" i="128"/>
  <c r="P85" i="128"/>
  <c r="AC84" i="128"/>
  <c r="P84" i="128"/>
  <c r="AC83" i="128"/>
  <c r="P83" i="128"/>
  <c r="AC82" i="128"/>
  <c r="P82" i="128"/>
  <c r="AC81" i="128"/>
  <c r="P81" i="128"/>
  <c r="AC80" i="128"/>
  <c r="P80" i="128"/>
  <c r="AC79" i="128"/>
  <c r="P79" i="128"/>
  <c r="AC78" i="128"/>
  <c r="P78" i="128"/>
  <c r="AC77" i="128"/>
  <c r="P77" i="128"/>
  <c r="AC76" i="128"/>
  <c r="P76" i="128"/>
  <c r="AC75" i="128"/>
  <c r="P75" i="128"/>
  <c r="AC74" i="128"/>
  <c r="P74" i="128"/>
  <c r="AC73" i="128"/>
  <c r="P73" i="128"/>
  <c r="AC72" i="128"/>
  <c r="P72" i="128"/>
  <c r="AC71" i="128"/>
  <c r="P71" i="128"/>
  <c r="AC70" i="128"/>
  <c r="P70" i="128"/>
  <c r="AC69" i="128"/>
  <c r="P69" i="128"/>
  <c r="AC68" i="128"/>
  <c r="P68" i="128"/>
  <c r="AC67" i="128"/>
  <c r="P67" i="128"/>
  <c r="AC66" i="128"/>
  <c r="P66" i="128"/>
  <c r="AC65" i="128"/>
  <c r="P65" i="128"/>
  <c r="AC64" i="128"/>
  <c r="P64" i="128"/>
  <c r="AC63" i="128"/>
  <c r="P63" i="128"/>
  <c r="AC62" i="128"/>
  <c r="P62" i="128"/>
  <c r="AC61" i="128"/>
  <c r="P61" i="128"/>
  <c r="AC60" i="128"/>
  <c r="P60" i="128"/>
  <c r="AC59" i="128"/>
  <c r="P59" i="128"/>
  <c r="AC58" i="128"/>
  <c r="P58" i="128"/>
  <c r="AC57" i="128"/>
  <c r="P57" i="128"/>
  <c r="AC56" i="128"/>
  <c r="P56" i="128"/>
  <c r="AC55" i="128"/>
  <c r="P55" i="128"/>
  <c r="AC54" i="128"/>
  <c r="P54" i="128"/>
  <c r="AC53" i="128"/>
  <c r="P53" i="128"/>
  <c r="AC52" i="128"/>
  <c r="P52" i="128"/>
  <c r="AC51" i="128"/>
  <c r="P51" i="128"/>
  <c r="AC50" i="128"/>
  <c r="P50" i="128"/>
  <c r="AC49" i="128"/>
  <c r="P49" i="128"/>
  <c r="AC48" i="128"/>
  <c r="P48" i="128"/>
  <c r="AC47" i="128"/>
  <c r="P47" i="128"/>
  <c r="AC46" i="128"/>
  <c r="P46" i="128"/>
  <c r="AC45" i="128"/>
  <c r="P45" i="128"/>
  <c r="AC44" i="128"/>
  <c r="P44" i="128"/>
  <c r="AC43" i="128"/>
  <c r="P43" i="128"/>
  <c r="AC42" i="128"/>
  <c r="P42" i="128"/>
  <c r="AC41" i="128"/>
  <c r="P41" i="128"/>
  <c r="AC40" i="128"/>
  <c r="P40" i="128"/>
  <c r="AC39" i="128"/>
  <c r="P39" i="128"/>
  <c r="AC38" i="128"/>
  <c r="P38" i="128"/>
  <c r="AC37" i="128"/>
  <c r="P37" i="128"/>
  <c r="AC36" i="128"/>
  <c r="P36" i="128"/>
  <c r="AC35" i="128"/>
  <c r="P35" i="128"/>
  <c r="AC34" i="128"/>
  <c r="P34" i="128"/>
  <c r="AC33" i="128"/>
  <c r="P33" i="128"/>
  <c r="AC32" i="128"/>
  <c r="P32" i="128"/>
  <c r="AC31" i="128"/>
  <c r="P31" i="128"/>
  <c r="AC30" i="128"/>
  <c r="P30" i="128"/>
  <c r="AC29" i="128"/>
  <c r="P29" i="128"/>
  <c r="AC28" i="128"/>
  <c r="P28" i="128"/>
  <c r="AC27" i="128"/>
  <c r="P27" i="128"/>
  <c r="AC26" i="128"/>
  <c r="P26" i="128"/>
  <c r="AC25" i="128"/>
  <c r="P25" i="128"/>
  <c r="AC24" i="128"/>
  <c r="P24" i="128"/>
  <c r="AC23" i="128"/>
  <c r="P23" i="128"/>
  <c r="AC22" i="128"/>
  <c r="P22" i="128"/>
  <c r="AC21" i="128"/>
  <c r="P21" i="128"/>
  <c r="AC20" i="128"/>
  <c r="P20" i="128"/>
  <c r="AC19" i="128"/>
  <c r="P19" i="128"/>
  <c r="AC18" i="128"/>
  <c r="P18" i="128"/>
  <c r="AC17" i="128"/>
  <c r="P17" i="128"/>
  <c r="AC16" i="128"/>
  <c r="P16" i="128"/>
  <c r="AC15" i="128"/>
  <c r="P15" i="128"/>
  <c r="AC14" i="128"/>
  <c r="P14" i="128"/>
  <c r="AC13" i="128"/>
  <c r="P13" i="128"/>
  <c r="AC12" i="128"/>
  <c r="P12" i="128"/>
  <c r="AC11" i="128"/>
  <c r="P11" i="128"/>
  <c r="AC10" i="128"/>
  <c r="P10" i="128"/>
  <c r="AC9" i="128"/>
  <c r="P9" i="128"/>
  <c r="AC8" i="128"/>
  <c r="P8" i="128"/>
  <c r="A7" i="128"/>
  <c r="A8" i="128"/>
  <c r="A9" i="128"/>
  <c r="A10" i="128"/>
  <c r="A11" i="128"/>
  <c r="A12" i="128"/>
  <c r="A13" i="128"/>
  <c r="A14" i="128"/>
  <c r="A15" i="128"/>
  <c r="A16" i="128"/>
  <c r="A17" i="128"/>
  <c r="A18" i="128"/>
  <c r="A19" i="128"/>
  <c r="A20" i="128"/>
  <c r="A21" i="128"/>
  <c r="A22" i="128"/>
  <c r="A23" i="128"/>
  <c r="A24" i="128"/>
  <c r="A25" i="128"/>
  <c r="A26" i="128"/>
  <c r="AC7" i="128"/>
  <c r="P7" i="128"/>
  <c r="AC6" i="128"/>
  <c r="P6" i="128"/>
  <c r="A108" i="126"/>
  <c r="AF108" i="126"/>
  <c r="A107" i="126"/>
  <c r="AF107" i="126"/>
  <c r="A106" i="126"/>
  <c r="AF106" i="126"/>
  <c r="A105" i="126"/>
  <c r="AF105" i="126"/>
  <c r="A104" i="126"/>
  <c r="AF104" i="126"/>
  <c r="A103" i="126"/>
  <c r="AF103" i="126"/>
  <c r="A102" i="126"/>
  <c r="AF102" i="126"/>
  <c r="A101" i="126"/>
  <c r="AF101" i="126"/>
  <c r="A100" i="126"/>
  <c r="AF100" i="126"/>
  <c r="A99" i="126"/>
  <c r="AF99" i="126"/>
  <c r="A98" i="126"/>
  <c r="AF98" i="126"/>
  <c r="A97" i="126"/>
  <c r="AF97" i="126"/>
  <c r="A96" i="126"/>
  <c r="AF96" i="126"/>
  <c r="A95" i="126"/>
  <c r="AF95" i="126"/>
  <c r="A94" i="126"/>
  <c r="AF94" i="126"/>
  <c r="A93" i="126"/>
  <c r="AF93" i="126"/>
  <c r="A92" i="126"/>
  <c r="AF92" i="126"/>
  <c r="A91" i="126"/>
  <c r="AF91" i="126"/>
  <c r="A90" i="126"/>
  <c r="AF90" i="126"/>
  <c r="A89" i="126"/>
  <c r="AF89" i="126"/>
  <c r="A88" i="126"/>
  <c r="AF88" i="126"/>
  <c r="A87" i="126"/>
  <c r="AF87" i="126"/>
  <c r="A86" i="126"/>
  <c r="AF86" i="126"/>
  <c r="A85" i="126"/>
  <c r="AF85" i="126"/>
  <c r="A84" i="126"/>
  <c r="AF84" i="126"/>
  <c r="A83" i="126"/>
  <c r="AF83" i="126"/>
  <c r="A82" i="126"/>
  <c r="AF82" i="126"/>
  <c r="A81" i="126"/>
  <c r="AF81" i="126"/>
  <c r="A80" i="126"/>
  <c r="AF80" i="126"/>
  <c r="A79" i="126"/>
  <c r="AF79" i="126"/>
  <c r="A78" i="126"/>
  <c r="AF78" i="126"/>
  <c r="A77" i="126"/>
  <c r="AF77" i="126"/>
  <c r="A76" i="126"/>
  <c r="AF76" i="126"/>
  <c r="A75" i="126"/>
  <c r="AF75" i="126"/>
  <c r="A74" i="126"/>
  <c r="AF74" i="126"/>
  <c r="A73" i="126"/>
  <c r="AF73" i="126"/>
  <c r="A72" i="126"/>
  <c r="AF72" i="126"/>
  <c r="A71" i="126"/>
  <c r="AF71" i="126"/>
  <c r="A70" i="126"/>
  <c r="AF70" i="126"/>
  <c r="A69" i="126"/>
  <c r="AF69" i="126"/>
  <c r="A68" i="126"/>
  <c r="AF68" i="126"/>
  <c r="A67" i="126"/>
  <c r="AF67" i="126"/>
  <c r="A66" i="126"/>
  <c r="AF66" i="126"/>
  <c r="A65" i="126"/>
  <c r="AF65" i="126"/>
  <c r="A64" i="126"/>
  <c r="AF64" i="126"/>
  <c r="A63" i="126"/>
  <c r="AF63" i="126"/>
  <c r="A62" i="126"/>
  <c r="AF62" i="126"/>
  <c r="A61" i="126"/>
  <c r="AF61" i="126"/>
  <c r="A60" i="126"/>
  <c r="AF60" i="126"/>
  <c r="A59" i="126"/>
  <c r="AF59" i="126"/>
  <c r="A58" i="126"/>
  <c r="AF58" i="126"/>
  <c r="A57" i="126"/>
  <c r="AF57" i="126"/>
  <c r="A56" i="126"/>
  <c r="AF56" i="126"/>
  <c r="A55" i="126"/>
  <c r="AF55" i="126"/>
  <c r="A54" i="126"/>
  <c r="AF54" i="126"/>
  <c r="A53" i="126"/>
  <c r="AF53" i="126"/>
  <c r="A52" i="126"/>
  <c r="AF52" i="126"/>
  <c r="A51" i="126"/>
  <c r="AF51" i="126"/>
  <c r="A50" i="126"/>
  <c r="AF50" i="126"/>
  <c r="A49" i="126"/>
  <c r="AF49" i="126"/>
  <c r="A48" i="126"/>
  <c r="AF48" i="126"/>
  <c r="A47" i="126"/>
  <c r="AF47" i="126"/>
  <c r="A46" i="126"/>
  <c r="AF46" i="126"/>
  <c r="A45" i="126"/>
  <c r="AF45" i="126"/>
  <c r="A44" i="126"/>
  <c r="AF44" i="126"/>
  <c r="A43" i="126"/>
  <c r="AF43" i="126"/>
  <c r="A42" i="126"/>
  <c r="AF42" i="126"/>
  <c r="A41" i="126"/>
  <c r="AF41" i="126"/>
  <c r="A40" i="126"/>
  <c r="AF40" i="126"/>
  <c r="A39" i="126"/>
  <c r="AF39" i="126"/>
  <c r="A38" i="126"/>
  <c r="AF38" i="126"/>
  <c r="A37" i="126"/>
  <c r="AF37" i="126"/>
  <c r="A36" i="126"/>
  <c r="AF36" i="126"/>
  <c r="A35" i="126"/>
  <c r="AF35" i="126"/>
  <c r="A34" i="126"/>
  <c r="AF34" i="126"/>
  <c r="A33" i="126"/>
  <c r="AF33" i="126"/>
  <c r="A32" i="126"/>
  <c r="AF32" i="126"/>
  <c r="A31" i="126"/>
  <c r="AF31" i="126"/>
  <c r="A30" i="126"/>
  <c r="AF30" i="126"/>
  <c r="A9" i="126"/>
  <c r="AF9" i="126"/>
  <c r="T8" i="126"/>
  <c r="G8" i="126"/>
  <c r="AZ117" i="125"/>
  <c r="C117" i="125"/>
  <c r="E117" i="125"/>
  <c r="F108" i="126"/>
  <c r="D117" i="125"/>
  <c r="AZ116" i="125"/>
  <c r="C116" i="125"/>
  <c r="E116" i="125"/>
  <c r="F107" i="126"/>
  <c r="D116" i="125"/>
  <c r="AZ115" i="125"/>
  <c r="C115" i="125"/>
  <c r="E115" i="125"/>
  <c r="F106" i="126"/>
  <c r="D115" i="125"/>
  <c r="AE115" i="125"/>
  <c r="AZ114" i="125"/>
  <c r="C114" i="125"/>
  <c r="E114" i="125"/>
  <c r="F105" i="126"/>
  <c r="D114" i="125"/>
  <c r="AZ113" i="125"/>
  <c r="C113" i="125"/>
  <c r="E113" i="125"/>
  <c r="F104" i="126"/>
  <c r="D113" i="125"/>
  <c r="AZ112" i="125"/>
  <c r="C112" i="125"/>
  <c r="E112" i="125"/>
  <c r="F103" i="126"/>
  <c r="D112" i="125"/>
  <c r="AZ111" i="125"/>
  <c r="C111" i="125"/>
  <c r="E111" i="125"/>
  <c r="F102" i="126"/>
  <c r="D111" i="125"/>
  <c r="AZ110" i="125"/>
  <c r="C110" i="125"/>
  <c r="E110" i="125"/>
  <c r="F101" i="126"/>
  <c r="D110" i="125"/>
  <c r="AZ109" i="125"/>
  <c r="C109" i="125"/>
  <c r="E109" i="125"/>
  <c r="F100" i="126"/>
  <c r="D109" i="125"/>
  <c r="AZ108" i="125"/>
  <c r="C108" i="125"/>
  <c r="E108" i="125"/>
  <c r="F99" i="126"/>
  <c r="D108" i="125"/>
  <c r="AZ107" i="125"/>
  <c r="C107" i="125"/>
  <c r="E107" i="125"/>
  <c r="F98" i="126"/>
  <c r="D107" i="125"/>
  <c r="AZ106" i="125"/>
  <c r="C106" i="125"/>
  <c r="E106" i="125"/>
  <c r="F97" i="126"/>
  <c r="D106" i="125"/>
  <c r="AZ105" i="125"/>
  <c r="C105" i="125"/>
  <c r="E105" i="125"/>
  <c r="F96" i="126"/>
  <c r="D105" i="125"/>
  <c r="AZ104" i="125"/>
  <c r="C104" i="125"/>
  <c r="E104" i="125"/>
  <c r="F95" i="126"/>
  <c r="D104" i="125"/>
  <c r="AZ103" i="125"/>
  <c r="C103" i="125"/>
  <c r="E103" i="125"/>
  <c r="F94" i="126"/>
  <c r="D103" i="125"/>
  <c r="AZ102" i="125"/>
  <c r="C102" i="125"/>
  <c r="E102" i="125"/>
  <c r="F93" i="126"/>
  <c r="D102" i="125"/>
  <c r="AZ101" i="125"/>
  <c r="C101" i="125"/>
  <c r="E101" i="125"/>
  <c r="F92" i="126"/>
  <c r="D101" i="125"/>
  <c r="AZ100" i="125"/>
  <c r="C100" i="125"/>
  <c r="E100" i="125"/>
  <c r="F91" i="126"/>
  <c r="D100" i="125"/>
  <c r="AZ99" i="125"/>
  <c r="C99" i="125"/>
  <c r="E99" i="125"/>
  <c r="F90" i="126"/>
  <c r="D99" i="125"/>
  <c r="AZ98" i="125"/>
  <c r="C98" i="125"/>
  <c r="E98" i="125"/>
  <c r="F89" i="126"/>
  <c r="D98" i="125"/>
  <c r="AZ97" i="125"/>
  <c r="C97" i="125"/>
  <c r="E97" i="125"/>
  <c r="F88" i="126"/>
  <c r="D97" i="125"/>
  <c r="AZ96" i="125"/>
  <c r="C96" i="125"/>
  <c r="E96" i="125"/>
  <c r="F87" i="126"/>
  <c r="D96" i="125"/>
  <c r="AZ95" i="125"/>
  <c r="C95" i="125"/>
  <c r="E95" i="125"/>
  <c r="F86" i="126"/>
  <c r="D95" i="125"/>
  <c r="AZ94" i="125"/>
  <c r="C94" i="125"/>
  <c r="E94" i="125"/>
  <c r="F85" i="126"/>
  <c r="D94" i="125"/>
  <c r="AZ93" i="125"/>
  <c r="C93" i="125"/>
  <c r="E93" i="125"/>
  <c r="F84" i="126"/>
  <c r="D93" i="125"/>
  <c r="AZ92" i="125"/>
  <c r="C92" i="125"/>
  <c r="E92" i="125"/>
  <c r="F83" i="126"/>
  <c r="D92" i="125"/>
  <c r="AZ91" i="125"/>
  <c r="C91" i="125"/>
  <c r="E91" i="125"/>
  <c r="F82" i="126"/>
  <c r="D91" i="125"/>
  <c r="AZ90" i="125"/>
  <c r="C90" i="125"/>
  <c r="E90" i="125"/>
  <c r="F81" i="126"/>
  <c r="D90" i="125"/>
  <c r="AZ89" i="125"/>
  <c r="C89" i="125"/>
  <c r="E89" i="125"/>
  <c r="F80" i="126"/>
  <c r="D89" i="125"/>
  <c r="AZ88" i="125"/>
  <c r="C88" i="125"/>
  <c r="E88" i="125"/>
  <c r="D88" i="125"/>
  <c r="AZ87" i="125"/>
  <c r="C87" i="125"/>
  <c r="E87" i="125"/>
  <c r="F78" i="126"/>
  <c r="D87" i="125"/>
  <c r="AZ86" i="125"/>
  <c r="C86" i="125"/>
  <c r="E86" i="125"/>
  <c r="F77" i="126"/>
  <c r="D86" i="125"/>
  <c r="AE86" i="125"/>
  <c r="AZ85" i="125"/>
  <c r="C85" i="125"/>
  <c r="E85" i="125"/>
  <c r="F76" i="126"/>
  <c r="D85" i="125"/>
  <c r="AZ84" i="125"/>
  <c r="C84" i="125"/>
  <c r="E84" i="125"/>
  <c r="D84" i="125"/>
  <c r="AZ83" i="125"/>
  <c r="C83" i="125"/>
  <c r="E83" i="125"/>
  <c r="F74" i="126"/>
  <c r="D83" i="125"/>
  <c r="AZ82" i="125"/>
  <c r="C82" i="125"/>
  <c r="E82" i="125"/>
  <c r="F73" i="126"/>
  <c r="D82" i="125"/>
  <c r="AZ81" i="125"/>
  <c r="C81" i="125"/>
  <c r="E81" i="125"/>
  <c r="F72" i="126"/>
  <c r="D81" i="125"/>
  <c r="AZ80" i="125"/>
  <c r="C80" i="125"/>
  <c r="E80" i="125"/>
  <c r="F71" i="126"/>
  <c r="D80" i="125"/>
  <c r="AZ79" i="125"/>
  <c r="C79" i="125"/>
  <c r="E79" i="125"/>
  <c r="F70" i="126"/>
  <c r="D79" i="125"/>
  <c r="AZ78" i="125"/>
  <c r="C78" i="125"/>
  <c r="E78" i="125"/>
  <c r="F69" i="126"/>
  <c r="D78" i="125"/>
  <c r="AZ77" i="125"/>
  <c r="C77" i="125"/>
  <c r="E77" i="125"/>
  <c r="F68" i="126"/>
  <c r="D77" i="125"/>
  <c r="AZ76" i="125"/>
  <c r="C76" i="125"/>
  <c r="E76" i="125"/>
  <c r="F67" i="126"/>
  <c r="D76" i="125"/>
  <c r="AZ75" i="125"/>
  <c r="C75" i="125"/>
  <c r="E75" i="125"/>
  <c r="F66" i="126"/>
  <c r="D75" i="125"/>
  <c r="AZ74" i="125"/>
  <c r="C74" i="125"/>
  <c r="E74" i="125"/>
  <c r="F65" i="126"/>
  <c r="D74" i="125"/>
  <c r="AE74" i="125"/>
  <c r="AZ73" i="125"/>
  <c r="C73" i="125"/>
  <c r="E73" i="125"/>
  <c r="F64" i="126"/>
  <c r="D73" i="125"/>
  <c r="AZ72" i="125"/>
  <c r="C72" i="125"/>
  <c r="E72" i="125"/>
  <c r="F63" i="126"/>
  <c r="D72" i="125"/>
  <c r="AZ71" i="125"/>
  <c r="C71" i="125"/>
  <c r="E71" i="125"/>
  <c r="F62" i="126"/>
  <c r="D71" i="125"/>
  <c r="AZ70" i="125"/>
  <c r="C70" i="125"/>
  <c r="E70" i="125"/>
  <c r="F61" i="126"/>
  <c r="D70" i="125"/>
  <c r="AZ69" i="125"/>
  <c r="C69" i="125"/>
  <c r="E69" i="125"/>
  <c r="F60" i="126"/>
  <c r="T60" i="126"/>
  <c r="D69" i="125"/>
  <c r="AZ68" i="125"/>
  <c r="C68" i="125"/>
  <c r="E68" i="125"/>
  <c r="D68" i="125"/>
  <c r="AZ67" i="125"/>
  <c r="C67" i="125"/>
  <c r="E67" i="125"/>
  <c r="F58" i="126"/>
  <c r="D67" i="125"/>
  <c r="AZ66" i="125"/>
  <c r="C66" i="125"/>
  <c r="E66" i="125"/>
  <c r="F57" i="126"/>
  <c r="D66" i="125"/>
  <c r="AZ65" i="125"/>
  <c r="C65" i="125"/>
  <c r="E65" i="125"/>
  <c r="F56" i="126"/>
  <c r="D65" i="125"/>
  <c r="AZ64" i="125"/>
  <c r="C64" i="125"/>
  <c r="E64" i="125"/>
  <c r="F55" i="126"/>
  <c r="D64" i="125"/>
  <c r="AZ63" i="125"/>
  <c r="C63" i="125"/>
  <c r="E63" i="125"/>
  <c r="F54" i="126"/>
  <c r="D63" i="125"/>
  <c r="AZ62" i="125"/>
  <c r="C62" i="125"/>
  <c r="E62" i="125"/>
  <c r="F53" i="126"/>
  <c r="D62" i="125"/>
  <c r="AZ61" i="125"/>
  <c r="C61" i="125"/>
  <c r="E61" i="125"/>
  <c r="F52" i="126"/>
  <c r="D61" i="125"/>
  <c r="AZ60" i="125"/>
  <c r="C60" i="125"/>
  <c r="E60" i="125"/>
  <c r="F51" i="126"/>
  <c r="D60" i="125"/>
  <c r="AZ59" i="125"/>
  <c r="C59" i="125"/>
  <c r="E59" i="125"/>
  <c r="F50" i="126"/>
  <c r="D59" i="125"/>
  <c r="AZ58" i="125"/>
  <c r="C58" i="125"/>
  <c r="E58" i="125"/>
  <c r="F49" i="126"/>
  <c r="D58" i="125"/>
  <c r="AE58" i="125"/>
  <c r="AZ57" i="125"/>
  <c r="C57" i="125"/>
  <c r="E57" i="125"/>
  <c r="F48" i="126"/>
  <c r="T48" i="126"/>
  <c r="D57" i="125"/>
  <c r="AZ56" i="125"/>
  <c r="C56" i="125"/>
  <c r="E56" i="125"/>
  <c r="F47" i="126"/>
  <c r="D56" i="125"/>
  <c r="AZ55" i="125"/>
  <c r="C55" i="125"/>
  <c r="E55" i="125"/>
  <c r="F46" i="126"/>
  <c r="D55" i="125"/>
  <c r="AZ54" i="125"/>
  <c r="C54" i="125"/>
  <c r="E54" i="125"/>
  <c r="F45" i="126"/>
  <c r="D54" i="125"/>
  <c r="AZ53" i="125"/>
  <c r="C53" i="125"/>
  <c r="E53" i="125"/>
  <c r="F44" i="126"/>
  <c r="D53" i="125"/>
  <c r="AZ52" i="125"/>
  <c r="C52" i="125"/>
  <c r="E52" i="125"/>
  <c r="F43" i="126"/>
  <c r="D52" i="125"/>
  <c r="AZ51" i="125"/>
  <c r="C51" i="125"/>
  <c r="E51" i="125"/>
  <c r="F42" i="126"/>
  <c r="D51" i="125"/>
  <c r="AZ50" i="125"/>
  <c r="C50" i="125"/>
  <c r="E50" i="125"/>
  <c r="F41" i="126"/>
  <c r="D50" i="125"/>
  <c r="AZ49" i="125"/>
  <c r="C49" i="125"/>
  <c r="E49" i="125"/>
  <c r="F40" i="126"/>
  <c r="D49" i="125"/>
  <c r="AZ48" i="125"/>
  <c r="C48" i="125"/>
  <c r="E48" i="125"/>
  <c r="D48" i="125"/>
  <c r="AZ47" i="125"/>
  <c r="C47" i="125"/>
  <c r="E47" i="125"/>
  <c r="F38" i="126"/>
  <c r="D47" i="125"/>
  <c r="AZ46" i="125"/>
  <c r="C46" i="125"/>
  <c r="E46" i="125"/>
  <c r="F37" i="126"/>
  <c r="D46" i="125"/>
  <c r="AZ45" i="125"/>
  <c r="C45" i="125"/>
  <c r="E45" i="125"/>
  <c r="F36" i="126"/>
  <c r="D45" i="125"/>
  <c r="AZ44" i="125"/>
  <c r="C44" i="125"/>
  <c r="E44" i="125"/>
  <c r="F35" i="126"/>
  <c r="D44" i="125"/>
  <c r="AZ43" i="125"/>
  <c r="C43" i="125"/>
  <c r="E43" i="125"/>
  <c r="F34" i="126"/>
  <c r="D43" i="125"/>
  <c r="AZ42" i="125"/>
  <c r="C42" i="125"/>
  <c r="E42" i="125"/>
  <c r="F33" i="126"/>
  <c r="D42" i="125"/>
  <c r="AE42" i="125"/>
  <c r="AZ41" i="125"/>
  <c r="C41" i="125"/>
  <c r="E41" i="125"/>
  <c r="F32" i="126"/>
  <c r="T32" i="126"/>
  <c r="D41" i="125"/>
  <c r="AZ40" i="125"/>
  <c r="C40" i="125"/>
  <c r="E40" i="125"/>
  <c r="D40" i="125"/>
  <c r="AZ39" i="125"/>
  <c r="C39" i="125"/>
  <c r="E39" i="125"/>
  <c r="F30" i="126"/>
  <c r="D39" i="125"/>
  <c r="AZ38" i="125"/>
  <c r="C38" i="125"/>
  <c r="E38" i="125"/>
  <c r="F29" i="126"/>
  <c r="T29" i="126"/>
  <c r="D38" i="125"/>
  <c r="AZ37" i="125"/>
  <c r="C37" i="125"/>
  <c r="E37" i="125"/>
  <c r="F28" i="126"/>
  <c r="D37" i="125"/>
  <c r="AZ36" i="125"/>
  <c r="C36" i="125"/>
  <c r="E36" i="125"/>
  <c r="F27" i="126"/>
  <c r="D36" i="125"/>
  <c r="AZ35" i="125"/>
  <c r="E35" i="125"/>
  <c r="F26" i="126"/>
  <c r="D35" i="125"/>
  <c r="AE35" i="125"/>
  <c r="AZ34" i="125"/>
  <c r="C34" i="125"/>
  <c r="E34" i="125"/>
  <c r="F25" i="126"/>
  <c r="T25" i="126"/>
  <c r="D34" i="125"/>
  <c r="AE34" i="125"/>
  <c r="AZ33" i="125"/>
  <c r="C33" i="125"/>
  <c r="E33" i="125"/>
  <c r="F24" i="126"/>
  <c r="T24" i="126"/>
  <c r="D33" i="125"/>
  <c r="AZ32" i="125"/>
  <c r="C32" i="125"/>
  <c r="E32" i="125"/>
  <c r="F23" i="126"/>
  <c r="D32" i="125"/>
  <c r="AZ31" i="125"/>
  <c r="C31" i="125"/>
  <c r="E31" i="125"/>
  <c r="F22" i="126"/>
  <c r="D31" i="125"/>
  <c r="AZ30" i="125"/>
  <c r="C30" i="125"/>
  <c r="E30" i="125"/>
  <c r="F21" i="126"/>
  <c r="D30" i="125"/>
  <c r="AZ29" i="125"/>
  <c r="C29" i="125"/>
  <c r="E29" i="125"/>
  <c r="F20" i="126"/>
  <c r="T20" i="126"/>
  <c r="D29" i="125"/>
  <c r="AZ28" i="125"/>
  <c r="C28" i="125"/>
  <c r="E28" i="125"/>
  <c r="F19" i="126"/>
  <c r="D28" i="125"/>
  <c r="AZ27" i="125"/>
  <c r="C27" i="125"/>
  <c r="E27" i="125"/>
  <c r="F18" i="126"/>
  <c r="D27" i="125"/>
  <c r="AZ26" i="125"/>
  <c r="C26" i="125"/>
  <c r="E26" i="125"/>
  <c r="F17" i="126"/>
  <c r="D26" i="125"/>
  <c r="AE26" i="125"/>
  <c r="AZ25" i="125"/>
  <c r="C25" i="125"/>
  <c r="E25" i="125"/>
  <c r="F16" i="126"/>
  <c r="D25" i="125"/>
  <c r="AZ24" i="125"/>
  <c r="C24" i="125"/>
  <c r="E24" i="125"/>
  <c r="F15" i="126"/>
  <c r="D24" i="125"/>
  <c r="AZ23" i="125"/>
  <c r="C23" i="125"/>
  <c r="E23" i="125"/>
  <c r="F14" i="126"/>
  <c r="D23" i="125"/>
  <c r="AE23" i="125"/>
  <c r="AZ22" i="125"/>
  <c r="C22" i="125"/>
  <c r="E22" i="125"/>
  <c r="F13" i="126"/>
  <c r="T13" i="126"/>
  <c r="D22" i="125"/>
  <c r="AE22" i="125"/>
  <c r="AZ21" i="125"/>
  <c r="C21" i="125"/>
  <c r="E21" i="125"/>
  <c r="D21" i="125"/>
  <c r="AZ20" i="125"/>
  <c r="C20" i="125"/>
  <c r="E20" i="125"/>
  <c r="F11" i="126"/>
  <c r="T11" i="126"/>
  <c r="D20" i="125"/>
  <c r="AZ19" i="125"/>
  <c r="C19" i="125"/>
  <c r="E19" i="125"/>
  <c r="F10" i="126"/>
  <c r="D19" i="125"/>
  <c r="AE19" i="125"/>
  <c r="A19" i="125"/>
  <c r="AZ18" i="125"/>
  <c r="C18" i="125"/>
  <c r="E18" i="125"/>
  <c r="D18" i="125"/>
  <c r="AE18" i="125"/>
  <c r="N8" i="125"/>
  <c r="K8" i="125"/>
  <c r="AE25" i="125"/>
  <c r="AE59" i="125"/>
  <c r="AE60" i="125"/>
  <c r="AE61" i="125"/>
  <c r="AE90" i="125"/>
  <c r="AE97" i="125"/>
  <c r="AE99" i="125"/>
  <c r="AE39" i="125"/>
  <c r="AE57" i="125"/>
  <c r="AE33" i="125"/>
  <c r="AE55" i="125"/>
  <c r="AE44" i="125"/>
  <c r="AE77" i="125"/>
  <c r="AE56" i="125"/>
  <c r="AE67" i="125"/>
  <c r="AE69" i="125"/>
  <c r="AE43" i="125"/>
  <c r="AE76" i="125"/>
  <c r="AE78" i="125"/>
  <c r="AE101" i="125"/>
  <c r="AE103" i="125"/>
  <c r="AE37" i="125"/>
  <c r="AE50" i="125"/>
  <c r="AE52" i="125"/>
  <c r="AE54" i="125"/>
  <c r="AE71" i="125"/>
  <c r="AE82" i="125"/>
  <c r="AE106" i="125"/>
  <c r="AE117" i="125"/>
  <c r="AE46" i="125"/>
  <c r="AE65" i="125"/>
  <c r="AE104" i="125"/>
  <c r="AE20" i="125"/>
  <c r="AE83" i="125"/>
  <c r="AE27" i="125"/>
  <c r="AE102" i="125"/>
  <c r="AE62" i="125"/>
  <c r="AE64" i="125"/>
  <c r="AE72" i="125"/>
  <c r="AE105" i="125"/>
  <c r="AE107" i="125"/>
  <c r="AE109" i="125"/>
  <c r="AE111" i="125"/>
  <c r="AE96" i="125"/>
  <c r="AE41" i="125"/>
  <c r="AE31" i="125"/>
  <c r="AE63" i="125"/>
  <c r="AE91" i="125"/>
  <c r="AE93" i="125"/>
  <c r="AE95" i="125"/>
  <c r="AE110" i="125"/>
  <c r="AE114" i="125"/>
  <c r="AE38" i="125"/>
  <c r="AE73" i="125"/>
  <c r="AE75" i="125"/>
  <c r="AE85" i="125"/>
  <c r="AE87" i="125"/>
  <c r="AE94" i="125"/>
  <c r="AE28" i="125"/>
  <c r="AE30" i="125"/>
  <c r="AE47" i="125"/>
  <c r="AE51" i="125"/>
  <c r="AE79" i="125"/>
  <c r="AE81" i="125"/>
  <c r="AE98" i="125"/>
  <c r="T15" i="126"/>
  <c r="T19" i="126"/>
  <c r="T49" i="126"/>
  <c r="T40" i="126"/>
  <c r="T17" i="126"/>
  <c r="AE49" i="125"/>
  <c r="T41" i="126"/>
  <c r="T56" i="126"/>
  <c r="T23" i="126"/>
  <c r="Q118" i="125"/>
  <c r="AE36" i="125"/>
  <c r="T27" i="126"/>
  <c r="AE66" i="125"/>
  <c r="F9" i="126"/>
  <c r="T33" i="126"/>
  <c r="T57" i="126"/>
  <c r="T10" i="126"/>
  <c r="T14" i="126"/>
  <c r="T18" i="126"/>
  <c r="T22" i="126"/>
  <c r="T26" i="126"/>
  <c r="T47" i="126"/>
  <c r="T55" i="126"/>
  <c r="T63" i="126"/>
  <c r="T34" i="126"/>
  <c r="T42" i="126"/>
  <c r="T50" i="126"/>
  <c r="T58" i="126"/>
  <c r="T66" i="126"/>
  <c r="T67" i="126"/>
  <c r="T69" i="126"/>
  <c r="F79" i="126"/>
  <c r="AE88" i="125"/>
  <c r="T16" i="126"/>
  <c r="T28" i="126"/>
  <c r="T35" i="126"/>
  <c r="T43" i="126"/>
  <c r="T51" i="126"/>
  <c r="AE70" i="125"/>
  <c r="T72" i="126"/>
  <c r="T36" i="126"/>
  <c r="T44" i="126"/>
  <c r="T52" i="126"/>
  <c r="T61" i="126"/>
  <c r="T64" i="126"/>
  <c r="T65" i="126"/>
  <c r="T21" i="126"/>
  <c r="AE45" i="125"/>
  <c r="T37" i="126"/>
  <c r="AE53" i="125"/>
  <c r="T45" i="126"/>
  <c r="T53" i="126"/>
  <c r="T73" i="126"/>
  <c r="T30" i="126"/>
  <c r="T38" i="126"/>
  <c r="T46" i="126"/>
  <c r="T54" i="126"/>
  <c r="T88" i="126"/>
  <c r="T103" i="126"/>
  <c r="T71" i="126"/>
  <c r="AE80" i="125"/>
  <c r="AE89" i="125"/>
  <c r="AE112" i="125"/>
  <c r="T104" i="126"/>
  <c r="T80" i="126"/>
  <c r="T95" i="126"/>
  <c r="T96" i="126"/>
  <c r="T87" i="126"/>
  <c r="T62" i="126"/>
  <c r="T70" i="126"/>
  <c r="T78" i="126"/>
  <c r="T86" i="126"/>
  <c r="T94" i="126"/>
  <c r="T102" i="126"/>
  <c r="T81" i="126"/>
  <c r="T89" i="126"/>
  <c r="T97" i="126"/>
  <c r="T105" i="126"/>
  <c r="T74" i="126"/>
  <c r="T82" i="126"/>
  <c r="T90" i="126"/>
  <c r="T98" i="126"/>
  <c r="T106" i="126"/>
  <c r="AE116" i="125"/>
  <c r="T83" i="126"/>
  <c r="T91" i="126"/>
  <c r="T99" i="126"/>
  <c r="T107" i="126"/>
  <c r="T68" i="126"/>
  <c r="T76" i="126"/>
  <c r="AE92" i="125"/>
  <c r="T84" i="126"/>
  <c r="AE100" i="125"/>
  <c r="T92" i="126"/>
  <c r="AE108" i="125"/>
  <c r="T100" i="126"/>
  <c r="T77" i="126"/>
  <c r="T85" i="126"/>
  <c r="T93" i="126"/>
  <c r="T101" i="126"/>
  <c r="T108" i="126"/>
  <c r="AC107" i="128"/>
  <c r="P107" i="128"/>
  <c r="H107" i="128"/>
  <c r="T79" i="126"/>
  <c r="T9" i="126"/>
  <c r="J64" i="71"/>
  <c r="J62" i="71"/>
  <c r="J61" i="71"/>
  <c r="J59" i="71"/>
  <c r="J5" i="71"/>
  <c r="J58" i="71"/>
  <c r="J56" i="71"/>
  <c r="J54" i="71"/>
  <c r="J53" i="71"/>
  <c r="J52" i="71"/>
  <c r="J51" i="71"/>
  <c r="J50" i="71"/>
  <c r="J47" i="71"/>
  <c r="J46" i="71"/>
  <c r="J45" i="71"/>
  <c r="J44" i="71"/>
  <c r="J43" i="71"/>
  <c r="J42" i="71"/>
  <c r="J60" i="71"/>
  <c r="J41" i="71"/>
  <c r="J40" i="71"/>
  <c r="J39" i="71"/>
  <c r="J38" i="71"/>
  <c r="J36" i="71"/>
  <c r="J37" i="71"/>
  <c r="J35" i="71"/>
  <c r="J34" i="71"/>
  <c r="J33" i="71"/>
  <c r="J32" i="71"/>
  <c r="J31" i="71"/>
  <c r="J27" i="71"/>
  <c r="J24" i="71"/>
  <c r="J22" i="71"/>
  <c r="J20" i="71"/>
  <c r="J19" i="71"/>
  <c r="J15" i="71"/>
  <c r="J13" i="71"/>
  <c r="J6" i="71"/>
  <c r="J4" i="71"/>
  <c r="P13" i="77"/>
  <c r="P15" i="77"/>
  <c r="F4" i="69"/>
  <c r="P13" i="89"/>
  <c r="P15" i="89"/>
  <c r="F13" i="69"/>
  <c r="P13" i="91"/>
  <c r="P15" i="91"/>
  <c r="F14" i="69"/>
  <c r="F36" i="69"/>
  <c r="J63" i="71"/>
  <c r="B20" i="122"/>
  <c r="D20" i="122"/>
  <c r="J30" i="71"/>
  <c r="B19" i="122"/>
  <c r="D19" i="122"/>
  <c r="J29" i="71"/>
  <c r="B18" i="122"/>
  <c r="D18" i="122"/>
  <c r="J18" i="71"/>
  <c r="B17" i="122"/>
  <c r="D17" i="122"/>
  <c r="J28" i="71"/>
  <c r="B16" i="122"/>
  <c r="D16" i="122"/>
  <c r="J26" i="71"/>
  <c r="B15" i="122"/>
  <c r="D15" i="122"/>
  <c r="J25" i="71"/>
  <c r="J49" i="71"/>
  <c r="B14" i="122"/>
  <c r="D14" i="122"/>
  <c r="J23" i="71"/>
  <c r="B12" i="122"/>
  <c r="D12" i="122"/>
  <c r="J17" i="71"/>
  <c r="B11" i="122"/>
  <c r="D11" i="122"/>
  <c r="J16" i="71"/>
  <c r="B10" i="122"/>
  <c r="D10" i="122"/>
  <c r="J14" i="71"/>
  <c r="B9" i="122"/>
  <c r="D9" i="122"/>
  <c r="J12" i="71"/>
  <c r="B8" i="122"/>
  <c r="D8" i="122"/>
  <c r="J11" i="71"/>
  <c r="B7" i="122"/>
  <c r="D7" i="122"/>
  <c r="J10" i="71"/>
  <c r="B6" i="122"/>
  <c r="D6" i="122"/>
  <c r="J9" i="71"/>
  <c r="B5" i="122"/>
  <c r="D5" i="122"/>
  <c r="J8" i="71"/>
  <c r="J65" i="71"/>
  <c r="J57" i="71"/>
  <c r="B4" i="122"/>
  <c r="D4" i="122"/>
  <c r="B3" i="122"/>
  <c r="D3" i="122"/>
  <c r="J48" i="71"/>
  <c r="B2" i="122"/>
  <c r="D2" i="122"/>
  <c r="J55" i="71"/>
  <c r="J21" i="71"/>
  <c r="B1" i="122"/>
  <c r="D1" i="122"/>
  <c r="J7" i="71"/>
  <c r="D6" i="121"/>
  <c r="D11" i="121"/>
  <c r="B8" i="121"/>
  <c r="B13" i="121"/>
  <c r="B7" i="121"/>
  <c r="B12" i="121"/>
  <c r="C6" i="121"/>
  <c r="C11" i="121"/>
  <c r="C16" i="121"/>
  <c r="P13" i="117"/>
  <c r="P15" i="117"/>
  <c r="F30" i="69"/>
  <c r="R10" i="117"/>
  <c r="S10" i="117"/>
  <c r="P13" i="116"/>
  <c r="P15" i="116"/>
  <c r="B30" i="69"/>
  <c r="R10" i="116"/>
  <c r="S10" i="116"/>
  <c r="P13" i="115"/>
  <c r="P15" i="115"/>
  <c r="R10" i="115"/>
  <c r="S10" i="115"/>
  <c r="P13" i="114"/>
  <c r="P15" i="114"/>
  <c r="R10" i="114"/>
  <c r="S10" i="114"/>
  <c r="P13" i="113"/>
  <c r="P15" i="113"/>
  <c r="R10" i="113"/>
  <c r="S10" i="113"/>
  <c r="P13" i="112"/>
  <c r="P15" i="112"/>
  <c r="R10" i="112"/>
  <c r="S10" i="112"/>
  <c r="P13" i="111"/>
  <c r="P15" i="111"/>
  <c r="R10" i="111"/>
  <c r="S10" i="111"/>
  <c r="P13" i="110"/>
  <c r="P15" i="110"/>
  <c r="R10" i="110"/>
  <c r="S10" i="110"/>
  <c r="P13" i="109"/>
  <c r="P15" i="109"/>
  <c r="F25" i="69"/>
  <c r="R10" i="109"/>
  <c r="S10" i="109"/>
  <c r="P13" i="108"/>
  <c r="P15" i="108"/>
  <c r="B25" i="69"/>
  <c r="R10" i="108"/>
  <c r="S10" i="108"/>
  <c r="P13" i="107"/>
  <c r="P15" i="107"/>
  <c r="R10" i="107"/>
  <c r="S10" i="107"/>
  <c r="P13" i="106"/>
  <c r="P15" i="106"/>
  <c r="R10" i="106"/>
  <c r="S10" i="106"/>
  <c r="P13" i="105"/>
  <c r="P15" i="105"/>
  <c r="F23" i="69"/>
  <c r="R10" i="105"/>
  <c r="S10" i="105"/>
  <c r="P13" i="104"/>
  <c r="P15" i="104"/>
  <c r="B23" i="69"/>
  <c r="R10" i="104"/>
  <c r="S10" i="104"/>
  <c r="P13" i="103"/>
  <c r="P15" i="103"/>
  <c r="R10" i="103"/>
  <c r="S10" i="103"/>
  <c r="P13" i="102"/>
  <c r="P15" i="102"/>
  <c r="R10" i="102"/>
  <c r="S10" i="102"/>
  <c r="P13" i="101"/>
  <c r="P15" i="101"/>
  <c r="R10" i="101"/>
  <c r="S10" i="101"/>
  <c r="P13" i="100"/>
  <c r="P15" i="100"/>
  <c r="R10" i="100"/>
  <c r="S10" i="100"/>
  <c r="P13" i="99"/>
  <c r="P15" i="99"/>
  <c r="R10" i="99"/>
  <c r="S10" i="99"/>
  <c r="P13" i="98"/>
  <c r="P15" i="98"/>
  <c r="R10" i="98"/>
  <c r="S10" i="98"/>
  <c r="P13" i="97"/>
  <c r="P15" i="97"/>
  <c r="F19" i="69"/>
  <c r="R10" i="97"/>
  <c r="S10" i="97"/>
  <c r="P13" i="96"/>
  <c r="P15" i="96"/>
  <c r="R10" i="96"/>
  <c r="S10" i="96"/>
  <c r="P13" i="95"/>
  <c r="P15" i="95"/>
  <c r="R10" i="95"/>
  <c r="S10" i="95"/>
  <c r="P13" i="94"/>
  <c r="P15" i="94"/>
  <c r="R10" i="94"/>
  <c r="S10" i="94"/>
  <c r="P13" i="93"/>
  <c r="P15" i="93"/>
  <c r="R10" i="93"/>
  <c r="S10" i="93"/>
  <c r="P13" i="92"/>
  <c r="P15" i="92"/>
  <c r="R10" i="92"/>
  <c r="S10" i="92"/>
  <c r="R10" i="91"/>
  <c r="S10" i="91"/>
  <c r="P13" i="90"/>
  <c r="P15" i="90"/>
  <c r="R10" i="90"/>
  <c r="S10" i="90"/>
  <c r="R10" i="89"/>
  <c r="S10" i="89"/>
  <c r="P13" i="88"/>
  <c r="P15" i="88"/>
  <c r="R10" i="88"/>
  <c r="S10" i="88"/>
  <c r="P13" i="87"/>
  <c r="P15" i="87"/>
  <c r="R10" i="87"/>
  <c r="S10" i="87"/>
  <c r="P13" i="86"/>
  <c r="P15" i="86"/>
  <c r="R10" i="86"/>
  <c r="S10" i="86"/>
  <c r="P13" i="85"/>
  <c r="P15" i="85"/>
  <c r="R10" i="85"/>
  <c r="S10" i="85"/>
  <c r="P13" i="84"/>
  <c r="P15" i="84"/>
  <c r="B9" i="69"/>
  <c r="R10" i="84"/>
  <c r="S10" i="84"/>
  <c r="P13" i="83"/>
  <c r="P15" i="83"/>
  <c r="R10" i="83"/>
  <c r="S10" i="83"/>
  <c r="P13" i="82"/>
  <c r="P15" i="82"/>
  <c r="R10" i="82"/>
  <c r="S10" i="82"/>
  <c r="P13" i="81"/>
  <c r="P15" i="81"/>
  <c r="F7" i="69"/>
  <c r="R10" i="81"/>
  <c r="S10" i="81"/>
  <c r="P13" i="80"/>
  <c r="P15" i="80"/>
  <c r="B7" i="69"/>
  <c r="R10" i="80"/>
  <c r="S10" i="80"/>
  <c r="P13" i="79"/>
  <c r="P15" i="79"/>
  <c r="R10" i="79"/>
  <c r="S10" i="79"/>
  <c r="P13" i="78"/>
  <c r="P15" i="78"/>
  <c r="R10" i="78"/>
  <c r="S10" i="78"/>
  <c r="R10" i="77"/>
  <c r="S10" i="77"/>
  <c r="P13" i="76"/>
  <c r="P15" i="76"/>
  <c r="B4" i="69"/>
  <c r="R10" i="76"/>
  <c r="S10" i="76"/>
  <c r="I116" i="75"/>
  <c r="G116" i="75"/>
  <c r="I115" i="75"/>
  <c r="G115" i="75"/>
  <c r="I114" i="75"/>
  <c r="G114" i="75"/>
  <c r="H114" i="75"/>
  <c r="I113" i="75"/>
  <c r="G113" i="75"/>
  <c r="I112" i="75"/>
  <c r="G112" i="75"/>
  <c r="H112" i="75"/>
  <c r="I111" i="75"/>
  <c r="G111" i="75"/>
  <c r="H111" i="75"/>
  <c r="I110" i="75"/>
  <c r="G110" i="75"/>
  <c r="H110" i="75"/>
  <c r="I109" i="75"/>
  <c r="G109" i="75"/>
  <c r="I107" i="75"/>
  <c r="G107" i="75"/>
  <c r="H107" i="75"/>
  <c r="I106" i="75"/>
  <c r="G106" i="75"/>
  <c r="I105" i="75"/>
  <c r="G105" i="75"/>
  <c r="I104" i="75"/>
  <c r="G104" i="75"/>
  <c r="H104" i="75"/>
  <c r="I103" i="75"/>
  <c r="G103" i="75"/>
  <c r="H103" i="75"/>
  <c r="I102" i="75"/>
  <c r="G102" i="75"/>
  <c r="H102" i="75"/>
  <c r="I101" i="75"/>
  <c r="G101" i="75"/>
  <c r="H101" i="75"/>
  <c r="I100" i="75"/>
  <c r="G100" i="75"/>
  <c r="H100" i="75"/>
  <c r="I99" i="75"/>
  <c r="G99" i="75"/>
  <c r="I98" i="75"/>
  <c r="G98" i="75"/>
  <c r="H98" i="75"/>
  <c r="I97" i="75"/>
  <c r="G97" i="75"/>
  <c r="I96" i="75"/>
  <c r="G96" i="75"/>
  <c r="H96" i="75"/>
  <c r="I95" i="75"/>
  <c r="G95" i="75"/>
  <c r="H95" i="75"/>
  <c r="I94" i="75"/>
  <c r="G94" i="75"/>
  <c r="H94" i="75"/>
  <c r="I93" i="75"/>
  <c r="G93" i="75"/>
  <c r="H93" i="75"/>
  <c r="I92" i="75"/>
  <c r="G92" i="75"/>
  <c r="H92" i="75"/>
  <c r="I91" i="75"/>
  <c r="G91" i="75"/>
  <c r="H91" i="75"/>
  <c r="I90" i="75"/>
  <c r="G90" i="75"/>
  <c r="H90" i="75"/>
  <c r="I89" i="75"/>
  <c r="G89" i="75"/>
  <c r="I88" i="75"/>
  <c r="G88" i="75"/>
  <c r="H88" i="75"/>
  <c r="I87" i="75"/>
  <c r="G87" i="75"/>
  <c r="H87" i="75"/>
  <c r="I86" i="75"/>
  <c r="G86" i="75"/>
  <c r="H86" i="75"/>
  <c r="I85" i="75"/>
  <c r="G85" i="75"/>
  <c r="H85" i="75"/>
  <c r="I84" i="75"/>
  <c r="G84" i="75"/>
  <c r="H84" i="75"/>
  <c r="I83" i="75"/>
  <c r="G83" i="75"/>
  <c r="H83" i="75"/>
  <c r="I82" i="75"/>
  <c r="G82" i="75"/>
  <c r="H82" i="75"/>
  <c r="I81" i="75"/>
  <c r="G81" i="75"/>
  <c r="I80" i="75"/>
  <c r="G80" i="75"/>
  <c r="H80" i="75"/>
  <c r="I79" i="75"/>
  <c r="G79" i="75"/>
  <c r="H79" i="75"/>
  <c r="I78" i="75"/>
  <c r="G78" i="75"/>
  <c r="H78" i="75"/>
  <c r="I77" i="75"/>
  <c r="G77" i="75"/>
  <c r="H77" i="75"/>
  <c r="I76" i="75"/>
  <c r="G76" i="75"/>
  <c r="H76" i="75"/>
  <c r="I75" i="75"/>
  <c r="G75" i="75"/>
  <c r="H75" i="75"/>
  <c r="I74" i="75"/>
  <c r="G74" i="75"/>
  <c r="H74" i="75"/>
  <c r="I73" i="75"/>
  <c r="G73" i="75"/>
  <c r="H73" i="75"/>
  <c r="I72" i="75"/>
  <c r="G72" i="75"/>
  <c r="H72" i="75"/>
  <c r="I71" i="75"/>
  <c r="G71" i="75"/>
  <c r="I70" i="75"/>
  <c r="G70" i="75"/>
  <c r="H70" i="75"/>
  <c r="I69" i="75"/>
  <c r="G69" i="75"/>
  <c r="G65" i="75"/>
  <c r="G66" i="75"/>
  <c r="G67" i="75"/>
  <c r="G68" i="75"/>
  <c r="G108" i="75"/>
  <c r="I68" i="75"/>
  <c r="H68" i="75"/>
  <c r="I67" i="75"/>
  <c r="H67" i="75"/>
  <c r="I66" i="75"/>
  <c r="H66" i="75"/>
  <c r="I65" i="75"/>
  <c r="I63" i="75"/>
  <c r="G63" i="75"/>
  <c r="H63" i="75"/>
  <c r="I62" i="75"/>
  <c r="G62" i="75"/>
  <c r="H62" i="75"/>
  <c r="I61" i="75"/>
  <c r="G61" i="75"/>
  <c r="H61" i="75"/>
  <c r="I60" i="75"/>
  <c r="G60" i="75"/>
  <c r="H60" i="75"/>
  <c r="I59" i="75"/>
  <c r="G59" i="75"/>
  <c r="I58" i="75"/>
  <c r="G58" i="75"/>
  <c r="H58" i="75"/>
  <c r="I57" i="75"/>
  <c r="G57" i="75"/>
  <c r="H57" i="75"/>
  <c r="I56" i="75"/>
  <c r="G56" i="75"/>
  <c r="H56" i="75"/>
  <c r="I55" i="75"/>
  <c r="G55" i="75"/>
  <c r="I54" i="75"/>
  <c r="G54" i="75"/>
  <c r="I53" i="75"/>
  <c r="G53" i="75"/>
  <c r="H53" i="75"/>
  <c r="I52" i="75"/>
  <c r="G52" i="75"/>
  <c r="H52" i="75"/>
  <c r="I51" i="75"/>
  <c r="G51" i="75"/>
  <c r="I50" i="75"/>
  <c r="G50" i="75"/>
  <c r="I49" i="75"/>
  <c r="G49" i="75"/>
  <c r="H49" i="75"/>
  <c r="I48" i="75"/>
  <c r="G48" i="75"/>
  <c r="H48" i="75"/>
  <c r="I47" i="75"/>
  <c r="G47" i="75"/>
  <c r="H47" i="75"/>
  <c r="I46" i="75"/>
  <c r="G46" i="75"/>
  <c r="I45" i="75"/>
  <c r="G45" i="75"/>
  <c r="H45" i="75"/>
  <c r="I44" i="75"/>
  <c r="G44" i="75"/>
  <c r="H44" i="75"/>
  <c r="I43" i="75"/>
  <c r="G43" i="75"/>
  <c r="I42" i="75"/>
  <c r="G42" i="75"/>
  <c r="H42" i="75"/>
  <c r="I41" i="75"/>
  <c r="G41" i="75"/>
  <c r="H41" i="75"/>
  <c r="I40" i="75"/>
  <c r="G40" i="75"/>
  <c r="H40" i="75"/>
  <c r="I39" i="75"/>
  <c r="G39" i="75"/>
  <c r="I38" i="75"/>
  <c r="G38" i="75"/>
  <c r="I37" i="75"/>
  <c r="G37" i="75"/>
  <c r="H37" i="75"/>
  <c r="I36" i="75"/>
  <c r="G36" i="75"/>
  <c r="H36" i="75"/>
  <c r="I35" i="75"/>
  <c r="G35" i="75"/>
  <c r="I34" i="75"/>
  <c r="G34" i="75"/>
  <c r="I33" i="75"/>
  <c r="G33" i="75"/>
  <c r="H33" i="75"/>
  <c r="I32" i="75"/>
  <c r="G32" i="75"/>
  <c r="H32" i="75"/>
  <c r="I31" i="75"/>
  <c r="G31" i="75"/>
  <c r="H31" i="75"/>
  <c r="I30" i="75"/>
  <c r="G30" i="75"/>
  <c r="I29" i="75"/>
  <c r="G29" i="75"/>
  <c r="H29" i="75"/>
  <c r="I28" i="75"/>
  <c r="G28" i="75"/>
  <c r="H28" i="75"/>
  <c r="I27" i="75"/>
  <c r="G27" i="75"/>
  <c r="I26" i="75"/>
  <c r="G26" i="75"/>
  <c r="I25" i="75"/>
  <c r="G25" i="75"/>
  <c r="H25" i="75"/>
  <c r="I24" i="75"/>
  <c r="G24" i="75"/>
  <c r="H24" i="75"/>
  <c r="I23" i="75"/>
  <c r="G23" i="75"/>
  <c r="I22" i="75"/>
  <c r="G22" i="75"/>
  <c r="I21" i="75"/>
  <c r="G21" i="75"/>
  <c r="H21" i="75"/>
  <c r="I20" i="75"/>
  <c r="G20" i="75"/>
  <c r="H20" i="75"/>
  <c r="I19" i="75"/>
  <c r="G19" i="75"/>
  <c r="I18" i="75"/>
  <c r="G18" i="75"/>
  <c r="H18" i="75"/>
  <c r="I16" i="75"/>
  <c r="G16" i="75"/>
  <c r="I15" i="75"/>
  <c r="G15" i="75"/>
  <c r="H15" i="75"/>
  <c r="I14" i="75"/>
  <c r="G14" i="75"/>
  <c r="H14" i="75"/>
  <c r="I13" i="75"/>
  <c r="G13" i="75"/>
  <c r="P12" i="75"/>
  <c r="N12" i="75"/>
  <c r="O12" i="75"/>
  <c r="I12" i="75"/>
  <c r="G12" i="75"/>
  <c r="H12" i="75"/>
  <c r="P11" i="75"/>
  <c r="N11" i="75"/>
  <c r="O11" i="75"/>
  <c r="I11" i="75"/>
  <c r="G11" i="75"/>
  <c r="H11" i="75"/>
  <c r="N10" i="75"/>
  <c r="R10" i="75"/>
  <c r="P10" i="75"/>
  <c r="S10" i="75"/>
  <c r="O10" i="75"/>
  <c r="I10" i="75"/>
  <c r="G10" i="75"/>
  <c r="H10" i="75"/>
  <c r="P9" i="75"/>
  <c r="N9" i="75"/>
  <c r="I9" i="75"/>
  <c r="G9" i="75"/>
  <c r="H9" i="75"/>
  <c r="P8" i="75"/>
  <c r="N8" i="75"/>
  <c r="O8" i="75"/>
  <c r="I8" i="75"/>
  <c r="G8" i="75"/>
  <c r="T19" i="73"/>
  <c r="S19" i="73"/>
  <c r="R19" i="73"/>
  <c r="U19" i="73"/>
  <c r="V19" i="73"/>
  <c r="M19" i="73"/>
  <c r="Q19" i="73"/>
  <c r="T18" i="73"/>
  <c r="R18" i="73"/>
  <c r="S18" i="73"/>
  <c r="U18" i="73"/>
  <c r="V18" i="73"/>
  <c r="M18" i="73"/>
  <c r="Q18" i="73"/>
  <c r="T17" i="73"/>
  <c r="S17" i="73"/>
  <c r="R17" i="73"/>
  <c r="M17" i="73"/>
  <c r="Q17" i="73"/>
  <c r="T16" i="73"/>
  <c r="S16" i="73"/>
  <c r="R16" i="73"/>
  <c r="M16" i="73"/>
  <c r="Q16" i="73"/>
  <c r="T15" i="73"/>
  <c r="S15" i="73"/>
  <c r="R15" i="73"/>
  <c r="U15" i="73"/>
  <c r="V15" i="73"/>
  <c r="W15" i="73"/>
  <c r="X15" i="73"/>
  <c r="M15" i="73"/>
  <c r="Q15" i="73"/>
  <c r="T14" i="73"/>
  <c r="S14" i="73"/>
  <c r="R14" i="73"/>
  <c r="M14" i="73"/>
  <c r="Q14" i="73"/>
  <c r="T13" i="73"/>
  <c r="S13" i="73"/>
  <c r="R13" i="73"/>
  <c r="M13" i="73"/>
  <c r="Q13" i="73"/>
  <c r="T12" i="73"/>
  <c r="S12" i="73"/>
  <c r="R12" i="73"/>
  <c r="M12" i="73"/>
  <c r="Q12" i="73"/>
  <c r="T11" i="73"/>
  <c r="S11" i="73"/>
  <c r="R11" i="73"/>
  <c r="M11" i="73"/>
  <c r="Q11" i="73"/>
  <c r="T10" i="73"/>
  <c r="S10" i="73"/>
  <c r="R10" i="73"/>
  <c r="M10" i="73"/>
  <c r="Q10" i="73"/>
  <c r="T9" i="73"/>
  <c r="S9" i="73"/>
  <c r="R9" i="73"/>
  <c r="U9" i="73"/>
  <c r="M9" i="73"/>
  <c r="Q9" i="73"/>
  <c r="T8" i="73"/>
  <c r="S8" i="73"/>
  <c r="R8" i="73"/>
  <c r="U8" i="73"/>
  <c r="M8" i="73"/>
  <c r="Q8" i="73"/>
  <c r="T7" i="73"/>
  <c r="S7" i="73"/>
  <c r="R7" i="73"/>
  <c r="M7" i="73"/>
  <c r="Q7" i="73"/>
  <c r="M4" i="73"/>
  <c r="Q4" i="73"/>
  <c r="M5" i="73"/>
  <c r="Q5" i="73"/>
  <c r="M6" i="73"/>
  <c r="Q6" i="73"/>
  <c r="D5" i="65"/>
  <c r="T6" i="73"/>
  <c r="S6" i="73"/>
  <c r="R6" i="73"/>
  <c r="U6" i="73"/>
  <c r="T5" i="73"/>
  <c r="S5" i="73"/>
  <c r="R5" i="73"/>
  <c r="T4" i="73"/>
  <c r="S4" i="73"/>
  <c r="R4" i="73"/>
  <c r="U4" i="73"/>
  <c r="P79" i="71"/>
  <c r="O79" i="71"/>
  <c r="N79" i="71"/>
  <c r="M79" i="71"/>
  <c r="P78" i="71"/>
  <c r="O78" i="71"/>
  <c r="N78" i="71"/>
  <c r="M78" i="71"/>
  <c r="P77" i="71"/>
  <c r="O77" i="71"/>
  <c r="N77" i="71"/>
  <c r="M77" i="71"/>
  <c r="Q77" i="71"/>
  <c r="M70" i="71"/>
  <c r="N70" i="71"/>
  <c r="O70" i="71"/>
  <c r="P70" i="71"/>
  <c r="Q70" i="71"/>
  <c r="P65" i="71"/>
  <c r="O65" i="71"/>
  <c r="M65" i="71"/>
  <c r="N65" i="71"/>
  <c r="Q65" i="71"/>
  <c r="P64" i="71"/>
  <c r="O64" i="71"/>
  <c r="N64" i="71"/>
  <c r="M64" i="71"/>
  <c r="Q64" i="71"/>
  <c r="P63" i="71"/>
  <c r="O63" i="71"/>
  <c r="N63" i="71"/>
  <c r="M63" i="71"/>
  <c r="Q63" i="71"/>
  <c r="P62" i="71"/>
  <c r="O62" i="71"/>
  <c r="N62" i="71"/>
  <c r="M62" i="71"/>
  <c r="Q62" i="71"/>
  <c r="P61" i="71"/>
  <c r="O61" i="71"/>
  <c r="N61" i="71"/>
  <c r="M61" i="71"/>
  <c r="Q61" i="71"/>
  <c r="P60" i="71"/>
  <c r="O60" i="71"/>
  <c r="N60" i="71"/>
  <c r="M60" i="71"/>
  <c r="Q60" i="71"/>
  <c r="P59" i="71"/>
  <c r="O59" i="71"/>
  <c r="N59" i="71"/>
  <c r="M59" i="71"/>
  <c r="Q59" i="71"/>
  <c r="P58" i="71"/>
  <c r="O58" i="71"/>
  <c r="N58" i="71"/>
  <c r="M58" i="71"/>
  <c r="P57" i="71"/>
  <c r="O57" i="71"/>
  <c r="N57" i="71"/>
  <c r="M57" i="71"/>
  <c r="P56" i="71"/>
  <c r="O56" i="71"/>
  <c r="M56" i="71"/>
  <c r="N56" i="71"/>
  <c r="Q56" i="71"/>
  <c r="P55" i="71"/>
  <c r="O55" i="71"/>
  <c r="N55" i="71"/>
  <c r="M55" i="71"/>
  <c r="Q55" i="71"/>
  <c r="P54" i="71"/>
  <c r="O54" i="71"/>
  <c r="N54" i="71"/>
  <c r="M54" i="71"/>
  <c r="Q54" i="71"/>
  <c r="P53" i="71"/>
  <c r="O53" i="71"/>
  <c r="N53" i="71"/>
  <c r="M53" i="71"/>
  <c r="P52" i="71"/>
  <c r="O52" i="71"/>
  <c r="N52" i="71"/>
  <c r="M52" i="71"/>
  <c r="Q52" i="71"/>
  <c r="P51" i="71"/>
  <c r="O51" i="71"/>
  <c r="M51" i="71"/>
  <c r="N51" i="71"/>
  <c r="Q51" i="71"/>
  <c r="P50" i="71"/>
  <c r="O50" i="71"/>
  <c r="N50" i="71"/>
  <c r="M50" i="71"/>
  <c r="Q50" i="71"/>
  <c r="P49" i="71"/>
  <c r="O49" i="71"/>
  <c r="N49" i="71"/>
  <c r="M49" i="71"/>
  <c r="Q49" i="71"/>
  <c r="P48" i="71"/>
  <c r="O48" i="71"/>
  <c r="N48" i="71"/>
  <c r="M48" i="71"/>
  <c r="P47" i="71"/>
  <c r="O47" i="71"/>
  <c r="N47" i="71"/>
  <c r="M47" i="71"/>
  <c r="P46" i="71"/>
  <c r="O46" i="71"/>
  <c r="N46" i="71"/>
  <c r="M46" i="71"/>
  <c r="Q46" i="71"/>
  <c r="P45" i="71"/>
  <c r="O45" i="71"/>
  <c r="N45" i="71"/>
  <c r="M45" i="71"/>
  <c r="Q45" i="71"/>
  <c r="P44" i="71"/>
  <c r="O44" i="71"/>
  <c r="N44" i="71"/>
  <c r="M44" i="71"/>
  <c r="Q44" i="71"/>
  <c r="P43" i="71"/>
  <c r="O43" i="71"/>
  <c r="M43" i="71"/>
  <c r="N43" i="71"/>
  <c r="Q43" i="71"/>
  <c r="P42" i="71"/>
  <c r="O42" i="71"/>
  <c r="N42" i="71"/>
  <c r="M42" i="71"/>
  <c r="Q42" i="71"/>
  <c r="P41" i="71"/>
  <c r="O41" i="71"/>
  <c r="N41" i="71"/>
  <c r="M41" i="71"/>
  <c r="Q41" i="71"/>
  <c r="P40" i="71"/>
  <c r="O40" i="71"/>
  <c r="N40" i="71"/>
  <c r="M40" i="71"/>
  <c r="P39" i="71"/>
  <c r="O39" i="71"/>
  <c r="N39" i="71"/>
  <c r="M39" i="71"/>
  <c r="P38" i="71"/>
  <c r="O38" i="71"/>
  <c r="N38" i="71"/>
  <c r="M38" i="71"/>
  <c r="Q38" i="71"/>
  <c r="P37" i="71"/>
  <c r="O37" i="71"/>
  <c r="N37" i="71"/>
  <c r="M37" i="71"/>
  <c r="Q37" i="71"/>
  <c r="P36" i="71"/>
  <c r="O36" i="71"/>
  <c r="N36" i="71"/>
  <c r="M36" i="71"/>
  <c r="Q36" i="71"/>
  <c r="P35" i="71"/>
  <c r="O35" i="71"/>
  <c r="N35" i="71"/>
  <c r="M35" i="71"/>
  <c r="Q35" i="71"/>
  <c r="P34" i="71"/>
  <c r="O34" i="71"/>
  <c r="N34" i="71"/>
  <c r="M34" i="71"/>
  <c r="P33" i="71"/>
  <c r="O33" i="71"/>
  <c r="N33" i="71"/>
  <c r="M33" i="71"/>
  <c r="Q33" i="71"/>
  <c r="P32" i="71"/>
  <c r="O32" i="71"/>
  <c r="N32" i="71"/>
  <c r="M32" i="71"/>
  <c r="Q32" i="71"/>
  <c r="P31" i="71"/>
  <c r="O31" i="71"/>
  <c r="N31" i="71"/>
  <c r="M31" i="71"/>
  <c r="P30" i="71"/>
  <c r="O30" i="71"/>
  <c r="N30" i="71"/>
  <c r="M30" i="71"/>
  <c r="P29" i="71"/>
  <c r="O29" i="71"/>
  <c r="M29" i="71"/>
  <c r="N29" i="71"/>
  <c r="Q29" i="71"/>
  <c r="P28" i="71"/>
  <c r="O28" i="71"/>
  <c r="N28" i="71"/>
  <c r="M28" i="71"/>
  <c r="P27" i="71"/>
  <c r="O27" i="71"/>
  <c r="N27" i="71"/>
  <c r="M27" i="71"/>
  <c r="P26" i="71"/>
  <c r="O26" i="71"/>
  <c r="N26" i="71"/>
  <c r="M26" i="71"/>
  <c r="P25" i="71"/>
  <c r="O25" i="71"/>
  <c r="N25" i="71"/>
  <c r="M25" i="71"/>
  <c r="P24" i="71"/>
  <c r="O24" i="71"/>
  <c r="N24" i="71"/>
  <c r="M24" i="71"/>
  <c r="P23" i="71"/>
  <c r="O23" i="71"/>
  <c r="N23" i="71"/>
  <c r="M23" i="71"/>
  <c r="P22" i="71"/>
  <c r="O22" i="71"/>
  <c r="O4" i="71"/>
  <c r="O5" i="71"/>
  <c r="O6" i="71"/>
  <c r="O7" i="71"/>
  <c r="O8" i="71"/>
  <c r="O9" i="71"/>
  <c r="O10" i="71"/>
  <c r="O11" i="71"/>
  <c r="O12" i="71"/>
  <c r="O13" i="71"/>
  <c r="O14" i="71"/>
  <c r="O15" i="71"/>
  <c r="O16" i="71"/>
  <c r="O17" i="71"/>
  <c r="O18" i="71"/>
  <c r="O19" i="71"/>
  <c r="O20" i="71"/>
  <c r="O21" i="71"/>
  <c r="O67" i="71"/>
  <c r="N22" i="71"/>
  <c r="M22" i="71"/>
  <c r="P21" i="71"/>
  <c r="N21" i="71"/>
  <c r="M21" i="71"/>
  <c r="Q21" i="71"/>
  <c r="P20" i="71"/>
  <c r="N20" i="71"/>
  <c r="M20" i="71"/>
  <c r="Q20" i="71"/>
  <c r="P19" i="71"/>
  <c r="N19" i="71"/>
  <c r="M19" i="71"/>
  <c r="P18" i="71"/>
  <c r="N18" i="71"/>
  <c r="M18" i="71"/>
  <c r="Q18" i="71"/>
  <c r="P17" i="71"/>
  <c r="P4" i="71"/>
  <c r="P5" i="71"/>
  <c r="P6" i="71"/>
  <c r="P7" i="71"/>
  <c r="P8" i="71"/>
  <c r="P9" i="71"/>
  <c r="P10" i="71"/>
  <c r="P11" i="71"/>
  <c r="P12" i="71"/>
  <c r="P13" i="71"/>
  <c r="P14" i="71"/>
  <c r="P15" i="71"/>
  <c r="P16" i="71"/>
  <c r="P67" i="71"/>
  <c r="N17" i="71"/>
  <c r="M17" i="71"/>
  <c r="N16" i="71"/>
  <c r="M16" i="71"/>
  <c r="Q16" i="71"/>
  <c r="N15" i="71"/>
  <c r="M15" i="71"/>
  <c r="M14" i="71"/>
  <c r="N14" i="71"/>
  <c r="Q14" i="71"/>
  <c r="M13" i="71"/>
  <c r="N13" i="71"/>
  <c r="Q13" i="71"/>
  <c r="N12" i="71"/>
  <c r="M12" i="71"/>
  <c r="Q12" i="71"/>
  <c r="N11" i="71"/>
  <c r="M11" i="71"/>
  <c r="Q11" i="71"/>
  <c r="N10" i="71"/>
  <c r="M10" i="71"/>
  <c r="Q10" i="71"/>
  <c r="N9" i="71"/>
  <c r="M9" i="71"/>
  <c r="Q9" i="71"/>
  <c r="M8" i="71"/>
  <c r="N8" i="71"/>
  <c r="Q8" i="71"/>
  <c r="N7" i="71"/>
  <c r="M7" i="71"/>
  <c r="Q7" i="71"/>
  <c r="N6" i="71"/>
  <c r="M6" i="71"/>
  <c r="M5" i="71"/>
  <c r="N5" i="71"/>
  <c r="Q5" i="71"/>
  <c r="N4" i="71"/>
  <c r="M4" i="71"/>
  <c r="Q4" i="71"/>
  <c r="Q2" i="71"/>
  <c r="F28" i="69"/>
  <c r="B28" i="69"/>
  <c r="F27" i="69"/>
  <c r="B27" i="69"/>
  <c r="F26" i="69"/>
  <c r="B26" i="69"/>
  <c r="F24" i="69"/>
  <c r="B24" i="69"/>
  <c r="F22" i="69"/>
  <c r="B22" i="69"/>
  <c r="F21" i="69"/>
  <c r="B21" i="69"/>
  <c r="F20" i="69"/>
  <c r="B20" i="69"/>
  <c r="B19" i="69"/>
  <c r="F18" i="69"/>
  <c r="B18" i="69"/>
  <c r="F17" i="69"/>
  <c r="B17" i="69"/>
  <c r="B14" i="69"/>
  <c r="B13" i="69"/>
  <c r="F10" i="69"/>
  <c r="F5" i="69"/>
  <c r="F8" i="69"/>
  <c r="F9" i="69"/>
  <c r="F32" i="69"/>
  <c r="B10" i="69"/>
  <c r="B8" i="69"/>
  <c r="B5" i="69"/>
  <c r="U13" i="68"/>
  <c r="U15" i="68"/>
  <c r="V13" i="68"/>
  <c r="P13" i="68"/>
  <c r="V12" i="68"/>
  <c r="P12" i="68"/>
  <c r="V11" i="68"/>
  <c r="P11" i="68"/>
  <c r="V10" i="68"/>
  <c r="P10" i="68"/>
  <c r="R10" i="68"/>
  <c r="S10" i="68"/>
  <c r="V9" i="68"/>
  <c r="P9" i="68"/>
  <c r="V8" i="68"/>
  <c r="P8" i="68"/>
  <c r="P15" i="68"/>
  <c r="D5" i="60"/>
  <c r="U13" i="67"/>
  <c r="U15" i="67"/>
  <c r="V13" i="67"/>
  <c r="P13" i="67"/>
  <c r="V12" i="67"/>
  <c r="P12" i="67"/>
  <c r="V11" i="67"/>
  <c r="P11" i="67"/>
  <c r="V10" i="67"/>
  <c r="P10" i="67"/>
  <c r="R10" i="67"/>
  <c r="S10" i="67"/>
  <c r="V9" i="67"/>
  <c r="P9" i="67"/>
  <c r="V8" i="67"/>
  <c r="V15" i="67"/>
  <c r="P8" i="67"/>
  <c r="B26" i="65"/>
  <c r="B25" i="65"/>
  <c r="B24" i="65"/>
  <c r="B23" i="65"/>
  <c r="D15" i="65"/>
  <c r="J15" i="65"/>
  <c r="E13" i="65"/>
  <c r="K13" i="65"/>
  <c r="E12" i="65"/>
  <c r="K12" i="65"/>
  <c r="D4" i="65"/>
  <c r="D12" i="65"/>
  <c r="J12" i="65"/>
  <c r="J7" i="65"/>
  <c r="K5" i="65"/>
  <c r="K4" i="65"/>
  <c r="J4" i="65"/>
  <c r="B107" i="63"/>
  <c r="B111" i="63"/>
  <c r="AO107" i="63"/>
  <c r="G107" i="63"/>
  <c r="F107" i="63"/>
  <c r="E107" i="63"/>
  <c r="D107" i="63"/>
  <c r="H107" i="63"/>
  <c r="C107" i="63"/>
  <c r="CQ105" i="63"/>
  <c r="CP105" i="63"/>
  <c r="CO105" i="63"/>
  <c r="CN105" i="63"/>
  <c r="AC105" i="63"/>
  <c r="P105" i="63"/>
  <c r="CQ104" i="63"/>
  <c r="CP104" i="63"/>
  <c r="CN104" i="63"/>
  <c r="CO104" i="63"/>
  <c r="CR104" i="63"/>
  <c r="AC104" i="63"/>
  <c r="P104" i="63"/>
  <c r="CQ103" i="63"/>
  <c r="CP103" i="63"/>
  <c r="CO103" i="63"/>
  <c r="CN103" i="63"/>
  <c r="CR103" i="63"/>
  <c r="AC103" i="63"/>
  <c r="P103" i="63"/>
  <c r="CQ102" i="63"/>
  <c r="CP102" i="63"/>
  <c r="CO102" i="63"/>
  <c r="CN102" i="63"/>
  <c r="AC102" i="63"/>
  <c r="P102" i="63"/>
  <c r="CQ101" i="63"/>
  <c r="CP101" i="63"/>
  <c r="CO101" i="63"/>
  <c r="CN101" i="63"/>
  <c r="CR101" i="63"/>
  <c r="AC101" i="63"/>
  <c r="P101" i="63"/>
  <c r="CQ100" i="63"/>
  <c r="CN100" i="63"/>
  <c r="CO100" i="63"/>
  <c r="CP100" i="63"/>
  <c r="CR100" i="63"/>
  <c r="AC100" i="63"/>
  <c r="P100" i="63"/>
  <c r="CQ99" i="63"/>
  <c r="CP99" i="63"/>
  <c r="CO99" i="63"/>
  <c r="CN99" i="63"/>
  <c r="CR99" i="63"/>
  <c r="AC99" i="63"/>
  <c r="P99" i="63"/>
  <c r="CQ98" i="63"/>
  <c r="CP98" i="63"/>
  <c r="CN98" i="63"/>
  <c r="CO98" i="63"/>
  <c r="CR98" i="63"/>
  <c r="AC98" i="63"/>
  <c r="P98" i="63"/>
  <c r="CQ97" i="63"/>
  <c r="CP97" i="63"/>
  <c r="CO97" i="63"/>
  <c r="CN97" i="63"/>
  <c r="CR97" i="63"/>
  <c r="AC97" i="63"/>
  <c r="P97" i="63"/>
  <c r="CQ96" i="63"/>
  <c r="CN96" i="63"/>
  <c r="CO96" i="63"/>
  <c r="CP96" i="63"/>
  <c r="CR96" i="63"/>
  <c r="AC96" i="63"/>
  <c r="P96" i="63"/>
  <c r="CQ95" i="63"/>
  <c r="CP95" i="63"/>
  <c r="CO95" i="63"/>
  <c r="CN95" i="63"/>
  <c r="CR95" i="63"/>
  <c r="AC95" i="63"/>
  <c r="P95" i="63"/>
  <c r="CQ94" i="63"/>
  <c r="CP94" i="63"/>
  <c r="CO94" i="63"/>
  <c r="CN94" i="63"/>
  <c r="CR94" i="63"/>
  <c r="AC94" i="63"/>
  <c r="P94" i="63"/>
  <c r="CQ93" i="63"/>
  <c r="CP93" i="63"/>
  <c r="CO93" i="63"/>
  <c r="CN93" i="63"/>
  <c r="AC93" i="63"/>
  <c r="P93" i="63"/>
  <c r="CQ92" i="63"/>
  <c r="CP92" i="63"/>
  <c r="CN92" i="63"/>
  <c r="CO92" i="63"/>
  <c r="CR92" i="63"/>
  <c r="AC92" i="63"/>
  <c r="P92" i="63"/>
  <c r="CQ91" i="63"/>
  <c r="CP91" i="63"/>
  <c r="CO91" i="63"/>
  <c r="CN91" i="63"/>
  <c r="AC91" i="63"/>
  <c r="P91" i="63"/>
  <c r="CQ90" i="63"/>
  <c r="CP90" i="63"/>
  <c r="CN90" i="63"/>
  <c r="CO90" i="63"/>
  <c r="CR90" i="63"/>
  <c r="AC90" i="63"/>
  <c r="P90" i="63"/>
  <c r="CQ89" i="63"/>
  <c r="CP89" i="63"/>
  <c r="CO89" i="63"/>
  <c r="CN89" i="63"/>
  <c r="CR89" i="63"/>
  <c r="AC89" i="63"/>
  <c r="P89" i="63"/>
  <c r="CQ88" i="63"/>
  <c r="CP88" i="63"/>
  <c r="CN88" i="63"/>
  <c r="CO88" i="63"/>
  <c r="CR88" i="63"/>
  <c r="AC88" i="63"/>
  <c r="P88" i="63"/>
  <c r="CQ87" i="63"/>
  <c r="CP87" i="63"/>
  <c r="CO87" i="63"/>
  <c r="CN87" i="63"/>
  <c r="CR87" i="63"/>
  <c r="AC87" i="63"/>
  <c r="P87" i="63"/>
  <c r="CQ86" i="63"/>
  <c r="CP86" i="63"/>
  <c r="CO86" i="63"/>
  <c r="CN86" i="63"/>
  <c r="AC86" i="63"/>
  <c r="P86" i="63"/>
  <c r="CQ85" i="63"/>
  <c r="CP85" i="63"/>
  <c r="CO85" i="63"/>
  <c r="CN85" i="63"/>
  <c r="CR85" i="63"/>
  <c r="AC85" i="63"/>
  <c r="P85" i="63"/>
  <c r="CQ84" i="63"/>
  <c r="CP84" i="63"/>
  <c r="CO84" i="63"/>
  <c r="CN84" i="63"/>
  <c r="CR84" i="63"/>
  <c r="AC84" i="63"/>
  <c r="P84" i="63"/>
  <c r="CQ83" i="63"/>
  <c r="CP83" i="63"/>
  <c r="CO83" i="63"/>
  <c r="CN83" i="63"/>
  <c r="AC83" i="63"/>
  <c r="P83" i="63"/>
  <c r="CQ82" i="63"/>
  <c r="CP82" i="63"/>
  <c r="CO82" i="63"/>
  <c r="CN82" i="63"/>
  <c r="CR82" i="63"/>
  <c r="AC82" i="63"/>
  <c r="P82" i="63"/>
  <c r="CQ81" i="63"/>
  <c r="CP81" i="63"/>
  <c r="CO81" i="63"/>
  <c r="CN81" i="63"/>
  <c r="CR81" i="63"/>
  <c r="AC81" i="63"/>
  <c r="P81" i="63"/>
  <c r="CQ80" i="63"/>
  <c r="CP80" i="63"/>
  <c r="CO80" i="63"/>
  <c r="CN80" i="63"/>
  <c r="AC80" i="63"/>
  <c r="P80" i="63"/>
  <c r="CQ79" i="63"/>
  <c r="CP79" i="63"/>
  <c r="CO79" i="63"/>
  <c r="CN79" i="63"/>
  <c r="CR79" i="63"/>
  <c r="AC79" i="63"/>
  <c r="P79" i="63"/>
  <c r="CQ78" i="63"/>
  <c r="CP78" i="63"/>
  <c r="CO78" i="63"/>
  <c r="CN78" i="63"/>
  <c r="CR78" i="63"/>
  <c r="AC78" i="63"/>
  <c r="P78" i="63"/>
  <c r="CQ77" i="63"/>
  <c r="CP77" i="63"/>
  <c r="CO77" i="63"/>
  <c r="CN77" i="63"/>
  <c r="CR77" i="63"/>
  <c r="AC77" i="63"/>
  <c r="P77" i="63"/>
  <c r="CQ76" i="63"/>
  <c r="CP76" i="63"/>
  <c r="CO76" i="63"/>
  <c r="CN76" i="63"/>
  <c r="AC76" i="63"/>
  <c r="P76" i="63"/>
  <c r="CQ75" i="63"/>
  <c r="CP75" i="63"/>
  <c r="CO75" i="63"/>
  <c r="CN75" i="63"/>
  <c r="CR75" i="63"/>
  <c r="AC75" i="63"/>
  <c r="P75" i="63"/>
  <c r="CQ74" i="63"/>
  <c r="CN74" i="63"/>
  <c r="CO74" i="63"/>
  <c r="CP74" i="63"/>
  <c r="CR74" i="63"/>
  <c r="AC74" i="63"/>
  <c r="P74" i="63"/>
  <c r="CQ73" i="63"/>
  <c r="CP73" i="63"/>
  <c r="CO73" i="63"/>
  <c r="CN73" i="63"/>
  <c r="CR73" i="63"/>
  <c r="AC73" i="63"/>
  <c r="P73" i="63"/>
  <c r="CQ72" i="63"/>
  <c r="CP72" i="63"/>
  <c r="CO72" i="63"/>
  <c r="CN72" i="63"/>
  <c r="CR72" i="63"/>
  <c r="AC72" i="63"/>
  <c r="P72" i="63"/>
  <c r="CQ71" i="63"/>
  <c r="CP71" i="63"/>
  <c r="CN71" i="63"/>
  <c r="CO71" i="63"/>
  <c r="CR71" i="63"/>
  <c r="AC71" i="63"/>
  <c r="P71" i="63"/>
  <c r="CQ70" i="63"/>
  <c r="CP70" i="63"/>
  <c r="CO70" i="63"/>
  <c r="CN70" i="63"/>
  <c r="CR70" i="63"/>
  <c r="AC70" i="63"/>
  <c r="P70" i="63"/>
  <c r="CQ69" i="63"/>
  <c r="CP69" i="63"/>
  <c r="CO69" i="63"/>
  <c r="CN69" i="63"/>
  <c r="AC69" i="63"/>
  <c r="P69" i="63"/>
  <c r="CQ68" i="63"/>
  <c r="CP68" i="63"/>
  <c r="CO68" i="63"/>
  <c r="CN68" i="63"/>
  <c r="CR68" i="63"/>
  <c r="AC68" i="63"/>
  <c r="P68" i="63"/>
  <c r="CQ67" i="63"/>
  <c r="CP67" i="63"/>
  <c r="CO67" i="63"/>
  <c r="CN67" i="63"/>
  <c r="CR67" i="63"/>
  <c r="AC67" i="63"/>
  <c r="P67" i="63"/>
  <c r="CQ66" i="63"/>
  <c r="CP66" i="63"/>
  <c r="CN66" i="63"/>
  <c r="CO66" i="63"/>
  <c r="CR66" i="63"/>
  <c r="AC66" i="63"/>
  <c r="P66" i="63"/>
  <c r="CQ65" i="63"/>
  <c r="CP65" i="63"/>
  <c r="CO65" i="63"/>
  <c r="CN65" i="63"/>
  <c r="CR65" i="63"/>
  <c r="AC65" i="63"/>
  <c r="P65" i="63"/>
  <c r="CQ64" i="63"/>
  <c r="CP64" i="63"/>
  <c r="CO64" i="63"/>
  <c r="CN64" i="63"/>
  <c r="CR64" i="63"/>
  <c r="AC64" i="63"/>
  <c r="P64" i="63"/>
  <c r="CQ63" i="63"/>
  <c r="CP63" i="63"/>
  <c r="CN63" i="63"/>
  <c r="CO63" i="63"/>
  <c r="CR63" i="63"/>
  <c r="AC63" i="63"/>
  <c r="P63" i="63"/>
  <c r="CQ62" i="63"/>
  <c r="CP62" i="63"/>
  <c r="CO62" i="63"/>
  <c r="CN62" i="63"/>
  <c r="AC62" i="63"/>
  <c r="P62" i="63"/>
  <c r="CQ61" i="63"/>
  <c r="CP61" i="63"/>
  <c r="CO61" i="63"/>
  <c r="CN61" i="63"/>
  <c r="CR61" i="63"/>
  <c r="AC61" i="63"/>
  <c r="P61" i="63"/>
  <c r="CQ60" i="63"/>
  <c r="CN60" i="63"/>
  <c r="CO60" i="63"/>
  <c r="CP60" i="63"/>
  <c r="CR60" i="63"/>
  <c r="AC60" i="63"/>
  <c r="P60" i="63"/>
  <c r="CQ59" i="63"/>
  <c r="CP59" i="63"/>
  <c r="CN59" i="63"/>
  <c r="CO59" i="63"/>
  <c r="CR59" i="63"/>
  <c r="AC59" i="63"/>
  <c r="P59" i="63"/>
  <c r="CQ58" i="63"/>
  <c r="CP58" i="63"/>
  <c r="CO58" i="63"/>
  <c r="CN58" i="63"/>
  <c r="AC58" i="63"/>
  <c r="P58" i="63"/>
  <c r="CQ57" i="63"/>
  <c r="CP57" i="63"/>
  <c r="CO57" i="63"/>
  <c r="CN57" i="63"/>
  <c r="AC57" i="63"/>
  <c r="P57" i="63"/>
  <c r="CQ56" i="63"/>
  <c r="CP56" i="63"/>
  <c r="CO56" i="63"/>
  <c r="CN56" i="63"/>
  <c r="CR56" i="63"/>
  <c r="AC56" i="63"/>
  <c r="P56" i="63"/>
  <c r="CQ55" i="63"/>
  <c r="CP55" i="63"/>
  <c r="CN55" i="63"/>
  <c r="CO55" i="63"/>
  <c r="CR55" i="63"/>
  <c r="AC55" i="63"/>
  <c r="P55" i="63"/>
  <c r="CQ54" i="63"/>
  <c r="CP54" i="63"/>
  <c r="CO54" i="63"/>
  <c r="CN54" i="63"/>
  <c r="AC54" i="63"/>
  <c r="P54" i="63"/>
  <c r="CQ53" i="63"/>
  <c r="CP53" i="63"/>
  <c r="CO53" i="63"/>
  <c r="CN53" i="63"/>
  <c r="CR53" i="63"/>
  <c r="AC53" i="63"/>
  <c r="P53" i="63"/>
  <c r="CQ52" i="63"/>
  <c r="CP52" i="63"/>
  <c r="CO52" i="63"/>
  <c r="CN52" i="63"/>
  <c r="CR52" i="63"/>
  <c r="AC52" i="63"/>
  <c r="P52" i="63"/>
  <c r="CQ51" i="63"/>
  <c r="CP51" i="63"/>
  <c r="CO51" i="63"/>
  <c r="CN51" i="63"/>
  <c r="CR51" i="63"/>
  <c r="AC51" i="63"/>
  <c r="P51" i="63"/>
  <c r="CQ50" i="63"/>
  <c r="CP50" i="63"/>
  <c r="CO50" i="63"/>
  <c r="CN50" i="63"/>
  <c r="AC50" i="63"/>
  <c r="P50" i="63"/>
  <c r="CQ49" i="63"/>
  <c r="CP49" i="63"/>
  <c r="CO49" i="63"/>
  <c r="CN49" i="63"/>
  <c r="CR49" i="63"/>
  <c r="AC49" i="63"/>
  <c r="P49" i="63"/>
  <c r="CQ48" i="63"/>
  <c r="CP48" i="63"/>
  <c r="CO48" i="63"/>
  <c r="CN48" i="63"/>
  <c r="CR48" i="63"/>
  <c r="AC48" i="63"/>
  <c r="P48" i="63"/>
  <c r="CQ47" i="63"/>
  <c r="CP47" i="63"/>
  <c r="CO47" i="63"/>
  <c r="CN47" i="63"/>
  <c r="AC47" i="63"/>
  <c r="P47" i="63"/>
  <c r="CQ46" i="63"/>
  <c r="CP46" i="63"/>
  <c r="CO46" i="63"/>
  <c r="CN46" i="63"/>
  <c r="CR46" i="63"/>
  <c r="AC46" i="63"/>
  <c r="P46" i="63"/>
  <c r="CQ45" i="63"/>
  <c r="CP45" i="63"/>
  <c r="CO45" i="63"/>
  <c r="CN45" i="63"/>
  <c r="AC45" i="63"/>
  <c r="P45" i="63"/>
  <c r="CQ44" i="63"/>
  <c r="CP44" i="63"/>
  <c r="CO44" i="63"/>
  <c r="CN44" i="63"/>
  <c r="AC44" i="63"/>
  <c r="P44" i="63"/>
  <c r="CQ43" i="63"/>
  <c r="CP43" i="63"/>
  <c r="CN43" i="63"/>
  <c r="CO43" i="63"/>
  <c r="CR43" i="63"/>
  <c r="AC43" i="63"/>
  <c r="P43" i="63"/>
  <c r="CQ42" i="63"/>
  <c r="CP42" i="63"/>
  <c r="CO42" i="63"/>
  <c r="CN42" i="63"/>
  <c r="CR42" i="63"/>
  <c r="AC42" i="63"/>
  <c r="P42" i="63"/>
  <c r="CQ41" i="63"/>
  <c r="CP41" i="63"/>
  <c r="CO41" i="63"/>
  <c r="CN41" i="63"/>
  <c r="CR41" i="63"/>
  <c r="AC41" i="63"/>
  <c r="P41" i="63"/>
  <c r="CQ40" i="63"/>
  <c r="CP40" i="63"/>
  <c r="CO40" i="63"/>
  <c r="CN40" i="63"/>
  <c r="CR40" i="63"/>
  <c r="AC40" i="63"/>
  <c r="P40" i="63"/>
  <c r="CQ39" i="63"/>
  <c r="CP39" i="63"/>
  <c r="CO39" i="63"/>
  <c r="CN39" i="63"/>
  <c r="CR39" i="63"/>
  <c r="AC39" i="63"/>
  <c r="P39" i="63"/>
  <c r="CQ38" i="63"/>
  <c r="CP38" i="63"/>
  <c r="CO38" i="63"/>
  <c r="CN38" i="63"/>
  <c r="CR38" i="63"/>
  <c r="AC38" i="63"/>
  <c r="P38" i="63"/>
  <c r="CQ37" i="63"/>
  <c r="CP37" i="63"/>
  <c r="CO37" i="63"/>
  <c r="CN37" i="63"/>
  <c r="CR37" i="63"/>
  <c r="AC37" i="63"/>
  <c r="P37" i="63"/>
  <c r="CN36" i="63"/>
  <c r="CO36" i="63"/>
  <c r="CP36" i="63"/>
  <c r="CQ36" i="63"/>
  <c r="CR36" i="63"/>
  <c r="AC36" i="63"/>
  <c r="P36" i="63"/>
  <c r="CQ35" i="63"/>
  <c r="CP35" i="63"/>
  <c r="CO35" i="63"/>
  <c r="CN35" i="63"/>
  <c r="AC35" i="63"/>
  <c r="P35" i="63"/>
  <c r="CQ34" i="63"/>
  <c r="CP34" i="63"/>
  <c r="CO34" i="63"/>
  <c r="CN34" i="63"/>
  <c r="CR34" i="63"/>
  <c r="AC34" i="63"/>
  <c r="P34" i="63"/>
  <c r="CQ33" i="63"/>
  <c r="CP33" i="63"/>
  <c r="CO33" i="63"/>
  <c r="CN33" i="63"/>
  <c r="CR33" i="63"/>
  <c r="AC33" i="63"/>
  <c r="P33" i="63"/>
  <c r="CQ32" i="63"/>
  <c r="CP32" i="63"/>
  <c r="CO32" i="63"/>
  <c r="CN32" i="63"/>
  <c r="CR32" i="63"/>
  <c r="AC32" i="63"/>
  <c r="P32" i="63"/>
  <c r="CQ31" i="63"/>
  <c r="CP31" i="63"/>
  <c r="CO31" i="63"/>
  <c r="CN31" i="63"/>
  <c r="CR31" i="63"/>
  <c r="AC31" i="63"/>
  <c r="P31" i="63"/>
  <c r="CQ30" i="63"/>
  <c r="CP30" i="63"/>
  <c r="CO30" i="63"/>
  <c r="CN30" i="63"/>
  <c r="CR30" i="63"/>
  <c r="AC30" i="63"/>
  <c r="P30" i="63"/>
  <c r="CQ29" i="63"/>
  <c r="CP29" i="63"/>
  <c r="CO29" i="63"/>
  <c r="CN29" i="63"/>
  <c r="CR29" i="63"/>
  <c r="AC29" i="63"/>
  <c r="P29" i="63"/>
  <c r="CQ28" i="63"/>
  <c r="CP28" i="63"/>
  <c r="CO28" i="63"/>
  <c r="CN28" i="63"/>
  <c r="CR28" i="63"/>
  <c r="AC28" i="63"/>
  <c r="P28" i="63"/>
  <c r="CQ27" i="63"/>
  <c r="CP27" i="63"/>
  <c r="CO27" i="63"/>
  <c r="CN27" i="63"/>
  <c r="AC27" i="63"/>
  <c r="P27" i="63"/>
  <c r="CQ26" i="63"/>
  <c r="CP26" i="63"/>
  <c r="CO26" i="63"/>
  <c r="CN26" i="63"/>
  <c r="CR26" i="63"/>
  <c r="AC26" i="63"/>
  <c r="P26" i="63"/>
  <c r="CQ25" i="63"/>
  <c r="CP25" i="63"/>
  <c r="CO25" i="63"/>
  <c r="CN25" i="63"/>
  <c r="CR25" i="63"/>
  <c r="AC25" i="63"/>
  <c r="P25" i="63"/>
  <c r="CQ24" i="63"/>
  <c r="CP24" i="63"/>
  <c r="CN24" i="63"/>
  <c r="CO24" i="63"/>
  <c r="CR24" i="63"/>
  <c r="AC24" i="63"/>
  <c r="P24" i="63"/>
  <c r="CQ23" i="63"/>
  <c r="CP23" i="63"/>
  <c r="CO23" i="63"/>
  <c r="CN23" i="63"/>
  <c r="CR23" i="63"/>
  <c r="AC23" i="63"/>
  <c r="P23" i="63"/>
  <c r="CQ22" i="63"/>
  <c r="CP22" i="63"/>
  <c r="CO22" i="63"/>
  <c r="CN22" i="63"/>
  <c r="CR22" i="63"/>
  <c r="AC22" i="63"/>
  <c r="P22" i="63"/>
  <c r="CN21" i="63"/>
  <c r="CO21" i="63"/>
  <c r="CP21" i="63"/>
  <c r="CQ21" i="63"/>
  <c r="CR21" i="63"/>
  <c r="AC21" i="63"/>
  <c r="P21" i="63"/>
  <c r="CQ20" i="63"/>
  <c r="CP20" i="63"/>
  <c r="CO20" i="63"/>
  <c r="CN20" i="63"/>
  <c r="CR20" i="63"/>
  <c r="AC20" i="63"/>
  <c r="P20" i="63"/>
  <c r="CQ19" i="63"/>
  <c r="CP19" i="63"/>
  <c r="CO19" i="63"/>
  <c r="CN19" i="63"/>
  <c r="AC19" i="63"/>
  <c r="P19" i="63"/>
  <c r="CQ18" i="63"/>
  <c r="CP18" i="63"/>
  <c r="CO18" i="63"/>
  <c r="CN18" i="63"/>
  <c r="CR18" i="63"/>
  <c r="AC18" i="63"/>
  <c r="P18" i="63"/>
  <c r="CQ17" i="63"/>
  <c r="CP17" i="63"/>
  <c r="CO17" i="63"/>
  <c r="CN17" i="63"/>
  <c r="CR17" i="63"/>
  <c r="AC17" i="63"/>
  <c r="P17" i="63"/>
  <c r="CQ16" i="63"/>
  <c r="CP16" i="63"/>
  <c r="CN16" i="63"/>
  <c r="CO16" i="63"/>
  <c r="CR16" i="63"/>
  <c r="AC16" i="63"/>
  <c r="P16" i="63"/>
  <c r="CQ15" i="63"/>
  <c r="CP15" i="63"/>
  <c r="CO15" i="63"/>
  <c r="CN15" i="63"/>
  <c r="CR15" i="63"/>
  <c r="AC15" i="63"/>
  <c r="P15" i="63"/>
  <c r="CQ14" i="63"/>
  <c r="CP14" i="63"/>
  <c r="CO14" i="63"/>
  <c r="CN14" i="63"/>
  <c r="CR14" i="63"/>
  <c r="AC14" i="63"/>
  <c r="P14" i="63"/>
  <c r="CQ13" i="63"/>
  <c r="CP13" i="63"/>
  <c r="CO13" i="63"/>
  <c r="CN13" i="63"/>
  <c r="AC13" i="63"/>
  <c r="P13" i="63"/>
  <c r="CQ12" i="63"/>
  <c r="CP12" i="63"/>
  <c r="CO12" i="63"/>
  <c r="CN12" i="63"/>
  <c r="AC12" i="63"/>
  <c r="P12" i="63"/>
  <c r="CQ11" i="63"/>
  <c r="CP11" i="63"/>
  <c r="CO11" i="63"/>
  <c r="CN11" i="63"/>
  <c r="CR11" i="63"/>
  <c r="AC11" i="63"/>
  <c r="P11" i="63"/>
  <c r="CQ10" i="63"/>
  <c r="CP10" i="63"/>
  <c r="CO10" i="63"/>
  <c r="CN10" i="63"/>
  <c r="CR10" i="63"/>
  <c r="AC10" i="63"/>
  <c r="P10" i="63"/>
  <c r="CQ9" i="63"/>
  <c r="CP9" i="63"/>
  <c r="CO9" i="63"/>
  <c r="CN9" i="63"/>
  <c r="AC9" i="63"/>
  <c r="P9" i="63"/>
  <c r="CQ8" i="63"/>
  <c r="CP8" i="63"/>
  <c r="CO8" i="63"/>
  <c r="CN8" i="63"/>
  <c r="CR8" i="63"/>
  <c r="AC8" i="63"/>
  <c r="P8" i="63"/>
  <c r="A7" i="63"/>
  <c r="A8" i="63"/>
  <c r="A9" i="63"/>
  <c r="A10" i="63"/>
  <c r="A11" i="63"/>
  <c r="A12" i="63"/>
  <c r="A13" i="63"/>
  <c r="A14" i="63"/>
  <c r="A15" i="63"/>
  <c r="A16" i="63"/>
  <c r="A17" i="63"/>
  <c r="A18" i="63"/>
  <c r="A19" i="63"/>
  <c r="A20" i="63"/>
  <c r="A21" i="63"/>
  <c r="A22" i="63"/>
  <c r="A23" i="63"/>
  <c r="A24" i="63"/>
  <c r="A25" i="63"/>
  <c r="A26" i="63"/>
  <c r="CQ7" i="63"/>
  <c r="CP7" i="63"/>
  <c r="CO7" i="63"/>
  <c r="CN7" i="63"/>
  <c r="AC7" i="63"/>
  <c r="P7" i="63"/>
  <c r="CQ6" i="63"/>
  <c r="CP6" i="63"/>
  <c r="CO6" i="63"/>
  <c r="CN6" i="63"/>
  <c r="CR6" i="63"/>
  <c r="AC6" i="63"/>
  <c r="P6" i="63"/>
  <c r="B48" i="61"/>
  <c r="B61" i="61"/>
  <c r="B47" i="61"/>
  <c r="B60" i="61"/>
  <c r="B46" i="61"/>
  <c r="B59" i="61"/>
  <c r="B45" i="61"/>
  <c r="B58" i="61"/>
  <c r="D16" i="61"/>
  <c r="F16" i="61"/>
  <c r="B50" i="60"/>
  <c r="B63" i="60"/>
  <c r="B49" i="60"/>
  <c r="B62" i="60"/>
  <c r="B48" i="60"/>
  <c r="B61" i="60"/>
  <c r="B47" i="60"/>
  <c r="B60" i="60"/>
  <c r="D41" i="60"/>
  <c r="F30" i="60"/>
  <c r="E30" i="60"/>
  <c r="D30" i="60"/>
  <c r="D23" i="60"/>
  <c r="D22" i="60"/>
  <c r="I9" i="125"/>
  <c r="D21" i="60"/>
  <c r="D12" i="60"/>
  <c r="U13" i="73"/>
  <c r="U16" i="73"/>
  <c r="V16" i="73"/>
  <c r="V6" i="73"/>
  <c r="W6" i="73"/>
  <c r="X6" i="73"/>
  <c r="U14" i="73"/>
  <c r="V14" i="73"/>
  <c r="CR12" i="63"/>
  <c r="CR45" i="63"/>
  <c r="CR80" i="63"/>
  <c r="CR93" i="63"/>
  <c r="I64" i="75"/>
  <c r="V13" i="73"/>
  <c r="W13" i="73"/>
  <c r="X13" i="73"/>
  <c r="Q19" i="71"/>
  <c r="Q27" i="71"/>
  <c r="Q25" i="71"/>
  <c r="Q53" i="71"/>
  <c r="I17" i="75"/>
  <c r="H8" i="75"/>
  <c r="G64" i="75"/>
  <c r="H105" i="75"/>
  <c r="I117" i="75"/>
  <c r="P13" i="75"/>
  <c r="P15" i="75"/>
  <c r="H106" i="75"/>
  <c r="H97" i="75"/>
  <c r="H113" i="75"/>
  <c r="H115" i="75"/>
  <c r="O9" i="75"/>
  <c r="H65" i="75"/>
  <c r="G117" i="75"/>
  <c r="H109" i="75"/>
  <c r="C29" i="42"/>
  <c r="C18" i="42"/>
  <c r="B18" i="42"/>
  <c r="P68" i="71"/>
  <c r="P72" i="71"/>
  <c r="N67" i="71"/>
  <c r="O68" i="71"/>
  <c r="O72" i="71"/>
  <c r="D13" i="65"/>
  <c r="J13" i="65"/>
  <c r="J5" i="65"/>
  <c r="M67" i="71"/>
  <c r="CR44" i="63"/>
  <c r="CR86" i="63"/>
  <c r="CR91" i="63"/>
  <c r="CR102" i="63"/>
  <c r="CR105" i="63"/>
  <c r="Q34" i="71"/>
  <c r="Q78" i="71"/>
  <c r="Q79" i="71"/>
  <c r="H34" i="75"/>
  <c r="H39" i="75"/>
  <c r="H69" i="75"/>
  <c r="B36" i="69"/>
  <c r="B32" i="69"/>
  <c r="Q17" i="71"/>
  <c r="F12" i="126"/>
  <c r="T12" i="126"/>
  <c r="E118" i="125"/>
  <c r="AE21" i="125"/>
  <c r="C35" i="125"/>
  <c r="AZ118" i="125"/>
  <c r="CR58" i="63"/>
  <c r="Q22" i="71"/>
  <c r="Q23" i="71"/>
  <c r="Q6" i="71"/>
  <c r="Q15" i="71"/>
  <c r="Q24" i="71"/>
  <c r="Q26" i="71"/>
  <c r="Q28" i="71"/>
  <c r="Q30" i="71"/>
  <c r="Q31" i="71"/>
  <c r="Q39" i="71"/>
  <c r="Q40" i="71"/>
  <c r="Q47" i="71"/>
  <c r="Q48" i="71"/>
  <c r="Q57" i="71"/>
  <c r="Q58" i="71"/>
  <c r="Q67" i="71"/>
  <c r="V8" i="73"/>
  <c r="W8" i="73"/>
  <c r="X8" i="73"/>
  <c r="P15" i="67"/>
  <c r="D5" i="61"/>
  <c r="Y8" i="73"/>
  <c r="H26" i="75"/>
  <c r="G17" i="75"/>
  <c r="H13" i="75"/>
  <c r="C118" i="125"/>
  <c r="M21" i="73"/>
  <c r="P107" i="63"/>
  <c r="CR35" i="63"/>
  <c r="CR83" i="63"/>
  <c r="W16" i="73"/>
  <c r="X16" i="73"/>
  <c r="AC107" i="63"/>
  <c r="CR7" i="63"/>
  <c r="CR9" i="63"/>
  <c r="CR13" i="63"/>
  <c r="CR19" i="63"/>
  <c r="CR27" i="63"/>
  <c r="CR47" i="63"/>
  <c r="CR50" i="63"/>
  <c r="CR54" i="63"/>
  <c r="CR57" i="63"/>
  <c r="CR62" i="63"/>
  <c r="CR69" i="63"/>
  <c r="CR76" i="63"/>
  <c r="H4" i="71"/>
  <c r="V15" i="68"/>
  <c r="U5" i="73"/>
  <c r="V5" i="73"/>
  <c r="W5" i="73"/>
  <c r="X5" i="73"/>
  <c r="Y5" i="73"/>
  <c r="H23" i="75"/>
  <c r="H50" i="75"/>
  <c r="H55" i="75"/>
  <c r="H99" i="75"/>
  <c r="U12" i="73"/>
  <c r="H71" i="75"/>
  <c r="H81" i="75"/>
  <c r="H89" i="75"/>
  <c r="H116" i="75"/>
  <c r="AE32" i="125"/>
  <c r="A10" i="126"/>
  <c r="AF10" i="126"/>
  <c r="A20" i="125"/>
  <c r="U7" i="73"/>
  <c r="U17" i="73"/>
  <c r="V17" i="73"/>
  <c r="W17" i="73"/>
  <c r="X17" i="73"/>
  <c r="Y17" i="73"/>
  <c r="H16" i="75"/>
  <c r="H19" i="75"/>
  <c r="H22" i="75"/>
  <c r="H27" i="75"/>
  <c r="H30" i="75"/>
  <c r="H35" i="75"/>
  <c r="H38" i="75"/>
  <c r="H43" i="75"/>
  <c r="H46" i="75"/>
  <c r="H51" i="75"/>
  <c r="H54" i="75"/>
  <c r="H59" i="75"/>
  <c r="I108" i="75"/>
  <c r="I118" i="75"/>
  <c r="F31" i="126"/>
  <c r="T31" i="126"/>
  <c r="AE40" i="125"/>
  <c r="F39" i="126"/>
  <c r="T39" i="126"/>
  <c r="AE48" i="125"/>
  <c r="F59" i="126"/>
  <c r="T59" i="126"/>
  <c r="AE68" i="125"/>
  <c r="F75" i="126"/>
  <c r="T75" i="126"/>
  <c r="AE84" i="125"/>
  <c r="U10" i="73"/>
  <c r="U11" i="73"/>
  <c r="AE29" i="125"/>
  <c r="AE24" i="125"/>
  <c r="AE113" i="125"/>
  <c r="AE118" i="125"/>
  <c r="D11" i="60"/>
  <c r="I12" i="125"/>
  <c r="CK110" i="128"/>
  <c r="Q8" i="67"/>
  <c r="R8" i="67"/>
  <c r="S8" i="67"/>
  <c r="D16" i="60"/>
  <c r="D17" i="60"/>
  <c r="Q2" i="128"/>
  <c r="G16" i="61"/>
  <c r="Q11" i="67"/>
  <c r="R11" i="67"/>
  <c r="S11" i="67"/>
  <c r="F17" i="61"/>
  <c r="F18" i="60"/>
  <c r="F16" i="60"/>
  <c r="F17" i="60"/>
  <c r="F19" i="60"/>
  <c r="E16" i="61"/>
  <c r="J16" i="61"/>
  <c r="D17" i="61"/>
  <c r="V11" i="73"/>
  <c r="W11" i="73"/>
  <c r="X11" i="73"/>
  <c r="Y11" i="73"/>
  <c r="V10" i="73"/>
  <c r="W10" i="73"/>
  <c r="X10" i="73"/>
  <c r="Y10" i="73"/>
  <c r="V7" i="73"/>
  <c r="W7" i="73"/>
  <c r="X7" i="73"/>
  <c r="Y7" i="73"/>
  <c r="V12" i="73"/>
  <c r="W12" i="73"/>
  <c r="X12" i="73"/>
  <c r="Y12" i="73"/>
  <c r="V4" i="73"/>
  <c r="W4" i="73"/>
  <c r="V9" i="73"/>
  <c r="W9" i="73"/>
  <c r="X9" i="73"/>
  <c r="Y9" i="73"/>
  <c r="W14" i="73"/>
  <c r="X14" i="73"/>
  <c r="Y14" i="73"/>
  <c r="W19" i="73"/>
  <c r="X19" i="73"/>
  <c r="W18" i="73"/>
  <c r="X18" i="73"/>
  <c r="F20" i="132"/>
  <c r="F13" i="132"/>
  <c r="F7" i="132"/>
  <c r="F5" i="132"/>
  <c r="F32" i="131"/>
  <c r="F28" i="131"/>
  <c r="F24" i="131"/>
  <c r="F18" i="131"/>
  <c r="F12" i="131"/>
  <c r="F6" i="131"/>
  <c r="F3" i="131"/>
  <c r="F26" i="130"/>
  <c r="F11" i="130"/>
  <c r="F22" i="129"/>
  <c r="F17" i="129"/>
  <c r="F12" i="129"/>
  <c r="F5" i="129"/>
  <c r="F19" i="131"/>
  <c r="F23" i="130"/>
  <c r="F19" i="132"/>
  <c r="F4" i="132"/>
  <c r="F31" i="131"/>
  <c r="F27" i="131"/>
  <c r="F23" i="131"/>
  <c r="F17" i="131"/>
  <c r="F30" i="130"/>
  <c r="F25" i="130"/>
  <c r="F22" i="130"/>
  <c r="F16" i="130"/>
  <c r="F10" i="130"/>
  <c r="F2" i="130"/>
  <c r="F29" i="129"/>
  <c r="F11" i="129"/>
  <c r="F4" i="129"/>
  <c r="F8" i="132"/>
  <c r="F27" i="130"/>
  <c r="F32" i="132"/>
  <c r="F28" i="132"/>
  <c r="F24" i="132"/>
  <c r="F18" i="132"/>
  <c r="F12" i="132"/>
  <c r="F6" i="132"/>
  <c r="F3" i="132"/>
  <c r="F26" i="131"/>
  <c r="F11" i="131"/>
  <c r="F29" i="130"/>
  <c r="F15" i="130"/>
  <c r="F9" i="130"/>
  <c r="F9" i="129"/>
  <c r="F3" i="129"/>
  <c r="F7" i="129"/>
  <c r="F21" i="132"/>
  <c r="F31" i="132"/>
  <c r="F27" i="132"/>
  <c r="F23" i="132"/>
  <c r="F17" i="132"/>
  <c r="F30" i="131"/>
  <c r="F25" i="131"/>
  <c r="F22" i="131"/>
  <c r="F16" i="131"/>
  <c r="F10" i="131"/>
  <c r="F2" i="131"/>
  <c r="F21" i="130"/>
  <c r="F14" i="130"/>
  <c r="F8" i="130"/>
  <c r="F21" i="129"/>
  <c r="F14" i="132"/>
  <c r="F31" i="130"/>
  <c r="F26" i="132"/>
  <c r="F11" i="132"/>
  <c r="F29" i="131"/>
  <c r="F15" i="131"/>
  <c r="F9" i="131"/>
  <c r="F20" i="130"/>
  <c r="F13" i="130"/>
  <c r="F7" i="130"/>
  <c r="F5" i="130"/>
  <c r="F26" i="129"/>
  <c r="F20" i="129"/>
  <c r="F15" i="129"/>
  <c r="F14" i="129"/>
  <c r="F4" i="131"/>
  <c r="F30" i="132"/>
  <c r="F25" i="132"/>
  <c r="F22" i="132"/>
  <c r="F16" i="132"/>
  <c r="F10" i="132"/>
  <c r="F2" i="132"/>
  <c r="F21" i="131"/>
  <c r="F14" i="131"/>
  <c r="F8" i="131"/>
  <c r="F19" i="130"/>
  <c r="F4" i="130"/>
  <c r="F19" i="129"/>
  <c r="F17" i="130"/>
  <c r="F29" i="132"/>
  <c r="F15" i="132"/>
  <c r="F9" i="132"/>
  <c r="F20" i="131"/>
  <c r="F13" i="131"/>
  <c r="F7" i="131"/>
  <c r="F5" i="131"/>
  <c r="F32" i="130"/>
  <c r="F28" i="130"/>
  <c r="F24" i="130"/>
  <c r="F18" i="130"/>
  <c r="F12" i="130"/>
  <c r="F6" i="130"/>
  <c r="F3" i="130"/>
  <c r="F18" i="129"/>
  <c r="F13" i="129"/>
  <c r="F16" i="129"/>
  <c r="F30" i="129"/>
  <c r="F31" i="129"/>
  <c r="F25" i="129"/>
  <c r="F10" i="129"/>
  <c r="F24" i="129"/>
  <c r="F2" i="129"/>
  <c r="F23" i="129"/>
  <c r="F8" i="129"/>
  <c r="F32" i="129"/>
  <c r="F28" i="129"/>
  <c r="F27" i="129"/>
  <c r="D29" i="60"/>
  <c r="E29" i="60"/>
  <c r="F29" i="60"/>
  <c r="Z16" i="73"/>
  <c r="AA16" i="73"/>
  <c r="Z19" i="73"/>
  <c r="AA19" i="73"/>
  <c r="Z18" i="73"/>
  <c r="AA18" i="73"/>
  <c r="Z10" i="73"/>
  <c r="AA10" i="73"/>
  <c r="Z9" i="73"/>
  <c r="AA9" i="73"/>
  <c r="Z7" i="73"/>
  <c r="AA7" i="73"/>
  <c r="Z6" i="73"/>
  <c r="AA6" i="73"/>
  <c r="Z12" i="73"/>
  <c r="AA12" i="73"/>
  <c r="Z4" i="73"/>
  <c r="Z8" i="73"/>
  <c r="AA8" i="73"/>
  <c r="Z17" i="73"/>
  <c r="AA17" i="73"/>
  <c r="Z11" i="73"/>
  <c r="AA11" i="73"/>
  <c r="Z5" i="73"/>
  <c r="AA5" i="73"/>
  <c r="Z13" i="73"/>
  <c r="AA13" i="73"/>
  <c r="Z15" i="73"/>
  <c r="AA15" i="73"/>
  <c r="Z14" i="73"/>
  <c r="AA14" i="73"/>
  <c r="H33" i="71"/>
  <c r="H54" i="71"/>
  <c r="I7" i="73"/>
  <c r="H14" i="71"/>
  <c r="Y16" i="73"/>
  <c r="H17" i="71"/>
  <c r="H38" i="71"/>
  <c r="I10" i="73"/>
  <c r="I12" i="73"/>
  <c r="H62" i="71"/>
  <c r="Y18" i="73"/>
  <c r="I8" i="73"/>
  <c r="H22" i="71"/>
  <c r="I17" i="73"/>
  <c r="H70" i="71"/>
  <c r="I70" i="71"/>
  <c r="H46" i="71"/>
  <c r="I13" i="73"/>
  <c r="H6" i="71"/>
  <c r="H26" i="71"/>
  <c r="Y13" i="73"/>
  <c r="I9" i="73"/>
  <c r="H30" i="71"/>
  <c r="H50" i="71"/>
  <c r="I11" i="73"/>
  <c r="D10" i="60"/>
  <c r="H43" i="71"/>
  <c r="H35" i="71"/>
  <c r="H11" i="71"/>
  <c r="H64" i="71"/>
  <c r="H40" i="71"/>
  <c r="H32" i="71"/>
  <c r="H8" i="71"/>
  <c r="H63" i="71"/>
  <c r="H39" i="71"/>
  <c r="H31" i="71"/>
  <c r="H7" i="71"/>
  <c r="H61" i="71"/>
  <c r="H37" i="71"/>
  <c r="H29" i="71"/>
  <c r="H5" i="71"/>
  <c r="H60" i="71"/>
  <c r="H36" i="71"/>
  <c r="H28" i="71"/>
  <c r="F13" i="123"/>
  <c r="L13" i="123"/>
  <c r="F21" i="123"/>
  <c r="L21" i="123"/>
  <c r="F15" i="123"/>
  <c r="F7" i="123"/>
  <c r="L7" i="123"/>
  <c r="F8" i="123"/>
  <c r="L8" i="123"/>
  <c r="L38" i="123"/>
  <c r="J39" i="123"/>
  <c r="F5" i="123"/>
  <c r="F2" i="123"/>
  <c r="K2" i="123"/>
  <c r="I34" i="123"/>
  <c r="F4" i="123"/>
  <c r="F10" i="123"/>
  <c r="L10" i="123"/>
  <c r="E74" i="71"/>
  <c r="B74" i="71"/>
  <c r="B75" i="71"/>
  <c r="G74" i="71"/>
  <c r="D74" i="71"/>
  <c r="F3" i="123"/>
  <c r="J3" i="123"/>
  <c r="F17" i="123"/>
  <c r="L17" i="123"/>
  <c r="F18" i="123"/>
  <c r="L18" i="123"/>
  <c r="F6" i="123"/>
  <c r="L6" i="123"/>
  <c r="F19" i="123"/>
  <c r="L19" i="123"/>
  <c r="F12" i="123"/>
  <c r="K12" i="123"/>
  <c r="F23" i="123"/>
  <c r="L23" i="123"/>
  <c r="F14" i="123"/>
  <c r="L14" i="123"/>
  <c r="F25" i="123"/>
  <c r="L25" i="123"/>
  <c r="F26" i="123"/>
  <c r="L26" i="123"/>
  <c r="F9" i="123"/>
  <c r="K9" i="123"/>
  <c r="F20" i="123"/>
  <c r="K20" i="123"/>
  <c r="F24" i="123"/>
  <c r="K24" i="123"/>
  <c r="F27" i="123"/>
  <c r="L27" i="123"/>
  <c r="F28" i="123"/>
  <c r="L28" i="123"/>
  <c r="F16" i="123"/>
  <c r="L16" i="123"/>
  <c r="F11" i="123"/>
  <c r="L11" i="123"/>
  <c r="F22" i="123"/>
  <c r="L22" i="123"/>
  <c r="F29" i="123"/>
  <c r="L29" i="123"/>
  <c r="F30" i="123"/>
  <c r="K30" i="123"/>
  <c r="F31" i="123"/>
  <c r="K31" i="123"/>
  <c r="F32" i="123"/>
  <c r="L32" i="123"/>
  <c r="Q68" i="71"/>
  <c r="Q72" i="71"/>
  <c r="Q73" i="71"/>
  <c r="A11" i="126"/>
  <c r="AF11" i="126"/>
  <c r="A21" i="125"/>
  <c r="H12" i="71"/>
  <c r="H44" i="71"/>
  <c r="H13" i="71"/>
  <c r="H45" i="71"/>
  <c r="H15" i="71"/>
  <c r="H47" i="71"/>
  <c r="H16" i="71"/>
  <c r="H48" i="71"/>
  <c r="H19" i="71"/>
  <c r="H51" i="71"/>
  <c r="I5" i="73"/>
  <c r="H9" i="71"/>
  <c r="C18" i="65"/>
  <c r="C7" i="65"/>
  <c r="H25" i="71"/>
  <c r="H65" i="71"/>
  <c r="I6" i="73"/>
  <c r="H41" i="71"/>
  <c r="I16" i="73"/>
  <c r="H57" i="71"/>
  <c r="I18" i="73"/>
  <c r="H10" i="71"/>
  <c r="N72" i="71"/>
  <c r="N68" i="71"/>
  <c r="P73" i="71"/>
  <c r="H20" i="71"/>
  <c r="H52" i="71"/>
  <c r="H21" i="71"/>
  <c r="H53" i="71"/>
  <c r="H23" i="71"/>
  <c r="H55" i="71"/>
  <c r="H24" i="71"/>
  <c r="H56" i="71"/>
  <c r="H27" i="71"/>
  <c r="H59" i="71"/>
  <c r="Y6" i="73"/>
  <c r="AB6" i="73"/>
  <c r="I15" i="73"/>
  <c r="H49" i="71"/>
  <c r="I19" i="73"/>
  <c r="I4" i="73"/>
  <c r="H42" i="71"/>
  <c r="D46" i="61"/>
  <c r="H18" i="71"/>
  <c r="H58" i="71"/>
  <c r="I14" i="73"/>
  <c r="H34" i="71"/>
  <c r="Y15" i="73"/>
  <c r="Y19" i="73"/>
  <c r="AB19" i="73"/>
  <c r="U21" i="73"/>
  <c r="B37" i="69"/>
  <c r="M68" i="71"/>
  <c r="M72" i="71"/>
  <c r="M73" i="71"/>
  <c r="B114" i="125"/>
  <c r="F114" i="125"/>
  <c r="B109" i="125"/>
  <c r="F109" i="125"/>
  <c r="B66" i="125"/>
  <c r="F66" i="125"/>
  <c r="B80" i="125"/>
  <c r="F80" i="125"/>
  <c r="B67" i="125"/>
  <c r="F67" i="125"/>
  <c r="B22" i="125"/>
  <c r="F22" i="125"/>
  <c r="B100" i="125"/>
  <c r="F100" i="125"/>
  <c r="B81" i="125"/>
  <c r="F81" i="125"/>
  <c r="B68" i="125"/>
  <c r="F68" i="125"/>
  <c r="B37" i="125"/>
  <c r="F37" i="125"/>
  <c r="B44" i="125"/>
  <c r="F44" i="125"/>
  <c r="B23" i="125"/>
  <c r="F23" i="125"/>
  <c r="B47" i="125"/>
  <c r="F47" i="125"/>
  <c r="B111" i="125"/>
  <c r="F111" i="125"/>
  <c r="B105" i="125"/>
  <c r="F105" i="125"/>
  <c r="B63" i="125"/>
  <c r="F63" i="125"/>
  <c r="B72" i="125"/>
  <c r="F72" i="125"/>
  <c r="B61" i="125"/>
  <c r="F61" i="125"/>
  <c r="B112" i="125"/>
  <c r="F112" i="125"/>
  <c r="B98" i="125"/>
  <c r="F98" i="125"/>
  <c r="B73" i="125"/>
  <c r="F73" i="125"/>
  <c r="B59" i="125"/>
  <c r="F59" i="125"/>
  <c r="B45" i="125"/>
  <c r="F45" i="125"/>
  <c r="B30" i="125"/>
  <c r="F30" i="125"/>
  <c r="B42" i="125"/>
  <c r="F42" i="125"/>
  <c r="B21" i="125"/>
  <c r="F21" i="125"/>
  <c r="B43" i="125"/>
  <c r="F43" i="125"/>
  <c r="B103" i="125"/>
  <c r="F103" i="125"/>
  <c r="B101" i="125"/>
  <c r="F101" i="125"/>
  <c r="B64" i="125"/>
  <c r="F64" i="125"/>
  <c r="B57" i="125"/>
  <c r="F57" i="125"/>
  <c r="B110" i="125"/>
  <c r="F110" i="125"/>
  <c r="B96" i="125"/>
  <c r="F96" i="125"/>
  <c r="B65" i="125"/>
  <c r="F65" i="125"/>
  <c r="B117" i="125"/>
  <c r="F117" i="125"/>
  <c r="B29" i="125"/>
  <c r="F29" i="125"/>
  <c r="B27" i="125"/>
  <c r="F27" i="125"/>
  <c r="B35" i="125"/>
  <c r="F35" i="125"/>
  <c r="B18" i="125"/>
  <c r="F18" i="125"/>
  <c r="B41" i="125"/>
  <c r="F41" i="125"/>
  <c r="B95" i="125"/>
  <c r="F95" i="125"/>
  <c r="B97" i="125"/>
  <c r="F97" i="125"/>
  <c r="B60" i="125"/>
  <c r="F60" i="125"/>
  <c r="AY120" i="125"/>
  <c r="B54" i="125"/>
  <c r="F54" i="125"/>
  <c r="B108" i="125"/>
  <c r="F108" i="125"/>
  <c r="B94" i="125"/>
  <c r="F94" i="125"/>
  <c r="B62" i="125"/>
  <c r="F62" i="125"/>
  <c r="B115" i="125"/>
  <c r="F115" i="125"/>
  <c r="B20" i="125"/>
  <c r="F20" i="125"/>
  <c r="B25" i="125"/>
  <c r="F25" i="125"/>
  <c r="B33" i="125"/>
  <c r="F33" i="125"/>
  <c r="B56" i="125"/>
  <c r="F56" i="125"/>
  <c r="B19" i="125"/>
  <c r="F19" i="125"/>
  <c r="U119" i="125"/>
  <c r="B93" i="125"/>
  <c r="F93" i="125"/>
  <c r="B85" i="125"/>
  <c r="F85" i="125"/>
  <c r="B116" i="125"/>
  <c r="F116" i="125"/>
  <c r="B50" i="125"/>
  <c r="F50" i="125"/>
  <c r="B106" i="125"/>
  <c r="F106" i="125"/>
  <c r="B86" i="125"/>
  <c r="F86" i="125"/>
  <c r="B58" i="125"/>
  <c r="F58" i="125"/>
  <c r="B113" i="125"/>
  <c r="F113" i="125"/>
  <c r="B32" i="125"/>
  <c r="F32" i="125"/>
  <c r="B55" i="125"/>
  <c r="F55" i="125"/>
  <c r="B28" i="125"/>
  <c r="F28" i="125"/>
  <c r="B36" i="125"/>
  <c r="F36" i="125"/>
  <c r="B107" i="125"/>
  <c r="F107" i="125"/>
  <c r="B90" i="125"/>
  <c r="F90" i="125"/>
  <c r="B77" i="125"/>
  <c r="F77" i="125"/>
  <c r="B91" i="125"/>
  <c r="F91" i="125"/>
  <c r="B38" i="125"/>
  <c r="F38" i="125"/>
  <c r="B104" i="125"/>
  <c r="F104" i="125"/>
  <c r="B78" i="125"/>
  <c r="F78" i="125"/>
  <c r="B92" i="125"/>
  <c r="F92" i="125"/>
  <c r="B87" i="125"/>
  <c r="F87" i="125"/>
  <c r="B48" i="125"/>
  <c r="F48" i="125"/>
  <c r="B51" i="125"/>
  <c r="F51" i="125"/>
  <c r="B49" i="125"/>
  <c r="F49" i="125"/>
  <c r="B84" i="125"/>
  <c r="F84" i="125"/>
  <c r="B82" i="125"/>
  <c r="F82" i="125"/>
  <c r="B69" i="125"/>
  <c r="F69" i="125"/>
  <c r="B83" i="125"/>
  <c r="F83" i="125"/>
  <c r="B34" i="125"/>
  <c r="F34" i="125"/>
  <c r="B70" i="125"/>
  <c r="F70" i="125"/>
  <c r="B79" i="125"/>
  <c r="F79" i="125"/>
  <c r="B53" i="125"/>
  <c r="F53" i="125"/>
  <c r="B40" i="125"/>
  <c r="F40" i="125"/>
  <c r="B24" i="125"/>
  <c r="F24" i="125"/>
  <c r="D35" i="60"/>
  <c r="E35" i="60"/>
  <c r="F35" i="60"/>
  <c r="B99" i="125"/>
  <c r="F99" i="125"/>
  <c r="B74" i="125"/>
  <c r="F74" i="125"/>
  <c r="B88" i="125"/>
  <c r="F88" i="125"/>
  <c r="B75" i="125"/>
  <c r="F75" i="125"/>
  <c r="B26" i="125"/>
  <c r="F26" i="125"/>
  <c r="B102" i="125"/>
  <c r="F102" i="125"/>
  <c r="B89" i="125"/>
  <c r="F89" i="125"/>
  <c r="B76" i="125"/>
  <c r="F76" i="125"/>
  <c r="B71" i="125"/>
  <c r="F71" i="125"/>
  <c r="B39" i="125"/>
  <c r="F39" i="125"/>
  <c r="B46" i="125"/>
  <c r="F46" i="125"/>
  <c r="B31" i="125"/>
  <c r="F31" i="125"/>
  <c r="B52" i="125"/>
  <c r="F52" i="125"/>
  <c r="Q2" i="63"/>
  <c r="Q57" i="63"/>
  <c r="Q8" i="68"/>
  <c r="R8" i="68"/>
  <c r="S8" i="68"/>
  <c r="F27" i="118"/>
  <c r="D41" i="140"/>
  <c r="G17" i="61"/>
  <c r="Q11" i="102"/>
  <c r="R11" i="102"/>
  <c r="S11" i="102"/>
  <c r="I16" i="61"/>
  <c r="I17" i="61"/>
  <c r="I18" i="60"/>
  <c r="D19" i="60"/>
  <c r="Q8" i="93"/>
  <c r="R8" i="93"/>
  <c r="H16" i="61"/>
  <c r="H16" i="60"/>
  <c r="H17" i="60"/>
  <c r="T2" i="128"/>
  <c r="T19" i="128"/>
  <c r="G16" i="60"/>
  <c r="G17" i="60"/>
  <c r="S2" i="63"/>
  <c r="S57" i="63"/>
  <c r="F29" i="118"/>
  <c r="D43" i="140"/>
  <c r="M16" i="61"/>
  <c r="K16" i="61"/>
  <c r="J16" i="60"/>
  <c r="J17" i="60"/>
  <c r="K109" i="67"/>
  <c r="L16" i="61"/>
  <c r="J17" i="61"/>
  <c r="Q8" i="104"/>
  <c r="R8" i="104"/>
  <c r="S8" i="104"/>
  <c r="Q8" i="94"/>
  <c r="R8" i="94"/>
  <c r="S8" i="94"/>
  <c r="Q8" i="80"/>
  <c r="R8" i="80"/>
  <c r="S8" i="80"/>
  <c r="Q8" i="108"/>
  <c r="R8" i="108"/>
  <c r="S8" i="108"/>
  <c r="Q8" i="82"/>
  <c r="R8" i="82"/>
  <c r="S8" i="82"/>
  <c r="Q8" i="114"/>
  <c r="R8" i="114"/>
  <c r="S8" i="114"/>
  <c r="Q8" i="92"/>
  <c r="R8" i="92"/>
  <c r="S8" i="92"/>
  <c r="Q8" i="76"/>
  <c r="R8" i="76"/>
  <c r="S8" i="76"/>
  <c r="Q8" i="110"/>
  <c r="R8" i="110"/>
  <c r="S8" i="110"/>
  <c r="Q8" i="84"/>
  <c r="R8" i="84"/>
  <c r="S8" i="84"/>
  <c r="Q8" i="106"/>
  <c r="R8" i="106"/>
  <c r="S8" i="106"/>
  <c r="Q8" i="90"/>
  <c r="R8" i="90"/>
  <c r="S8" i="90"/>
  <c r="Q8" i="98"/>
  <c r="R8" i="98"/>
  <c r="S8" i="98"/>
  <c r="D18" i="60"/>
  <c r="Q8" i="100"/>
  <c r="R8" i="100"/>
  <c r="S8" i="100"/>
  <c r="Q8" i="88"/>
  <c r="R8" i="88"/>
  <c r="S8" i="88"/>
  <c r="Q8" i="78"/>
  <c r="R8" i="78"/>
  <c r="S8" i="78"/>
  <c r="Q8" i="116"/>
  <c r="R8" i="116"/>
  <c r="S8" i="116"/>
  <c r="Q8" i="96"/>
  <c r="R8" i="96"/>
  <c r="S8" i="96"/>
  <c r="Q8" i="86"/>
  <c r="R8" i="86"/>
  <c r="S8" i="86"/>
  <c r="Q8" i="112"/>
  <c r="R8" i="112"/>
  <c r="S8" i="112"/>
  <c r="Q8" i="102"/>
  <c r="R8" i="102"/>
  <c r="S8" i="102"/>
  <c r="Q9" i="67"/>
  <c r="R9" i="67"/>
  <c r="S9" i="67"/>
  <c r="E16" i="60"/>
  <c r="E17" i="60"/>
  <c r="E17" i="61"/>
  <c r="X4" i="73"/>
  <c r="W21" i="73"/>
  <c r="AB8" i="73"/>
  <c r="AB18" i="73"/>
  <c r="J9" i="132"/>
  <c r="K9" i="132"/>
  <c r="L9" i="132"/>
  <c r="L22" i="130"/>
  <c r="J22" i="130"/>
  <c r="K22" i="130"/>
  <c r="K14" i="130"/>
  <c r="J14" i="130"/>
  <c r="L14" i="130"/>
  <c r="J6" i="130"/>
  <c r="K6" i="130"/>
  <c r="L6" i="130"/>
  <c r="J13" i="131"/>
  <c r="L13" i="131"/>
  <c r="K13" i="131"/>
  <c r="L19" i="129"/>
  <c r="J19" i="129"/>
  <c r="K19" i="129"/>
  <c r="K10" i="132"/>
  <c r="J10" i="132"/>
  <c r="L10" i="132"/>
  <c r="L9" i="131"/>
  <c r="K9" i="131"/>
  <c r="J9" i="131"/>
  <c r="L21" i="129"/>
  <c r="J21" i="129"/>
  <c r="K21" i="129"/>
  <c r="K22" i="131"/>
  <c r="J22" i="131"/>
  <c r="L22" i="131"/>
  <c r="J7" i="129"/>
  <c r="K7" i="129"/>
  <c r="L7" i="129"/>
  <c r="K3" i="132"/>
  <c r="L3" i="132"/>
  <c r="J3" i="132"/>
  <c r="J27" i="130"/>
  <c r="L27" i="130"/>
  <c r="K27" i="130"/>
  <c r="J10" i="130"/>
  <c r="L10" i="130"/>
  <c r="K10" i="130"/>
  <c r="K31" i="131"/>
  <c r="J31" i="131"/>
  <c r="L31" i="131"/>
  <c r="J17" i="129"/>
  <c r="K17" i="129"/>
  <c r="L17" i="129"/>
  <c r="J24" i="131"/>
  <c r="K24" i="131"/>
  <c r="L24" i="131"/>
  <c r="K4" i="130"/>
  <c r="L4" i="130"/>
  <c r="J4" i="130"/>
  <c r="J8" i="130"/>
  <c r="L8" i="130"/>
  <c r="K8" i="130"/>
  <c r="J9" i="129"/>
  <c r="K9" i="129"/>
  <c r="L9" i="129"/>
  <c r="K11" i="130"/>
  <c r="L11" i="130"/>
  <c r="J11" i="130"/>
  <c r="K19" i="130"/>
  <c r="L19" i="130"/>
  <c r="J19" i="130"/>
  <c r="L24" i="129"/>
  <c r="J24" i="129"/>
  <c r="K24" i="129"/>
  <c r="J30" i="129"/>
  <c r="L30" i="129"/>
  <c r="K30" i="129"/>
  <c r="K12" i="130"/>
  <c r="J12" i="130"/>
  <c r="L12" i="130"/>
  <c r="K20" i="131"/>
  <c r="J20" i="131"/>
  <c r="L20" i="131"/>
  <c r="L16" i="132"/>
  <c r="J16" i="132"/>
  <c r="K16" i="132"/>
  <c r="J15" i="129"/>
  <c r="L15" i="129"/>
  <c r="K15" i="129"/>
  <c r="L15" i="131"/>
  <c r="K15" i="131"/>
  <c r="J15" i="131"/>
  <c r="L25" i="131"/>
  <c r="K25" i="131"/>
  <c r="J25" i="131"/>
  <c r="K3" i="129"/>
  <c r="J3" i="129"/>
  <c r="L3" i="129"/>
  <c r="L6" i="132"/>
  <c r="K6" i="132"/>
  <c r="J6" i="132"/>
  <c r="J8" i="132"/>
  <c r="K8" i="132"/>
  <c r="L8" i="132"/>
  <c r="L16" i="130"/>
  <c r="K16" i="130"/>
  <c r="J16" i="130"/>
  <c r="K4" i="132"/>
  <c r="J4" i="132"/>
  <c r="L4" i="132"/>
  <c r="L22" i="129"/>
  <c r="J22" i="129"/>
  <c r="K22" i="129"/>
  <c r="J28" i="131"/>
  <c r="K28" i="131"/>
  <c r="L28" i="131"/>
  <c r="K30" i="131"/>
  <c r="J30" i="131"/>
  <c r="L30" i="131"/>
  <c r="K26" i="129"/>
  <c r="L26" i="129"/>
  <c r="J26" i="129"/>
  <c r="J26" i="130"/>
  <c r="K26" i="130"/>
  <c r="L26" i="130"/>
  <c r="L32" i="129"/>
  <c r="K32" i="129"/>
  <c r="J32" i="129"/>
  <c r="J10" i="129"/>
  <c r="L10" i="129"/>
  <c r="K10" i="129"/>
  <c r="L16" i="129"/>
  <c r="K16" i="129"/>
  <c r="J16" i="129"/>
  <c r="L20" i="129"/>
  <c r="K20" i="129"/>
  <c r="J20" i="129"/>
  <c r="L32" i="131"/>
  <c r="J32" i="131"/>
  <c r="K32" i="131"/>
  <c r="L9" i="130"/>
  <c r="J9" i="130"/>
  <c r="K9" i="130"/>
  <c r="K4" i="129"/>
  <c r="L4" i="129"/>
  <c r="J4" i="129"/>
  <c r="AB17" i="73"/>
  <c r="L8" i="129"/>
  <c r="K8" i="129"/>
  <c r="J8" i="129"/>
  <c r="K25" i="129"/>
  <c r="L25" i="129"/>
  <c r="J25" i="129"/>
  <c r="L28" i="130"/>
  <c r="K28" i="130"/>
  <c r="J28" i="130"/>
  <c r="J29" i="132"/>
  <c r="K29" i="132"/>
  <c r="L29" i="132"/>
  <c r="L8" i="131"/>
  <c r="K8" i="131"/>
  <c r="J8" i="131"/>
  <c r="J30" i="132"/>
  <c r="K30" i="132"/>
  <c r="L30" i="132"/>
  <c r="L5" i="130"/>
  <c r="J5" i="130"/>
  <c r="K5" i="130"/>
  <c r="L26" i="132"/>
  <c r="K26" i="132"/>
  <c r="J26" i="132"/>
  <c r="L21" i="130"/>
  <c r="K21" i="130"/>
  <c r="J21" i="130"/>
  <c r="L23" i="132"/>
  <c r="K23" i="132"/>
  <c r="J23" i="132"/>
  <c r="J15" i="130"/>
  <c r="L15" i="130"/>
  <c r="K15" i="130"/>
  <c r="L24" i="132"/>
  <c r="K24" i="132"/>
  <c r="J24" i="132"/>
  <c r="L11" i="129"/>
  <c r="K11" i="129"/>
  <c r="J11" i="129"/>
  <c r="K30" i="130"/>
  <c r="L30" i="130"/>
  <c r="J30" i="130"/>
  <c r="K23" i="130"/>
  <c r="J23" i="130"/>
  <c r="L23" i="130"/>
  <c r="J3" i="131"/>
  <c r="L3" i="131"/>
  <c r="K3" i="131"/>
  <c r="J7" i="132"/>
  <c r="K7" i="132"/>
  <c r="L7" i="132"/>
  <c r="J22" i="132"/>
  <c r="K22" i="132"/>
  <c r="L22" i="132"/>
  <c r="J19" i="132"/>
  <c r="K19" i="132"/>
  <c r="L19" i="132"/>
  <c r="K15" i="132"/>
  <c r="J15" i="132"/>
  <c r="L15" i="132"/>
  <c r="L17" i="132"/>
  <c r="K17" i="132"/>
  <c r="J17" i="132"/>
  <c r="L5" i="132"/>
  <c r="K5" i="132"/>
  <c r="J5" i="132"/>
  <c r="K23" i="129"/>
  <c r="J23" i="129"/>
  <c r="L23" i="129"/>
  <c r="J13" i="129"/>
  <c r="L13" i="129"/>
  <c r="K13" i="129"/>
  <c r="K32" i="130"/>
  <c r="L32" i="130"/>
  <c r="J32" i="130"/>
  <c r="L14" i="131"/>
  <c r="J14" i="131"/>
  <c r="K14" i="131"/>
  <c r="J4" i="131"/>
  <c r="L4" i="131"/>
  <c r="K4" i="131"/>
  <c r="K7" i="130"/>
  <c r="L7" i="130"/>
  <c r="J7" i="130"/>
  <c r="J31" i="130"/>
  <c r="K31" i="130"/>
  <c r="L31" i="130"/>
  <c r="K2" i="131"/>
  <c r="L2" i="131"/>
  <c r="J2" i="131"/>
  <c r="L27" i="132"/>
  <c r="K27" i="132"/>
  <c r="J27" i="132"/>
  <c r="L29" i="130"/>
  <c r="K29" i="130"/>
  <c r="J29" i="130"/>
  <c r="L28" i="132"/>
  <c r="K28" i="132"/>
  <c r="J28" i="132"/>
  <c r="J17" i="131"/>
  <c r="L17" i="131"/>
  <c r="K17" i="131"/>
  <c r="J19" i="131"/>
  <c r="K19" i="131"/>
  <c r="L19" i="131"/>
  <c r="L6" i="131"/>
  <c r="J6" i="131"/>
  <c r="K6" i="131"/>
  <c r="K13" i="132"/>
  <c r="J13" i="132"/>
  <c r="L13" i="132"/>
  <c r="K18" i="130"/>
  <c r="J18" i="130"/>
  <c r="L18" i="130"/>
  <c r="L12" i="132"/>
  <c r="K12" i="132"/>
  <c r="J12" i="132"/>
  <c r="L24" i="130"/>
  <c r="K24" i="130"/>
  <c r="J24" i="130"/>
  <c r="J11" i="132"/>
  <c r="L11" i="132"/>
  <c r="K11" i="132"/>
  <c r="L25" i="130"/>
  <c r="K25" i="130"/>
  <c r="J25" i="130"/>
  <c r="J27" i="129"/>
  <c r="L27" i="129"/>
  <c r="K27" i="129"/>
  <c r="K31" i="129"/>
  <c r="J31" i="129"/>
  <c r="L31" i="129"/>
  <c r="L18" i="129"/>
  <c r="K18" i="129"/>
  <c r="J18" i="129"/>
  <c r="L5" i="131"/>
  <c r="K5" i="131"/>
  <c r="J5" i="131"/>
  <c r="L17" i="130"/>
  <c r="K17" i="130"/>
  <c r="J17" i="130"/>
  <c r="L21" i="131"/>
  <c r="K21" i="131"/>
  <c r="J21" i="131"/>
  <c r="J14" i="129"/>
  <c r="K14" i="129"/>
  <c r="L14" i="129"/>
  <c r="L13" i="130"/>
  <c r="K13" i="130"/>
  <c r="J13" i="130"/>
  <c r="K14" i="132"/>
  <c r="J14" i="132"/>
  <c r="L14" i="132"/>
  <c r="K10" i="131"/>
  <c r="J10" i="131"/>
  <c r="L10" i="131"/>
  <c r="L31" i="132"/>
  <c r="K31" i="132"/>
  <c r="J31" i="132"/>
  <c r="L11" i="131"/>
  <c r="K11" i="131"/>
  <c r="J11" i="131"/>
  <c r="L32" i="132"/>
  <c r="K32" i="132"/>
  <c r="J32" i="132"/>
  <c r="J29" i="129"/>
  <c r="L29" i="129"/>
  <c r="K29" i="129"/>
  <c r="L23" i="131"/>
  <c r="K23" i="131"/>
  <c r="J23" i="131"/>
  <c r="L5" i="129"/>
  <c r="K5" i="129"/>
  <c r="J5" i="129"/>
  <c r="J12" i="131"/>
  <c r="K12" i="131"/>
  <c r="L12" i="131"/>
  <c r="L20" i="132"/>
  <c r="K20" i="132"/>
  <c r="J20" i="132"/>
  <c r="K29" i="131"/>
  <c r="J29" i="131"/>
  <c r="L29" i="131"/>
  <c r="AB16" i="73"/>
  <c r="J25" i="132"/>
  <c r="L25" i="132"/>
  <c r="K25" i="132"/>
  <c r="J18" i="132"/>
  <c r="L18" i="132"/>
  <c r="K18" i="132"/>
  <c r="AB14" i="73"/>
  <c r="J28" i="129"/>
  <c r="L28" i="129"/>
  <c r="K28" i="129"/>
  <c r="L2" i="129"/>
  <c r="J2" i="129"/>
  <c r="K2" i="129"/>
  <c r="K3" i="130"/>
  <c r="J3" i="130"/>
  <c r="L3" i="130"/>
  <c r="K7" i="131"/>
  <c r="J7" i="131"/>
  <c r="L7" i="131"/>
  <c r="L6" i="129"/>
  <c r="K6" i="129"/>
  <c r="J6" i="129"/>
  <c r="K2" i="132"/>
  <c r="J2" i="132"/>
  <c r="L2" i="132"/>
  <c r="J20" i="130"/>
  <c r="L20" i="130"/>
  <c r="K20" i="130"/>
  <c r="L16" i="131"/>
  <c r="J16" i="131"/>
  <c r="K16" i="131"/>
  <c r="J21" i="132"/>
  <c r="L21" i="132"/>
  <c r="K21" i="132"/>
  <c r="K26" i="131"/>
  <c r="J26" i="131"/>
  <c r="L26" i="131"/>
  <c r="J2" i="130"/>
  <c r="L2" i="130"/>
  <c r="K2" i="130"/>
  <c r="J27" i="131"/>
  <c r="L27" i="131"/>
  <c r="K27" i="131"/>
  <c r="L12" i="129"/>
  <c r="K12" i="129"/>
  <c r="J12" i="129"/>
  <c r="K18" i="131"/>
  <c r="L18" i="131"/>
  <c r="J18" i="131"/>
  <c r="AB12" i="73"/>
  <c r="AB9" i="73"/>
  <c r="J21" i="123"/>
  <c r="M21" i="123"/>
  <c r="C21" i="123"/>
  <c r="AB11" i="73"/>
  <c r="AB10" i="73"/>
  <c r="K7" i="123"/>
  <c r="K21" i="123"/>
  <c r="AB5" i="73"/>
  <c r="AB15" i="73"/>
  <c r="AB7" i="73"/>
  <c r="J7" i="123"/>
  <c r="M7" i="123"/>
  <c r="C7" i="123"/>
  <c r="J8" i="123"/>
  <c r="M8" i="123"/>
  <c r="C8" i="123"/>
  <c r="Z21" i="73"/>
  <c r="AA4" i="73"/>
  <c r="AA21" i="73"/>
  <c r="AB13" i="73"/>
  <c r="Q11" i="128"/>
  <c r="Q88" i="128"/>
  <c r="Q31" i="128"/>
  <c r="Q64" i="128"/>
  <c r="Q7" i="128"/>
  <c r="Q57" i="128"/>
  <c r="Q93" i="128"/>
  <c r="Q16" i="128"/>
  <c r="Q52" i="128"/>
  <c r="Q87" i="128"/>
  <c r="Q103" i="128"/>
  <c r="Q35" i="128"/>
  <c r="Q94" i="128"/>
  <c r="Q12" i="128"/>
  <c r="Q6" i="128"/>
  <c r="Q25" i="128"/>
  <c r="Q40" i="128"/>
  <c r="Q77" i="128"/>
  <c r="Q100" i="128"/>
  <c r="Q49" i="128"/>
  <c r="Q27" i="128"/>
  <c r="Q92" i="128"/>
  <c r="Q78" i="128"/>
  <c r="Q38" i="128"/>
  <c r="Q20" i="128"/>
  <c r="Q21" i="128"/>
  <c r="Q99" i="128"/>
  <c r="Q54" i="128"/>
  <c r="Q59" i="128"/>
  <c r="Q86" i="128"/>
  <c r="Q28" i="128"/>
  <c r="Q18" i="128"/>
  <c r="Q79" i="128"/>
  <c r="Q46" i="128"/>
  <c r="Q37" i="128"/>
  <c r="Q80" i="128"/>
  <c r="Q50" i="128"/>
  <c r="Q75" i="128"/>
  <c r="Q10" i="128"/>
  <c r="Q39" i="128"/>
  <c r="Q36" i="128"/>
  <c r="Q105" i="128"/>
  <c r="Q47" i="128"/>
  <c r="Q45" i="128"/>
  <c r="Q17" i="128"/>
  <c r="Q51" i="128"/>
  <c r="Q72" i="128"/>
  <c r="Q42" i="128"/>
  <c r="Q67" i="128"/>
  <c r="Q98" i="128"/>
  <c r="Q53" i="128"/>
  <c r="Q23" i="128"/>
  <c r="Q82" i="128"/>
  <c r="Q34" i="128"/>
  <c r="Q9" i="128"/>
  <c r="Q95" i="128"/>
  <c r="Q43" i="128"/>
  <c r="Q65" i="128"/>
  <c r="Q60" i="128"/>
  <c r="Q24" i="128"/>
  <c r="Q66" i="128"/>
  <c r="Q8" i="128"/>
  <c r="Q32" i="128"/>
  <c r="Q26" i="128"/>
  <c r="Q56" i="128"/>
  <c r="Q22" i="128"/>
  <c r="Q55" i="128"/>
  <c r="Q91" i="128"/>
  <c r="Q102" i="128"/>
  <c r="Q30" i="128"/>
  <c r="Q76" i="128"/>
  <c r="Q81" i="128"/>
  <c r="Q44" i="128"/>
  <c r="Q71" i="128"/>
  <c r="Q15" i="128"/>
  <c r="Q69" i="128"/>
  <c r="Q58" i="128"/>
  <c r="Q68" i="128"/>
  <c r="Q29" i="128"/>
  <c r="Q101" i="128"/>
  <c r="Q104" i="128"/>
  <c r="Q14" i="128"/>
  <c r="Q74" i="128"/>
  <c r="Q33" i="128"/>
  <c r="Q83" i="128"/>
  <c r="Q85" i="128"/>
  <c r="Q97" i="128"/>
  <c r="Q61" i="128"/>
  <c r="Q13" i="128"/>
  <c r="Q90" i="128"/>
  <c r="Q62" i="128"/>
  <c r="Q19" i="128"/>
  <c r="Q63" i="128"/>
  <c r="Q89" i="128"/>
  <c r="Q96" i="128"/>
  <c r="Q84" i="128"/>
  <c r="Q48" i="128"/>
  <c r="Q70" i="128"/>
  <c r="Q41" i="128"/>
  <c r="Q73" i="128"/>
  <c r="K8" i="123"/>
  <c r="K10" i="123"/>
  <c r="J17" i="123"/>
  <c r="M17" i="123"/>
  <c r="C17" i="123"/>
  <c r="J13" i="123"/>
  <c r="M13" i="123"/>
  <c r="C13" i="123"/>
  <c r="K13" i="123"/>
  <c r="K3" i="123"/>
  <c r="J2" i="123"/>
  <c r="E46" i="61"/>
  <c r="F46" i="61"/>
  <c r="G46" i="61"/>
  <c r="H46" i="61"/>
  <c r="I46" i="61"/>
  <c r="BJ103" i="128"/>
  <c r="BJ87" i="128"/>
  <c r="BJ71" i="128"/>
  <c r="BM105" i="128"/>
  <c r="BR105" i="128"/>
  <c r="BL105" i="128"/>
  <c r="BK101" i="128"/>
  <c r="BK85" i="128"/>
  <c r="BP85" i="128"/>
  <c r="BL73" i="128"/>
  <c r="BL58" i="128"/>
  <c r="BL42" i="128"/>
  <c r="BJ95" i="128"/>
  <c r="BJ79" i="128"/>
  <c r="BL61" i="128"/>
  <c r="BM98" i="128"/>
  <c r="BR98" i="128"/>
  <c r="BL98" i="128"/>
  <c r="BM96" i="128"/>
  <c r="BR96" i="128"/>
  <c r="BM80" i="128"/>
  <c r="BR80" i="128"/>
  <c r="BM59" i="128"/>
  <c r="BM43" i="128"/>
  <c r="BM87" i="128"/>
  <c r="BL57" i="128"/>
  <c r="BM41" i="128"/>
  <c r="BJ20" i="128"/>
  <c r="BK88" i="128"/>
  <c r="BK61" i="128"/>
  <c r="BJ35" i="128"/>
  <c r="BL22" i="128"/>
  <c r="BJ91" i="128"/>
  <c r="BK44" i="128"/>
  <c r="BJ25" i="128"/>
  <c r="BL10" i="128"/>
  <c r="BJ67" i="128"/>
  <c r="BM36" i="128"/>
  <c r="BM12" i="128"/>
  <c r="BL71" i="128"/>
  <c r="BL39" i="128"/>
  <c r="BJ11" i="128"/>
  <c r="BM48" i="128"/>
  <c r="BM13" i="128"/>
  <c r="BJ51" i="128"/>
  <c r="BK21" i="128"/>
  <c r="BP21" i="128"/>
  <c r="BM70" i="128"/>
  <c r="BR70" i="128"/>
  <c r="BJ42" i="128"/>
  <c r="BK13" i="128"/>
  <c r="BJ70" i="128"/>
  <c r="BK33" i="128"/>
  <c r="BJ23" i="128"/>
  <c r="BK63" i="128"/>
  <c r="BK34" i="128"/>
  <c r="BP34" i="128"/>
  <c r="BM18" i="128"/>
  <c r="BR18" i="128"/>
  <c r="BL103" i="63"/>
  <c r="BM91" i="63"/>
  <c r="BK84" i="63"/>
  <c r="BL78" i="63"/>
  <c r="BJ64" i="63"/>
  <c r="BK77" i="63"/>
  <c r="BL44" i="63"/>
  <c r="BK45" i="63"/>
  <c r="BK27" i="63"/>
  <c r="BJ39" i="63"/>
  <c r="BK29" i="63"/>
  <c r="BK18" i="63"/>
  <c r="BK7" i="63"/>
  <c r="BL102" i="128"/>
  <c r="BL86" i="128"/>
  <c r="BK70" i="128"/>
  <c r="BK102" i="128"/>
  <c r="BP102" i="128"/>
  <c r="BJ102" i="128"/>
  <c r="BM100" i="128"/>
  <c r="BR100" i="128"/>
  <c r="BM84" i="128"/>
  <c r="BM72" i="128"/>
  <c r="BR72" i="128"/>
  <c r="BJ52" i="128"/>
  <c r="BJ36" i="128"/>
  <c r="BL94" i="128"/>
  <c r="BL78" i="128"/>
  <c r="BM60" i="128"/>
  <c r="BM97" i="128"/>
  <c r="BR97" i="128"/>
  <c r="BL97" i="128"/>
  <c r="BK93" i="128"/>
  <c r="BL77" i="128"/>
  <c r="BJ57" i="128"/>
  <c r="BJ41" i="128"/>
  <c r="BK84" i="128"/>
  <c r="BM53" i="128"/>
  <c r="BR53" i="128"/>
  <c r="BL40" i="128"/>
  <c r="BL19" i="128"/>
  <c r="BK83" i="128"/>
  <c r="BP83" i="128"/>
  <c r="BJ58" i="128"/>
  <c r="BJ34" i="128"/>
  <c r="BJ18" i="128"/>
  <c r="BM85" i="128"/>
  <c r="BJ38" i="128"/>
  <c r="BM20" i="128"/>
  <c r="BL9" i="128"/>
  <c r="BK60" i="128"/>
  <c r="BK35" i="128"/>
  <c r="BL11" i="128"/>
  <c r="BK69" i="128"/>
  <c r="BL36" i="128"/>
  <c r="BJ10" i="128"/>
  <c r="BJ45" i="128"/>
  <c r="BK12" i="128"/>
  <c r="BL48" i="128"/>
  <c r="BL13" i="128"/>
  <c r="BM68" i="128"/>
  <c r="BR68" i="128"/>
  <c r="BK37" i="128"/>
  <c r="BL7" i="128"/>
  <c r="BL63" i="128"/>
  <c r="BJ32" i="128"/>
  <c r="BM16" i="128"/>
  <c r="BK53" i="128"/>
  <c r="BJ33" i="128"/>
  <c r="BM17" i="128"/>
  <c r="BL21" i="63"/>
  <c r="BM94" i="63"/>
  <c r="BJ82" i="63"/>
  <c r="BL75" i="63"/>
  <c r="BK73" i="63"/>
  <c r="BM54" i="63"/>
  <c r="BJ56" i="63"/>
  <c r="BL58" i="63"/>
  <c r="BM34" i="63"/>
  <c r="BL28" i="63"/>
  <c r="BJ30" i="63"/>
  <c r="BL25" i="63"/>
  <c r="BM12" i="63"/>
  <c r="BM13" i="63"/>
  <c r="BJ98" i="128"/>
  <c r="BJ82" i="128"/>
  <c r="BM69" i="128"/>
  <c r="BM101" i="128"/>
  <c r="BR101" i="128"/>
  <c r="BL101" i="128"/>
  <c r="BM99" i="128"/>
  <c r="BM83" i="128"/>
  <c r="BJ69" i="128"/>
  <c r="BM51" i="128"/>
  <c r="BM35" i="128"/>
  <c r="BJ90" i="128"/>
  <c r="BK74" i="128"/>
  <c r="BK58" i="128"/>
  <c r="BP58" i="128"/>
  <c r="BK94" i="128"/>
  <c r="BJ94" i="128"/>
  <c r="BM92" i="128"/>
  <c r="BR92" i="128"/>
  <c r="BK71" i="128"/>
  <c r="BP71" i="128"/>
  <c r="BK56" i="128"/>
  <c r="BK40" i="128"/>
  <c r="BM82" i="128"/>
  <c r="BR82" i="128"/>
  <c r="BL52" i="128"/>
  <c r="BJ29" i="128"/>
  <c r="BJ16" i="128"/>
  <c r="BM81" i="128"/>
  <c r="BR81" i="128"/>
  <c r="BK55" i="128"/>
  <c r="BL33" i="128"/>
  <c r="BL17" i="128"/>
  <c r="BJ83" i="128"/>
  <c r="BL35" i="128"/>
  <c r="BM19" i="128"/>
  <c r="BR19" i="128"/>
  <c r="BJ8" i="128"/>
  <c r="BM58" i="128"/>
  <c r="BM31" i="128"/>
  <c r="BR31" i="128"/>
  <c r="BK10" i="128"/>
  <c r="BM62" i="128"/>
  <c r="BR62" i="128"/>
  <c r="BK31" i="128"/>
  <c r="BL82" i="128"/>
  <c r="BM42" i="128"/>
  <c r="BM6" i="128"/>
  <c r="BM46" i="128"/>
  <c r="BR46" i="128"/>
  <c r="BL6" i="128"/>
  <c r="BK59" i="128"/>
  <c r="BP59" i="128"/>
  <c r="BM33" i="128"/>
  <c r="BK6" i="128"/>
  <c r="BJ61" i="128"/>
  <c r="BM29" i="128"/>
  <c r="BR29" i="128"/>
  <c r="BM15" i="128"/>
  <c r="BK49" i="128"/>
  <c r="BL29" i="128"/>
  <c r="BL16" i="128"/>
  <c r="BJ21" i="63"/>
  <c r="BJ101" i="63"/>
  <c r="BK87" i="63"/>
  <c r="BL80" i="63"/>
  <c r="BM70" i="63"/>
  <c r="BM59" i="63"/>
  <c r="BJ46" i="63"/>
  <c r="BJ57" i="63"/>
  <c r="BK33" i="63"/>
  <c r="BK21" i="63"/>
  <c r="BL29" i="63"/>
  <c r="BL37" i="63"/>
  <c r="BK10" i="63"/>
  <c r="BJ97" i="128"/>
  <c r="BJ81" i="128"/>
  <c r="BJ66" i="128"/>
  <c r="BK96" i="128"/>
  <c r="BJ96" i="128"/>
  <c r="BK95" i="128"/>
  <c r="BP95" i="128"/>
  <c r="BK79" i="128"/>
  <c r="BL68" i="128"/>
  <c r="BJ49" i="128"/>
  <c r="BJ105" i="128"/>
  <c r="BJ89" i="128"/>
  <c r="BK73" i="128"/>
  <c r="BP73" i="128"/>
  <c r="BM57" i="128"/>
  <c r="BM93" i="128"/>
  <c r="BL93" i="128"/>
  <c r="BM91" i="128"/>
  <c r="BL70" i="128"/>
  <c r="BJ55" i="128"/>
  <c r="BJ39" i="128"/>
  <c r="BJ74" i="128"/>
  <c r="BL51" i="128"/>
  <c r="BL28" i="128"/>
  <c r="BL15" i="128"/>
  <c r="BK78" i="128"/>
  <c r="BL47" i="128"/>
  <c r="BM32" i="128"/>
  <c r="BJ13" i="128"/>
  <c r="BM74" i="128"/>
  <c r="BL30" i="128"/>
  <c r="BL18" i="128"/>
  <c r="BL90" i="128"/>
  <c r="BL56" i="128"/>
  <c r="BK30" i="128"/>
  <c r="BJ9" i="128"/>
  <c r="BJ56" i="128"/>
  <c r="BJ30" i="128"/>
  <c r="BJ80" i="128"/>
  <c r="BK39" i="128"/>
  <c r="BP39" i="128"/>
  <c r="BL75" i="128"/>
  <c r="BK42" i="128"/>
  <c r="BK86" i="128"/>
  <c r="BK57" i="128"/>
  <c r="BP57" i="128"/>
  <c r="BK32" i="128"/>
  <c r="BP32" i="128"/>
  <c r="BJ88" i="128"/>
  <c r="BJ59" i="128"/>
  <c r="BM28" i="128"/>
  <c r="BR28" i="128"/>
  <c r="BK14" i="128"/>
  <c r="BM47" i="128"/>
  <c r="BR47" i="128"/>
  <c r="BK28" i="128"/>
  <c r="BK15" i="128"/>
  <c r="BL6" i="63"/>
  <c r="BM105" i="63"/>
  <c r="BJ93" i="63"/>
  <c r="BJ95" i="63"/>
  <c r="BJ87" i="63"/>
  <c r="BL96" i="128"/>
  <c r="BL80" i="128"/>
  <c r="BK65" i="128"/>
  <c r="BP65" i="128"/>
  <c r="BM95" i="128"/>
  <c r="BR95" i="128"/>
  <c r="BL95" i="128"/>
  <c r="BM94" i="128"/>
  <c r="BR94" i="128"/>
  <c r="BM78" i="128"/>
  <c r="BR78" i="128"/>
  <c r="BM67" i="128"/>
  <c r="BK48" i="128"/>
  <c r="BL104" i="128"/>
  <c r="BL88" i="128"/>
  <c r="BL72" i="128"/>
  <c r="BK104" i="128"/>
  <c r="BP104" i="128"/>
  <c r="BJ104" i="128"/>
  <c r="BK103" i="128"/>
  <c r="BK87" i="128"/>
  <c r="BP87" i="128"/>
  <c r="BK66" i="128"/>
  <c r="BK54" i="128"/>
  <c r="BP54" i="128"/>
  <c r="BK38" i="128"/>
  <c r="BP38" i="128"/>
  <c r="BK72" i="128"/>
  <c r="BM50" i="128"/>
  <c r="BR50" i="128"/>
  <c r="BJ26" i="128"/>
  <c r="BM14" i="128"/>
  <c r="BJ73" i="128"/>
  <c r="BJ46" i="128"/>
  <c r="BL31" i="128"/>
  <c r="BJ12" i="128"/>
  <c r="BJ65" i="128"/>
  <c r="BK29" i="128"/>
  <c r="BK17" i="128"/>
  <c r="BL87" i="128"/>
  <c r="BM54" i="128"/>
  <c r="BL20" i="128"/>
  <c r="BM89" i="128"/>
  <c r="BR89" i="128"/>
  <c r="BL54" i="128"/>
  <c r="BM21" i="128"/>
  <c r="BR21" i="128"/>
  <c r="BM73" i="128"/>
  <c r="BR73" i="128"/>
  <c r="BK36" i="128"/>
  <c r="BL66" i="128"/>
  <c r="BM37" i="128"/>
  <c r="BJ84" i="128"/>
  <c r="BL55" i="128"/>
  <c r="BL24" i="128"/>
  <c r="BJ86" i="128"/>
  <c r="BM49" i="128"/>
  <c r="BM27" i="128"/>
  <c r="BR27" i="128"/>
  <c r="BM8" i="128"/>
  <c r="BL44" i="128"/>
  <c r="BL27" i="128"/>
  <c r="BJ14" i="128"/>
  <c r="BM7" i="63"/>
  <c r="BM103" i="63"/>
  <c r="BM102" i="63"/>
  <c r="BM82" i="63"/>
  <c r="BK67" i="63"/>
  <c r="BJ79" i="63"/>
  <c r="BK70" i="63"/>
  <c r="BK51" i="63"/>
  <c r="BK36" i="63"/>
  <c r="BJ45" i="63"/>
  <c r="BL35" i="63"/>
  <c r="BK23" i="63"/>
  <c r="BJ24" i="63"/>
  <c r="BJ13" i="63"/>
  <c r="BJ93" i="128"/>
  <c r="BK77" i="128"/>
  <c r="BP77" i="128"/>
  <c r="BL64" i="128"/>
  <c r="BK92" i="128"/>
  <c r="BP92" i="128"/>
  <c r="BJ92" i="128"/>
  <c r="BK90" i="128"/>
  <c r="BJ76" i="128"/>
  <c r="BJ63" i="128"/>
  <c r="BJ47" i="128"/>
  <c r="BJ101" i="128"/>
  <c r="BJ85" i="128"/>
  <c r="BK68" i="128"/>
  <c r="BP68" i="128"/>
  <c r="BM103" i="128"/>
  <c r="BL103" i="128"/>
  <c r="BM102" i="128"/>
  <c r="BR102" i="128"/>
  <c r="BM86" i="128"/>
  <c r="BL65" i="128"/>
  <c r="BL53" i="128"/>
  <c r="BL37" i="128"/>
  <c r="BK67" i="128"/>
  <c r="BL49" i="128"/>
  <c r="BL25" i="128"/>
  <c r="BK9" i="128"/>
  <c r="BM71" i="128"/>
  <c r="BM39" i="128"/>
  <c r="BR39" i="128"/>
  <c r="BM30" i="128"/>
  <c r="BR30" i="128"/>
  <c r="BK11" i="128"/>
  <c r="BM56" i="128"/>
  <c r="BR56" i="128"/>
  <c r="BJ28" i="128"/>
  <c r="BK16" i="128"/>
  <c r="BL85" i="128"/>
  <c r="BK50" i="128"/>
  <c r="BK19" i="128"/>
  <c r="BK80" i="128"/>
  <c r="BJ50" i="128"/>
  <c r="BK20" i="128"/>
  <c r="BK64" i="128"/>
  <c r="BP64" i="128"/>
  <c r="BJ31" i="128"/>
  <c r="BJ64" i="128"/>
  <c r="BL32" i="128"/>
  <c r="BM79" i="128"/>
  <c r="BR79" i="128"/>
  <c r="BK52" i="128"/>
  <c r="BL23" i="128"/>
  <c r="BL81" i="128"/>
  <c r="BK43" i="128"/>
  <c r="BM26" i="128"/>
  <c r="BK7" i="128"/>
  <c r="BJ43" i="128"/>
  <c r="BL26" i="128"/>
  <c r="BM9" i="128"/>
  <c r="BK102" i="63"/>
  <c r="BL85" i="63"/>
  <c r="BJ91" i="63"/>
  <c r="BK68" i="63"/>
  <c r="BJ69" i="63"/>
  <c r="BM63" i="63"/>
  <c r="BM40" i="63"/>
  <c r="BJ52" i="63"/>
  <c r="BJ37" i="63"/>
  <c r="BM29" i="63"/>
  <c r="BL16" i="63"/>
  <c r="BK17" i="63"/>
  <c r="BL20" i="63"/>
  <c r="BL92" i="128"/>
  <c r="BM76" i="128"/>
  <c r="BR76" i="128"/>
  <c r="BM63" i="128"/>
  <c r="BR63" i="128"/>
  <c r="BK91" i="128"/>
  <c r="BP91" i="128"/>
  <c r="BK105" i="128"/>
  <c r="BP105" i="128"/>
  <c r="BK89" i="128"/>
  <c r="BJ75" i="128"/>
  <c r="BL62" i="128"/>
  <c r="BK46" i="128"/>
  <c r="BP46" i="128"/>
  <c r="BL100" i="128"/>
  <c r="BL84" i="128"/>
  <c r="BL67" i="128"/>
  <c r="BK100" i="128"/>
  <c r="BP100" i="128"/>
  <c r="BJ100" i="128"/>
  <c r="BK98" i="128"/>
  <c r="BK82" i="128"/>
  <c r="BM64" i="128"/>
  <c r="BR64" i="128"/>
  <c r="BL50" i="128"/>
  <c r="BL34" i="128"/>
  <c r="BJ62" i="128"/>
  <c r="BJ48" i="128"/>
  <c r="BM24" i="128"/>
  <c r="BL8" i="128"/>
  <c r="BJ68" i="128"/>
  <c r="BL38" i="128"/>
  <c r="BK27" i="128"/>
  <c r="BP27" i="128"/>
  <c r="BM10" i="128"/>
  <c r="BJ53" i="128"/>
  <c r="BJ27" i="128"/>
  <c r="BJ15" i="128"/>
  <c r="BL76" i="128"/>
  <c r="BM45" i="128"/>
  <c r="BR45" i="128"/>
  <c r="BK18" i="128"/>
  <c r="BJ78" i="128"/>
  <c r="BK45" i="128"/>
  <c r="BP45" i="128"/>
  <c r="BJ19" i="128"/>
  <c r="BJ54" i="128"/>
  <c r="BM22" i="128"/>
  <c r="BR22" i="128"/>
  <c r="BM55" i="128"/>
  <c r="BM23" i="128"/>
  <c r="BM77" i="128"/>
  <c r="BR77" i="128"/>
  <c r="BL46" i="128"/>
  <c r="BJ22" i="128"/>
  <c r="BL79" i="128"/>
  <c r="BM40" i="128"/>
  <c r="BR40" i="128"/>
  <c r="BM25" i="128"/>
  <c r="BR25" i="128"/>
  <c r="BJ72" i="128"/>
  <c r="BJ40" i="128"/>
  <c r="BK25" i="128"/>
  <c r="BK8" i="128"/>
  <c r="BK6" i="63"/>
  <c r="BK95" i="63"/>
  <c r="BK90" i="63"/>
  <c r="BJ76" i="63"/>
  <c r="BM83" i="63"/>
  <c r="BM71" i="63"/>
  <c r="BL56" i="63"/>
  <c r="BK31" i="63"/>
  <c r="BL59" i="63"/>
  <c r="BK42" i="63"/>
  <c r="BL23" i="63"/>
  <c r="BJ14" i="63"/>
  <c r="BM11" i="63"/>
  <c r="BL91" i="128"/>
  <c r="BM75" i="128"/>
  <c r="BL59" i="128"/>
  <c r="BM90" i="128"/>
  <c r="BR90" i="128"/>
  <c r="BM104" i="128"/>
  <c r="BR104" i="128"/>
  <c r="BM88" i="128"/>
  <c r="BR88" i="128"/>
  <c r="BL74" i="128"/>
  <c r="BM61" i="128"/>
  <c r="BL45" i="128"/>
  <c r="BL99" i="128"/>
  <c r="BL83" i="128"/>
  <c r="BK62" i="128"/>
  <c r="BK99" i="128"/>
  <c r="BJ99" i="128"/>
  <c r="BK97" i="128"/>
  <c r="BK81" i="128"/>
  <c r="BP81" i="128"/>
  <c r="BJ60" i="128"/>
  <c r="BJ44" i="128"/>
  <c r="BL89" i="128"/>
  <c r="BL60" i="128"/>
  <c r="BM44" i="128"/>
  <c r="BJ21" i="128"/>
  <c r="BM7" i="128"/>
  <c r="BM66" i="128"/>
  <c r="BR66" i="128"/>
  <c r="BJ37" i="128"/>
  <c r="BK23" i="128"/>
  <c r="BP23" i="128"/>
  <c r="BJ6" i="128"/>
  <c r="BK47" i="128"/>
  <c r="BK26" i="128"/>
  <c r="BP26" i="128"/>
  <c r="BM11" i="128"/>
  <c r="BL69" i="128"/>
  <c r="BL41" i="128"/>
  <c r="BJ17" i="128"/>
  <c r="BK76" i="128"/>
  <c r="BK41" i="128"/>
  <c r="BP41" i="128"/>
  <c r="BL12" i="128"/>
  <c r="BK51" i="128"/>
  <c r="BL21" i="128"/>
  <c r="BM52" i="128"/>
  <c r="BK22" i="128"/>
  <c r="BK75" i="128"/>
  <c r="BL43" i="128"/>
  <c r="BL14" i="128"/>
  <c r="BJ77" i="128"/>
  <c r="BM34" i="128"/>
  <c r="BR34" i="128"/>
  <c r="BK24" i="128"/>
  <c r="BM65" i="128"/>
  <c r="BR65" i="128"/>
  <c r="BM38" i="128"/>
  <c r="BR38" i="128"/>
  <c r="BJ24" i="128"/>
  <c r="BJ7" i="128"/>
  <c r="BL17" i="63"/>
  <c r="BM97" i="63"/>
  <c r="BJ81" i="63"/>
  <c r="BL84" i="63"/>
  <c r="BL53" i="63"/>
  <c r="BJ7" i="63"/>
  <c r="BM76" i="63"/>
  <c r="BJ42" i="63"/>
  <c r="BK58" i="63"/>
  <c r="BJ12" i="63"/>
  <c r="BK60" i="63"/>
  <c r="BL40" i="63"/>
  <c r="BM52" i="63"/>
  <c r="BM25" i="63"/>
  <c r="BL52" i="63"/>
  <c r="BJ40" i="63"/>
  <c r="BJ98" i="63"/>
  <c r="BM45" i="63"/>
  <c r="BL33" i="63"/>
  <c r="BM81" i="63"/>
  <c r="BL55" i="63"/>
  <c r="BM27" i="63"/>
  <c r="BK13" i="63"/>
  <c r="BM46" i="63"/>
  <c r="BK50" i="63"/>
  <c r="BK79" i="63"/>
  <c r="BL82" i="63"/>
  <c r="BL104" i="63"/>
  <c r="BM43" i="63"/>
  <c r="BK37" i="63"/>
  <c r="BM44" i="63"/>
  <c r="BM58" i="63"/>
  <c r="BL77" i="63"/>
  <c r="BM104" i="63"/>
  <c r="BM18" i="63"/>
  <c r="BJ49" i="63"/>
  <c r="BJ53" i="63"/>
  <c r="BL105" i="63"/>
  <c r="BJ85" i="63"/>
  <c r="BJ10" i="63"/>
  <c r="BL26" i="63"/>
  <c r="BM15" i="63"/>
  <c r="BK15" i="63"/>
  <c r="BL30" i="63"/>
  <c r="BL57" i="63"/>
  <c r="BJ68" i="63"/>
  <c r="BM88" i="63"/>
  <c r="BM89" i="63"/>
  <c r="BL11" i="63"/>
  <c r="BM21" i="63"/>
  <c r="BJ61" i="63"/>
  <c r="BK55" i="63"/>
  <c r="BM85" i="63"/>
  <c r="BJ80" i="63"/>
  <c r="BK11" i="63"/>
  <c r="BJ34" i="63"/>
  <c r="BL62" i="63"/>
  <c r="BJ73" i="63"/>
  <c r="BL91" i="63"/>
  <c r="BK20" i="63"/>
  <c r="BJ19" i="63"/>
  <c r="BJ35" i="63"/>
  <c r="BL8" i="63"/>
  <c r="BM26" i="63"/>
  <c r="BL46" i="63"/>
  <c r="BJ66" i="63"/>
  <c r="BL92" i="63"/>
  <c r="BM96" i="63"/>
  <c r="BL22" i="63"/>
  <c r="BL61" i="63"/>
  <c r="BK81" i="63"/>
  <c r="BK94" i="63"/>
  <c r="BK12" i="63"/>
  <c r="BK49" i="63"/>
  <c r="BK65" i="63"/>
  <c r="BJ97" i="63"/>
  <c r="BM47" i="63"/>
  <c r="BJ58" i="63"/>
  <c r="BM61" i="63"/>
  <c r="BJ83" i="63"/>
  <c r="BL93" i="63"/>
  <c r="BK8" i="63"/>
  <c r="BM39" i="63"/>
  <c r="BL54" i="63"/>
  <c r="BM79" i="63"/>
  <c r="BK64" i="63"/>
  <c r="BL87" i="63"/>
  <c r="BK91" i="63"/>
  <c r="BM19" i="63"/>
  <c r="BK19" i="63"/>
  <c r="BJ31" i="63"/>
  <c r="BL65" i="63"/>
  <c r="BM73" i="63"/>
  <c r="BL94" i="63"/>
  <c r="BL47" i="63"/>
  <c r="BJ78" i="63"/>
  <c r="BM101" i="63"/>
  <c r="BK40" i="63"/>
  <c r="BK71" i="63"/>
  <c r="BK99" i="63"/>
  <c r="BK46" i="63"/>
  <c r="BM50" i="63"/>
  <c r="BK47" i="63"/>
  <c r="BL88" i="63"/>
  <c r="BK101" i="63"/>
  <c r="BL7" i="63"/>
  <c r="BM14" i="63"/>
  <c r="BJ38" i="63"/>
  <c r="BM48" i="63"/>
  <c r="BM62" i="63"/>
  <c r="BJ96" i="63"/>
  <c r="BL90" i="63"/>
  <c r="BL13" i="63"/>
  <c r="BJ22" i="63"/>
  <c r="BM33" i="63"/>
  <c r="BM60" i="63"/>
  <c r="BL73" i="63"/>
  <c r="BK93" i="63"/>
  <c r="BL45" i="63"/>
  <c r="BK43" i="63"/>
  <c r="BK88" i="63"/>
  <c r="BM16" i="63"/>
  <c r="BK25" i="63"/>
  <c r="BL68" i="63"/>
  <c r="BK62" i="63"/>
  <c r="BJ89" i="63"/>
  <c r="BJ33" i="63"/>
  <c r="BM56" i="63"/>
  <c r="BJ86" i="63"/>
  <c r="BM8" i="63"/>
  <c r="BM24" i="63"/>
  <c r="BK54" i="63"/>
  <c r="BK82" i="63"/>
  <c r="BJ9" i="63"/>
  <c r="BJ28" i="63"/>
  <c r="BM30" i="63"/>
  <c r="BJ55" i="63"/>
  <c r="BJ77" i="63"/>
  <c r="BJ104" i="63"/>
  <c r="BJ8" i="63"/>
  <c r="BL10" i="63"/>
  <c r="BM42" i="63"/>
  <c r="BK39" i="63"/>
  <c r="BM65" i="63"/>
  <c r="BM84" i="63"/>
  <c r="BL15" i="63"/>
  <c r="BL19" i="63"/>
  <c r="BJ71" i="63"/>
  <c r="BM69" i="63"/>
  <c r="BM22" i="63"/>
  <c r="BM20" i="63"/>
  <c r="BJ47" i="63"/>
  <c r="BJ90" i="63"/>
  <c r="BL12" i="63"/>
  <c r="BM23" i="63"/>
  <c r="BJ70" i="63"/>
  <c r="BK92" i="63"/>
  <c r="BK38" i="63"/>
  <c r="BL63" i="63"/>
  <c r="BL95" i="63"/>
  <c r="BL42" i="63"/>
  <c r="BK59" i="63"/>
  <c r="BK80" i="63"/>
  <c r="BJ102" i="63"/>
  <c r="BK24" i="63"/>
  <c r="BK44" i="63"/>
  <c r="BK69" i="63"/>
  <c r="BJ84" i="63"/>
  <c r="BJ16" i="63"/>
  <c r="BM37" i="63"/>
  <c r="BM68" i="63"/>
  <c r="BL24" i="63"/>
  <c r="BM57" i="63"/>
  <c r="BM86" i="63"/>
  <c r="BK30" i="63"/>
  <c r="BM32" i="63"/>
  <c r="BM95" i="63"/>
  <c r="BL31" i="63"/>
  <c r="BM51" i="63"/>
  <c r="BJ88" i="63"/>
  <c r="BL69" i="63"/>
  <c r="BM87" i="63"/>
  <c r="BJ11" i="63"/>
  <c r="BJ23" i="63"/>
  <c r="BK52" i="63"/>
  <c r="BM66" i="63"/>
  <c r="BM93" i="63"/>
  <c r="BM9" i="63"/>
  <c r="BK32" i="63"/>
  <c r="BM75" i="63"/>
  <c r="BL99" i="63"/>
  <c r="BK22" i="63"/>
  <c r="BJ20" i="63"/>
  <c r="BL43" i="63"/>
  <c r="BJ94" i="63"/>
  <c r="BM92" i="63"/>
  <c r="BM31" i="63"/>
  <c r="BJ59" i="63"/>
  <c r="BJ99" i="63"/>
  <c r="BL64" i="63"/>
  <c r="BK74" i="63"/>
  <c r="BL100" i="63"/>
  <c r="BM38" i="63"/>
  <c r="BJ103" i="63"/>
  <c r="BJ32" i="63"/>
  <c r="BL48" i="63"/>
  <c r="BL76" i="63"/>
  <c r="BM100" i="63"/>
  <c r="BL36" i="63"/>
  <c r="BJ67" i="63"/>
  <c r="BL66" i="63"/>
  <c r="BL86" i="63"/>
  <c r="BJ6" i="63"/>
  <c r="BL27" i="63"/>
  <c r="BL51" i="63"/>
  <c r="BK86" i="63"/>
  <c r="BK104" i="63"/>
  <c r="BM28" i="63"/>
  <c r="BL72" i="63"/>
  <c r="BK103" i="63"/>
  <c r="BM78" i="63"/>
  <c r="BM72" i="63"/>
  <c r="BM98" i="63"/>
  <c r="BL38" i="63"/>
  <c r="BL70" i="63"/>
  <c r="BK100" i="63"/>
  <c r="BL9" i="63"/>
  <c r="BM49" i="63"/>
  <c r="BL74" i="63"/>
  <c r="BJ15" i="63"/>
  <c r="BL14" i="63"/>
  <c r="BL60" i="63"/>
  <c r="BK89" i="63"/>
  <c r="BJ26" i="63"/>
  <c r="BJ50" i="63"/>
  <c r="BJ72" i="63"/>
  <c r="D48" i="60"/>
  <c r="BL34" i="63"/>
  <c r="BK85" i="63"/>
  <c r="BL98" i="63"/>
  <c r="BJ29" i="63"/>
  <c r="BJ62" i="63"/>
  <c r="BK78" i="63"/>
  <c r="BL89" i="63"/>
  <c r="BK34" i="63"/>
  <c r="BL96" i="63"/>
  <c r="BM99" i="63"/>
  <c r="BM41" i="63"/>
  <c r="BM90" i="63"/>
  <c r="BK56" i="63"/>
  <c r="BL97" i="63"/>
  <c r="BJ36" i="63"/>
  <c r="BM64" i="63"/>
  <c r="BK48" i="63"/>
  <c r="BK57" i="63"/>
  <c r="BL102" i="63"/>
  <c r="BJ41" i="63"/>
  <c r="BM10" i="63"/>
  <c r="BM36" i="63"/>
  <c r="BL18" i="63"/>
  <c r="BM74" i="63"/>
  <c r="BK16" i="63"/>
  <c r="BM53" i="63"/>
  <c r="BM77" i="63"/>
  <c r="BL83" i="63"/>
  <c r="BK97" i="63"/>
  <c r="BJ18" i="63"/>
  <c r="BK35" i="63"/>
  <c r="BJ25" i="63"/>
  <c r="BK61" i="63"/>
  <c r="BJ27" i="63"/>
  <c r="BK63" i="63"/>
  <c r="BJ43" i="63"/>
  <c r="BL101" i="63"/>
  <c r="BL32" i="63"/>
  <c r="BJ65" i="63"/>
  <c r="BM17" i="63"/>
  <c r="BL71" i="63"/>
  <c r="BL50" i="63"/>
  <c r="BK76" i="63"/>
  <c r="BJ51" i="63"/>
  <c r="BK96" i="63"/>
  <c r="BJ54" i="63"/>
  <c r="BK75" i="63"/>
  <c r="BL39" i="63"/>
  <c r="BL79" i="63"/>
  <c r="BK41" i="63"/>
  <c r="BK83" i="63"/>
  <c r="BK14" i="63"/>
  <c r="BM67" i="63"/>
  <c r="BM6" i="63"/>
  <c r="BL41" i="63"/>
  <c r="BJ60" i="63"/>
  <c r="BM80" i="63"/>
  <c r="BJ48" i="63"/>
  <c r="BL81" i="63"/>
  <c r="BL67" i="63"/>
  <c r="BK98" i="63"/>
  <c r="BK26" i="63"/>
  <c r="BK53" i="63"/>
  <c r="BJ100" i="63"/>
  <c r="BK9" i="63"/>
  <c r="BJ105" i="63"/>
  <c r="BJ44" i="63"/>
  <c r="BM55" i="63"/>
  <c r="BJ75" i="63"/>
  <c r="BK105" i="63"/>
  <c r="BK28" i="63"/>
  <c r="BL49" i="63"/>
  <c r="BM35" i="63"/>
  <c r="BK66" i="63"/>
  <c r="BJ74" i="63"/>
  <c r="BJ63" i="63"/>
  <c r="BK72" i="63"/>
  <c r="BJ17" i="63"/>
  <c r="BJ92" i="63"/>
  <c r="K39" i="123"/>
  <c r="J27" i="123"/>
  <c r="M27" i="123"/>
  <c r="C27" i="123"/>
  <c r="J32" i="123"/>
  <c r="M32" i="123"/>
  <c r="C32" i="123"/>
  <c r="S15" i="123"/>
  <c r="L3" i="123"/>
  <c r="L15" i="123"/>
  <c r="J15" i="123"/>
  <c r="K15" i="123"/>
  <c r="S9" i="123"/>
  <c r="AA22" i="123"/>
  <c r="S8" i="123"/>
  <c r="AA17" i="123"/>
  <c r="S31" i="123"/>
  <c r="AA15" i="123"/>
  <c r="AA9" i="123"/>
  <c r="S7" i="123"/>
  <c r="AA24" i="123"/>
  <c r="S3" i="123"/>
  <c r="AA3" i="123"/>
  <c r="AA31" i="123"/>
  <c r="S22" i="123"/>
  <c r="AA8" i="123"/>
  <c r="S32" i="123"/>
  <c r="AA5" i="123"/>
  <c r="L2" i="123"/>
  <c r="S23" i="123"/>
  <c r="AA6" i="123"/>
  <c r="K25" i="123"/>
  <c r="J10" i="123"/>
  <c r="M10" i="123"/>
  <c r="C10" i="123"/>
  <c r="S6" i="123"/>
  <c r="AA14" i="123"/>
  <c r="S5" i="123"/>
  <c r="J23" i="123"/>
  <c r="M23" i="123"/>
  <c r="C23" i="123"/>
  <c r="J30" i="123"/>
  <c r="K5" i="123"/>
  <c r="J5" i="123"/>
  <c r="L5" i="123"/>
  <c r="S30" i="123"/>
  <c r="AA10" i="123"/>
  <c r="S26" i="123"/>
  <c r="AA34" i="123"/>
  <c r="S20" i="123"/>
  <c r="AA21" i="123"/>
  <c r="AA4" i="123"/>
  <c r="S12" i="123"/>
  <c r="AA2" i="123"/>
  <c r="S16" i="123"/>
  <c r="AA11" i="123"/>
  <c r="L31" i="123"/>
  <c r="S29" i="123"/>
  <c r="S10" i="123"/>
  <c r="AA20" i="123"/>
  <c r="S2" i="123"/>
  <c r="AA28" i="123"/>
  <c r="S25" i="123"/>
  <c r="AA29" i="123"/>
  <c r="K18" i="123"/>
  <c r="J18" i="123"/>
  <c r="M18" i="123"/>
  <c r="C18" i="123"/>
  <c r="S21" i="123"/>
  <c r="AA12" i="123"/>
  <c r="L4" i="123"/>
  <c r="K4" i="123"/>
  <c r="J4" i="123"/>
  <c r="J16" i="123"/>
  <c r="M16" i="123"/>
  <c r="C16" i="123"/>
  <c r="K32" i="123"/>
  <c r="S28" i="123"/>
  <c r="AA32" i="123"/>
  <c r="AA19" i="123"/>
  <c r="S4" i="123"/>
  <c r="S11" i="123"/>
  <c r="AA18" i="123"/>
  <c r="S24" i="123"/>
  <c r="AA7" i="123"/>
  <c r="S18" i="123"/>
  <c r="AA27" i="123"/>
  <c r="S13" i="123"/>
  <c r="AA16" i="123"/>
  <c r="S19" i="123"/>
  <c r="AA13" i="123"/>
  <c r="S17" i="123"/>
  <c r="AA33" i="123"/>
  <c r="S14" i="123"/>
  <c r="AA30" i="123"/>
  <c r="S27" i="123"/>
  <c r="AA23" i="123"/>
  <c r="K27" i="123"/>
  <c r="K26" i="123"/>
  <c r="J22" i="123"/>
  <c r="M22" i="123"/>
  <c r="C22" i="123"/>
  <c r="K22" i="123"/>
  <c r="K19" i="123"/>
  <c r="K6" i="123"/>
  <c r="J6" i="123"/>
  <c r="M6" i="123"/>
  <c r="C6" i="123"/>
  <c r="J19" i="123"/>
  <c r="M19" i="123"/>
  <c r="C19" i="123"/>
  <c r="K17" i="123"/>
  <c r="L12" i="123"/>
  <c r="J28" i="123"/>
  <c r="M28" i="123"/>
  <c r="C28" i="123"/>
  <c r="J25" i="123"/>
  <c r="M25" i="123"/>
  <c r="C25" i="123"/>
  <c r="K23" i="123"/>
  <c r="J12" i="123"/>
  <c r="K28" i="123"/>
  <c r="K14" i="123"/>
  <c r="J14" i="123"/>
  <c r="M14" i="123"/>
  <c r="C14" i="123"/>
  <c r="K29" i="123"/>
  <c r="L30" i="123"/>
  <c r="K16" i="123"/>
  <c r="J26" i="123"/>
  <c r="J29" i="123"/>
  <c r="M29" i="123"/>
  <c r="C29" i="123"/>
  <c r="L24" i="123"/>
  <c r="J24" i="123"/>
  <c r="K11" i="123"/>
  <c r="J11" i="123"/>
  <c r="M11" i="123"/>
  <c r="L20" i="123"/>
  <c r="J20" i="123"/>
  <c r="L9" i="123"/>
  <c r="J9" i="123"/>
  <c r="J31" i="123"/>
  <c r="C5" i="65"/>
  <c r="H67" i="71"/>
  <c r="H72" i="71"/>
  <c r="C4" i="65"/>
  <c r="I21" i="73"/>
  <c r="D49" i="60"/>
  <c r="E49" i="60"/>
  <c r="F49" i="60"/>
  <c r="G49" i="60"/>
  <c r="H49" i="60"/>
  <c r="I49" i="60"/>
  <c r="H74" i="71"/>
  <c r="D48" i="61"/>
  <c r="A22" i="125"/>
  <c r="A12" i="126"/>
  <c r="AF12" i="126"/>
  <c r="N73" i="71"/>
  <c r="O73" i="71"/>
  <c r="C15" i="136"/>
  <c r="C13" i="136"/>
  <c r="Q99" i="63"/>
  <c r="Q30" i="63"/>
  <c r="Q33" i="63"/>
  <c r="Q93" i="63"/>
  <c r="Q66" i="63"/>
  <c r="Q70" i="63"/>
  <c r="Q76" i="63"/>
  <c r="Q17" i="63"/>
  <c r="Q103" i="63"/>
  <c r="Q60" i="63"/>
  <c r="Q12" i="63"/>
  <c r="Q78" i="63"/>
  <c r="Q21" i="63"/>
  <c r="Q65" i="63"/>
  <c r="Q39" i="63"/>
  <c r="Q56" i="63"/>
  <c r="Q63" i="63"/>
  <c r="Q102" i="63"/>
  <c r="Q77" i="63"/>
  <c r="Q92" i="63"/>
  <c r="Q91" i="63"/>
  <c r="Q55" i="63"/>
  <c r="Q42" i="63"/>
  <c r="Q73" i="63"/>
  <c r="Q25" i="63"/>
  <c r="Q52" i="63"/>
  <c r="Q23" i="63"/>
  <c r="Q80" i="63"/>
  <c r="Q22" i="63"/>
  <c r="Q27" i="63"/>
  <c r="Q51" i="63"/>
  <c r="Q10" i="63"/>
  <c r="Q83" i="63"/>
  <c r="Q44" i="63"/>
  <c r="Q29" i="63"/>
  <c r="Q38" i="63"/>
  <c r="Q101" i="63"/>
  <c r="Q8" i="117"/>
  <c r="R8" i="117"/>
  <c r="S8" i="117"/>
  <c r="Q8" i="85"/>
  <c r="R8" i="85"/>
  <c r="S8" i="85"/>
  <c r="Q62" i="63"/>
  <c r="Q16" i="63"/>
  <c r="Q50" i="63"/>
  <c r="Q100" i="63"/>
  <c r="Q61" i="63"/>
  <c r="Q86" i="63"/>
  <c r="Q41" i="63"/>
  <c r="Q59" i="63"/>
  <c r="Q82" i="63"/>
  <c r="Q8" i="101"/>
  <c r="R8" i="101"/>
  <c r="S8" i="101"/>
  <c r="Q31" i="63"/>
  <c r="Q40" i="63"/>
  <c r="Q18" i="63"/>
  <c r="Q13" i="63"/>
  <c r="Q32" i="63"/>
  <c r="Q7" i="63"/>
  <c r="Q69" i="63"/>
  <c r="Q89" i="63"/>
  <c r="Q75" i="63"/>
  <c r="Q34" i="63"/>
  <c r="Q19" i="63"/>
  <c r="Q9" i="63"/>
  <c r="Q95" i="63"/>
  <c r="Q96" i="63"/>
  <c r="Q48" i="63"/>
  <c r="Q88" i="63"/>
  <c r="Q72" i="63"/>
  <c r="Q45" i="63"/>
  <c r="Q47" i="63"/>
  <c r="Q14" i="63"/>
  <c r="Q85" i="63"/>
  <c r="AD2" i="128"/>
  <c r="AD43" i="128"/>
  <c r="Q49" i="63"/>
  <c r="Q46" i="63"/>
  <c r="Q64" i="63"/>
  <c r="Q84" i="63"/>
  <c r="Q36" i="63"/>
  <c r="Q37" i="63"/>
  <c r="Q26" i="63"/>
  <c r="Q24" i="63"/>
  <c r="Q8" i="75"/>
  <c r="R8" i="75"/>
  <c r="S8" i="75"/>
  <c r="Q8" i="115"/>
  <c r="R8" i="115"/>
  <c r="S8" i="115"/>
  <c r="Q8" i="111"/>
  <c r="R8" i="111"/>
  <c r="S8" i="111"/>
  <c r="Q8" i="103"/>
  <c r="R8" i="103"/>
  <c r="S8" i="103"/>
  <c r="Q8" i="97"/>
  <c r="R8" i="97"/>
  <c r="S8" i="97"/>
  <c r="AD2" i="63"/>
  <c r="AD52" i="63"/>
  <c r="Q8" i="87"/>
  <c r="R8" i="87"/>
  <c r="S8" i="87"/>
  <c r="Q8" i="105"/>
  <c r="R8" i="105"/>
  <c r="S8" i="105"/>
  <c r="Q8" i="77"/>
  <c r="R8" i="77"/>
  <c r="S8" i="77"/>
  <c r="Q98" i="63"/>
  <c r="Q105" i="63"/>
  <c r="Q68" i="63"/>
  <c r="Q67" i="63"/>
  <c r="Q35" i="63"/>
  <c r="Q97" i="63"/>
  <c r="Q79" i="63"/>
  <c r="Q15" i="63"/>
  <c r="Q81" i="63"/>
  <c r="Q104" i="63"/>
  <c r="Q87" i="63"/>
  <c r="Q90" i="63"/>
  <c r="Q8" i="63"/>
  <c r="Q8" i="109"/>
  <c r="R8" i="109"/>
  <c r="S8" i="109"/>
  <c r="Q8" i="81"/>
  <c r="R8" i="81"/>
  <c r="S8" i="81"/>
  <c r="Q71" i="63"/>
  <c r="Q58" i="63"/>
  <c r="Q11" i="63"/>
  <c r="Q6" i="63"/>
  <c r="Q74" i="63"/>
  <c r="Q28" i="63"/>
  <c r="Q54" i="63"/>
  <c r="Q94" i="63"/>
  <c r="Q53" i="63"/>
  <c r="Q20" i="63"/>
  <c r="Q43" i="63"/>
  <c r="Q8" i="79"/>
  <c r="R8" i="79"/>
  <c r="S8" i="79"/>
  <c r="Q8" i="113"/>
  <c r="R8" i="113"/>
  <c r="S8" i="113"/>
  <c r="Q8" i="99"/>
  <c r="R8" i="99"/>
  <c r="S8" i="99"/>
  <c r="Q8" i="91"/>
  <c r="R8" i="91"/>
  <c r="S8" i="91"/>
  <c r="Q8" i="107"/>
  <c r="R8" i="107"/>
  <c r="S8" i="107"/>
  <c r="Q8" i="89"/>
  <c r="R8" i="89"/>
  <c r="S8" i="89"/>
  <c r="Q8" i="95"/>
  <c r="R8" i="95"/>
  <c r="S8" i="95"/>
  <c r="Q8" i="83"/>
  <c r="R8" i="83"/>
  <c r="S8" i="83"/>
  <c r="Q11" i="108"/>
  <c r="R11" i="108"/>
  <c r="S11" i="108"/>
  <c r="T41" i="128"/>
  <c r="T103" i="128"/>
  <c r="Q11" i="92"/>
  <c r="R11" i="92"/>
  <c r="S11" i="92"/>
  <c r="T71" i="128"/>
  <c r="T85" i="128"/>
  <c r="T72" i="128"/>
  <c r="T9" i="128"/>
  <c r="T104" i="128"/>
  <c r="T78" i="128"/>
  <c r="T25" i="128"/>
  <c r="T67" i="128"/>
  <c r="T43" i="128"/>
  <c r="T24" i="128"/>
  <c r="Q11" i="76"/>
  <c r="R11" i="76"/>
  <c r="S11" i="76"/>
  <c r="Q11" i="84"/>
  <c r="R11" i="84"/>
  <c r="S11" i="84"/>
  <c r="T54" i="128"/>
  <c r="T6" i="128"/>
  <c r="T23" i="128"/>
  <c r="T92" i="128"/>
  <c r="T97" i="128"/>
  <c r="T68" i="128"/>
  <c r="T40" i="128"/>
  <c r="T59" i="128"/>
  <c r="T20" i="128"/>
  <c r="T70" i="128"/>
  <c r="T10" i="128"/>
  <c r="T73" i="128"/>
  <c r="T34" i="128"/>
  <c r="T93" i="128"/>
  <c r="T81" i="128"/>
  <c r="T26" i="128"/>
  <c r="T53" i="128"/>
  <c r="T29" i="128"/>
  <c r="T74" i="128"/>
  <c r="T94" i="128"/>
  <c r="T33" i="128"/>
  <c r="T90" i="128"/>
  <c r="T52" i="128"/>
  <c r="T7" i="128"/>
  <c r="T83" i="128"/>
  <c r="T27" i="128"/>
  <c r="T55" i="128"/>
  <c r="T22" i="128"/>
  <c r="T31" i="128"/>
  <c r="T82" i="128"/>
  <c r="T35" i="128"/>
  <c r="T63" i="128"/>
  <c r="T96" i="128"/>
  <c r="T60" i="128"/>
  <c r="T30" i="128"/>
  <c r="T11" i="128"/>
  <c r="T38" i="128"/>
  <c r="T15" i="128"/>
  <c r="T101" i="128"/>
  <c r="T56" i="128"/>
  <c r="T84" i="128"/>
  <c r="T89" i="128"/>
  <c r="T44" i="128"/>
  <c r="T100" i="128"/>
  <c r="T45" i="128"/>
  <c r="T69" i="128"/>
  <c r="T50" i="128"/>
  <c r="T95" i="128"/>
  <c r="T49" i="128"/>
  <c r="T16" i="128"/>
  <c r="T62" i="128"/>
  <c r="T42" i="128"/>
  <c r="T21" i="128"/>
  <c r="T12" i="128"/>
  <c r="T47" i="128"/>
  <c r="T102" i="128"/>
  <c r="T64" i="128"/>
  <c r="T17" i="128"/>
  <c r="T87" i="128"/>
  <c r="T99" i="128"/>
  <c r="T76" i="128"/>
  <c r="T18" i="128"/>
  <c r="T48" i="128"/>
  <c r="T28" i="128"/>
  <c r="T61" i="128"/>
  <c r="T32" i="128"/>
  <c r="T80" i="128"/>
  <c r="T13" i="128"/>
  <c r="T77" i="128"/>
  <c r="T14" i="128"/>
  <c r="T8" i="128"/>
  <c r="T58" i="128"/>
  <c r="T79" i="128"/>
  <c r="T39" i="128"/>
  <c r="T75" i="128"/>
  <c r="T66" i="128"/>
  <c r="T37" i="128"/>
  <c r="T91" i="128"/>
  <c r="T51" i="128"/>
  <c r="T98" i="128"/>
  <c r="T65" i="128"/>
  <c r="T88" i="128"/>
  <c r="T46" i="128"/>
  <c r="T86" i="128"/>
  <c r="T36" i="128"/>
  <c r="T105" i="128"/>
  <c r="T57" i="128"/>
  <c r="S52" i="63"/>
  <c r="Q11" i="116"/>
  <c r="R11" i="116"/>
  <c r="S11" i="116"/>
  <c r="S91" i="63"/>
  <c r="Q11" i="106"/>
  <c r="R11" i="106"/>
  <c r="S11" i="106"/>
  <c r="S56" i="63"/>
  <c r="S87" i="63"/>
  <c r="S96" i="63"/>
  <c r="Q11" i="100"/>
  <c r="R11" i="100"/>
  <c r="S11" i="100"/>
  <c r="S93" i="63"/>
  <c r="S7" i="63"/>
  <c r="S42" i="63"/>
  <c r="S11" i="63"/>
  <c r="G18" i="60"/>
  <c r="S69" i="63"/>
  <c r="S79" i="63"/>
  <c r="S22" i="63"/>
  <c r="S84" i="63"/>
  <c r="S20" i="63"/>
  <c r="S59" i="63"/>
  <c r="S64" i="63"/>
  <c r="S27" i="63"/>
  <c r="S82" i="63"/>
  <c r="S14" i="63"/>
  <c r="S10" i="63"/>
  <c r="S29" i="63"/>
  <c r="S23" i="63"/>
  <c r="S51" i="63"/>
  <c r="S21" i="63"/>
  <c r="F26" i="118"/>
  <c r="Q11" i="104"/>
  <c r="R11" i="104"/>
  <c r="S11" i="104"/>
  <c r="S54" i="63"/>
  <c r="S81" i="63"/>
  <c r="S88" i="63"/>
  <c r="S24" i="63"/>
  <c r="S28" i="63"/>
  <c r="S47" i="63"/>
  <c r="S66" i="63"/>
  <c r="S102" i="63"/>
  <c r="S78" i="63"/>
  <c r="S32" i="63"/>
  <c r="S86" i="63"/>
  <c r="S46" i="63"/>
  <c r="S43" i="63"/>
  <c r="S58" i="63"/>
  <c r="S39" i="63"/>
  <c r="S62" i="63"/>
  <c r="S92" i="63"/>
  <c r="S63" i="63"/>
  <c r="S77" i="63"/>
  <c r="S31" i="63"/>
  <c r="S75" i="63"/>
  <c r="S41" i="63"/>
  <c r="S9" i="63"/>
  <c r="S83" i="63"/>
  <c r="S35" i="63"/>
  <c r="Q12" i="67"/>
  <c r="R12" i="67"/>
  <c r="S12" i="67"/>
  <c r="S55" i="63"/>
  <c r="S18" i="63"/>
  <c r="S61" i="63"/>
  <c r="S19" i="63"/>
  <c r="S70" i="63"/>
  <c r="S89" i="63"/>
  <c r="S85" i="63"/>
  <c r="S95" i="63"/>
  <c r="S6" i="63"/>
  <c r="S104" i="63"/>
  <c r="S80" i="63"/>
  <c r="S25" i="63"/>
  <c r="S90" i="63"/>
  <c r="H17" i="61"/>
  <c r="Q12" i="82"/>
  <c r="R12" i="82"/>
  <c r="S12" i="82"/>
  <c r="S49" i="63"/>
  <c r="S67" i="63"/>
  <c r="S45" i="63"/>
  <c r="S13" i="63"/>
  <c r="S33" i="63"/>
  <c r="S74" i="63"/>
  <c r="S37" i="63"/>
  <c r="S50" i="63"/>
  <c r="S26" i="63"/>
  <c r="S72" i="63"/>
  <c r="S48" i="63"/>
  <c r="S73" i="63"/>
  <c r="S60" i="63"/>
  <c r="T2" i="63"/>
  <c r="T16" i="63"/>
  <c r="S38" i="63"/>
  <c r="S97" i="63"/>
  <c r="S34" i="63"/>
  <c r="S8" i="63"/>
  <c r="S100" i="63"/>
  <c r="S44" i="63"/>
  <c r="S36" i="63"/>
  <c r="S12" i="63"/>
  <c r="S101" i="63"/>
  <c r="S76" i="63"/>
  <c r="S15" i="63"/>
  <c r="S30" i="63"/>
  <c r="S16" i="63"/>
  <c r="S53" i="63"/>
  <c r="S65" i="63"/>
  <c r="S105" i="63"/>
  <c r="S40" i="63"/>
  <c r="S68" i="63"/>
  <c r="S17" i="63"/>
  <c r="S94" i="63"/>
  <c r="S98" i="63"/>
  <c r="S71" i="63"/>
  <c r="S103" i="63"/>
  <c r="S99" i="63"/>
  <c r="I16" i="60"/>
  <c r="I17" i="60"/>
  <c r="I19" i="60"/>
  <c r="Q11" i="96"/>
  <c r="R11" i="96"/>
  <c r="S11" i="96"/>
  <c r="Q11" i="90"/>
  <c r="R11" i="90"/>
  <c r="S11" i="90"/>
  <c r="Q11" i="114"/>
  <c r="R11" i="114"/>
  <c r="S11" i="114"/>
  <c r="Q11" i="78"/>
  <c r="R11" i="78"/>
  <c r="S11" i="78"/>
  <c r="S2" i="128"/>
  <c r="S37" i="128"/>
  <c r="Q11" i="110"/>
  <c r="R11" i="110"/>
  <c r="S11" i="110"/>
  <c r="Q11" i="80"/>
  <c r="R11" i="80"/>
  <c r="S11" i="80"/>
  <c r="Q11" i="98"/>
  <c r="R11" i="98"/>
  <c r="S11" i="98"/>
  <c r="Q11" i="86"/>
  <c r="R11" i="86"/>
  <c r="S11" i="86"/>
  <c r="Q11" i="112"/>
  <c r="R11" i="112"/>
  <c r="S11" i="112"/>
  <c r="Q11" i="82"/>
  <c r="R11" i="82"/>
  <c r="S11" i="82"/>
  <c r="F25" i="118"/>
  <c r="D38" i="140"/>
  <c r="Q11" i="94"/>
  <c r="R11" i="94"/>
  <c r="S11" i="94"/>
  <c r="Q11" i="68"/>
  <c r="R11" i="68"/>
  <c r="S11" i="68"/>
  <c r="Q12" i="68"/>
  <c r="R12" i="68"/>
  <c r="S12" i="68"/>
  <c r="H19" i="60"/>
  <c r="Q11" i="88"/>
  <c r="R11" i="88"/>
  <c r="S11" i="88"/>
  <c r="G19" i="60"/>
  <c r="E18" i="60"/>
  <c r="Q9" i="108"/>
  <c r="R9" i="108"/>
  <c r="S9" i="108"/>
  <c r="Q9" i="98"/>
  <c r="R9" i="98"/>
  <c r="S9" i="98"/>
  <c r="Q9" i="82"/>
  <c r="R9" i="82"/>
  <c r="S9" i="82"/>
  <c r="Q9" i="84"/>
  <c r="R9" i="84"/>
  <c r="S9" i="84"/>
  <c r="Q9" i="110"/>
  <c r="R9" i="110"/>
  <c r="S9" i="110"/>
  <c r="Q9" i="96"/>
  <c r="R9" i="96"/>
  <c r="S9" i="96"/>
  <c r="Q9" i="106"/>
  <c r="R9" i="106"/>
  <c r="S9" i="106"/>
  <c r="Q9" i="86"/>
  <c r="R9" i="86"/>
  <c r="S9" i="86"/>
  <c r="Q9" i="104"/>
  <c r="R9" i="104"/>
  <c r="S9" i="104"/>
  <c r="Q9" i="78"/>
  <c r="R9" i="78"/>
  <c r="S9" i="78"/>
  <c r="Q9" i="94"/>
  <c r="R9" i="94"/>
  <c r="S9" i="94"/>
  <c r="Q9" i="90"/>
  <c r="R9" i="90"/>
  <c r="S9" i="90"/>
  <c r="Q9" i="80"/>
  <c r="R9" i="80"/>
  <c r="S9" i="80"/>
  <c r="Q9" i="102"/>
  <c r="R9" i="102"/>
  <c r="S9" i="102"/>
  <c r="Q9" i="116"/>
  <c r="R9" i="116"/>
  <c r="S9" i="116"/>
  <c r="Q9" i="92"/>
  <c r="R9" i="92"/>
  <c r="S9" i="92"/>
  <c r="Q9" i="76"/>
  <c r="R9" i="76"/>
  <c r="S9" i="76"/>
  <c r="Q9" i="114"/>
  <c r="R9" i="114"/>
  <c r="S9" i="114"/>
  <c r="Q9" i="112"/>
  <c r="R9" i="112"/>
  <c r="S9" i="112"/>
  <c r="Q9" i="88"/>
  <c r="R9" i="88"/>
  <c r="S9" i="88"/>
  <c r="Q9" i="100"/>
  <c r="R9" i="100"/>
  <c r="S9" i="100"/>
  <c r="O2" i="128"/>
  <c r="E19" i="60"/>
  <c r="O2" i="63"/>
  <c r="F28" i="118"/>
  <c r="D42" i="140"/>
  <c r="D44" i="140"/>
  <c r="Q9" i="68"/>
  <c r="R9" i="68"/>
  <c r="S9" i="68"/>
  <c r="J18" i="60"/>
  <c r="K109" i="112"/>
  <c r="K109" i="98"/>
  <c r="K109" i="88"/>
  <c r="K109" i="90"/>
  <c r="K109" i="110"/>
  <c r="K109" i="92"/>
  <c r="K109" i="116"/>
  <c r="K109" i="80"/>
  <c r="K109" i="84"/>
  <c r="K109" i="76"/>
  <c r="K109" i="82"/>
  <c r="K109" i="102"/>
  <c r="K109" i="96"/>
  <c r="K109" i="104"/>
  <c r="K109" i="94"/>
  <c r="K109" i="100"/>
  <c r="K109" i="106"/>
  <c r="K109" i="114"/>
  <c r="K109" i="86"/>
  <c r="K109" i="108"/>
  <c r="K109" i="78"/>
  <c r="L16" i="60"/>
  <c r="L17" i="60"/>
  <c r="L17" i="61"/>
  <c r="K111" i="67"/>
  <c r="L109" i="67"/>
  <c r="M109" i="67"/>
  <c r="K113" i="67"/>
  <c r="L113" i="67"/>
  <c r="M113" i="67"/>
  <c r="F31" i="118"/>
  <c r="J19" i="60"/>
  <c r="K109" i="68"/>
  <c r="K16" i="60"/>
  <c r="K17" i="60"/>
  <c r="K17" i="61"/>
  <c r="K110" i="67"/>
  <c r="M16" i="60"/>
  <c r="M17" i="60"/>
  <c r="M17" i="61"/>
  <c r="K112" i="67"/>
  <c r="X21" i="73"/>
  <c r="X22" i="73"/>
  <c r="Y4" i="73"/>
  <c r="Y21" i="73"/>
  <c r="O21" i="123"/>
  <c r="N21" i="123"/>
  <c r="E21" i="123"/>
  <c r="O7" i="123"/>
  <c r="N7" i="123"/>
  <c r="P7" i="123"/>
  <c r="Q7" i="123"/>
  <c r="R7" i="123"/>
  <c r="T7" i="123"/>
  <c r="O2" i="123"/>
  <c r="M20" i="130"/>
  <c r="C20" i="130"/>
  <c r="J24" i="137"/>
  <c r="M17" i="131"/>
  <c r="C17" i="131"/>
  <c r="R21" i="137"/>
  <c r="M4" i="130"/>
  <c r="C4" i="130"/>
  <c r="J8" i="137"/>
  <c r="O22" i="130"/>
  <c r="O17" i="123"/>
  <c r="N17" i="123"/>
  <c r="P17" i="123"/>
  <c r="D17" i="123"/>
  <c r="O13" i="130"/>
  <c r="O20" i="129"/>
  <c r="O20" i="132"/>
  <c r="M20" i="132"/>
  <c r="O19" i="132"/>
  <c r="M19" i="132"/>
  <c r="M12" i="129"/>
  <c r="C12" i="129"/>
  <c r="F16" i="137"/>
  <c r="O12" i="129"/>
  <c r="M12" i="131"/>
  <c r="O12" i="131"/>
  <c r="O23" i="131"/>
  <c r="M23" i="131"/>
  <c r="C23" i="131"/>
  <c r="J29" i="140"/>
  <c r="M14" i="132"/>
  <c r="C14" i="132"/>
  <c r="O14" i="132"/>
  <c r="M25" i="130"/>
  <c r="C25" i="130"/>
  <c r="O25" i="130"/>
  <c r="O12" i="132"/>
  <c r="O31" i="130"/>
  <c r="M31" i="130"/>
  <c r="C31" i="130"/>
  <c r="O32" i="130"/>
  <c r="M32" i="130"/>
  <c r="C32" i="130"/>
  <c r="M23" i="129"/>
  <c r="C23" i="129"/>
  <c r="K29" i="140"/>
  <c r="O23" i="129"/>
  <c r="O5" i="132"/>
  <c r="M5" i="132"/>
  <c r="M15" i="130"/>
  <c r="C15" i="130"/>
  <c r="O15" i="130"/>
  <c r="O4" i="129"/>
  <c r="M4" i="129"/>
  <c r="C4" i="129"/>
  <c r="F8" i="137"/>
  <c r="O16" i="129"/>
  <c r="M30" i="131"/>
  <c r="C30" i="131"/>
  <c r="O30" i="131"/>
  <c r="O22" i="129"/>
  <c r="M22" i="129"/>
  <c r="C22" i="129"/>
  <c r="F26" i="137"/>
  <c r="M15" i="131"/>
  <c r="C15" i="131"/>
  <c r="O15" i="131"/>
  <c r="M24" i="131"/>
  <c r="C24" i="131"/>
  <c r="R28" i="137"/>
  <c r="O24" i="131"/>
  <c r="O3" i="132"/>
  <c r="M3" i="132"/>
  <c r="M13" i="131"/>
  <c r="O13" i="131"/>
  <c r="O21" i="130"/>
  <c r="M21" i="130"/>
  <c r="M26" i="130"/>
  <c r="C26" i="130"/>
  <c r="O26" i="130"/>
  <c r="O16" i="131"/>
  <c r="O6" i="129"/>
  <c r="M6" i="129"/>
  <c r="C6" i="129"/>
  <c r="F10" i="137"/>
  <c r="M25" i="132"/>
  <c r="C25" i="132"/>
  <c r="V29" i="137"/>
  <c r="O25" i="132"/>
  <c r="O11" i="131"/>
  <c r="M11" i="131"/>
  <c r="C11" i="131"/>
  <c r="R14" i="137"/>
  <c r="O5" i="131"/>
  <c r="M5" i="131"/>
  <c r="C5" i="131"/>
  <c r="R9" i="137"/>
  <c r="M12" i="132"/>
  <c r="M29" i="130"/>
  <c r="C29" i="130"/>
  <c r="J33" i="137"/>
  <c r="O29" i="130"/>
  <c r="M3" i="131"/>
  <c r="C3" i="131"/>
  <c r="R7" i="137"/>
  <c r="O3" i="131"/>
  <c r="M28" i="130"/>
  <c r="C28" i="130"/>
  <c r="O28" i="130"/>
  <c r="O4" i="132"/>
  <c r="M4" i="132"/>
  <c r="M30" i="129"/>
  <c r="C30" i="129"/>
  <c r="O10" i="132"/>
  <c r="M10" i="132"/>
  <c r="O4" i="131"/>
  <c r="M4" i="131"/>
  <c r="C4" i="131"/>
  <c r="R8" i="137"/>
  <c r="O8" i="132"/>
  <c r="M8" i="132"/>
  <c r="C8" i="132"/>
  <c r="V12" i="137"/>
  <c r="O27" i="131"/>
  <c r="M27" i="131"/>
  <c r="C27" i="131"/>
  <c r="M26" i="131"/>
  <c r="C26" i="131"/>
  <c r="O26" i="131"/>
  <c r="M16" i="131"/>
  <c r="C16" i="131"/>
  <c r="O7" i="131"/>
  <c r="M7" i="131"/>
  <c r="C7" i="131"/>
  <c r="R11" i="137"/>
  <c r="O29" i="131"/>
  <c r="M29" i="131"/>
  <c r="C29" i="131"/>
  <c r="R33" i="137"/>
  <c r="M29" i="129"/>
  <c r="C29" i="129"/>
  <c r="F33" i="137"/>
  <c r="O29" i="129"/>
  <c r="O11" i="132"/>
  <c r="M11" i="132"/>
  <c r="C11" i="132"/>
  <c r="V14" i="137"/>
  <c r="M18" i="130"/>
  <c r="C18" i="130"/>
  <c r="O18" i="130"/>
  <c r="O6" i="131"/>
  <c r="M6" i="131"/>
  <c r="C6" i="131"/>
  <c r="R10" i="137"/>
  <c r="O14" i="131"/>
  <c r="M22" i="132"/>
  <c r="O22" i="132"/>
  <c r="M26" i="132"/>
  <c r="C26" i="132"/>
  <c r="V30" i="137"/>
  <c r="O26" i="132"/>
  <c r="M8" i="129"/>
  <c r="O8" i="129"/>
  <c r="M32" i="131"/>
  <c r="C32" i="131"/>
  <c r="O32" i="131"/>
  <c r="M10" i="129"/>
  <c r="C10" i="129"/>
  <c r="F13" i="137"/>
  <c r="O10" i="129"/>
  <c r="O25" i="131"/>
  <c r="M25" i="131"/>
  <c r="C25" i="131"/>
  <c r="R29" i="137"/>
  <c r="M15" i="129"/>
  <c r="C15" i="129"/>
  <c r="F19" i="137"/>
  <c r="O15" i="129"/>
  <c r="O20" i="131"/>
  <c r="M20" i="131"/>
  <c r="C20" i="131"/>
  <c r="R24" i="137"/>
  <c r="M19" i="130"/>
  <c r="C19" i="130"/>
  <c r="J23" i="137"/>
  <c r="O19" i="130"/>
  <c r="O10" i="130"/>
  <c r="M10" i="130"/>
  <c r="O7" i="129"/>
  <c r="M7" i="129"/>
  <c r="C7" i="129"/>
  <c r="F11" i="137"/>
  <c r="O21" i="129"/>
  <c r="M21" i="129"/>
  <c r="C21" i="129"/>
  <c r="F25" i="137"/>
  <c r="M6" i="130"/>
  <c r="C6" i="130"/>
  <c r="J10" i="137"/>
  <c r="O6" i="130"/>
  <c r="M28" i="129"/>
  <c r="O28" i="129"/>
  <c r="M30" i="130"/>
  <c r="C30" i="130"/>
  <c r="J34" i="137"/>
  <c r="J35" i="137"/>
  <c r="O30" i="130"/>
  <c r="K34" i="129"/>
  <c r="M13" i="130"/>
  <c r="M21" i="131"/>
  <c r="C21" i="131"/>
  <c r="R25" i="137"/>
  <c r="O21" i="131"/>
  <c r="M19" i="131"/>
  <c r="C19" i="131"/>
  <c r="R23" i="137"/>
  <c r="O19" i="131"/>
  <c r="M14" i="131"/>
  <c r="C14" i="131"/>
  <c r="M13" i="129"/>
  <c r="C13" i="129"/>
  <c r="F17" i="137"/>
  <c r="O13" i="129"/>
  <c r="O17" i="132"/>
  <c r="M17" i="132"/>
  <c r="C17" i="132"/>
  <c r="V21" i="137"/>
  <c r="O23" i="130"/>
  <c r="M23" i="130"/>
  <c r="C23" i="130"/>
  <c r="J27" i="137"/>
  <c r="M11" i="129"/>
  <c r="O11" i="129"/>
  <c r="O8" i="131"/>
  <c r="M8" i="131"/>
  <c r="C8" i="131"/>
  <c r="R12" i="137"/>
  <c r="M20" i="129"/>
  <c r="C20" i="129"/>
  <c r="F24" i="137"/>
  <c r="M26" i="129"/>
  <c r="C26" i="129"/>
  <c r="F18" i="137"/>
  <c r="M28" i="131"/>
  <c r="C28" i="131"/>
  <c r="O28" i="131"/>
  <c r="M8" i="130"/>
  <c r="C8" i="130"/>
  <c r="O8" i="130"/>
  <c r="M17" i="129"/>
  <c r="O17" i="129"/>
  <c r="M22" i="130"/>
  <c r="C22" i="130"/>
  <c r="J26" i="137"/>
  <c r="M18" i="131"/>
  <c r="C18" i="131"/>
  <c r="R22" i="137"/>
  <c r="O18" i="131"/>
  <c r="K34" i="130"/>
  <c r="L34" i="132"/>
  <c r="O2" i="132"/>
  <c r="M2" i="132"/>
  <c r="J34" i="129"/>
  <c r="J35" i="129"/>
  <c r="O31" i="132"/>
  <c r="M31" i="132"/>
  <c r="C31" i="132"/>
  <c r="M18" i="129"/>
  <c r="O18" i="129"/>
  <c r="M27" i="129"/>
  <c r="C27" i="129"/>
  <c r="F31" i="137"/>
  <c r="O27" i="129"/>
  <c r="O27" i="132"/>
  <c r="M27" i="132"/>
  <c r="O7" i="130"/>
  <c r="M7" i="130"/>
  <c r="C7" i="130"/>
  <c r="J11" i="137"/>
  <c r="M15" i="132"/>
  <c r="O15" i="132"/>
  <c r="M23" i="132"/>
  <c r="O23" i="132"/>
  <c r="O29" i="132"/>
  <c r="M29" i="132"/>
  <c r="M9" i="130"/>
  <c r="C9" i="130"/>
  <c r="J15" i="137"/>
  <c r="O9" i="130"/>
  <c r="M6" i="132"/>
  <c r="O6" i="132"/>
  <c r="O9" i="132"/>
  <c r="M9" i="132"/>
  <c r="C9" i="132"/>
  <c r="V15" i="137"/>
  <c r="L34" i="130"/>
  <c r="M2" i="130"/>
  <c r="C2" i="130"/>
  <c r="J6" i="137"/>
  <c r="O2" i="130"/>
  <c r="J34" i="132"/>
  <c r="J35" i="132"/>
  <c r="O3" i="130"/>
  <c r="M3" i="130"/>
  <c r="C3" i="130"/>
  <c r="J7" i="137"/>
  <c r="O2" i="129"/>
  <c r="M2" i="129"/>
  <c r="C2" i="129"/>
  <c r="F6" i="137"/>
  <c r="L34" i="129"/>
  <c r="O5" i="129"/>
  <c r="M5" i="129"/>
  <c r="C5" i="129"/>
  <c r="F9" i="137"/>
  <c r="O10" i="131"/>
  <c r="M10" i="131"/>
  <c r="M31" i="129"/>
  <c r="C31" i="129"/>
  <c r="F36" i="137"/>
  <c r="O13" i="132"/>
  <c r="M13" i="132"/>
  <c r="J34" i="131"/>
  <c r="J35" i="131"/>
  <c r="O7" i="132"/>
  <c r="M7" i="132"/>
  <c r="C7" i="132"/>
  <c r="V11" i="137"/>
  <c r="O5" i="130"/>
  <c r="M5" i="130"/>
  <c r="C5" i="130"/>
  <c r="J9" i="137"/>
  <c r="O3" i="129"/>
  <c r="M3" i="129"/>
  <c r="C3" i="129"/>
  <c r="F7" i="137"/>
  <c r="M12" i="130"/>
  <c r="C12" i="130"/>
  <c r="J16" i="137"/>
  <c r="O12" i="130"/>
  <c r="M24" i="129"/>
  <c r="C24" i="129"/>
  <c r="F28" i="137"/>
  <c r="O24" i="129"/>
  <c r="O11" i="130"/>
  <c r="M11" i="130"/>
  <c r="C11" i="130"/>
  <c r="M27" i="130"/>
  <c r="C27" i="130"/>
  <c r="J31" i="137"/>
  <c r="O27" i="130"/>
  <c r="O22" i="131"/>
  <c r="M22" i="131"/>
  <c r="C22" i="131"/>
  <c r="R26" i="137"/>
  <c r="O9" i="131"/>
  <c r="M9" i="131"/>
  <c r="C9" i="131"/>
  <c r="R15" i="137"/>
  <c r="M19" i="129"/>
  <c r="C19" i="129"/>
  <c r="F23" i="137"/>
  <c r="K34" i="131"/>
  <c r="O9" i="129"/>
  <c r="M9" i="129"/>
  <c r="C9" i="129"/>
  <c r="F15" i="137"/>
  <c r="J34" i="130"/>
  <c r="J35" i="130"/>
  <c r="M21" i="132"/>
  <c r="O21" i="132"/>
  <c r="O20" i="130"/>
  <c r="K34" i="132"/>
  <c r="M18" i="132"/>
  <c r="C18" i="132"/>
  <c r="V22" i="137"/>
  <c r="O18" i="132"/>
  <c r="O32" i="132"/>
  <c r="M32" i="132"/>
  <c r="M14" i="129"/>
  <c r="O14" i="129"/>
  <c r="M17" i="130"/>
  <c r="C17" i="130"/>
  <c r="O17" i="130"/>
  <c r="O24" i="130"/>
  <c r="M24" i="130"/>
  <c r="C24" i="130"/>
  <c r="J28" i="137"/>
  <c r="O17" i="131"/>
  <c r="M28" i="132"/>
  <c r="C28" i="132"/>
  <c r="O28" i="132"/>
  <c r="M2" i="131"/>
  <c r="C2" i="131"/>
  <c r="R6" i="137"/>
  <c r="O2" i="131"/>
  <c r="L34" i="131"/>
  <c r="M24" i="132"/>
  <c r="O24" i="132"/>
  <c r="M30" i="132"/>
  <c r="O30" i="132"/>
  <c r="M25" i="129"/>
  <c r="O25" i="129"/>
  <c r="M16" i="129"/>
  <c r="C16" i="129"/>
  <c r="M32" i="129"/>
  <c r="C32" i="129"/>
  <c r="O32" i="129"/>
  <c r="M16" i="130"/>
  <c r="C16" i="130"/>
  <c r="O16" i="130"/>
  <c r="M16" i="132"/>
  <c r="C16" i="132"/>
  <c r="V20" i="137"/>
  <c r="O16" i="132"/>
  <c r="O4" i="130"/>
  <c r="O31" i="131"/>
  <c r="M31" i="131"/>
  <c r="C31" i="131"/>
  <c r="O19" i="129"/>
  <c r="M14" i="130"/>
  <c r="C14" i="130"/>
  <c r="O14" i="130"/>
  <c r="O8" i="123"/>
  <c r="N8" i="123"/>
  <c r="O12" i="123"/>
  <c r="S8" i="93"/>
  <c r="Q107" i="128"/>
  <c r="O20" i="123"/>
  <c r="O16" i="123"/>
  <c r="N16" i="123"/>
  <c r="P16" i="123"/>
  <c r="D16" i="123"/>
  <c r="O13" i="123"/>
  <c r="N13" i="123"/>
  <c r="P13" i="123"/>
  <c r="Q13" i="123"/>
  <c r="R13" i="123"/>
  <c r="T13" i="123"/>
  <c r="O9" i="123"/>
  <c r="O24" i="123"/>
  <c r="O32" i="123"/>
  <c r="N32" i="123"/>
  <c r="O23" i="123"/>
  <c r="N23" i="123"/>
  <c r="M3" i="123"/>
  <c r="O3" i="123"/>
  <c r="O10" i="123"/>
  <c r="N10" i="123"/>
  <c r="P10" i="123"/>
  <c r="D10" i="123"/>
  <c r="M2" i="123"/>
  <c r="C2" i="123"/>
  <c r="O18" i="123"/>
  <c r="O28" i="123"/>
  <c r="O19" i="123"/>
  <c r="N19" i="123"/>
  <c r="O5" i="123"/>
  <c r="O25" i="123"/>
  <c r="N25" i="123"/>
  <c r="P25" i="123"/>
  <c r="O11" i="123"/>
  <c r="O14" i="123"/>
  <c r="N14" i="123"/>
  <c r="M30" i="123"/>
  <c r="C30" i="123"/>
  <c r="O15" i="123"/>
  <c r="O27" i="123"/>
  <c r="N27" i="123"/>
  <c r="O22" i="123"/>
  <c r="N22" i="123"/>
  <c r="P22" i="123"/>
  <c r="D22" i="123"/>
  <c r="O4" i="123"/>
  <c r="O29" i="123"/>
  <c r="O6" i="123"/>
  <c r="N6" i="123"/>
  <c r="P6" i="123"/>
  <c r="C15" i="65"/>
  <c r="E7" i="65"/>
  <c r="F5" i="65"/>
  <c r="C13" i="65"/>
  <c r="F13" i="65"/>
  <c r="C24" i="65"/>
  <c r="C12" i="65"/>
  <c r="F12" i="65"/>
  <c r="C23" i="65"/>
  <c r="F4" i="65"/>
  <c r="CT74" i="63"/>
  <c r="BO74" i="63"/>
  <c r="BN74" i="63"/>
  <c r="BN44" i="63"/>
  <c r="CT44" i="63"/>
  <c r="BO44" i="63"/>
  <c r="CV81" i="63"/>
  <c r="BQ81" i="63"/>
  <c r="BV81" i="63"/>
  <c r="BP83" i="63"/>
  <c r="BU83" i="63"/>
  <c r="CU83" i="63"/>
  <c r="BP76" i="63"/>
  <c r="BU76" i="63"/>
  <c r="CU76" i="63"/>
  <c r="BP63" i="63"/>
  <c r="BU63" i="63"/>
  <c r="CU63" i="63"/>
  <c r="BR77" i="63"/>
  <c r="BW77" i="63"/>
  <c r="CW77" i="63"/>
  <c r="BQ102" i="63"/>
  <c r="BV102" i="63"/>
  <c r="CV102" i="63"/>
  <c r="CW41" i="63"/>
  <c r="BR41" i="63"/>
  <c r="BW41" i="63"/>
  <c r="BQ98" i="63"/>
  <c r="BV98" i="63"/>
  <c r="CV98" i="63"/>
  <c r="CV60" i="63"/>
  <c r="BQ60" i="63"/>
  <c r="BV60" i="63"/>
  <c r="BQ38" i="63"/>
  <c r="BV38" i="63"/>
  <c r="CV38" i="63"/>
  <c r="CU86" i="63"/>
  <c r="BP86" i="63"/>
  <c r="BU86" i="63"/>
  <c r="CW100" i="63"/>
  <c r="BR100" i="63"/>
  <c r="BW100" i="63"/>
  <c r="CV64" i="63"/>
  <c r="BQ64" i="63"/>
  <c r="BV64" i="63"/>
  <c r="CU22" i="63"/>
  <c r="BP22" i="63"/>
  <c r="BU22" i="63"/>
  <c r="CT23" i="63"/>
  <c r="BO23" i="63"/>
  <c r="BT23" i="63"/>
  <c r="BN23" i="63"/>
  <c r="CW32" i="63"/>
  <c r="BR32" i="63"/>
  <c r="BW32" i="63"/>
  <c r="BO84" i="63"/>
  <c r="BT84" i="63"/>
  <c r="BN84" i="63"/>
  <c r="CT84" i="63"/>
  <c r="BQ95" i="63"/>
  <c r="BV95" i="63"/>
  <c r="CV95" i="63"/>
  <c r="BO47" i="63"/>
  <c r="BT47" i="63"/>
  <c r="BN47" i="63"/>
  <c r="CT47" i="63"/>
  <c r="BR65" i="63"/>
  <c r="BW65" i="63"/>
  <c r="CW65" i="63"/>
  <c r="CW30" i="63"/>
  <c r="BR30" i="63"/>
  <c r="BW30" i="63"/>
  <c r="CW56" i="63"/>
  <c r="BR56" i="63"/>
  <c r="BW56" i="63"/>
  <c r="CU43" i="63"/>
  <c r="BP43" i="63"/>
  <c r="BU43" i="63"/>
  <c r="BQ90" i="63"/>
  <c r="BV90" i="63"/>
  <c r="CV90" i="63"/>
  <c r="BQ88" i="63"/>
  <c r="BV88" i="63"/>
  <c r="CV88" i="63"/>
  <c r="BO78" i="63"/>
  <c r="BT78" i="63"/>
  <c r="BN78" i="63"/>
  <c r="CT78" i="63"/>
  <c r="CU91" i="63"/>
  <c r="BP91" i="63"/>
  <c r="BU91" i="63"/>
  <c r="BN83" i="63"/>
  <c r="CT83" i="63"/>
  <c r="BO83" i="63"/>
  <c r="BT83" i="63"/>
  <c r="CU94" i="63"/>
  <c r="BP94" i="63"/>
  <c r="BU94" i="63"/>
  <c r="BR26" i="63"/>
  <c r="BW26" i="63"/>
  <c r="CW26" i="63"/>
  <c r="BO34" i="63"/>
  <c r="CT34" i="63"/>
  <c r="BN34" i="63"/>
  <c r="BR89" i="63"/>
  <c r="BW89" i="63"/>
  <c r="CW89" i="63"/>
  <c r="BN10" i="63"/>
  <c r="CT10" i="63"/>
  <c r="BO10" i="63"/>
  <c r="BT10" i="63"/>
  <c r="BR58" i="63"/>
  <c r="BW58" i="63"/>
  <c r="CW58" i="63"/>
  <c r="CW46" i="63"/>
  <c r="BR46" i="63"/>
  <c r="BW46" i="63"/>
  <c r="CT40" i="63"/>
  <c r="BO40" i="63"/>
  <c r="BT40" i="63"/>
  <c r="BN40" i="63"/>
  <c r="BO42" i="63"/>
  <c r="BT42" i="63"/>
  <c r="CT42" i="63"/>
  <c r="BN42" i="63"/>
  <c r="CW7" i="128"/>
  <c r="BO7" i="128"/>
  <c r="BN7" i="128"/>
  <c r="BQ43" i="128"/>
  <c r="CY43" i="128"/>
  <c r="BP76" i="128"/>
  <c r="CX76" i="128"/>
  <c r="BU23" i="128"/>
  <c r="CX23" i="128"/>
  <c r="BN44" i="128"/>
  <c r="BO44" i="128"/>
  <c r="BQ99" i="128"/>
  <c r="CY99" i="128"/>
  <c r="BR75" i="128"/>
  <c r="CZ75" i="128"/>
  <c r="CV56" i="63"/>
  <c r="BQ56" i="63"/>
  <c r="BV56" i="63"/>
  <c r="BP25" i="128"/>
  <c r="BU25" i="128"/>
  <c r="BW77" i="128"/>
  <c r="CZ77" i="128"/>
  <c r="BP18" i="128"/>
  <c r="CX18" i="128"/>
  <c r="BQ38" i="128"/>
  <c r="BV38" i="128"/>
  <c r="BW64" i="128"/>
  <c r="CZ64" i="128"/>
  <c r="BU46" i="128"/>
  <c r="CX46" i="128"/>
  <c r="BQ92" i="128"/>
  <c r="CY92" i="128"/>
  <c r="BR40" i="63"/>
  <c r="BW40" i="63"/>
  <c r="CW40" i="63"/>
  <c r="BQ26" i="128"/>
  <c r="BV26" i="128"/>
  <c r="BW79" i="128"/>
  <c r="CZ79" i="128"/>
  <c r="BP19" i="128"/>
  <c r="CX19" i="128"/>
  <c r="BW39" i="128"/>
  <c r="CZ39" i="128"/>
  <c r="BQ65" i="128"/>
  <c r="CY65" i="128"/>
  <c r="BO47" i="128"/>
  <c r="BN47" i="128"/>
  <c r="BO93" i="128"/>
  <c r="BN93" i="128"/>
  <c r="BP70" i="63"/>
  <c r="BU70" i="63"/>
  <c r="CU70" i="63"/>
  <c r="BQ27" i="128"/>
  <c r="BV27" i="128"/>
  <c r="BO84" i="128"/>
  <c r="BN84" i="128"/>
  <c r="BQ20" i="128"/>
  <c r="BV20" i="128"/>
  <c r="BN46" i="128"/>
  <c r="BO46" i="128"/>
  <c r="BP66" i="128"/>
  <c r="CX66" i="128"/>
  <c r="BP48" i="128"/>
  <c r="CX48" i="128"/>
  <c r="BQ96" i="128"/>
  <c r="BV96" i="128"/>
  <c r="BW47" i="128"/>
  <c r="CZ47" i="128"/>
  <c r="BP42" i="128"/>
  <c r="CX42" i="128"/>
  <c r="BQ56" i="128"/>
  <c r="CY56" i="128"/>
  <c r="BP78" i="128"/>
  <c r="CX78" i="128"/>
  <c r="BR91" i="128"/>
  <c r="BW91" i="128"/>
  <c r="BQ68" i="128"/>
  <c r="CY68" i="128"/>
  <c r="CU10" i="63"/>
  <c r="BP10" i="63"/>
  <c r="BU10" i="63"/>
  <c r="CW70" i="63"/>
  <c r="BR70" i="63"/>
  <c r="BW70" i="63"/>
  <c r="CZ15" i="128"/>
  <c r="BR15" i="128"/>
  <c r="BW15" i="128"/>
  <c r="BM107" i="128"/>
  <c r="BR6" i="128"/>
  <c r="CZ6" i="128"/>
  <c r="CW8" i="128"/>
  <c r="BN8" i="128"/>
  <c r="BO8" i="128"/>
  <c r="BT8" i="128"/>
  <c r="BO16" i="128"/>
  <c r="CW16" i="128"/>
  <c r="BN16" i="128"/>
  <c r="BN94" i="128"/>
  <c r="BO94" i="128"/>
  <c r="BR83" i="128"/>
  <c r="CZ83" i="128"/>
  <c r="CW12" i="63"/>
  <c r="BR12" i="63"/>
  <c r="BW12" i="63"/>
  <c r="CU73" i="63"/>
  <c r="BP73" i="63"/>
  <c r="BU73" i="63"/>
  <c r="CZ16" i="128"/>
  <c r="BR16" i="128"/>
  <c r="BP12" i="128"/>
  <c r="CX12" i="128"/>
  <c r="CY9" i="128"/>
  <c r="BQ9" i="128"/>
  <c r="BV9" i="128"/>
  <c r="BQ19" i="128"/>
  <c r="CY19" i="128"/>
  <c r="BQ97" i="128"/>
  <c r="CY97" i="128"/>
  <c r="BR84" i="128"/>
  <c r="CZ84" i="128"/>
  <c r="BP18" i="63"/>
  <c r="BU18" i="63"/>
  <c r="CU18" i="63"/>
  <c r="CV78" i="63"/>
  <c r="BQ78" i="63"/>
  <c r="BV78" i="63"/>
  <c r="BP33" i="128"/>
  <c r="BU33" i="128"/>
  <c r="BR48" i="128"/>
  <c r="CZ48" i="128"/>
  <c r="BN25" i="128"/>
  <c r="BO25" i="128"/>
  <c r="BR41" i="128"/>
  <c r="CZ41" i="128"/>
  <c r="BW98" i="128"/>
  <c r="CZ98" i="128"/>
  <c r="BP101" i="128"/>
  <c r="BU101" i="128"/>
  <c r="BP66" i="63"/>
  <c r="BU66" i="63"/>
  <c r="CU66" i="63"/>
  <c r="BN105" i="63"/>
  <c r="CT105" i="63"/>
  <c r="BO105" i="63"/>
  <c r="BT105" i="63"/>
  <c r="BO48" i="63"/>
  <c r="BT48" i="63"/>
  <c r="BN48" i="63"/>
  <c r="CT48" i="63"/>
  <c r="BP41" i="63"/>
  <c r="BU41" i="63"/>
  <c r="CU41" i="63"/>
  <c r="BQ50" i="63"/>
  <c r="BV50" i="63"/>
  <c r="CV50" i="63"/>
  <c r="CT27" i="63"/>
  <c r="BO27" i="63"/>
  <c r="BN27" i="63"/>
  <c r="BR53" i="63"/>
  <c r="BW53" i="63"/>
  <c r="CW53" i="63"/>
  <c r="CU57" i="63"/>
  <c r="BP57" i="63"/>
  <c r="BU57" i="63"/>
  <c r="CW99" i="63"/>
  <c r="BR99" i="63"/>
  <c r="BW99" i="63"/>
  <c r="BP85" i="63"/>
  <c r="BU85" i="63"/>
  <c r="CU85" i="63"/>
  <c r="CV14" i="63"/>
  <c r="BQ14" i="63"/>
  <c r="BV14" i="63"/>
  <c r="CW98" i="63"/>
  <c r="BR98" i="63"/>
  <c r="BW98" i="63"/>
  <c r="CV51" i="63"/>
  <c r="BQ51" i="63"/>
  <c r="BV51" i="63"/>
  <c r="BQ76" i="63"/>
  <c r="BV76" i="63"/>
  <c r="CV76" i="63"/>
  <c r="BO99" i="63"/>
  <c r="BN99" i="63"/>
  <c r="CT99" i="63"/>
  <c r="BQ99" i="63"/>
  <c r="BV99" i="63"/>
  <c r="CV99" i="63"/>
  <c r="BO11" i="63"/>
  <c r="CT11" i="63"/>
  <c r="BN11" i="63"/>
  <c r="BP30" i="63"/>
  <c r="BU30" i="63"/>
  <c r="CU30" i="63"/>
  <c r="CU69" i="63"/>
  <c r="BP69" i="63"/>
  <c r="BU69" i="63"/>
  <c r="BQ63" i="63"/>
  <c r="BV63" i="63"/>
  <c r="CV63" i="63"/>
  <c r="BR20" i="63"/>
  <c r="BW20" i="63"/>
  <c r="CW20" i="63"/>
  <c r="CU39" i="63"/>
  <c r="BP39" i="63"/>
  <c r="BU39" i="63"/>
  <c r="BN28" i="63"/>
  <c r="CT28" i="63"/>
  <c r="BO28" i="63"/>
  <c r="BT28" i="63"/>
  <c r="BN33" i="63"/>
  <c r="BO33" i="63"/>
  <c r="BT33" i="63"/>
  <c r="CT33" i="63"/>
  <c r="CV45" i="63"/>
  <c r="BQ45" i="63"/>
  <c r="BV45" i="63"/>
  <c r="CT96" i="63"/>
  <c r="BO96" i="63"/>
  <c r="BT96" i="63"/>
  <c r="BN96" i="63"/>
  <c r="BP47" i="63"/>
  <c r="BU47" i="63"/>
  <c r="CU47" i="63"/>
  <c r="BQ47" i="63"/>
  <c r="BV47" i="63"/>
  <c r="CV47" i="63"/>
  <c r="CV87" i="63"/>
  <c r="BQ87" i="63"/>
  <c r="BV87" i="63"/>
  <c r="CW61" i="63"/>
  <c r="BR61" i="63"/>
  <c r="BW61" i="63"/>
  <c r="CU81" i="63"/>
  <c r="BP81" i="63"/>
  <c r="BU81" i="63"/>
  <c r="BQ8" i="63"/>
  <c r="BV8" i="63"/>
  <c r="CV8" i="63"/>
  <c r="CU11" i="63"/>
  <c r="BP11" i="63"/>
  <c r="BU11" i="63"/>
  <c r="BR88" i="63"/>
  <c r="BW88" i="63"/>
  <c r="CW88" i="63"/>
  <c r="BO85" i="63"/>
  <c r="BT85" i="63"/>
  <c r="CT85" i="63"/>
  <c r="BN85" i="63"/>
  <c r="CW44" i="63"/>
  <c r="BR44" i="63"/>
  <c r="BW44" i="63"/>
  <c r="CU13" i="63"/>
  <c r="BP13" i="63"/>
  <c r="BU13" i="63"/>
  <c r="BQ52" i="63"/>
  <c r="BV52" i="63"/>
  <c r="CV52" i="63"/>
  <c r="BR76" i="63"/>
  <c r="BW76" i="63"/>
  <c r="CW76" i="63"/>
  <c r="BO24" i="128"/>
  <c r="BN24" i="128"/>
  <c r="BP75" i="128"/>
  <c r="BU75" i="128"/>
  <c r="BN17" i="128"/>
  <c r="CW17" i="128"/>
  <c r="BO17" i="128"/>
  <c r="BN37" i="128"/>
  <c r="BO37" i="128"/>
  <c r="BT37" i="128"/>
  <c r="BN60" i="128"/>
  <c r="BO60" i="128"/>
  <c r="BT60" i="128"/>
  <c r="BQ45" i="128"/>
  <c r="BV45" i="128"/>
  <c r="BQ91" i="128"/>
  <c r="CY91" i="128"/>
  <c r="CW71" i="63"/>
  <c r="BR71" i="63"/>
  <c r="BW71" i="63"/>
  <c r="BN40" i="128"/>
  <c r="BO40" i="128"/>
  <c r="BT40" i="128"/>
  <c r="BR23" i="128"/>
  <c r="CZ23" i="128"/>
  <c r="BW45" i="128"/>
  <c r="CZ45" i="128"/>
  <c r="BO68" i="128"/>
  <c r="BN68" i="128"/>
  <c r="BP82" i="128"/>
  <c r="BQ62" i="128"/>
  <c r="CY62" i="128"/>
  <c r="BR63" i="63"/>
  <c r="BW63" i="63"/>
  <c r="CW63" i="63"/>
  <c r="BO43" i="128"/>
  <c r="BN43" i="128"/>
  <c r="BQ32" i="128"/>
  <c r="BV32" i="128"/>
  <c r="BP50" i="128"/>
  <c r="BR71" i="128"/>
  <c r="CZ71" i="128"/>
  <c r="BR86" i="128"/>
  <c r="CZ86" i="128"/>
  <c r="BN63" i="128"/>
  <c r="BO63" i="128"/>
  <c r="BT63" i="128"/>
  <c r="CT13" i="63"/>
  <c r="BN13" i="63"/>
  <c r="BO13" i="63"/>
  <c r="BO79" i="63"/>
  <c r="BT79" i="63"/>
  <c r="CT79" i="63"/>
  <c r="BN79" i="63"/>
  <c r="BQ44" i="128"/>
  <c r="BV44" i="128"/>
  <c r="BR37" i="128"/>
  <c r="BW37" i="128"/>
  <c r="BR54" i="128"/>
  <c r="CZ54" i="128"/>
  <c r="BN73" i="128"/>
  <c r="BO73" i="128"/>
  <c r="BT73" i="128"/>
  <c r="BU87" i="128"/>
  <c r="CX87" i="128"/>
  <c r="BR67" i="128"/>
  <c r="CZ67" i="128"/>
  <c r="CT87" i="63"/>
  <c r="BO87" i="63"/>
  <c r="BT87" i="63"/>
  <c r="BN87" i="63"/>
  <c r="BP14" i="128"/>
  <c r="BU14" i="128"/>
  <c r="CX14" i="128"/>
  <c r="BQ75" i="128"/>
  <c r="CY75" i="128"/>
  <c r="BQ90" i="128"/>
  <c r="BV90" i="128"/>
  <c r="CY15" i="128"/>
  <c r="BQ15" i="128"/>
  <c r="BV15" i="128"/>
  <c r="BQ93" i="128"/>
  <c r="BV93" i="128"/>
  <c r="BP79" i="128"/>
  <c r="BU79" i="128"/>
  <c r="CV37" i="63"/>
  <c r="BQ37" i="63"/>
  <c r="BV37" i="63"/>
  <c r="BQ80" i="63"/>
  <c r="BV80" i="63"/>
  <c r="CV80" i="63"/>
  <c r="BW29" i="128"/>
  <c r="CZ29" i="128"/>
  <c r="BR42" i="128"/>
  <c r="CZ42" i="128"/>
  <c r="BW19" i="128"/>
  <c r="CZ19" i="128"/>
  <c r="BO29" i="128"/>
  <c r="BN29" i="128"/>
  <c r="BP94" i="128"/>
  <c r="BU94" i="128"/>
  <c r="BR99" i="128"/>
  <c r="CZ99" i="128"/>
  <c r="BQ25" i="63"/>
  <c r="BV25" i="63"/>
  <c r="CV25" i="63"/>
  <c r="CV75" i="63"/>
  <c r="BQ75" i="63"/>
  <c r="BV75" i="63"/>
  <c r="BN32" i="128"/>
  <c r="BO32" i="128"/>
  <c r="BT32" i="128"/>
  <c r="BN45" i="128"/>
  <c r="BO45" i="128"/>
  <c r="BR20" i="128"/>
  <c r="CZ20" i="128"/>
  <c r="BQ40" i="128"/>
  <c r="CY40" i="128"/>
  <c r="BW97" i="128"/>
  <c r="CZ97" i="128"/>
  <c r="BW100" i="128"/>
  <c r="CZ100" i="128"/>
  <c r="BP29" i="63"/>
  <c r="BU29" i="63"/>
  <c r="CU29" i="63"/>
  <c r="CU84" i="63"/>
  <c r="BP84" i="63"/>
  <c r="BU84" i="63"/>
  <c r="BO70" i="128"/>
  <c r="BN70" i="128"/>
  <c r="BO11" i="128"/>
  <c r="BN11" i="128"/>
  <c r="CW11" i="128"/>
  <c r="BP44" i="128"/>
  <c r="CX44" i="128"/>
  <c r="BQ57" i="128"/>
  <c r="CY57" i="128"/>
  <c r="BQ61" i="128"/>
  <c r="BV61" i="128"/>
  <c r="BQ105" i="128"/>
  <c r="CY105" i="128"/>
  <c r="CW35" i="63"/>
  <c r="BR35" i="63"/>
  <c r="BW35" i="63"/>
  <c r="BP9" i="63"/>
  <c r="BU9" i="63"/>
  <c r="CU9" i="63"/>
  <c r="BR80" i="63"/>
  <c r="BW80" i="63"/>
  <c r="CW80" i="63"/>
  <c r="CV79" i="63"/>
  <c r="BQ79" i="63"/>
  <c r="BV79" i="63"/>
  <c r="BQ71" i="63"/>
  <c r="BV71" i="63"/>
  <c r="CV71" i="63"/>
  <c r="BP61" i="63"/>
  <c r="BU61" i="63"/>
  <c r="CU61" i="63"/>
  <c r="CU16" i="63"/>
  <c r="BP16" i="63"/>
  <c r="BU16" i="63"/>
  <c r="CU48" i="63"/>
  <c r="BP48" i="63"/>
  <c r="BU48" i="63"/>
  <c r="BQ96" i="63"/>
  <c r="BV96" i="63"/>
  <c r="CV96" i="63"/>
  <c r="BQ34" i="63"/>
  <c r="BV34" i="63"/>
  <c r="CV34" i="63"/>
  <c r="BO15" i="63"/>
  <c r="CT15" i="63"/>
  <c r="BN15" i="63"/>
  <c r="BR72" i="63"/>
  <c r="BW72" i="63"/>
  <c r="CW72" i="63"/>
  <c r="BQ27" i="63"/>
  <c r="BV27" i="63"/>
  <c r="CV27" i="63"/>
  <c r="BQ48" i="63"/>
  <c r="BV48" i="63"/>
  <c r="CV48" i="63"/>
  <c r="BO59" i="63"/>
  <c r="BT59" i="63"/>
  <c r="CT59" i="63"/>
  <c r="BN59" i="63"/>
  <c r="BR75" i="63"/>
  <c r="BW75" i="63"/>
  <c r="CW75" i="63"/>
  <c r="CW87" i="63"/>
  <c r="BR87" i="63"/>
  <c r="BW87" i="63"/>
  <c r="CW86" i="63"/>
  <c r="BR86" i="63"/>
  <c r="BW86" i="63"/>
  <c r="BP44" i="63"/>
  <c r="BU44" i="63"/>
  <c r="CU44" i="63"/>
  <c r="CU38" i="63"/>
  <c r="BP38" i="63"/>
  <c r="BU38" i="63"/>
  <c r="CW22" i="63"/>
  <c r="BR22" i="63"/>
  <c r="BW22" i="63"/>
  <c r="CW42" i="63"/>
  <c r="BR42" i="63"/>
  <c r="BW42" i="63"/>
  <c r="BO9" i="63"/>
  <c r="CT9" i="63"/>
  <c r="BN9" i="63"/>
  <c r="CT89" i="63"/>
  <c r="BO89" i="63"/>
  <c r="BN89" i="63"/>
  <c r="BP93" i="63"/>
  <c r="BU93" i="63"/>
  <c r="CU93" i="63"/>
  <c r="CW62" i="63"/>
  <c r="BR62" i="63"/>
  <c r="BW62" i="63"/>
  <c r="CW50" i="63"/>
  <c r="BR50" i="63"/>
  <c r="BW50" i="63"/>
  <c r="BQ94" i="63"/>
  <c r="BV94" i="63"/>
  <c r="CV94" i="63"/>
  <c r="CU64" i="63"/>
  <c r="BP64" i="63"/>
  <c r="BU64" i="63"/>
  <c r="CT58" i="63"/>
  <c r="BO58" i="63"/>
  <c r="BT58" i="63"/>
  <c r="BN58" i="63"/>
  <c r="CV61" i="63"/>
  <c r="BQ61" i="63"/>
  <c r="BV61" i="63"/>
  <c r="BN35" i="63"/>
  <c r="CT35" i="63"/>
  <c r="BO35" i="63"/>
  <c r="BO80" i="63"/>
  <c r="CT80" i="63"/>
  <c r="BN80" i="63"/>
  <c r="CT68" i="63"/>
  <c r="BN68" i="63"/>
  <c r="BO68" i="63"/>
  <c r="BT68" i="63"/>
  <c r="CV105" i="63"/>
  <c r="BQ105" i="63"/>
  <c r="BV105" i="63"/>
  <c r="BP37" i="63"/>
  <c r="BU37" i="63"/>
  <c r="CU37" i="63"/>
  <c r="CW27" i="63"/>
  <c r="BR27" i="63"/>
  <c r="BW27" i="63"/>
  <c r="CW25" i="63"/>
  <c r="BR25" i="63"/>
  <c r="BW25" i="63"/>
  <c r="BO7" i="63"/>
  <c r="CT7" i="63"/>
  <c r="BN7" i="63"/>
  <c r="BW38" i="128"/>
  <c r="CZ38" i="128"/>
  <c r="BP22" i="128"/>
  <c r="CX22" i="128"/>
  <c r="BQ41" i="128"/>
  <c r="CY41" i="128"/>
  <c r="BW66" i="128"/>
  <c r="CZ66" i="128"/>
  <c r="BU81" i="128"/>
  <c r="CX81" i="128"/>
  <c r="BR61" i="128"/>
  <c r="CZ61" i="128"/>
  <c r="BR11" i="63"/>
  <c r="BW11" i="63"/>
  <c r="CW11" i="63"/>
  <c r="BR83" i="63"/>
  <c r="BW83" i="63"/>
  <c r="CW83" i="63"/>
  <c r="BN72" i="128"/>
  <c r="BO72" i="128"/>
  <c r="BR55" i="128"/>
  <c r="BW55" i="128"/>
  <c r="BQ76" i="128"/>
  <c r="CY76" i="128"/>
  <c r="CY8" i="128"/>
  <c r="BQ8" i="128"/>
  <c r="BV8" i="128"/>
  <c r="BP98" i="128"/>
  <c r="CX98" i="128"/>
  <c r="BN75" i="128"/>
  <c r="BO75" i="128"/>
  <c r="BT75" i="128"/>
  <c r="CV20" i="63"/>
  <c r="BQ20" i="63"/>
  <c r="BV20" i="63"/>
  <c r="BO69" i="63"/>
  <c r="CT69" i="63"/>
  <c r="BN69" i="63"/>
  <c r="CX7" i="128"/>
  <c r="BP7" i="128"/>
  <c r="BN64" i="128"/>
  <c r="BO64" i="128"/>
  <c r="BQ85" i="128"/>
  <c r="CY85" i="128"/>
  <c r="BP9" i="128"/>
  <c r="BU9" i="128"/>
  <c r="CX9" i="128"/>
  <c r="BW102" i="128"/>
  <c r="CZ102" i="128"/>
  <c r="BN76" i="128"/>
  <c r="BO76" i="128"/>
  <c r="BN24" i="63"/>
  <c r="BO24" i="63"/>
  <c r="CT24" i="63"/>
  <c r="BP67" i="63"/>
  <c r="BU67" i="63"/>
  <c r="CU67" i="63"/>
  <c r="BR8" i="128"/>
  <c r="BW8" i="128"/>
  <c r="CZ8" i="128"/>
  <c r="BQ66" i="128"/>
  <c r="BV66" i="128"/>
  <c r="BQ87" i="128"/>
  <c r="BV87" i="128"/>
  <c r="BR14" i="128"/>
  <c r="CZ14" i="128"/>
  <c r="BP103" i="128"/>
  <c r="CX103" i="128"/>
  <c r="BW78" i="128"/>
  <c r="CZ78" i="128"/>
  <c r="CT95" i="63"/>
  <c r="BO95" i="63"/>
  <c r="BN95" i="63"/>
  <c r="BW28" i="128"/>
  <c r="CZ28" i="128"/>
  <c r="BU39" i="128"/>
  <c r="CX39" i="128"/>
  <c r="BQ18" i="128"/>
  <c r="CY18" i="128"/>
  <c r="BQ28" i="128"/>
  <c r="CY28" i="128"/>
  <c r="BR93" i="128"/>
  <c r="BW93" i="128"/>
  <c r="BU95" i="128"/>
  <c r="CX95" i="128"/>
  <c r="BQ29" i="63"/>
  <c r="BV29" i="63"/>
  <c r="CV29" i="63"/>
  <c r="BP87" i="63"/>
  <c r="BU87" i="63"/>
  <c r="CU87" i="63"/>
  <c r="BO61" i="128"/>
  <c r="BN61" i="128"/>
  <c r="BQ82" i="128"/>
  <c r="CY82" i="128"/>
  <c r="BQ35" i="128"/>
  <c r="CY35" i="128"/>
  <c r="BQ52" i="128"/>
  <c r="BV52" i="128"/>
  <c r="BU58" i="128"/>
  <c r="CX58" i="128"/>
  <c r="BQ101" i="128"/>
  <c r="CY101" i="128"/>
  <c r="BO30" i="63"/>
  <c r="BT30" i="63"/>
  <c r="BN30" i="63"/>
  <c r="CT30" i="63"/>
  <c r="BO82" i="63"/>
  <c r="BT82" i="63"/>
  <c r="CT82" i="63"/>
  <c r="BN82" i="63"/>
  <c r="BQ63" i="128"/>
  <c r="CY63" i="128"/>
  <c r="CW10" i="128"/>
  <c r="BO10" i="128"/>
  <c r="BT10" i="128"/>
  <c r="BN10" i="128"/>
  <c r="BO38" i="128"/>
  <c r="BT38" i="128"/>
  <c r="BN38" i="128"/>
  <c r="BW53" i="128"/>
  <c r="CZ53" i="128"/>
  <c r="BR60" i="128"/>
  <c r="CZ60" i="128"/>
  <c r="BO102" i="128"/>
  <c r="BN102" i="128"/>
  <c r="CT39" i="63"/>
  <c r="BO39" i="63"/>
  <c r="BN39" i="63"/>
  <c r="BR91" i="63"/>
  <c r="BW91" i="63"/>
  <c r="CW91" i="63"/>
  <c r="CX13" i="128"/>
  <c r="BP13" i="128"/>
  <c r="BU13" i="128"/>
  <c r="BQ39" i="128"/>
  <c r="CY39" i="128"/>
  <c r="BO91" i="128"/>
  <c r="BT91" i="128"/>
  <c r="BN91" i="128"/>
  <c r="BR87" i="128"/>
  <c r="CZ87" i="128"/>
  <c r="BN79" i="128"/>
  <c r="BO79" i="128"/>
  <c r="BT79" i="128"/>
  <c r="BW105" i="128"/>
  <c r="CZ105" i="128"/>
  <c r="BQ49" i="63"/>
  <c r="BV49" i="63"/>
  <c r="CV49" i="63"/>
  <c r="CT100" i="63"/>
  <c r="BO100" i="63"/>
  <c r="BT100" i="63"/>
  <c r="BN100" i="63"/>
  <c r="CT60" i="63"/>
  <c r="BN60" i="63"/>
  <c r="BO60" i="63"/>
  <c r="BT60" i="63"/>
  <c r="CV39" i="63"/>
  <c r="BQ39" i="63"/>
  <c r="BV39" i="63"/>
  <c r="CW17" i="63"/>
  <c r="BR17" i="63"/>
  <c r="BW17" i="63"/>
  <c r="BO25" i="63"/>
  <c r="BT25" i="63"/>
  <c r="BN25" i="63"/>
  <c r="CT25" i="63"/>
  <c r="CW74" i="63"/>
  <c r="BR74" i="63"/>
  <c r="BW74" i="63"/>
  <c r="CW64" i="63"/>
  <c r="BR64" i="63"/>
  <c r="BW64" i="63"/>
  <c r="BP34" i="63"/>
  <c r="BU34" i="63"/>
  <c r="CU34" i="63"/>
  <c r="E48" i="60"/>
  <c r="F48" i="60"/>
  <c r="G48" i="60"/>
  <c r="H48" i="60"/>
  <c r="I48" i="60"/>
  <c r="BQ74" i="63"/>
  <c r="BV74" i="63"/>
  <c r="CV74" i="63"/>
  <c r="CW78" i="63"/>
  <c r="BR78" i="63"/>
  <c r="BW78" i="63"/>
  <c r="BN6" i="63"/>
  <c r="BO6" i="63"/>
  <c r="CT6" i="63"/>
  <c r="BJ107" i="63"/>
  <c r="BN32" i="63"/>
  <c r="CT32" i="63"/>
  <c r="BO32" i="63"/>
  <c r="BT32" i="63"/>
  <c r="CW31" i="63"/>
  <c r="BR31" i="63"/>
  <c r="BW31" i="63"/>
  <c r="BP32" i="63"/>
  <c r="BU32" i="63"/>
  <c r="CU32" i="63"/>
  <c r="CV69" i="63"/>
  <c r="BQ69" i="63"/>
  <c r="BV69" i="63"/>
  <c r="CW57" i="63"/>
  <c r="BR57" i="63"/>
  <c r="BW57" i="63"/>
  <c r="CU24" i="63"/>
  <c r="BP24" i="63"/>
  <c r="BU24" i="63"/>
  <c r="BP92" i="63"/>
  <c r="BU92" i="63"/>
  <c r="CU92" i="63"/>
  <c r="BR69" i="63"/>
  <c r="BW69" i="63"/>
  <c r="CW69" i="63"/>
  <c r="CV10" i="63"/>
  <c r="BQ10" i="63"/>
  <c r="BV10" i="63"/>
  <c r="CU82" i="63"/>
  <c r="BP82" i="63"/>
  <c r="BU82" i="63"/>
  <c r="BP62" i="63"/>
  <c r="BU62" i="63"/>
  <c r="CU62" i="63"/>
  <c r="BQ73" i="63"/>
  <c r="BV73" i="63"/>
  <c r="CV73" i="63"/>
  <c r="BR48" i="63"/>
  <c r="BW48" i="63"/>
  <c r="CW48" i="63"/>
  <c r="BP46" i="63"/>
  <c r="BU46" i="63"/>
  <c r="CU46" i="63"/>
  <c r="BR73" i="63"/>
  <c r="BW73" i="63"/>
  <c r="CW73" i="63"/>
  <c r="BR79" i="63"/>
  <c r="BW79" i="63"/>
  <c r="CW79" i="63"/>
  <c r="BR47" i="63"/>
  <c r="BW47" i="63"/>
  <c r="CW47" i="63"/>
  <c r="CV22" i="63"/>
  <c r="BQ22" i="63"/>
  <c r="BV22" i="63"/>
  <c r="CT19" i="63"/>
  <c r="BO19" i="63"/>
  <c r="BN19" i="63"/>
  <c r="CW85" i="63"/>
  <c r="BR85" i="63"/>
  <c r="BW85" i="63"/>
  <c r="BQ57" i="63"/>
  <c r="BV57" i="63"/>
  <c r="CV57" i="63"/>
  <c r="CT53" i="63"/>
  <c r="BO53" i="63"/>
  <c r="BN53" i="63"/>
  <c r="CW43" i="63"/>
  <c r="BR43" i="63"/>
  <c r="BW43" i="63"/>
  <c r="BQ55" i="63"/>
  <c r="BV55" i="63"/>
  <c r="CV55" i="63"/>
  <c r="BR52" i="63"/>
  <c r="BW52" i="63"/>
  <c r="CW52" i="63"/>
  <c r="CV53" i="63"/>
  <c r="BQ53" i="63"/>
  <c r="BV53" i="63"/>
  <c r="BW65" i="128"/>
  <c r="CZ65" i="128"/>
  <c r="BR52" i="128"/>
  <c r="CZ52" i="128"/>
  <c r="BQ69" i="128"/>
  <c r="BV69" i="128"/>
  <c r="BR7" i="128"/>
  <c r="BW7" i="128"/>
  <c r="CZ7" i="128"/>
  <c r="BP97" i="128"/>
  <c r="BQ74" i="128"/>
  <c r="CY74" i="128"/>
  <c r="BO14" i="63"/>
  <c r="BT14" i="63"/>
  <c r="CT14" i="63"/>
  <c r="BN14" i="63"/>
  <c r="CT76" i="63"/>
  <c r="BN76" i="63"/>
  <c r="BO76" i="63"/>
  <c r="BW25" i="128"/>
  <c r="CZ25" i="128"/>
  <c r="BW22" i="128"/>
  <c r="CZ22" i="128"/>
  <c r="BO15" i="128"/>
  <c r="CW15" i="128"/>
  <c r="BN15" i="128"/>
  <c r="BR24" i="128"/>
  <c r="BW24" i="128"/>
  <c r="BO100" i="128"/>
  <c r="BN100" i="128"/>
  <c r="BP89" i="128"/>
  <c r="CX89" i="128"/>
  <c r="CU17" i="63"/>
  <c r="BP17" i="63"/>
  <c r="BU17" i="63"/>
  <c r="BP68" i="63"/>
  <c r="BU68" i="63"/>
  <c r="CU68" i="63"/>
  <c r="BR26" i="128"/>
  <c r="CZ26" i="128"/>
  <c r="BO31" i="128"/>
  <c r="BN31" i="128"/>
  <c r="BP16" i="128"/>
  <c r="BU16" i="128"/>
  <c r="CX16" i="128"/>
  <c r="BQ25" i="128"/>
  <c r="BV25" i="128"/>
  <c r="BQ103" i="128"/>
  <c r="BV103" i="128"/>
  <c r="BP90" i="128"/>
  <c r="BU90" i="128"/>
  <c r="BP23" i="63"/>
  <c r="BU23" i="63"/>
  <c r="CU23" i="63"/>
  <c r="CW82" i="63"/>
  <c r="BR82" i="63"/>
  <c r="BW82" i="63"/>
  <c r="BW27" i="128"/>
  <c r="CZ27" i="128"/>
  <c r="BP36" i="128"/>
  <c r="BU36" i="128"/>
  <c r="BP17" i="128"/>
  <c r="BU17" i="128"/>
  <c r="CX17" i="128"/>
  <c r="BO26" i="128"/>
  <c r="BN26" i="128"/>
  <c r="BN104" i="128"/>
  <c r="BO104" i="128"/>
  <c r="BT104" i="128"/>
  <c r="BW94" i="128"/>
  <c r="CZ94" i="128"/>
  <c r="CT93" i="63"/>
  <c r="BO93" i="63"/>
  <c r="BT93" i="63"/>
  <c r="BN93" i="63"/>
  <c r="BN59" i="128"/>
  <c r="BO59" i="128"/>
  <c r="BO80" i="128"/>
  <c r="BT80" i="128"/>
  <c r="BN80" i="128"/>
  <c r="BQ30" i="128"/>
  <c r="BV30" i="128"/>
  <c r="BQ51" i="128"/>
  <c r="CY51" i="128"/>
  <c r="BR57" i="128"/>
  <c r="BW57" i="128"/>
  <c r="BO96" i="128"/>
  <c r="BT96" i="128"/>
  <c r="BN96" i="128"/>
  <c r="BP21" i="63"/>
  <c r="BU21" i="63"/>
  <c r="CU21" i="63"/>
  <c r="BO101" i="63"/>
  <c r="BT101" i="63"/>
  <c r="BN101" i="63"/>
  <c r="CT101" i="63"/>
  <c r="BK107" i="128"/>
  <c r="CX6" i="128"/>
  <c r="BP6" i="128"/>
  <c r="BU6" i="128"/>
  <c r="BP31" i="128"/>
  <c r="CX31" i="128"/>
  <c r="BO83" i="128"/>
  <c r="BN83" i="128"/>
  <c r="BW82" i="128"/>
  <c r="CZ82" i="128"/>
  <c r="BP74" i="128"/>
  <c r="CX74" i="128"/>
  <c r="BW101" i="128"/>
  <c r="CZ101" i="128"/>
  <c r="BQ28" i="63"/>
  <c r="BV28" i="63"/>
  <c r="CV28" i="63"/>
  <c r="CW94" i="63"/>
  <c r="BR94" i="63"/>
  <c r="BW94" i="63"/>
  <c r="BQ7" i="128"/>
  <c r="CY7" i="128"/>
  <c r="BQ36" i="128"/>
  <c r="CY36" i="128"/>
  <c r="BR85" i="128"/>
  <c r="CZ85" i="128"/>
  <c r="BP84" i="128"/>
  <c r="CX84" i="128"/>
  <c r="BQ78" i="128"/>
  <c r="CY78" i="128"/>
  <c r="BU102" i="128"/>
  <c r="CX102" i="128"/>
  <c r="BP27" i="63"/>
  <c r="BU27" i="63"/>
  <c r="CU27" i="63"/>
  <c r="CV103" i="63"/>
  <c r="BQ103" i="63"/>
  <c r="BV103" i="63"/>
  <c r="BO42" i="128"/>
  <c r="BN42" i="128"/>
  <c r="BQ71" i="128"/>
  <c r="CY71" i="128"/>
  <c r="BQ22" i="128"/>
  <c r="CY22" i="128"/>
  <c r="BR43" i="128"/>
  <c r="BW43" i="128"/>
  <c r="BN95" i="128"/>
  <c r="BO95" i="128"/>
  <c r="BN71" i="128"/>
  <c r="BO71" i="128"/>
  <c r="BO92" i="63"/>
  <c r="BT92" i="63"/>
  <c r="CT92" i="63"/>
  <c r="BN92" i="63"/>
  <c r="CU28" i="63"/>
  <c r="BP28" i="63"/>
  <c r="BU28" i="63"/>
  <c r="CU53" i="63"/>
  <c r="BP53" i="63"/>
  <c r="BU53" i="63"/>
  <c r="BQ41" i="63"/>
  <c r="BV41" i="63"/>
  <c r="CV41" i="63"/>
  <c r="CU75" i="63"/>
  <c r="BP75" i="63"/>
  <c r="BU75" i="63"/>
  <c r="BO65" i="63"/>
  <c r="CT65" i="63"/>
  <c r="BN65" i="63"/>
  <c r="BP35" i="63"/>
  <c r="BU35" i="63"/>
  <c r="CU35" i="63"/>
  <c r="BQ18" i="63"/>
  <c r="BV18" i="63"/>
  <c r="CV18" i="63"/>
  <c r="BO36" i="63"/>
  <c r="BT36" i="63"/>
  <c r="CT36" i="63"/>
  <c r="BN36" i="63"/>
  <c r="CV89" i="63"/>
  <c r="BQ89" i="63"/>
  <c r="BV89" i="63"/>
  <c r="BO72" i="63"/>
  <c r="BT72" i="63"/>
  <c r="CT72" i="63"/>
  <c r="BN72" i="63"/>
  <c r="CW49" i="63"/>
  <c r="BR49" i="63"/>
  <c r="BW49" i="63"/>
  <c r="BP103" i="63"/>
  <c r="BU103" i="63"/>
  <c r="CU103" i="63"/>
  <c r="CV86" i="63"/>
  <c r="BQ86" i="63"/>
  <c r="BV86" i="63"/>
  <c r="BO103" i="63"/>
  <c r="BN103" i="63"/>
  <c r="CT103" i="63"/>
  <c r="BR92" i="63"/>
  <c r="BW92" i="63"/>
  <c r="CW92" i="63"/>
  <c r="BR9" i="63"/>
  <c r="BW9" i="63"/>
  <c r="CW9" i="63"/>
  <c r="BN88" i="63"/>
  <c r="CT88" i="63"/>
  <c r="BO88" i="63"/>
  <c r="CV24" i="63"/>
  <c r="BQ24" i="63"/>
  <c r="BV24" i="63"/>
  <c r="CT102" i="63"/>
  <c r="BN102" i="63"/>
  <c r="BO102" i="63"/>
  <c r="BT102" i="63"/>
  <c r="BO70" i="63"/>
  <c r="BN70" i="63"/>
  <c r="CT70" i="63"/>
  <c r="BN71" i="63"/>
  <c r="CT71" i="63"/>
  <c r="BO71" i="63"/>
  <c r="BO8" i="63"/>
  <c r="BT8" i="63"/>
  <c r="BN8" i="63"/>
  <c r="CT8" i="63"/>
  <c r="BP54" i="63"/>
  <c r="BU54" i="63"/>
  <c r="CU54" i="63"/>
  <c r="BQ68" i="63"/>
  <c r="BV68" i="63"/>
  <c r="CV68" i="63"/>
  <c r="BR60" i="63"/>
  <c r="BW60" i="63"/>
  <c r="CW60" i="63"/>
  <c r="BN38" i="63"/>
  <c r="BO38" i="63"/>
  <c r="BT38" i="63"/>
  <c r="CT38" i="63"/>
  <c r="CU99" i="63"/>
  <c r="BP99" i="63"/>
  <c r="BU99" i="63"/>
  <c r="CV65" i="63"/>
  <c r="BQ65" i="63"/>
  <c r="BV65" i="63"/>
  <c r="CV54" i="63"/>
  <c r="BQ54" i="63"/>
  <c r="BV54" i="63"/>
  <c r="BO97" i="63"/>
  <c r="BT97" i="63"/>
  <c r="CT97" i="63"/>
  <c r="BN97" i="63"/>
  <c r="CW96" i="63"/>
  <c r="BR96" i="63"/>
  <c r="BW96" i="63"/>
  <c r="CU20" i="63"/>
  <c r="BP20" i="63"/>
  <c r="BU20" i="63"/>
  <c r="BP55" i="63"/>
  <c r="BU55" i="63"/>
  <c r="CU55" i="63"/>
  <c r="BQ30" i="63"/>
  <c r="BV30" i="63"/>
  <c r="CV30" i="63"/>
  <c r="CT49" i="63"/>
  <c r="BO49" i="63"/>
  <c r="BT49" i="63"/>
  <c r="BN49" i="63"/>
  <c r="BQ104" i="63"/>
  <c r="BV104" i="63"/>
  <c r="CV104" i="63"/>
  <c r="CW81" i="63"/>
  <c r="BR81" i="63"/>
  <c r="BW81" i="63"/>
  <c r="BQ40" i="63"/>
  <c r="BV40" i="63"/>
  <c r="CV40" i="63"/>
  <c r="CV84" i="63"/>
  <c r="BQ84" i="63"/>
  <c r="BV84" i="63"/>
  <c r="BP24" i="128"/>
  <c r="CX24" i="128"/>
  <c r="BQ21" i="128"/>
  <c r="BR11" i="128"/>
  <c r="BW11" i="128"/>
  <c r="CZ11" i="128"/>
  <c r="BO21" i="128"/>
  <c r="BN21" i="128"/>
  <c r="BO99" i="128"/>
  <c r="BT99" i="128"/>
  <c r="BN99" i="128"/>
  <c r="BW88" i="128"/>
  <c r="CZ88" i="128"/>
  <c r="BQ23" i="63"/>
  <c r="BV23" i="63"/>
  <c r="CV23" i="63"/>
  <c r="BP90" i="63"/>
  <c r="BU90" i="63"/>
  <c r="CU90" i="63"/>
  <c r="BW40" i="128"/>
  <c r="CZ40" i="128"/>
  <c r="BN54" i="128"/>
  <c r="BO54" i="128"/>
  <c r="BT54" i="128"/>
  <c r="BO27" i="128"/>
  <c r="BT27" i="128"/>
  <c r="BN27" i="128"/>
  <c r="BO48" i="128"/>
  <c r="BT48" i="128"/>
  <c r="BN48" i="128"/>
  <c r="BU100" i="128"/>
  <c r="CX100" i="128"/>
  <c r="BU105" i="128"/>
  <c r="CX105" i="128"/>
  <c r="BQ16" i="63"/>
  <c r="BV16" i="63"/>
  <c r="CV16" i="63"/>
  <c r="CT91" i="63"/>
  <c r="BN91" i="63"/>
  <c r="BO91" i="63"/>
  <c r="BP43" i="128"/>
  <c r="BU43" i="128"/>
  <c r="BU64" i="128"/>
  <c r="CX64" i="128"/>
  <c r="BN28" i="128"/>
  <c r="BO28" i="128"/>
  <c r="BQ49" i="128"/>
  <c r="BV49" i="128"/>
  <c r="BR103" i="128"/>
  <c r="CZ103" i="128"/>
  <c r="BO92" i="128"/>
  <c r="BN92" i="128"/>
  <c r="CV35" i="63"/>
  <c r="BQ35" i="63"/>
  <c r="BV35" i="63"/>
  <c r="BR102" i="63"/>
  <c r="BW102" i="63"/>
  <c r="CW102" i="63"/>
  <c r="BR49" i="128"/>
  <c r="CZ49" i="128"/>
  <c r="BW73" i="128"/>
  <c r="CZ73" i="128"/>
  <c r="BP29" i="128"/>
  <c r="CX29" i="128"/>
  <c r="BW50" i="128"/>
  <c r="CZ50" i="128"/>
  <c r="BU104" i="128"/>
  <c r="CX104" i="128"/>
  <c r="BQ95" i="128"/>
  <c r="CY95" i="128"/>
  <c r="BR105" i="63"/>
  <c r="BW105" i="63"/>
  <c r="CW105" i="63"/>
  <c r="BN88" i="128"/>
  <c r="BO88" i="128"/>
  <c r="BT88" i="128"/>
  <c r="BN30" i="128"/>
  <c r="BO30" i="128"/>
  <c r="BT30" i="128"/>
  <c r="BR74" i="128"/>
  <c r="BW74" i="128"/>
  <c r="BO74" i="128"/>
  <c r="BT74" i="128"/>
  <c r="BN74" i="128"/>
  <c r="BU73" i="128"/>
  <c r="CX73" i="128"/>
  <c r="BP96" i="128"/>
  <c r="CX96" i="128"/>
  <c r="CU33" i="63"/>
  <c r="BP33" i="63"/>
  <c r="BU33" i="63"/>
  <c r="BN21" i="63"/>
  <c r="BO21" i="63"/>
  <c r="CT21" i="63"/>
  <c r="BR33" i="128"/>
  <c r="CZ33" i="128"/>
  <c r="BW62" i="128"/>
  <c r="CZ62" i="128"/>
  <c r="CY17" i="128"/>
  <c r="BQ17" i="128"/>
  <c r="BV17" i="128"/>
  <c r="BP40" i="128"/>
  <c r="BU40" i="128"/>
  <c r="BO90" i="128"/>
  <c r="BN90" i="128"/>
  <c r="BR69" i="128"/>
  <c r="CZ69" i="128"/>
  <c r="CW34" i="63"/>
  <c r="BR34" i="63"/>
  <c r="BW34" i="63"/>
  <c r="CV21" i="63"/>
  <c r="BQ21" i="63"/>
  <c r="BV21" i="63"/>
  <c r="BP37" i="128"/>
  <c r="CX37" i="128"/>
  <c r="BP69" i="128"/>
  <c r="CX69" i="128"/>
  <c r="BO18" i="128"/>
  <c r="BN18" i="128"/>
  <c r="BO41" i="128"/>
  <c r="BT41" i="128"/>
  <c r="BN41" i="128"/>
  <c r="BQ94" i="128"/>
  <c r="CY94" i="128"/>
  <c r="BP70" i="128"/>
  <c r="CX70" i="128"/>
  <c r="BP45" i="63"/>
  <c r="BU45" i="63"/>
  <c r="CU45" i="63"/>
  <c r="BW18" i="128"/>
  <c r="CZ18" i="128"/>
  <c r="BW70" i="128"/>
  <c r="CZ70" i="128"/>
  <c r="BR12" i="128"/>
  <c r="BW12" i="128"/>
  <c r="CZ12" i="128"/>
  <c r="BO35" i="128"/>
  <c r="BT35" i="128"/>
  <c r="BN35" i="128"/>
  <c r="BR59" i="128"/>
  <c r="CZ59" i="128"/>
  <c r="BQ42" i="128"/>
  <c r="CY42" i="128"/>
  <c r="BO87" i="128"/>
  <c r="BT87" i="128"/>
  <c r="BN87" i="128"/>
  <c r="BO17" i="63"/>
  <c r="CT17" i="63"/>
  <c r="BN17" i="63"/>
  <c r="BP105" i="63"/>
  <c r="BU105" i="63"/>
  <c r="CU105" i="63"/>
  <c r="BP26" i="63"/>
  <c r="BU26" i="63"/>
  <c r="CU26" i="63"/>
  <c r="BR6" i="63"/>
  <c r="BM107" i="63"/>
  <c r="CW6" i="63"/>
  <c r="BN54" i="63"/>
  <c r="CT54" i="63"/>
  <c r="BO54" i="63"/>
  <c r="CV32" i="63"/>
  <c r="BQ32" i="63"/>
  <c r="BV32" i="63"/>
  <c r="BN18" i="63"/>
  <c r="CT18" i="63"/>
  <c r="BO18" i="63"/>
  <c r="CW36" i="63"/>
  <c r="BR36" i="63"/>
  <c r="BW36" i="63"/>
  <c r="CV97" i="63"/>
  <c r="BQ97" i="63"/>
  <c r="BV97" i="63"/>
  <c r="BP78" i="63"/>
  <c r="BU78" i="63"/>
  <c r="CU78" i="63"/>
  <c r="CT50" i="63"/>
  <c r="BO50" i="63"/>
  <c r="BN50" i="63"/>
  <c r="BQ9" i="63"/>
  <c r="BV9" i="63"/>
  <c r="CV9" i="63"/>
  <c r="BQ72" i="63"/>
  <c r="BV72" i="63"/>
  <c r="CV72" i="63"/>
  <c r="CV66" i="63"/>
  <c r="BQ66" i="63"/>
  <c r="BV66" i="63"/>
  <c r="CW38" i="63"/>
  <c r="BR38" i="63"/>
  <c r="BW38" i="63"/>
  <c r="BN94" i="63"/>
  <c r="CT94" i="63"/>
  <c r="BO94" i="63"/>
  <c r="BR93" i="63"/>
  <c r="BW93" i="63"/>
  <c r="CW93" i="63"/>
  <c r="BR51" i="63"/>
  <c r="BW51" i="63"/>
  <c r="CW51" i="63"/>
  <c r="CW68" i="63"/>
  <c r="BR68" i="63"/>
  <c r="BW68" i="63"/>
  <c r="CU80" i="63"/>
  <c r="BP80" i="63"/>
  <c r="BU80" i="63"/>
  <c r="CW23" i="63"/>
  <c r="BR23" i="63"/>
  <c r="BW23" i="63"/>
  <c r="BQ19" i="63"/>
  <c r="BV19" i="63"/>
  <c r="CV19" i="63"/>
  <c r="BO104" i="63"/>
  <c r="BT104" i="63"/>
  <c r="CT104" i="63"/>
  <c r="BN104" i="63"/>
  <c r="CW24" i="63"/>
  <c r="BR24" i="63"/>
  <c r="BW24" i="63"/>
  <c r="BP25" i="63"/>
  <c r="BU25" i="63"/>
  <c r="CU25" i="63"/>
  <c r="BR33" i="63"/>
  <c r="BW33" i="63"/>
  <c r="CW33" i="63"/>
  <c r="BR14" i="63"/>
  <c r="BW14" i="63"/>
  <c r="CW14" i="63"/>
  <c r="BP71" i="63"/>
  <c r="BU71" i="63"/>
  <c r="CU71" i="63"/>
  <c r="CT31" i="63"/>
  <c r="BO31" i="63"/>
  <c r="BN31" i="63"/>
  <c r="CW39" i="63"/>
  <c r="BR39" i="63"/>
  <c r="BW39" i="63"/>
  <c r="BP65" i="63"/>
  <c r="BU65" i="63"/>
  <c r="CU65" i="63"/>
  <c r="CV92" i="63"/>
  <c r="BQ92" i="63"/>
  <c r="BV92" i="63"/>
  <c r="BQ91" i="63"/>
  <c r="BV91" i="63"/>
  <c r="CV91" i="63"/>
  <c r="BN61" i="63"/>
  <c r="CT61" i="63"/>
  <c r="BO61" i="63"/>
  <c r="CU15" i="63"/>
  <c r="BP15" i="63"/>
  <c r="BU15" i="63"/>
  <c r="CW18" i="63"/>
  <c r="BR18" i="63"/>
  <c r="BW18" i="63"/>
  <c r="CV82" i="63"/>
  <c r="BQ82" i="63"/>
  <c r="BV82" i="63"/>
  <c r="CV33" i="63"/>
  <c r="BQ33" i="63"/>
  <c r="BV33" i="63"/>
  <c r="BP60" i="63"/>
  <c r="BU60" i="63"/>
  <c r="CU60" i="63"/>
  <c r="BO81" i="63"/>
  <c r="BT81" i="63"/>
  <c r="CT81" i="63"/>
  <c r="BN81" i="63"/>
  <c r="BW34" i="128"/>
  <c r="CZ34" i="128"/>
  <c r="BP51" i="128"/>
  <c r="CX51" i="128"/>
  <c r="BU26" i="128"/>
  <c r="CX26" i="128"/>
  <c r="BR44" i="128"/>
  <c r="CZ44" i="128"/>
  <c r="BP99" i="128"/>
  <c r="BW104" i="128"/>
  <c r="CZ104" i="128"/>
  <c r="CU42" i="63"/>
  <c r="BP42" i="63"/>
  <c r="BU42" i="63"/>
  <c r="CU95" i="63"/>
  <c r="BP95" i="63"/>
  <c r="BU95" i="63"/>
  <c r="BQ79" i="128"/>
  <c r="BV79" i="128"/>
  <c r="BN19" i="128"/>
  <c r="BO19" i="128"/>
  <c r="BO53" i="128"/>
  <c r="BN53" i="128"/>
  <c r="BO62" i="128"/>
  <c r="BN62" i="128"/>
  <c r="BQ67" i="128"/>
  <c r="BV67" i="128"/>
  <c r="BU91" i="128"/>
  <c r="CX91" i="128"/>
  <c r="BR29" i="63"/>
  <c r="BW29" i="63"/>
  <c r="CW29" i="63"/>
  <c r="CV85" i="63"/>
  <c r="BQ85" i="63"/>
  <c r="BV85" i="63"/>
  <c r="BQ81" i="128"/>
  <c r="BV81" i="128"/>
  <c r="BP20" i="128"/>
  <c r="CX20" i="128"/>
  <c r="BW56" i="128"/>
  <c r="CZ56" i="128"/>
  <c r="BP67" i="128"/>
  <c r="CX67" i="128"/>
  <c r="BU68" i="128"/>
  <c r="CX68" i="128"/>
  <c r="BU92" i="128"/>
  <c r="CX92" i="128"/>
  <c r="CT45" i="63"/>
  <c r="BO45" i="63"/>
  <c r="BT45" i="63"/>
  <c r="BN45" i="63"/>
  <c r="BR103" i="63"/>
  <c r="BW103" i="63"/>
  <c r="CW103" i="63"/>
  <c r="BN86" i="128"/>
  <c r="BO86" i="128"/>
  <c r="BW21" i="128"/>
  <c r="CZ21" i="128"/>
  <c r="BN65" i="128"/>
  <c r="BO65" i="128"/>
  <c r="BP72" i="128"/>
  <c r="BU72" i="128"/>
  <c r="BQ72" i="128"/>
  <c r="BV72" i="128"/>
  <c r="BW95" i="128"/>
  <c r="CZ95" i="128"/>
  <c r="BQ6" i="63"/>
  <c r="CV6" i="63"/>
  <c r="BL107" i="63"/>
  <c r="BU32" i="128"/>
  <c r="CX32" i="128"/>
  <c r="BO56" i="128"/>
  <c r="BN56" i="128"/>
  <c r="BN13" i="128"/>
  <c r="BO13" i="128"/>
  <c r="BT13" i="128"/>
  <c r="CW13" i="128"/>
  <c r="BN39" i="128"/>
  <c r="BO39" i="128"/>
  <c r="BN89" i="128"/>
  <c r="BO89" i="128"/>
  <c r="BN66" i="128"/>
  <c r="BO66" i="128"/>
  <c r="BO57" i="63"/>
  <c r="CT57" i="63"/>
  <c r="BN57" i="63"/>
  <c r="CY16" i="128"/>
  <c r="BQ16" i="128"/>
  <c r="BV16" i="128"/>
  <c r="BU59" i="128"/>
  <c r="CX59" i="128"/>
  <c r="BP10" i="128"/>
  <c r="BU10" i="128"/>
  <c r="CX10" i="128"/>
  <c r="BQ33" i="128"/>
  <c r="CY33" i="128"/>
  <c r="BP56" i="128"/>
  <c r="CX56" i="128"/>
  <c r="BR35" i="128"/>
  <c r="CZ35" i="128"/>
  <c r="BO82" i="128"/>
  <c r="BN82" i="128"/>
  <c r="CV58" i="63"/>
  <c r="BQ58" i="63"/>
  <c r="BV58" i="63"/>
  <c r="CZ17" i="128"/>
  <c r="BR17" i="128"/>
  <c r="BW17" i="128"/>
  <c r="BW68" i="128"/>
  <c r="CZ68" i="128"/>
  <c r="CY11" i="128"/>
  <c r="BQ11" i="128"/>
  <c r="BV11" i="128"/>
  <c r="BO34" i="128"/>
  <c r="BN34" i="128"/>
  <c r="BN57" i="128"/>
  <c r="BO57" i="128"/>
  <c r="BT57" i="128"/>
  <c r="BN36" i="128"/>
  <c r="BO36" i="128"/>
  <c r="BQ86" i="128"/>
  <c r="BV86" i="128"/>
  <c r="CV44" i="63"/>
  <c r="BQ44" i="63"/>
  <c r="BV44" i="63"/>
  <c r="BU34" i="128"/>
  <c r="CX34" i="128"/>
  <c r="BU21" i="128"/>
  <c r="CX21" i="128"/>
  <c r="BR36" i="128"/>
  <c r="CZ36" i="128"/>
  <c r="BP61" i="128"/>
  <c r="BU61" i="128"/>
  <c r="BW80" i="128"/>
  <c r="CZ80" i="128"/>
  <c r="BQ58" i="128"/>
  <c r="CY58" i="128"/>
  <c r="BO103" i="128"/>
  <c r="BN103" i="128"/>
  <c r="CU72" i="63"/>
  <c r="BP72" i="63"/>
  <c r="BU72" i="63"/>
  <c r="BN75" i="63"/>
  <c r="CT75" i="63"/>
  <c r="BO75" i="63"/>
  <c r="BP98" i="63"/>
  <c r="BU98" i="63"/>
  <c r="CU98" i="63"/>
  <c r="CW67" i="63"/>
  <c r="BR67" i="63"/>
  <c r="BW67" i="63"/>
  <c r="BP96" i="63"/>
  <c r="BU96" i="63"/>
  <c r="CU96" i="63"/>
  <c r="CV101" i="63"/>
  <c r="BQ101" i="63"/>
  <c r="BV101" i="63"/>
  <c r="BP97" i="63"/>
  <c r="BU97" i="63"/>
  <c r="CU97" i="63"/>
  <c r="CW10" i="63"/>
  <c r="BR10" i="63"/>
  <c r="BW10" i="63"/>
  <c r="CU56" i="63"/>
  <c r="BP56" i="63"/>
  <c r="BU56" i="63"/>
  <c r="CT62" i="63"/>
  <c r="BO62" i="63"/>
  <c r="BT62" i="63"/>
  <c r="BN62" i="63"/>
  <c r="BO26" i="63"/>
  <c r="BT26" i="63"/>
  <c r="BN26" i="63"/>
  <c r="CT26" i="63"/>
  <c r="BP100" i="63"/>
  <c r="BU100" i="63"/>
  <c r="CU100" i="63"/>
  <c r="CW28" i="63"/>
  <c r="BR28" i="63"/>
  <c r="BW28" i="63"/>
  <c r="CT67" i="63"/>
  <c r="BO67" i="63"/>
  <c r="BN67" i="63"/>
  <c r="CV100" i="63"/>
  <c r="BQ100" i="63"/>
  <c r="BV100" i="63"/>
  <c r="CV43" i="63"/>
  <c r="BQ43" i="63"/>
  <c r="BV43" i="63"/>
  <c r="CW66" i="63"/>
  <c r="BR66" i="63"/>
  <c r="BW66" i="63"/>
  <c r="CV31" i="63"/>
  <c r="BQ31" i="63"/>
  <c r="BV31" i="63"/>
  <c r="BR37" i="63"/>
  <c r="BW37" i="63"/>
  <c r="CW37" i="63"/>
  <c r="BP59" i="63"/>
  <c r="BU59" i="63"/>
  <c r="CU59" i="63"/>
  <c r="BQ12" i="63"/>
  <c r="BV12" i="63"/>
  <c r="CV12" i="63"/>
  <c r="CV15" i="63"/>
  <c r="BQ15" i="63"/>
  <c r="BV15" i="63"/>
  <c r="BO77" i="63"/>
  <c r="BN77" i="63"/>
  <c r="CT77" i="63"/>
  <c r="CW8" i="63"/>
  <c r="BR8" i="63"/>
  <c r="BW8" i="63"/>
  <c r="CW16" i="63"/>
  <c r="BR16" i="63"/>
  <c r="BW16" i="63"/>
  <c r="CT22" i="63"/>
  <c r="BN22" i="63"/>
  <c r="BO22" i="63"/>
  <c r="BQ7" i="63"/>
  <c r="BV7" i="63"/>
  <c r="CV7" i="63"/>
  <c r="CU40" i="63"/>
  <c r="BP40" i="63"/>
  <c r="BP19" i="63"/>
  <c r="BU19" i="63"/>
  <c r="CU19" i="63"/>
  <c r="BP8" i="63"/>
  <c r="BU8" i="63"/>
  <c r="CU8" i="63"/>
  <c r="BP49" i="63"/>
  <c r="BU49" i="63"/>
  <c r="CU49" i="63"/>
  <c r="BN66" i="63"/>
  <c r="BO66" i="63"/>
  <c r="CT66" i="63"/>
  <c r="BN73" i="63"/>
  <c r="CT73" i="63"/>
  <c r="BO73" i="63"/>
  <c r="BR21" i="63"/>
  <c r="BW21" i="63"/>
  <c r="CW21" i="63"/>
  <c r="BR15" i="63"/>
  <c r="BW15" i="63"/>
  <c r="CW15" i="63"/>
  <c r="BR104" i="63"/>
  <c r="BW104" i="63"/>
  <c r="CW104" i="63"/>
  <c r="BP79" i="63"/>
  <c r="BU79" i="63"/>
  <c r="CU79" i="63"/>
  <c r="BR45" i="63"/>
  <c r="BW45" i="63"/>
  <c r="CW45" i="63"/>
  <c r="BO12" i="63"/>
  <c r="BN12" i="63"/>
  <c r="CT12" i="63"/>
  <c r="BR97" i="63"/>
  <c r="BW97" i="63"/>
  <c r="CW97" i="63"/>
  <c r="BN77" i="128"/>
  <c r="BO77" i="128"/>
  <c r="BQ12" i="128"/>
  <c r="CY12" i="128"/>
  <c r="BP47" i="128"/>
  <c r="CX47" i="128"/>
  <c r="BQ60" i="128"/>
  <c r="CY60" i="128"/>
  <c r="BP62" i="128"/>
  <c r="BU62" i="128"/>
  <c r="BW90" i="128"/>
  <c r="CZ90" i="128"/>
  <c r="BQ59" i="63"/>
  <c r="BV59" i="63"/>
  <c r="CV59" i="63"/>
  <c r="CU6" i="63"/>
  <c r="BP6" i="63"/>
  <c r="BU6" i="63"/>
  <c r="BK107" i="63"/>
  <c r="BO22" i="128"/>
  <c r="BN22" i="128"/>
  <c r="BU45" i="128"/>
  <c r="CX45" i="128"/>
  <c r="BR10" i="128"/>
  <c r="BW10" i="128"/>
  <c r="CZ10" i="128"/>
  <c r="BQ34" i="128"/>
  <c r="CY34" i="128"/>
  <c r="BQ84" i="128"/>
  <c r="BV84" i="128"/>
  <c r="BW63" i="128"/>
  <c r="CZ63" i="128"/>
  <c r="CT37" i="63"/>
  <c r="BO37" i="63"/>
  <c r="BN37" i="63"/>
  <c r="CU102" i="63"/>
  <c r="BP102" i="63"/>
  <c r="BU102" i="63"/>
  <c r="BQ23" i="128"/>
  <c r="BV23" i="128"/>
  <c r="BN50" i="128"/>
  <c r="BO50" i="128"/>
  <c r="BT50" i="128"/>
  <c r="BP11" i="128"/>
  <c r="BU11" i="128"/>
  <c r="CX11" i="128"/>
  <c r="BQ37" i="128"/>
  <c r="BV37" i="128"/>
  <c r="BN85" i="128"/>
  <c r="BO85" i="128"/>
  <c r="BT85" i="128"/>
  <c r="BQ64" i="128"/>
  <c r="BV64" i="128"/>
  <c r="CU36" i="63"/>
  <c r="BP36" i="63"/>
  <c r="BU36" i="63"/>
  <c r="CW7" i="63"/>
  <c r="BR7" i="63"/>
  <c r="BW7" i="63"/>
  <c r="BQ24" i="128"/>
  <c r="CY24" i="128"/>
  <c r="BQ54" i="128"/>
  <c r="CY54" i="128"/>
  <c r="BO12" i="128"/>
  <c r="BN12" i="128"/>
  <c r="CW12" i="128"/>
  <c r="BU38" i="128"/>
  <c r="CX38" i="128"/>
  <c r="BQ88" i="128"/>
  <c r="CY88" i="128"/>
  <c r="BU65" i="128"/>
  <c r="CX65" i="128"/>
  <c r="BP15" i="128"/>
  <c r="CX15" i="128"/>
  <c r="BU57" i="128"/>
  <c r="CX57" i="128"/>
  <c r="BO9" i="128"/>
  <c r="CW9" i="128"/>
  <c r="BN9" i="128"/>
  <c r="BR32" i="128"/>
  <c r="CZ32" i="128"/>
  <c r="BN55" i="128"/>
  <c r="BO55" i="128"/>
  <c r="BO105" i="128"/>
  <c r="BN105" i="128"/>
  <c r="BO81" i="128"/>
  <c r="BN81" i="128"/>
  <c r="BO46" i="63"/>
  <c r="BT46" i="63"/>
  <c r="BN46" i="63"/>
  <c r="CT46" i="63"/>
  <c r="BQ29" i="128"/>
  <c r="CY29" i="128"/>
  <c r="BQ6" i="128"/>
  <c r="BL107" i="128"/>
  <c r="CY6" i="128"/>
  <c r="BW31" i="128"/>
  <c r="CZ31" i="128"/>
  <c r="BP55" i="128"/>
  <c r="BU55" i="128"/>
  <c r="BU71" i="128"/>
  <c r="CX71" i="128"/>
  <c r="BR51" i="128"/>
  <c r="CZ51" i="128"/>
  <c r="BO98" i="128"/>
  <c r="BT98" i="128"/>
  <c r="BN98" i="128"/>
  <c r="BO56" i="63"/>
  <c r="BT56" i="63"/>
  <c r="CT56" i="63"/>
  <c r="BN56" i="63"/>
  <c r="BN33" i="128"/>
  <c r="BO33" i="128"/>
  <c r="CY13" i="128"/>
  <c r="BQ13" i="128"/>
  <c r="BV13" i="128"/>
  <c r="BP35" i="128"/>
  <c r="BU35" i="128"/>
  <c r="BO58" i="128"/>
  <c r="BN58" i="128"/>
  <c r="BQ77" i="128"/>
  <c r="CY77" i="128"/>
  <c r="BN52" i="128"/>
  <c r="BO52" i="128"/>
  <c r="BT52" i="128"/>
  <c r="BQ102" i="128"/>
  <c r="CY102" i="128"/>
  <c r="BP77" i="63"/>
  <c r="BU77" i="63"/>
  <c r="CU77" i="63"/>
  <c r="BP63" i="128"/>
  <c r="CX63" i="128"/>
  <c r="BO51" i="128"/>
  <c r="BN51" i="128"/>
  <c r="BO67" i="128"/>
  <c r="BN67" i="128"/>
  <c r="BP88" i="128"/>
  <c r="CX88" i="128"/>
  <c r="BW96" i="128"/>
  <c r="CZ96" i="128"/>
  <c r="BQ73" i="128"/>
  <c r="CY73" i="128"/>
  <c r="BO63" i="63"/>
  <c r="CT63" i="63"/>
  <c r="BN63" i="63"/>
  <c r="CW55" i="63"/>
  <c r="BR55" i="63"/>
  <c r="BW55" i="63"/>
  <c r="CV67" i="63"/>
  <c r="BQ67" i="63"/>
  <c r="BV67" i="63"/>
  <c r="CU14" i="63"/>
  <c r="BP14" i="63"/>
  <c r="BU14" i="63"/>
  <c r="BN51" i="63"/>
  <c r="CT51" i="63"/>
  <c r="BO51" i="63"/>
  <c r="CT43" i="63"/>
  <c r="BO43" i="63"/>
  <c r="BN43" i="63"/>
  <c r="CV83" i="63"/>
  <c r="BQ83" i="63"/>
  <c r="BV83" i="63"/>
  <c r="CT41" i="63"/>
  <c r="BO41" i="63"/>
  <c r="BN41" i="63"/>
  <c r="CW90" i="63"/>
  <c r="BR90" i="63"/>
  <c r="BW90" i="63"/>
  <c r="CT29" i="63"/>
  <c r="BO29" i="63"/>
  <c r="BN29" i="63"/>
  <c r="CU89" i="63"/>
  <c r="BP89" i="63"/>
  <c r="BU89" i="63"/>
  <c r="BQ70" i="63"/>
  <c r="BV70" i="63"/>
  <c r="CV70" i="63"/>
  <c r="CU104" i="63"/>
  <c r="BP104" i="63"/>
  <c r="BU104" i="63"/>
  <c r="CV36" i="63"/>
  <c r="BQ36" i="63"/>
  <c r="BV36" i="63"/>
  <c r="CU74" i="63"/>
  <c r="BP74" i="63"/>
  <c r="BU74" i="63"/>
  <c r="BN20" i="63"/>
  <c r="BO20" i="63"/>
  <c r="CT20" i="63"/>
  <c r="CU52" i="63"/>
  <c r="BP52" i="63"/>
  <c r="BU52" i="63"/>
  <c r="BR95" i="63"/>
  <c r="BW95" i="63"/>
  <c r="CW95" i="63"/>
  <c r="BN16" i="63"/>
  <c r="CT16" i="63"/>
  <c r="BO16" i="63"/>
  <c r="BQ42" i="63"/>
  <c r="BV42" i="63"/>
  <c r="CV42" i="63"/>
  <c r="CT90" i="63"/>
  <c r="BN90" i="63"/>
  <c r="BO90" i="63"/>
  <c r="BT90" i="63"/>
  <c r="BR84" i="63"/>
  <c r="BW84" i="63"/>
  <c r="CW84" i="63"/>
  <c r="BO55" i="63"/>
  <c r="BT55" i="63"/>
  <c r="CT55" i="63"/>
  <c r="BN55" i="63"/>
  <c r="CT86" i="63"/>
  <c r="BN86" i="63"/>
  <c r="BO86" i="63"/>
  <c r="CU88" i="63"/>
  <c r="BP88" i="63"/>
  <c r="BU88" i="63"/>
  <c r="BQ13" i="63"/>
  <c r="BV13" i="63"/>
  <c r="CV13" i="63"/>
  <c r="CU101" i="63"/>
  <c r="BP101" i="63"/>
  <c r="BU101" i="63"/>
  <c r="BR101" i="63"/>
  <c r="BW101" i="63"/>
  <c r="CW101" i="63"/>
  <c r="CW19" i="63"/>
  <c r="BR19" i="63"/>
  <c r="BW19" i="63"/>
  <c r="CV93" i="63"/>
  <c r="BQ93" i="63"/>
  <c r="BV93" i="63"/>
  <c r="BP12" i="63"/>
  <c r="BU12" i="63"/>
  <c r="CU12" i="63"/>
  <c r="CV46" i="63"/>
  <c r="BQ46" i="63"/>
  <c r="BV46" i="63"/>
  <c r="CV62" i="63"/>
  <c r="BQ62" i="63"/>
  <c r="BV62" i="63"/>
  <c r="CV11" i="63"/>
  <c r="BQ11" i="63"/>
  <c r="BV11" i="63"/>
  <c r="BQ26" i="63"/>
  <c r="BV26" i="63"/>
  <c r="CV26" i="63"/>
  <c r="CV77" i="63"/>
  <c r="BQ77" i="63"/>
  <c r="BV77" i="63"/>
  <c r="BP50" i="63"/>
  <c r="BU50" i="63"/>
  <c r="CU50" i="63"/>
  <c r="BN98" i="63"/>
  <c r="CT98" i="63"/>
  <c r="BO98" i="63"/>
  <c r="BT98" i="63"/>
  <c r="CU58" i="63"/>
  <c r="BP58" i="63"/>
  <c r="BU58" i="63"/>
  <c r="BQ17" i="63"/>
  <c r="BV17" i="63"/>
  <c r="CV17" i="63"/>
  <c r="BQ14" i="128"/>
  <c r="CY14" i="128"/>
  <c r="BU41" i="128"/>
  <c r="CX41" i="128"/>
  <c r="CW6" i="128"/>
  <c r="BO6" i="128"/>
  <c r="BN6" i="128"/>
  <c r="BJ107" i="128"/>
  <c r="BQ89" i="128"/>
  <c r="BV89" i="128"/>
  <c r="BQ83" i="128"/>
  <c r="CY83" i="128"/>
  <c r="BQ59" i="128"/>
  <c r="CY59" i="128"/>
  <c r="BP31" i="63"/>
  <c r="BU31" i="63"/>
  <c r="CU31" i="63"/>
  <c r="CX8" i="128"/>
  <c r="BP8" i="128"/>
  <c r="BU8" i="128"/>
  <c r="BQ46" i="128"/>
  <c r="BV46" i="128"/>
  <c r="BO78" i="128"/>
  <c r="BT78" i="128"/>
  <c r="BN78" i="128"/>
  <c r="BU27" i="128"/>
  <c r="CX27" i="128"/>
  <c r="BQ50" i="128"/>
  <c r="CY50" i="128"/>
  <c r="BQ100" i="128"/>
  <c r="BV100" i="128"/>
  <c r="BW76" i="128"/>
  <c r="CZ76" i="128"/>
  <c r="BO52" i="63"/>
  <c r="CT52" i="63"/>
  <c r="BN52" i="63"/>
  <c r="BR9" i="128"/>
  <c r="BW9" i="128"/>
  <c r="CZ9" i="128"/>
  <c r="BP52" i="128"/>
  <c r="BU52" i="128"/>
  <c r="BP80" i="128"/>
  <c r="CX80" i="128"/>
  <c r="BW30" i="128"/>
  <c r="CZ30" i="128"/>
  <c r="BQ53" i="128"/>
  <c r="CY53" i="128"/>
  <c r="BN101" i="128"/>
  <c r="BO101" i="128"/>
  <c r="BU77" i="128"/>
  <c r="CX77" i="128"/>
  <c r="BP51" i="63"/>
  <c r="BU51" i="63"/>
  <c r="CU51" i="63"/>
  <c r="BO14" i="128"/>
  <c r="CW14" i="128"/>
  <c r="BN14" i="128"/>
  <c r="BQ55" i="128"/>
  <c r="CY55" i="128"/>
  <c r="BW89" i="128"/>
  <c r="CZ89" i="128"/>
  <c r="BQ31" i="128"/>
  <c r="BV31" i="128"/>
  <c r="BU54" i="128"/>
  <c r="CX54" i="128"/>
  <c r="BQ104" i="128"/>
  <c r="CY104" i="128"/>
  <c r="BQ80" i="128"/>
  <c r="CY80" i="128"/>
  <c r="BP28" i="128"/>
  <c r="BU28" i="128"/>
  <c r="BP86" i="128"/>
  <c r="BU86" i="128"/>
  <c r="BP30" i="128"/>
  <c r="CX30" i="128"/>
  <c r="BQ47" i="128"/>
  <c r="BV47" i="128"/>
  <c r="BQ70" i="128"/>
  <c r="BV70" i="128"/>
  <c r="BO49" i="128"/>
  <c r="BN49" i="128"/>
  <c r="BO97" i="128"/>
  <c r="BN97" i="128"/>
  <c r="CW59" i="63"/>
  <c r="BR59" i="63"/>
  <c r="BW59" i="63"/>
  <c r="BP49" i="128"/>
  <c r="CX49" i="128"/>
  <c r="BW46" i="128"/>
  <c r="CZ46" i="128"/>
  <c r="BR58" i="128"/>
  <c r="BW58" i="128"/>
  <c r="BW81" i="128"/>
  <c r="CZ81" i="128"/>
  <c r="BW92" i="128"/>
  <c r="CZ92" i="128"/>
  <c r="BO69" i="128"/>
  <c r="BT69" i="128"/>
  <c r="BN69" i="128"/>
  <c r="CW13" i="63"/>
  <c r="BR13" i="63"/>
  <c r="BW13" i="63"/>
  <c r="BR54" i="63"/>
  <c r="BW54" i="63"/>
  <c r="CW54" i="63"/>
  <c r="BP53" i="128"/>
  <c r="BU53" i="128"/>
  <c r="BQ48" i="128"/>
  <c r="CY48" i="128"/>
  <c r="BP60" i="128"/>
  <c r="BU60" i="128"/>
  <c r="BU83" i="128"/>
  <c r="CX83" i="128"/>
  <c r="BP93" i="128"/>
  <c r="BU93" i="128"/>
  <c r="BW72" i="128"/>
  <c r="CZ72" i="128"/>
  <c r="BP7" i="63"/>
  <c r="BU7" i="63"/>
  <c r="CU7" i="63"/>
  <c r="BO64" i="63"/>
  <c r="CT64" i="63"/>
  <c r="BN64" i="63"/>
  <c r="BO23" i="128"/>
  <c r="BN23" i="128"/>
  <c r="BR13" i="128"/>
  <c r="BW13" i="128"/>
  <c r="CZ13" i="128"/>
  <c r="CY10" i="128"/>
  <c r="BQ10" i="128"/>
  <c r="BV10" i="128"/>
  <c r="BN20" i="128"/>
  <c r="BO20" i="128"/>
  <c r="BQ98" i="128"/>
  <c r="CY98" i="128"/>
  <c r="BU85" i="128"/>
  <c r="CX85" i="128"/>
  <c r="M15" i="123"/>
  <c r="AB2" i="123"/>
  <c r="AA26" i="123"/>
  <c r="AA25" i="123"/>
  <c r="AB3" i="123"/>
  <c r="AB6" i="123"/>
  <c r="AB17" i="123"/>
  <c r="AB14" i="123"/>
  <c r="AB22" i="123"/>
  <c r="AB11" i="123"/>
  <c r="S34" i="123"/>
  <c r="AB5" i="123"/>
  <c r="AB10" i="123"/>
  <c r="AB19" i="123"/>
  <c r="AB8" i="123"/>
  <c r="AB4" i="123"/>
  <c r="AB7" i="123"/>
  <c r="M5" i="123"/>
  <c r="AB15" i="123"/>
  <c r="AB18" i="123"/>
  <c r="AB21" i="123"/>
  <c r="M4" i="123"/>
  <c r="AB20" i="123"/>
  <c r="AB9" i="123"/>
  <c r="AB24" i="123"/>
  <c r="AB12" i="123"/>
  <c r="AB23" i="123"/>
  <c r="AB13" i="123"/>
  <c r="AB16" i="123"/>
  <c r="M12" i="123"/>
  <c r="C12" i="123"/>
  <c r="C11" i="123"/>
  <c r="M26" i="123"/>
  <c r="O26" i="123"/>
  <c r="M24" i="123"/>
  <c r="J34" i="123"/>
  <c r="J35" i="123"/>
  <c r="M20" i="123"/>
  <c r="L34" i="123"/>
  <c r="K34" i="123"/>
  <c r="M9" i="123"/>
  <c r="M31" i="123"/>
  <c r="C31" i="123"/>
  <c r="Y22" i="73"/>
  <c r="D47" i="61"/>
  <c r="E47" i="61"/>
  <c r="F47" i="61"/>
  <c r="G47" i="61"/>
  <c r="H47" i="61"/>
  <c r="I47" i="61"/>
  <c r="D50" i="60"/>
  <c r="C3" i="121"/>
  <c r="D45" i="61"/>
  <c r="E45" i="61"/>
  <c r="F45" i="61"/>
  <c r="G45" i="61"/>
  <c r="H45" i="61"/>
  <c r="D47" i="60"/>
  <c r="R32" i="137"/>
  <c r="A13" i="126"/>
  <c r="AF13" i="126"/>
  <c r="A23" i="125"/>
  <c r="D7" i="123"/>
  <c r="R18" i="137"/>
  <c r="R36" i="137"/>
  <c r="F34" i="137"/>
  <c r="F35" i="137"/>
  <c r="R34" i="137"/>
  <c r="R35" i="137"/>
  <c r="F20" i="137"/>
  <c r="F32" i="137"/>
  <c r="F37" i="137"/>
  <c r="F30" i="137"/>
  <c r="J20" i="137"/>
  <c r="R37" i="137"/>
  <c r="J37" i="137"/>
  <c r="R20" i="137"/>
  <c r="R30" i="137"/>
  <c r="R31" i="137"/>
  <c r="V36" i="137"/>
  <c r="V37" i="137"/>
  <c r="J30" i="137"/>
  <c r="V18" i="137"/>
  <c r="V19" i="137"/>
  <c r="V32" i="137"/>
  <c r="V31" i="137"/>
  <c r="R19" i="137"/>
  <c r="J36" i="137"/>
  <c r="J19" i="137"/>
  <c r="F27" i="137"/>
  <c r="R27" i="137"/>
  <c r="D40" i="140"/>
  <c r="D39" i="140"/>
  <c r="AB4" i="73"/>
  <c r="AB21" i="73"/>
  <c r="AA22" i="73"/>
  <c r="D37" i="61"/>
  <c r="E37" i="61"/>
  <c r="F37" i="61"/>
  <c r="J18" i="137"/>
  <c r="J14" i="137"/>
  <c r="J29" i="137"/>
  <c r="J21" i="137"/>
  <c r="J22" i="137"/>
  <c r="J32" i="137"/>
  <c r="J12" i="137"/>
  <c r="C14" i="136"/>
  <c r="C16" i="136"/>
  <c r="D47" i="140"/>
  <c r="C11" i="136"/>
  <c r="C19" i="136"/>
  <c r="C12" i="136"/>
  <c r="CX20" i="63"/>
  <c r="E48" i="61"/>
  <c r="F48" i="61"/>
  <c r="CX73" i="63"/>
  <c r="BS57" i="63"/>
  <c r="BX98" i="63"/>
  <c r="CX16" i="63"/>
  <c r="O30" i="123"/>
  <c r="N30" i="123"/>
  <c r="P30" i="123"/>
  <c r="O31" i="123"/>
  <c r="N31" i="123"/>
  <c r="O30" i="129"/>
  <c r="N30" i="129"/>
  <c r="P30" i="129"/>
  <c r="D30" i="129"/>
  <c r="O31" i="129"/>
  <c r="N31" i="129"/>
  <c r="P31" i="129"/>
  <c r="D31" i="129"/>
  <c r="E7" i="123"/>
  <c r="P21" i="123"/>
  <c r="Q21" i="123"/>
  <c r="R21" i="123"/>
  <c r="T21" i="123"/>
  <c r="N20" i="130"/>
  <c r="P20" i="130"/>
  <c r="D20" i="130"/>
  <c r="I24" i="137"/>
  <c r="N14" i="132"/>
  <c r="P14" i="132"/>
  <c r="D14" i="132"/>
  <c r="AD70" i="128"/>
  <c r="AD42" i="128"/>
  <c r="AD16" i="128"/>
  <c r="AD72" i="128"/>
  <c r="AD65" i="128"/>
  <c r="AD56" i="128"/>
  <c r="AD12" i="128"/>
  <c r="AD81" i="128"/>
  <c r="AD55" i="128"/>
  <c r="AD34" i="128"/>
  <c r="AD49" i="128"/>
  <c r="AD25" i="128"/>
  <c r="AD17" i="128"/>
  <c r="AD30" i="128"/>
  <c r="AD36" i="128"/>
  <c r="AD82" i="128"/>
  <c r="AD97" i="128"/>
  <c r="AD26" i="128"/>
  <c r="AD67" i="128"/>
  <c r="AD41" i="128"/>
  <c r="AD84" i="128"/>
  <c r="AD40" i="128"/>
  <c r="AD22" i="128"/>
  <c r="AD57" i="128"/>
  <c r="AD92" i="128"/>
  <c r="AD47" i="128"/>
  <c r="AD87" i="128"/>
  <c r="AD9" i="128"/>
  <c r="AD86" i="128"/>
  <c r="AD74" i="128"/>
  <c r="AD85" i="128"/>
  <c r="AD28" i="128"/>
  <c r="AD94" i="128"/>
  <c r="AD20" i="128"/>
  <c r="AD45" i="128"/>
  <c r="AD93" i="128"/>
  <c r="AD101" i="128"/>
  <c r="AD6" i="128"/>
  <c r="AD60" i="128"/>
  <c r="AD24" i="128"/>
  <c r="AD66" i="128"/>
  <c r="AD31" i="128"/>
  <c r="AD69" i="128"/>
  <c r="AD79" i="128"/>
  <c r="AD10" i="128"/>
  <c r="AD80" i="128"/>
  <c r="AD19" i="128"/>
  <c r="AD100" i="128"/>
  <c r="AD105" i="128"/>
  <c r="AD95" i="128"/>
  <c r="AD21" i="128"/>
  <c r="AD39" i="128"/>
  <c r="AD83" i="128"/>
  <c r="AD44" i="128"/>
  <c r="AD23" i="128"/>
  <c r="AD102" i="128"/>
  <c r="AD78" i="128"/>
  <c r="AD52" i="128"/>
  <c r="AD73" i="128"/>
  <c r="AD18" i="128"/>
  <c r="AD90" i="128"/>
  <c r="AD54" i="128"/>
  <c r="AD53" i="128"/>
  <c r="AD28" i="63"/>
  <c r="AD23" i="63"/>
  <c r="AD57" i="63"/>
  <c r="AD35" i="63"/>
  <c r="AD65" i="63"/>
  <c r="AD104" i="63"/>
  <c r="AD37" i="63"/>
  <c r="AD105" i="63"/>
  <c r="AD55" i="63"/>
  <c r="AD95" i="63"/>
  <c r="AD26" i="63"/>
  <c r="AD38" i="63"/>
  <c r="AD41" i="63"/>
  <c r="AD59" i="128"/>
  <c r="AD61" i="128"/>
  <c r="AD15" i="128"/>
  <c r="AD89" i="128"/>
  <c r="AD29" i="128"/>
  <c r="AD96" i="128"/>
  <c r="AD75" i="128"/>
  <c r="AD77" i="128"/>
  <c r="AD50" i="128"/>
  <c r="AD8" i="128"/>
  <c r="AD104" i="128"/>
  <c r="AD32" i="128"/>
  <c r="AD29" i="63"/>
  <c r="AD50" i="63"/>
  <c r="AD22" i="63"/>
  <c r="AD72" i="63"/>
  <c r="AD30" i="63"/>
  <c r="AD31" i="63"/>
  <c r="AD79" i="63"/>
  <c r="AD10" i="63"/>
  <c r="AD94" i="63"/>
  <c r="AD9" i="63"/>
  <c r="AD6" i="63"/>
  <c r="AD59" i="63"/>
  <c r="AD77" i="63"/>
  <c r="AD53" i="63"/>
  <c r="AD43" i="63"/>
  <c r="AD103" i="63"/>
  <c r="AD36" i="63"/>
  <c r="AD15" i="63"/>
  <c r="AD92" i="63"/>
  <c r="AD69" i="63"/>
  <c r="AD25" i="63"/>
  <c r="AD49" i="63"/>
  <c r="AD27" i="63"/>
  <c r="AD46" i="63"/>
  <c r="AD45" i="63"/>
  <c r="AD88" i="63"/>
  <c r="AD13" i="63"/>
  <c r="AD82" i="63"/>
  <c r="AD101" i="63"/>
  <c r="AD99" i="63"/>
  <c r="AD98" i="63"/>
  <c r="AD54" i="63"/>
  <c r="AD61" i="63"/>
  <c r="AD86" i="63"/>
  <c r="AD66" i="63"/>
  <c r="AD67" i="63"/>
  <c r="AD89" i="63"/>
  <c r="AD7" i="128"/>
  <c r="AD38" i="128"/>
  <c r="AD98" i="128"/>
  <c r="AD71" i="128"/>
  <c r="AD103" i="128"/>
  <c r="AD51" i="128"/>
  <c r="AD35" i="128"/>
  <c r="AD48" i="128"/>
  <c r="AD62" i="128"/>
  <c r="AD33" i="128"/>
  <c r="AD13" i="128"/>
  <c r="AD88" i="128"/>
  <c r="AD32" i="63"/>
  <c r="AD78" i="63"/>
  <c r="AD81" i="63"/>
  <c r="AD60" i="63"/>
  <c r="AD17" i="63"/>
  <c r="AD12" i="63"/>
  <c r="AD84" i="63"/>
  <c r="AD8" i="63"/>
  <c r="AD64" i="63"/>
  <c r="AD100" i="63"/>
  <c r="AD16" i="63"/>
  <c r="AD44" i="63"/>
  <c r="AD74" i="63"/>
  <c r="AD24" i="63"/>
  <c r="AD27" i="128"/>
  <c r="AD68" i="128"/>
  <c r="AD58" i="128"/>
  <c r="AD91" i="128"/>
  <c r="AD76" i="128"/>
  <c r="AD37" i="128"/>
  <c r="AD99" i="128"/>
  <c r="AD11" i="128"/>
  <c r="AD46" i="128"/>
  <c r="AD14" i="128"/>
  <c r="AD64" i="128"/>
  <c r="AD63" i="128"/>
  <c r="AD56" i="63"/>
  <c r="AD73" i="63"/>
  <c r="AD93" i="63"/>
  <c r="AD102" i="63"/>
  <c r="AD18" i="63"/>
  <c r="AD33" i="63"/>
  <c r="AD40" i="63"/>
  <c r="AD62" i="63"/>
  <c r="AD48" i="63"/>
  <c r="AD63" i="63"/>
  <c r="AD70" i="63"/>
  <c r="AD11" i="63"/>
  <c r="AD51" i="63"/>
  <c r="AD47" i="63"/>
  <c r="AD34" i="63"/>
  <c r="AD14" i="63"/>
  <c r="AD21" i="63"/>
  <c r="AD75" i="63"/>
  <c r="AD7" i="63"/>
  <c r="AD39" i="63"/>
  <c r="AD19" i="63"/>
  <c r="AD20" i="63"/>
  <c r="AD42" i="63"/>
  <c r="AD68" i="63"/>
  <c r="AD76" i="63"/>
  <c r="AD91" i="63"/>
  <c r="AD58" i="63"/>
  <c r="AD85" i="63"/>
  <c r="AD71" i="63"/>
  <c r="AD97" i="63"/>
  <c r="AD83" i="63"/>
  <c r="AD90" i="63"/>
  <c r="AD80" i="63"/>
  <c r="AD87" i="63"/>
  <c r="AD96" i="63"/>
  <c r="Q107" i="63"/>
  <c r="N2" i="130"/>
  <c r="E2" i="130"/>
  <c r="K6" i="137"/>
  <c r="N12" i="132"/>
  <c r="P12" i="132"/>
  <c r="Q12" i="132"/>
  <c r="R12" i="132"/>
  <c r="T12" i="132"/>
  <c r="N12" i="129"/>
  <c r="P12" i="129"/>
  <c r="D12" i="129"/>
  <c r="E16" i="137"/>
  <c r="Q12" i="112"/>
  <c r="R12" i="112"/>
  <c r="S12" i="112"/>
  <c r="Q12" i="80"/>
  <c r="R12" i="80"/>
  <c r="S12" i="80"/>
  <c r="T94" i="63"/>
  <c r="T26" i="63"/>
  <c r="T42" i="63"/>
  <c r="T81" i="63"/>
  <c r="T103" i="63"/>
  <c r="T51" i="63"/>
  <c r="T88" i="63"/>
  <c r="T48" i="63"/>
  <c r="T45" i="63"/>
  <c r="Q12" i="104"/>
  <c r="R12" i="104"/>
  <c r="S12" i="104"/>
  <c r="Q12" i="86"/>
  <c r="R12" i="86"/>
  <c r="S12" i="86"/>
  <c r="Q12" i="116"/>
  <c r="R12" i="116"/>
  <c r="S12" i="116"/>
  <c r="Q12" i="90"/>
  <c r="R12" i="90"/>
  <c r="S12" i="90"/>
  <c r="T80" i="63"/>
  <c r="H18" i="60"/>
  <c r="T95" i="63"/>
  <c r="T101" i="63"/>
  <c r="T75" i="63"/>
  <c r="T84" i="63"/>
  <c r="T98" i="63"/>
  <c r="T19" i="63"/>
  <c r="T58" i="63"/>
  <c r="Q12" i="108"/>
  <c r="R12" i="108"/>
  <c r="S12" i="108"/>
  <c r="S96" i="128"/>
  <c r="T92" i="63"/>
  <c r="Q12" i="110"/>
  <c r="R12" i="110"/>
  <c r="S12" i="110"/>
  <c r="T36" i="63"/>
  <c r="T56" i="63"/>
  <c r="T77" i="63"/>
  <c r="T87" i="63"/>
  <c r="T41" i="63"/>
  <c r="S65" i="128"/>
  <c r="T107" i="128"/>
  <c r="S19" i="128"/>
  <c r="S107" i="63"/>
  <c r="T91" i="63"/>
  <c r="T7" i="63"/>
  <c r="T31" i="63"/>
  <c r="T37" i="63"/>
  <c r="T99" i="63"/>
  <c r="T6" i="63"/>
  <c r="T10" i="63"/>
  <c r="T17" i="63"/>
  <c r="T102" i="63"/>
  <c r="S62" i="128"/>
  <c r="Q12" i="76"/>
  <c r="R12" i="76"/>
  <c r="S12" i="76"/>
  <c r="Q12" i="102"/>
  <c r="R12" i="102"/>
  <c r="S12" i="102"/>
  <c r="Q12" i="92"/>
  <c r="R12" i="92"/>
  <c r="S12" i="92"/>
  <c r="Q12" i="94"/>
  <c r="R12" i="94"/>
  <c r="S12" i="94"/>
  <c r="Q12" i="78"/>
  <c r="R12" i="78"/>
  <c r="S12" i="78"/>
  <c r="Q12" i="106"/>
  <c r="R12" i="106"/>
  <c r="S12" i="106"/>
  <c r="Q12" i="100"/>
  <c r="R12" i="100"/>
  <c r="S12" i="100"/>
  <c r="Q12" i="114"/>
  <c r="R12" i="114"/>
  <c r="S12" i="114"/>
  <c r="Q12" i="88"/>
  <c r="R12" i="88"/>
  <c r="S12" i="88"/>
  <c r="Q12" i="98"/>
  <c r="R12" i="98"/>
  <c r="S12" i="98"/>
  <c r="T60" i="63"/>
  <c r="T49" i="63"/>
  <c r="T93" i="63"/>
  <c r="T14" i="63"/>
  <c r="T25" i="63"/>
  <c r="T85" i="63"/>
  <c r="T73" i="63"/>
  <c r="T61" i="63"/>
  <c r="T24" i="63"/>
  <c r="T40" i="63"/>
  <c r="T69" i="63"/>
  <c r="T55" i="63"/>
  <c r="T97" i="63"/>
  <c r="T76" i="63"/>
  <c r="T32" i="63"/>
  <c r="S40" i="128"/>
  <c r="S93" i="128"/>
  <c r="S50" i="128"/>
  <c r="S47" i="128"/>
  <c r="S59" i="128"/>
  <c r="S35" i="128"/>
  <c r="S88" i="128"/>
  <c r="S12" i="128"/>
  <c r="S44" i="128"/>
  <c r="S89" i="128"/>
  <c r="S56" i="128"/>
  <c r="S79" i="128"/>
  <c r="S92" i="128"/>
  <c r="S18" i="128"/>
  <c r="S33" i="128"/>
  <c r="S84" i="128"/>
  <c r="S9" i="128"/>
  <c r="S94" i="128"/>
  <c r="S101" i="128"/>
  <c r="S61" i="128"/>
  <c r="S6" i="128"/>
  <c r="S25" i="128"/>
  <c r="S76" i="128"/>
  <c r="S22" i="128"/>
  <c r="S72" i="128"/>
  <c r="S98" i="128"/>
  <c r="S105" i="128"/>
  <c r="S52" i="128"/>
  <c r="S75" i="128"/>
  <c r="S67" i="128"/>
  <c r="S31" i="128"/>
  <c r="S42" i="128"/>
  <c r="S100" i="128"/>
  <c r="S11" i="128"/>
  <c r="S21" i="128"/>
  <c r="S34" i="128"/>
  <c r="S73" i="128"/>
  <c r="S41" i="128"/>
  <c r="S29" i="128"/>
  <c r="S86" i="128"/>
  <c r="S53" i="128"/>
  <c r="S48" i="128"/>
  <c r="S58" i="128"/>
  <c r="S99" i="128"/>
  <c r="S13" i="128"/>
  <c r="S54" i="128"/>
  <c r="S38" i="128"/>
  <c r="S102" i="128"/>
  <c r="S55" i="128"/>
  <c r="S32" i="128"/>
  <c r="S46" i="128"/>
  <c r="S51" i="128"/>
  <c r="S104" i="128"/>
  <c r="S103" i="128"/>
  <c r="S90" i="128"/>
  <c r="S14" i="128"/>
  <c r="S15" i="128"/>
  <c r="S23" i="128"/>
  <c r="S78" i="128"/>
  <c r="S69" i="128"/>
  <c r="S80" i="128"/>
  <c r="Q12" i="96"/>
  <c r="R12" i="96"/>
  <c r="S12" i="96"/>
  <c r="Q12" i="84"/>
  <c r="R12" i="84"/>
  <c r="S12" i="84"/>
  <c r="S87" i="128"/>
  <c r="S39" i="128"/>
  <c r="S28" i="128"/>
  <c r="S83" i="128"/>
  <c r="S63" i="128"/>
  <c r="S7" i="128"/>
  <c r="S49" i="128"/>
  <c r="S82" i="128"/>
  <c r="S57" i="128"/>
  <c r="T71" i="63"/>
  <c r="T104" i="63"/>
  <c r="T86" i="63"/>
  <c r="T29" i="63"/>
  <c r="T63" i="63"/>
  <c r="T34" i="63"/>
  <c r="T43" i="63"/>
  <c r="T35" i="63"/>
  <c r="T67" i="63"/>
  <c r="T62" i="63"/>
  <c r="T89" i="63"/>
  <c r="T20" i="63"/>
  <c r="T8" i="63"/>
  <c r="T27" i="63"/>
  <c r="T72" i="63"/>
  <c r="T50" i="63"/>
  <c r="T105" i="63"/>
  <c r="T28" i="63"/>
  <c r="T52" i="63"/>
  <c r="T33" i="63"/>
  <c r="T47" i="63"/>
  <c r="T44" i="63"/>
  <c r="T22" i="63"/>
  <c r="T59" i="63"/>
  <c r="T46" i="63"/>
  <c r="T15" i="63"/>
  <c r="T12" i="63"/>
  <c r="T13" i="63"/>
  <c r="T11" i="63"/>
  <c r="T83" i="63"/>
  <c r="T96" i="63"/>
  <c r="T68" i="63"/>
  <c r="T54" i="63"/>
  <c r="T70" i="63"/>
  <c r="T82" i="63"/>
  <c r="T57" i="63"/>
  <c r="T30" i="63"/>
  <c r="T79" i="63"/>
  <c r="T74" i="63"/>
  <c r="T65" i="63"/>
  <c r="T64" i="63"/>
  <c r="T90" i="63"/>
  <c r="T78" i="63"/>
  <c r="T38" i="63"/>
  <c r="T9" i="63"/>
  <c r="T21" i="63"/>
  <c r="T66" i="63"/>
  <c r="T39" i="63"/>
  <c r="T18" i="63"/>
  <c r="T100" i="63"/>
  <c r="T23" i="63"/>
  <c r="T53" i="63"/>
  <c r="S30" i="128"/>
  <c r="S70" i="128"/>
  <c r="S71" i="128"/>
  <c r="S45" i="128"/>
  <c r="S20" i="128"/>
  <c r="S91" i="128"/>
  <c r="S77" i="128"/>
  <c r="S64" i="128"/>
  <c r="S43" i="128"/>
  <c r="S60" i="128"/>
  <c r="S95" i="128"/>
  <c r="S36" i="128"/>
  <c r="S97" i="128"/>
  <c r="S27" i="128"/>
  <c r="S16" i="128"/>
  <c r="S74" i="128"/>
  <c r="S24" i="128"/>
  <c r="S66" i="128"/>
  <c r="S81" i="128"/>
  <c r="S10" i="128"/>
  <c r="S17" i="128"/>
  <c r="S68" i="128"/>
  <c r="S8" i="128"/>
  <c r="S85" i="128"/>
  <c r="S26" i="128"/>
  <c r="AF2" i="128"/>
  <c r="Q11" i="99"/>
  <c r="R11" i="99"/>
  <c r="S11" i="99"/>
  <c r="Q11" i="117"/>
  <c r="R11" i="117"/>
  <c r="S11" i="117"/>
  <c r="Q11" i="79"/>
  <c r="R11" i="79"/>
  <c r="S11" i="79"/>
  <c r="Q11" i="83"/>
  <c r="R11" i="83"/>
  <c r="S11" i="83"/>
  <c r="Q11" i="77"/>
  <c r="R11" i="77"/>
  <c r="S11" i="77"/>
  <c r="Q11" i="111"/>
  <c r="R11" i="111"/>
  <c r="S11" i="111"/>
  <c r="Q11" i="93"/>
  <c r="R11" i="93"/>
  <c r="S11" i="93"/>
  <c r="Q11" i="101"/>
  <c r="R11" i="101"/>
  <c r="S11" i="101"/>
  <c r="Q11" i="113"/>
  <c r="R11" i="113"/>
  <c r="S11" i="113"/>
  <c r="Q11" i="81"/>
  <c r="R11" i="81"/>
  <c r="S11" i="81"/>
  <c r="Q11" i="91"/>
  <c r="R11" i="91"/>
  <c r="S11" i="91"/>
  <c r="Q11" i="75"/>
  <c r="R11" i="75"/>
  <c r="S11" i="75"/>
  <c r="Q11" i="109"/>
  <c r="R11" i="109"/>
  <c r="S11" i="109"/>
  <c r="Q11" i="105"/>
  <c r="R11" i="105"/>
  <c r="S11" i="105"/>
  <c r="Q11" i="85"/>
  <c r="R11" i="85"/>
  <c r="S11" i="85"/>
  <c r="AF2" i="63"/>
  <c r="Q11" i="103"/>
  <c r="R11" i="103"/>
  <c r="S11" i="103"/>
  <c r="Q11" i="89"/>
  <c r="R11" i="89"/>
  <c r="S11" i="89"/>
  <c r="Q11" i="107"/>
  <c r="R11" i="107"/>
  <c r="S11" i="107"/>
  <c r="Q11" i="115"/>
  <c r="R11" i="115"/>
  <c r="S11" i="115"/>
  <c r="Q11" i="87"/>
  <c r="R11" i="87"/>
  <c r="S11" i="87"/>
  <c r="Q11" i="97"/>
  <c r="R11" i="97"/>
  <c r="S11" i="97"/>
  <c r="Q11" i="95"/>
  <c r="R11" i="95"/>
  <c r="S11" i="95"/>
  <c r="Q12" i="117"/>
  <c r="R12" i="117"/>
  <c r="S12" i="117"/>
  <c r="Q12" i="83"/>
  <c r="R12" i="83"/>
  <c r="S12" i="83"/>
  <c r="Q12" i="103"/>
  <c r="R12" i="103"/>
  <c r="S12" i="103"/>
  <c r="Q12" i="113"/>
  <c r="R12" i="113"/>
  <c r="S12" i="113"/>
  <c r="Q12" i="111"/>
  <c r="R12" i="111"/>
  <c r="S12" i="111"/>
  <c r="Q12" i="109"/>
  <c r="R12" i="109"/>
  <c r="S12" i="109"/>
  <c r="Q12" i="105"/>
  <c r="R12" i="105"/>
  <c r="S12" i="105"/>
  <c r="Q12" i="87"/>
  <c r="R12" i="87"/>
  <c r="S12" i="87"/>
  <c r="Q12" i="89"/>
  <c r="R12" i="89"/>
  <c r="S12" i="89"/>
  <c r="Q12" i="101"/>
  <c r="R12" i="101"/>
  <c r="S12" i="101"/>
  <c r="Q12" i="95"/>
  <c r="R12" i="95"/>
  <c r="S12" i="95"/>
  <c r="Q12" i="93"/>
  <c r="R12" i="93"/>
  <c r="S12" i="93"/>
  <c r="Q12" i="115"/>
  <c r="R12" i="115"/>
  <c r="S12" i="115"/>
  <c r="Q12" i="91"/>
  <c r="R12" i="91"/>
  <c r="S12" i="91"/>
  <c r="Q12" i="75"/>
  <c r="R12" i="75"/>
  <c r="S12" i="75"/>
  <c r="Q12" i="81"/>
  <c r="R12" i="81"/>
  <c r="S12" i="81"/>
  <c r="Q12" i="107"/>
  <c r="R12" i="107"/>
  <c r="S12" i="107"/>
  <c r="Q12" i="99"/>
  <c r="R12" i="99"/>
  <c r="S12" i="99"/>
  <c r="AG2" i="128"/>
  <c r="Q12" i="85"/>
  <c r="R12" i="85"/>
  <c r="S12" i="85"/>
  <c r="AG2" i="63"/>
  <c r="Q12" i="77"/>
  <c r="R12" i="77"/>
  <c r="S12" i="77"/>
  <c r="Q12" i="97"/>
  <c r="R12" i="97"/>
  <c r="S12" i="97"/>
  <c r="Q12" i="79"/>
  <c r="R12" i="79"/>
  <c r="S12" i="79"/>
  <c r="K116" i="67"/>
  <c r="L116" i="67"/>
  <c r="M116" i="67"/>
  <c r="L112" i="67"/>
  <c r="M112" i="67"/>
  <c r="K113" i="86"/>
  <c r="L113" i="86"/>
  <c r="M113" i="86"/>
  <c r="L109" i="86"/>
  <c r="M109" i="86"/>
  <c r="L109" i="82"/>
  <c r="M109" i="82"/>
  <c r="K113" i="82"/>
  <c r="L113" i="82"/>
  <c r="M113" i="82"/>
  <c r="K113" i="88"/>
  <c r="L113" i="88"/>
  <c r="M113" i="88"/>
  <c r="L109" i="88"/>
  <c r="M109" i="88"/>
  <c r="O24" i="128"/>
  <c r="O23" i="128"/>
  <c r="O22" i="128"/>
  <c r="O85" i="128"/>
  <c r="O76" i="128"/>
  <c r="O72" i="128"/>
  <c r="O15" i="128"/>
  <c r="O104" i="128"/>
  <c r="O41" i="128"/>
  <c r="O94" i="128"/>
  <c r="O47" i="128"/>
  <c r="O65" i="128"/>
  <c r="O82" i="128"/>
  <c r="O52" i="128"/>
  <c r="O6" i="128"/>
  <c r="O103" i="128"/>
  <c r="O43" i="128"/>
  <c r="O75" i="128"/>
  <c r="O98" i="128"/>
  <c r="O79" i="128"/>
  <c r="O7" i="128"/>
  <c r="O12" i="128"/>
  <c r="O54" i="128"/>
  <c r="O48" i="128"/>
  <c r="O64" i="128"/>
  <c r="O68" i="128"/>
  <c r="O91" i="128"/>
  <c r="O86" i="128"/>
  <c r="O84" i="128"/>
  <c r="O78" i="128"/>
  <c r="O40" i="128"/>
  <c r="O35" i="128"/>
  <c r="O71" i="128"/>
  <c r="O21" i="128"/>
  <c r="O96" i="128"/>
  <c r="O17" i="128"/>
  <c r="O56" i="128"/>
  <c r="O66" i="128"/>
  <c r="O97" i="128"/>
  <c r="O99" i="128"/>
  <c r="O36" i="128"/>
  <c r="O73" i="128"/>
  <c r="O60" i="128"/>
  <c r="O27" i="128"/>
  <c r="O102" i="128"/>
  <c r="O50" i="128"/>
  <c r="O77" i="128"/>
  <c r="O83" i="128"/>
  <c r="O19" i="128"/>
  <c r="O32" i="128"/>
  <c r="O81" i="128"/>
  <c r="O53" i="128"/>
  <c r="O92" i="128"/>
  <c r="O59" i="128"/>
  <c r="O30" i="128"/>
  <c r="O57" i="128"/>
  <c r="O16" i="128"/>
  <c r="O93" i="128"/>
  <c r="O14" i="128"/>
  <c r="O45" i="128"/>
  <c r="O29" i="128"/>
  <c r="O55" i="128"/>
  <c r="O33" i="128"/>
  <c r="O18" i="128"/>
  <c r="O62" i="128"/>
  <c r="O44" i="128"/>
  <c r="O61" i="128"/>
  <c r="O80" i="128"/>
  <c r="O8" i="128"/>
  <c r="O13" i="128"/>
  <c r="O88" i="128"/>
  <c r="O34" i="128"/>
  <c r="O39" i="128"/>
  <c r="O89" i="128"/>
  <c r="O105" i="128"/>
  <c r="O38" i="128"/>
  <c r="O100" i="128"/>
  <c r="O11" i="128"/>
  <c r="O58" i="128"/>
  <c r="O69" i="128"/>
  <c r="O10" i="128"/>
  <c r="O9" i="128"/>
  <c r="O95" i="128"/>
  <c r="O26" i="128"/>
  <c r="O46" i="128"/>
  <c r="O67" i="128"/>
  <c r="O49" i="128"/>
  <c r="O70" i="128"/>
  <c r="O20" i="128"/>
  <c r="O31" i="128"/>
  <c r="O87" i="128"/>
  <c r="O74" i="128"/>
  <c r="O101" i="128"/>
  <c r="O90" i="128"/>
  <c r="O42" i="128"/>
  <c r="O28" i="128"/>
  <c r="O37" i="128"/>
  <c r="O25" i="128"/>
  <c r="O63" i="128"/>
  <c r="O51" i="128"/>
  <c r="K112" i="114"/>
  <c r="K112" i="98"/>
  <c r="K112" i="84"/>
  <c r="K112" i="96"/>
  <c r="K112" i="80"/>
  <c r="K112" i="108"/>
  <c r="K112" i="78"/>
  <c r="K112" i="100"/>
  <c r="K112" i="86"/>
  <c r="K112" i="88"/>
  <c r="K112" i="110"/>
  <c r="K112" i="116"/>
  <c r="K112" i="104"/>
  <c r="K112" i="94"/>
  <c r="K112" i="90"/>
  <c r="K112" i="82"/>
  <c r="K112" i="106"/>
  <c r="K112" i="76"/>
  <c r="K112" i="92"/>
  <c r="K112" i="102"/>
  <c r="M18" i="60"/>
  <c r="K112" i="112"/>
  <c r="L109" i="114"/>
  <c r="M109" i="114"/>
  <c r="K113" i="114"/>
  <c r="L113" i="114"/>
  <c r="M113" i="114"/>
  <c r="K113" i="76"/>
  <c r="L113" i="76"/>
  <c r="M113" i="76"/>
  <c r="L109" i="76"/>
  <c r="M109" i="76"/>
  <c r="L109" i="98"/>
  <c r="M109" i="98"/>
  <c r="K113" i="98"/>
  <c r="L113" i="98"/>
  <c r="M113" i="98"/>
  <c r="Q9" i="81"/>
  <c r="R9" i="81"/>
  <c r="S9" i="81"/>
  <c r="Q9" i="117"/>
  <c r="R9" i="117"/>
  <c r="S9" i="117"/>
  <c r="Q9" i="101"/>
  <c r="R9" i="101"/>
  <c r="S9" i="101"/>
  <c r="Q9" i="75"/>
  <c r="R9" i="75"/>
  <c r="S9" i="75"/>
  <c r="AB2" i="128"/>
  <c r="Q9" i="95"/>
  <c r="R9" i="95"/>
  <c r="S9" i="95"/>
  <c r="Q9" i="79"/>
  <c r="R9" i="79"/>
  <c r="S9" i="79"/>
  <c r="Q9" i="105"/>
  <c r="R9" i="105"/>
  <c r="S9" i="105"/>
  <c r="Q9" i="107"/>
  <c r="R9" i="107"/>
  <c r="S9" i="107"/>
  <c r="AB2" i="63"/>
  <c r="Q9" i="111"/>
  <c r="R9" i="111"/>
  <c r="S9" i="111"/>
  <c r="Q9" i="85"/>
  <c r="R9" i="85"/>
  <c r="S9" i="85"/>
  <c r="Q9" i="115"/>
  <c r="R9" i="115"/>
  <c r="S9" i="115"/>
  <c r="Q9" i="89"/>
  <c r="R9" i="89"/>
  <c r="S9" i="89"/>
  <c r="Q9" i="77"/>
  <c r="R9" i="77"/>
  <c r="S9" i="77"/>
  <c r="Q9" i="113"/>
  <c r="R9" i="113"/>
  <c r="S9" i="113"/>
  <c r="Q9" i="97"/>
  <c r="R9" i="97"/>
  <c r="S9" i="97"/>
  <c r="Q9" i="83"/>
  <c r="R9" i="83"/>
  <c r="S9" i="83"/>
  <c r="Q9" i="91"/>
  <c r="R9" i="91"/>
  <c r="S9" i="91"/>
  <c r="Q9" i="99"/>
  <c r="R9" i="99"/>
  <c r="S9" i="99"/>
  <c r="Q9" i="93"/>
  <c r="R9" i="93"/>
  <c r="S9" i="93"/>
  <c r="Q9" i="109"/>
  <c r="R9" i="109"/>
  <c r="S9" i="109"/>
  <c r="Q9" i="87"/>
  <c r="R9" i="87"/>
  <c r="S9" i="87"/>
  <c r="Q9" i="103"/>
  <c r="R9" i="103"/>
  <c r="S9" i="103"/>
  <c r="F34" i="118"/>
  <c r="K112" i="68"/>
  <c r="M19" i="60"/>
  <c r="L109" i="106"/>
  <c r="M109" i="106"/>
  <c r="K113" i="106"/>
  <c r="L113" i="106"/>
  <c r="M113" i="106"/>
  <c r="K113" i="84"/>
  <c r="L113" i="84"/>
  <c r="M113" i="84"/>
  <c r="L109" i="84"/>
  <c r="M109" i="84"/>
  <c r="K113" i="112"/>
  <c r="L113" i="112"/>
  <c r="M113" i="112"/>
  <c r="L109" i="112"/>
  <c r="M109" i="112"/>
  <c r="L109" i="90"/>
  <c r="M109" i="90"/>
  <c r="K113" i="90"/>
  <c r="L113" i="90"/>
  <c r="M113" i="90"/>
  <c r="L110" i="67"/>
  <c r="K114" i="67"/>
  <c r="L114" i="67"/>
  <c r="M114" i="67"/>
  <c r="K115" i="67"/>
  <c r="L115" i="67"/>
  <c r="M115" i="67"/>
  <c r="L111" i="67"/>
  <c r="M111" i="67"/>
  <c r="L109" i="100"/>
  <c r="M109" i="100"/>
  <c r="K113" i="100"/>
  <c r="L113" i="100"/>
  <c r="M113" i="100"/>
  <c r="K113" i="80"/>
  <c r="L113" i="80"/>
  <c r="M113" i="80"/>
  <c r="L109" i="80"/>
  <c r="M109" i="80"/>
  <c r="L109" i="102"/>
  <c r="M109" i="102"/>
  <c r="K113" i="102"/>
  <c r="L113" i="102"/>
  <c r="M113" i="102"/>
  <c r="K18" i="60"/>
  <c r="K110" i="114"/>
  <c r="K110" i="104"/>
  <c r="K110" i="108"/>
  <c r="K110" i="102"/>
  <c r="K110" i="78"/>
  <c r="K110" i="76"/>
  <c r="K110" i="112"/>
  <c r="K110" i="94"/>
  <c r="K110" i="86"/>
  <c r="K110" i="96"/>
  <c r="K110" i="110"/>
  <c r="K110" i="100"/>
  <c r="K110" i="88"/>
  <c r="K110" i="84"/>
  <c r="K110" i="116"/>
  <c r="K110" i="82"/>
  <c r="K110" i="106"/>
  <c r="K110" i="98"/>
  <c r="K110" i="80"/>
  <c r="K110" i="90"/>
  <c r="K110" i="92"/>
  <c r="L18" i="60"/>
  <c r="K111" i="102"/>
  <c r="K111" i="84"/>
  <c r="K111" i="92"/>
  <c r="K111" i="96"/>
  <c r="K111" i="94"/>
  <c r="K111" i="110"/>
  <c r="K111" i="78"/>
  <c r="K111" i="76"/>
  <c r="K111" i="108"/>
  <c r="K111" i="86"/>
  <c r="K111" i="106"/>
  <c r="K111" i="82"/>
  <c r="K111" i="104"/>
  <c r="K111" i="114"/>
  <c r="K111" i="112"/>
  <c r="K111" i="88"/>
  <c r="K111" i="100"/>
  <c r="K111" i="80"/>
  <c r="K111" i="116"/>
  <c r="K111" i="98"/>
  <c r="K111" i="90"/>
  <c r="L109" i="94"/>
  <c r="M109" i="94"/>
  <c r="K113" i="94"/>
  <c r="L113" i="94"/>
  <c r="M113" i="94"/>
  <c r="K113" i="116"/>
  <c r="L113" i="116"/>
  <c r="M113" i="116"/>
  <c r="L109" i="116"/>
  <c r="M109" i="116"/>
  <c r="K113" i="108"/>
  <c r="L113" i="108"/>
  <c r="M113" i="108"/>
  <c r="L109" i="108"/>
  <c r="M109" i="108"/>
  <c r="K110" i="68"/>
  <c r="F32" i="118"/>
  <c r="K19" i="60"/>
  <c r="K111" i="68"/>
  <c r="F33" i="118"/>
  <c r="L19" i="60"/>
  <c r="K113" i="104"/>
  <c r="L113" i="104"/>
  <c r="M113" i="104"/>
  <c r="L109" i="104"/>
  <c r="M109" i="104"/>
  <c r="L109" i="92"/>
  <c r="M109" i="92"/>
  <c r="K113" i="92"/>
  <c r="L113" i="92"/>
  <c r="M113" i="92"/>
  <c r="K109" i="105"/>
  <c r="K109" i="117"/>
  <c r="K109" i="93"/>
  <c r="K109" i="107"/>
  <c r="K109" i="99"/>
  <c r="K109" i="87"/>
  <c r="K109" i="85"/>
  <c r="K109" i="77"/>
  <c r="K109" i="111"/>
  <c r="K109" i="81"/>
  <c r="K109" i="113"/>
  <c r="K109" i="75"/>
  <c r="K109" i="83"/>
  <c r="K109" i="109"/>
  <c r="K109" i="91"/>
  <c r="K109" i="95"/>
  <c r="K109" i="89"/>
  <c r="K109" i="115"/>
  <c r="K109" i="79"/>
  <c r="K109" i="101"/>
  <c r="K109" i="97"/>
  <c r="K109" i="103"/>
  <c r="K113" i="68"/>
  <c r="L113" i="68"/>
  <c r="M113" i="68"/>
  <c r="L109" i="68"/>
  <c r="M109" i="68"/>
  <c r="K113" i="78"/>
  <c r="L113" i="78"/>
  <c r="M113" i="78"/>
  <c r="L109" i="78"/>
  <c r="M109" i="78"/>
  <c r="L109" i="96"/>
  <c r="M109" i="96"/>
  <c r="K113" i="96"/>
  <c r="L113" i="96"/>
  <c r="M113" i="96"/>
  <c r="L109" i="110"/>
  <c r="M109" i="110"/>
  <c r="K113" i="110"/>
  <c r="L113" i="110"/>
  <c r="M113" i="110"/>
  <c r="O30" i="63"/>
  <c r="O20" i="63"/>
  <c r="O56" i="63"/>
  <c r="O93" i="63"/>
  <c r="O42" i="63"/>
  <c r="O91" i="63"/>
  <c r="O31" i="63"/>
  <c r="O65" i="63"/>
  <c r="O81" i="63"/>
  <c r="O21" i="63"/>
  <c r="O96" i="63"/>
  <c r="O15" i="63"/>
  <c r="O19" i="63"/>
  <c r="O61" i="63"/>
  <c r="O76" i="63"/>
  <c r="O38" i="63"/>
  <c r="O88" i="63"/>
  <c r="O25" i="63"/>
  <c r="O13" i="63"/>
  <c r="O6" i="63"/>
  <c r="O34" i="63"/>
  <c r="O83" i="63"/>
  <c r="O37" i="63"/>
  <c r="O67" i="63"/>
  <c r="O10" i="63"/>
  <c r="O57" i="63"/>
  <c r="O7" i="63"/>
  <c r="O32" i="63"/>
  <c r="O103" i="63"/>
  <c r="O68" i="63"/>
  <c r="O39" i="63"/>
  <c r="O47" i="63"/>
  <c r="O101" i="63"/>
  <c r="O50" i="63"/>
  <c r="O78" i="63"/>
  <c r="O29" i="63"/>
  <c r="O60" i="63"/>
  <c r="O97" i="63"/>
  <c r="O46" i="63"/>
  <c r="O71" i="63"/>
  <c r="O54" i="63"/>
  <c r="O64" i="63"/>
  <c r="O40" i="63"/>
  <c r="O85" i="63"/>
  <c r="O48" i="63"/>
  <c r="O100" i="63"/>
  <c r="O24" i="63"/>
  <c r="O69" i="63"/>
  <c r="O102" i="63"/>
  <c r="O17" i="63"/>
  <c r="O82" i="63"/>
  <c r="O16" i="63"/>
  <c r="O74" i="63"/>
  <c r="O79" i="63"/>
  <c r="O104" i="63"/>
  <c r="O77" i="63"/>
  <c r="O59" i="63"/>
  <c r="O66" i="63"/>
  <c r="O41" i="63"/>
  <c r="O12" i="63"/>
  <c r="O18" i="63"/>
  <c r="O53" i="63"/>
  <c r="O94" i="63"/>
  <c r="O27" i="63"/>
  <c r="O72" i="63"/>
  <c r="O45" i="63"/>
  <c r="O51" i="63"/>
  <c r="O8" i="63"/>
  <c r="O58" i="63"/>
  <c r="O62" i="63"/>
  <c r="O35" i="63"/>
  <c r="O44" i="63"/>
  <c r="O87" i="63"/>
  <c r="O63" i="63"/>
  <c r="O90" i="63"/>
  <c r="O55" i="63"/>
  <c r="O92" i="63"/>
  <c r="O28" i="63"/>
  <c r="O70" i="63"/>
  <c r="O89" i="63"/>
  <c r="O52" i="63"/>
  <c r="O99" i="63"/>
  <c r="O49" i="63"/>
  <c r="O98" i="63"/>
  <c r="O95" i="63"/>
  <c r="O80" i="63"/>
  <c r="O43" i="63"/>
  <c r="O86" i="63"/>
  <c r="O22" i="63"/>
  <c r="O75" i="63"/>
  <c r="O11" i="63"/>
  <c r="O9" i="63"/>
  <c r="O105" i="63"/>
  <c r="O14" i="63"/>
  <c r="O84" i="63"/>
  <c r="O26" i="63"/>
  <c r="O23" i="63"/>
  <c r="O73" i="63"/>
  <c r="O33" i="63"/>
  <c r="O36" i="63"/>
  <c r="CX64" i="63"/>
  <c r="CX98" i="63"/>
  <c r="N14" i="131"/>
  <c r="P14" i="131"/>
  <c r="D14" i="131"/>
  <c r="N10" i="130"/>
  <c r="P10" i="130"/>
  <c r="N23" i="131"/>
  <c r="P23" i="131"/>
  <c r="D23" i="131"/>
  <c r="N5" i="131"/>
  <c r="P5" i="131"/>
  <c r="D5" i="131"/>
  <c r="Q9" i="137"/>
  <c r="N29" i="132"/>
  <c r="P29" i="132"/>
  <c r="Q29" i="132"/>
  <c r="R29" i="132"/>
  <c r="T29" i="132"/>
  <c r="N2" i="132"/>
  <c r="P2" i="132"/>
  <c r="N17" i="129"/>
  <c r="P17" i="129"/>
  <c r="N15" i="132"/>
  <c r="P15" i="132"/>
  <c r="N8" i="132"/>
  <c r="P8" i="132"/>
  <c r="D8" i="132"/>
  <c r="U12" i="137"/>
  <c r="N12" i="130"/>
  <c r="P12" i="130"/>
  <c r="D12" i="130"/>
  <c r="I16" i="137"/>
  <c r="N27" i="129"/>
  <c r="P27" i="129"/>
  <c r="D27" i="129"/>
  <c r="E31" i="137"/>
  <c r="N16" i="129"/>
  <c r="P16" i="129"/>
  <c r="D16" i="129"/>
  <c r="E32" i="137"/>
  <c r="N11" i="132"/>
  <c r="P11" i="132"/>
  <c r="D11" i="132"/>
  <c r="U14" i="137"/>
  <c r="N7" i="131"/>
  <c r="P7" i="131"/>
  <c r="D7" i="131"/>
  <c r="Q11" i="137"/>
  <c r="N30" i="130"/>
  <c r="P30" i="130"/>
  <c r="D30" i="130"/>
  <c r="N19" i="129"/>
  <c r="P19" i="129"/>
  <c r="D19" i="129"/>
  <c r="E23" i="137"/>
  <c r="N22" i="130"/>
  <c r="E22" i="130"/>
  <c r="K26" i="137"/>
  <c r="N25" i="131"/>
  <c r="P25" i="131"/>
  <c r="D25" i="131"/>
  <c r="Q29" i="137"/>
  <c r="N13" i="129"/>
  <c r="P13" i="129"/>
  <c r="D13" i="129"/>
  <c r="E17" i="137"/>
  <c r="N7" i="132"/>
  <c r="P7" i="132"/>
  <c r="D7" i="132"/>
  <c r="U11" i="137"/>
  <c r="N16" i="131"/>
  <c r="P16" i="131"/>
  <c r="D16" i="131"/>
  <c r="N10" i="131"/>
  <c r="P10" i="131"/>
  <c r="N15" i="129"/>
  <c r="P15" i="129"/>
  <c r="D15" i="129"/>
  <c r="E19" i="137"/>
  <c r="N3" i="132"/>
  <c r="P3" i="132"/>
  <c r="N30" i="131"/>
  <c r="P30" i="131"/>
  <c r="D30" i="131"/>
  <c r="N25" i="130"/>
  <c r="P25" i="130"/>
  <c r="D25" i="130"/>
  <c r="I29" i="137"/>
  <c r="N27" i="130"/>
  <c r="P27" i="130"/>
  <c r="D27" i="130"/>
  <c r="N13" i="132"/>
  <c r="P13" i="132"/>
  <c r="N15" i="130"/>
  <c r="P15" i="130"/>
  <c r="D15" i="130"/>
  <c r="N4" i="132"/>
  <c r="P4" i="132"/>
  <c r="N9" i="131"/>
  <c r="P9" i="131"/>
  <c r="D9" i="131"/>
  <c r="Q15" i="137"/>
  <c r="N2" i="129"/>
  <c r="E2" i="129"/>
  <c r="G6" i="137"/>
  <c r="N16" i="130"/>
  <c r="P16" i="130"/>
  <c r="D16" i="130"/>
  <c r="N32" i="132"/>
  <c r="P32" i="132"/>
  <c r="N21" i="132"/>
  <c r="P21" i="132"/>
  <c r="N23" i="132"/>
  <c r="P23" i="132"/>
  <c r="N7" i="130"/>
  <c r="P7" i="130"/>
  <c r="D7" i="130"/>
  <c r="I11" i="137"/>
  <c r="N26" i="131"/>
  <c r="P26" i="131"/>
  <c r="D26" i="131"/>
  <c r="N25" i="132"/>
  <c r="P25" i="132"/>
  <c r="D25" i="132"/>
  <c r="U29" i="137"/>
  <c r="N19" i="131"/>
  <c r="P19" i="131"/>
  <c r="D19" i="131"/>
  <c r="Q23" i="137"/>
  <c r="N19" i="130"/>
  <c r="P19" i="130"/>
  <c r="N10" i="129"/>
  <c r="P10" i="129"/>
  <c r="D10" i="129"/>
  <c r="E13" i="137"/>
  <c r="N10" i="132"/>
  <c r="P10" i="132"/>
  <c r="N28" i="130"/>
  <c r="P28" i="130"/>
  <c r="D28" i="130"/>
  <c r="N21" i="130"/>
  <c r="P21" i="130"/>
  <c r="N3" i="130"/>
  <c r="P3" i="130"/>
  <c r="D3" i="130"/>
  <c r="I7" i="137"/>
  <c r="N20" i="129"/>
  <c r="P20" i="129"/>
  <c r="D20" i="129"/>
  <c r="E24" i="137"/>
  <c r="N7" i="129"/>
  <c r="P7" i="129"/>
  <c r="D7" i="129"/>
  <c r="E11" i="137"/>
  <c r="N11" i="131"/>
  <c r="P11" i="131"/>
  <c r="D11" i="131"/>
  <c r="Q14" i="137"/>
  <c r="N31" i="130"/>
  <c r="P31" i="130"/>
  <c r="D31" i="130"/>
  <c r="N19" i="132"/>
  <c r="P19" i="132"/>
  <c r="N18" i="131"/>
  <c r="P18" i="131"/>
  <c r="D18" i="131"/>
  <c r="Q22" i="137"/>
  <c r="N29" i="129"/>
  <c r="P29" i="129"/>
  <c r="D29" i="129"/>
  <c r="E33" i="137"/>
  <c r="N4" i="131"/>
  <c r="P4" i="131"/>
  <c r="D4" i="131"/>
  <c r="Q8" i="137"/>
  <c r="N22" i="129"/>
  <c r="P22" i="129"/>
  <c r="D22" i="129"/>
  <c r="E26" i="137"/>
  <c r="N20" i="132"/>
  <c r="P20" i="132"/>
  <c r="N32" i="129"/>
  <c r="P32" i="129"/>
  <c r="D32" i="129"/>
  <c r="N17" i="130"/>
  <c r="P17" i="130"/>
  <c r="D17" i="130"/>
  <c r="I21" i="137"/>
  <c r="N9" i="130"/>
  <c r="P9" i="130"/>
  <c r="D9" i="130"/>
  <c r="I15" i="137"/>
  <c r="N3" i="129"/>
  <c r="P3" i="129"/>
  <c r="D3" i="129"/>
  <c r="E7" i="137"/>
  <c r="N28" i="129"/>
  <c r="P28" i="129"/>
  <c r="N29" i="131"/>
  <c r="P29" i="131"/>
  <c r="D29" i="131"/>
  <c r="Q33" i="137"/>
  <c r="N26" i="130"/>
  <c r="P26" i="130"/>
  <c r="D26" i="130"/>
  <c r="N14" i="129"/>
  <c r="P14" i="129"/>
  <c r="Q14" i="129"/>
  <c r="R14" i="129"/>
  <c r="T14" i="129"/>
  <c r="N5" i="129"/>
  <c r="P5" i="129"/>
  <c r="D5" i="129"/>
  <c r="E9" i="137"/>
  <c r="N24" i="130"/>
  <c r="P24" i="130"/>
  <c r="D24" i="130"/>
  <c r="I28" i="137"/>
  <c r="N20" i="131"/>
  <c r="P20" i="131"/>
  <c r="D20" i="131"/>
  <c r="Q24" i="137"/>
  <c r="N18" i="130"/>
  <c r="P18" i="130"/>
  <c r="D18" i="130"/>
  <c r="I22" i="137"/>
  <c r="N24" i="131"/>
  <c r="P24" i="131"/>
  <c r="D24" i="131"/>
  <c r="Q28" i="137"/>
  <c r="N8" i="129"/>
  <c r="P8" i="129"/>
  <c r="N25" i="129"/>
  <c r="P25" i="129"/>
  <c r="N27" i="131"/>
  <c r="P27" i="131"/>
  <c r="D27" i="131"/>
  <c r="N29" i="130"/>
  <c r="P29" i="130"/>
  <c r="D29" i="130"/>
  <c r="I33" i="137"/>
  <c r="M34" i="131"/>
  <c r="M35" i="131"/>
  <c r="N14" i="130"/>
  <c r="P14" i="130"/>
  <c r="D14" i="130"/>
  <c r="D13" i="123"/>
  <c r="N15" i="131"/>
  <c r="P15" i="131"/>
  <c r="D15" i="131"/>
  <c r="N18" i="129"/>
  <c r="P18" i="129"/>
  <c r="N3" i="131"/>
  <c r="P3" i="131"/>
  <c r="D3" i="131"/>
  <c r="Q7" i="137"/>
  <c r="O34" i="130"/>
  <c r="N6" i="130"/>
  <c r="P6" i="130"/>
  <c r="D6" i="130"/>
  <c r="I10" i="137"/>
  <c r="N22" i="132"/>
  <c r="P22" i="132"/>
  <c r="N31" i="132"/>
  <c r="P31" i="132"/>
  <c r="D31" i="132"/>
  <c r="N32" i="131"/>
  <c r="P32" i="131"/>
  <c r="D32" i="131"/>
  <c r="N30" i="132"/>
  <c r="P30" i="132"/>
  <c r="N16" i="132"/>
  <c r="P16" i="132"/>
  <c r="D16" i="132"/>
  <c r="U20" i="137"/>
  <c r="N2" i="131"/>
  <c r="E2" i="131"/>
  <c r="S6" i="137"/>
  <c r="M34" i="130"/>
  <c r="M35" i="130"/>
  <c r="N5" i="130"/>
  <c r="P5" i="130"/>
  <c r="D5" i="130"/>
  <c r="I9" i="137"/>
  <c r="N28" i="132"/>
  <c r="P28" i="132"/>
  <c r="D28" i="132"/>
  <c r="M34" i="132"/>
  <c r="M35" i="132"/>
  <c r="N4" i="129"/>
  <c r="P4" i="129"/>
  <c r="D4" i="129"/>
  <c r="E8" i="137"/>
  <c r="N13" i="131"/>
  <c r="P13" i="131"/>
  <c r="N17" i="132"/>
  <c r="P17" i="132"/>
  <c r="D17" i="132"/>
  <c r="U21" i="137"/>
  <c r="N31" i="131"/>
  <c r="P31" i="131"/>
  <c r="D31" i="131"/>
  <c r="N26" i="132"/>
  <c r="P26" i="132"/>
  <c r="D26" i="132"/>
  <c r="U30" i="137"/>
  <c r="N32" i="130"/>
  <c r="P32" i="130"/>
  <c r="D32" i="130"/>
  <c r="N12" i="131"/>
  <c r="P12" i="131"/>
  <c r="E13" i="123"/>
  <c r="N13" i="130"/>
  <c r="M34" i="129"/>
  <c r="M35" i="129"/>
  <c r="N8" i="130"/>
  <c r="P8" i="130"/>
  <c r="D8" i="130"/>
  <c r="I12" i="137"/>
  <c r="O34" i="132"/>
  <c r="N23" i="129"/>
  <c r="P23" i="129"/>
  <c r="D23" i="129"/>
  <c r="N6" i="129"/>
  <c r="P6" i="129"/>
  <c r="D6" i="129"/>
  <c r="E10" i="137"/>
  <c r="N4" i="130"/>
  <c r="P4" i="130"/>
  <c r="D4" i="130"/>
  <c r="I8" i="137"/>
  <c r="N11" i="130"/>
  <c r="P11" i="130"/>
  <c r="D11" i="130"/>
  <c r="I14" i="137"/>
  <c r="N28" i="131"/>
  <c r="P28" i="131"/>
  <c r="D28" i="131"/>
  <c r="N6" i="132"/>
  <c r="P6" i="132"/>
  <c r="N8" i="131"/>
  <c r="P8" i="131"/>
  <c r="D8" i="131"/>
  <c r="Q12" i="137"/>
  <c r="N9" i="132"/>
  <c r="P9" i="132"/>
  <c r="D9" i="132"/>
  <c r="U15" i="137"/>
  <c r="N22" i="131"/>
  <c r="P22" i="131"/>
  <c r="D22" i="131"/>
  <c r="Q26" i="137"/>
  <c r="N24" i="129"/>
  <c r="P24" i="129"/>
  <c r="D24" i="129"/>
  <c r="E28" i="137"/>
  <c r="N24" i="132"/>
  <c r="P24" i="132"/>
  <c r="N21" i="129"/>
  <c r="P21" i="129"/>
  <c r="D21" i="129"/>
  <c r="E25" i="137"/>
  <c r="N5" i="132"/>
  <c r="P5" i="132"/>
  <c r="O34" i="131"/>
  <c r="N23" i="130"/>
  <c r="P23" i="130"/>
  <c r="D23" i="130"/>
  <c r="I27" i="137"/>
  <c r="N18" i="132"/>
  <c r="P18" i="132"/>
  <c r="D18" i="132"/>
  <c r="U22" i="137"/>
  <c r="O26" i="129"/>
  <c r="N21" i="131"/>
  <c r="P21" i="131"/>
  <c r="D21" i="131"/>
  <c r="Q25" i="137"/>
  <c r="N27" i="132"/>
  <c r="P27" i="132"/>
  <c r="N9" i="129"/>
  <c r="P9" i="129"/>
  <c r="D9" i="129"/>
  <c r="E15" i="137"/>
  <c r="N11" i="129"/>
  <c r="P11" i="129"/>
  <c r="N6" i="131"/>
  <c r="P6" i="131"/>
  <c r="D6" i="131"/>
  <c r="Q10" i="137"/>
  <c r="N17" i="131"/>
  <c r="P17" i="131"/>
  <c r="D17" i="131"/>
  <c r="Q21" i="137"/>
  <c r="CX22" i="63"/>
  <c r="BS61" i="63"/>
  <c r="BS86" i="63"/>
  <c r="CX41" i="63"/>
  <c r="CX63" i="63"/>
  <c r="BS75" i="63"/>
  <c r="BS40" i="63"/>
  <c r="CX86" i="63"/>
  <c r="BS73" i="63"/>
  <c r="BS22" i="63"/>
  <c r="CX61" i="63"/>
  <c r="BV43" i="128"/>
  <c r="BS41" i="63"/>
  <c r="CX57" i="63"/>
  <c r="BV104" i="128"/>
  <c r="BX104" i="128"/>
  <c r="CX29" i="63"/>
  <c r="BS94" i="63"/>
  <c r="BV68" i="128"/>
  <c r="CX90" i="63"/>
  <c r="BS37" i="63"/>
  <c r="CX75" i="63"/>
  <c r="BT57" i="63"/>
  <c r="BX57" i="63"/>
  <c r="BV63" i="128"/>
  <c r="BW26" i="128"/>
  <c r="BW84" i="128"/>
  <c r="BS12" i="63"/>
  <c r="BV42" i="128"/>
  <c r="BW67" i="128"/>
  <c r="BU88" i="128"/>
  <c r="BV59" i="128"/>
  <c r="BT22" i="63"/>
  <c r="BX22" i="63"/>
  <c r="CX46" i="63"/>
  <c r="BW20" i="128"/>
  <c r="DA12" i="128"/>
  <c r="BV58" i="128"/>
  <c r="BU89" i="128"/>
  <c r="BW86" i="128"/>
  <c r="BX30" i="63"/>
  <c r="BX8" i="63"/>
  <c r="BS65" i="63"/>
  <c r="BU103" i="128"/>
  <c r="BW71" i="128"/>
  <c r="BV48" i="128"/>
  <c r="BV53" i="128"/>
  <c r="BS43" i="63"/>
  <c r="CX81" i="63"/>
  <c r="BU24" i="128"/>
  <c r="BW59" i="128"/>
  <c r="BU74" i="128"/>
  <c r="E10" i="123"/>
  <c r="Q10" i="123"/>
  <c r="R10" i="123"/>
  <c r="T10" i="123"/>
  <c r="N2" i="123"/>
  <c r="P2" i="123"/>
  <c r="Q2" i="123"/>
  <c r="R2" i="123"/>
  <c r="T2" i="123"/>
  <c r="E27" i="123"/>
  <c r="P27" i="123"/>
  <c r="D27" i="123"/>
  <c r="E17" i="123"/>
  <c r="Q17" i="123"/>
  <c r="R17" i="123"/>
  <c r="T17" i="123"/>
  <c r="C3" i="123"/>
  <c r="N3" i="123"/>
  <c r="BW51" i="128"/>
  <c r="CX26" i="63"/>
  <c r="BX49" i="63"/>
  <c r="BU66" i="128"/>
  <c r="BV65" i="128"/>
  <c r="BU47" i="128"/>
  <c r="BT73" i="63"/>
  <c r="BX73" i="63"/>
  <c r="BX25" i="63"/>
  <c r="BV95" i="128"/>
  <c r="BW103" i="128"/>
  <c r="BV28" i="128"/>
  <c r="BU42" i="128"/>
  <c r="BV98" i="128"/>
  <c r="BX26" i="63"/>
  <c r="BT61" i="63"/>
  <c r="BX61" i="63"/>
  <c r="BX38" i="128"/>
  <c r="BV19" i="128"/>
  <c r="BX23" i="63"/>
  <c r="CX25" i="63"/>
  <c r="BX45" i="63"/>
  <c r="E15" i="65"/>
  <c r="K15" i="65"/>
  <c r="K7" i="65"/>
  <c r="DA14" i="128"/>
  <c r="BU20" i="128"/>
  <c r="BV51" i="128"/>
  <c r="BW61" i="128"/>
  <c r="BU44" i="128"/>
  <c r="BV40" i="128"/>
  <c r="BW54" i="128"/>
  <c r="BV92" i="128"/>
  <c r="BU18" i="128"/>
  <c r="BV99" i="128"/>
  <c r="F7" i="65"/>
  <c r="BU30" i="128"/>
  <c r="BX30" i="128"/>
  <c r="CX43" i="63"/>
  <c r="BW32" i="128"/>
  <c r="BX32" i="128"/>
  <c r="CX66" i="63"/>
  <c r="BW35" i="128"/>
  <c r="BS81" i="63"/>
  <c r="BW33" i="128"/>
  <c r="BV22" i="128"/>
  <c r="BV36" i="128"/>
  <c r="BV35" i="128"/>
  <c r="BV75" i="128"/>
  <c r="F15" i="65"/>
  <c r="C26" i="65"/>
  <c r="BX27" i="128"/>
  <c r="BV77" i="128"/>
  <c r="BV24" i="128"/>
  <c r="BV60" i="128"/>
  <c r="BU56" i="128"/>
  <c r="CX38" i="63"/>
  <c r="BX32" i="63"/>
  <c r="BW87" i="128"/>
  <c r="BX87" i="128"/>
  <c r="BU78" i="128"/>
  <c r="BX90" i="63"/>
  <c r="BX62" i="63"/>
  <c r="BX97" i="63"/>
  <c r="BX72" i="63"/>
  <c r="BX101" i="63"/>
  <c r="BX79" i="128"/>
  <c r="BX84" i="63"/>
  <c r="BX59" i="63"/>
  <c r="BX58" i="63"/>
  <c r="BX42" i="63"/>
  <c r="BX13" i="128"/>
  <c r="BX87" i="63"/>
  <c r="BT20" i="128"/>
  <c r="BS20" i="128"/>
  <c r="CW20" i="128"/>
  <c r="CY70" i="128"/>
  <c r="CX28" i="128"/>
  <c r="BT14" i="128"/>
  <c r="BS14" i="128"/>
  <c r="CY100" i="128"/>
  <c r="DA6" i="128"/>
  <c r="BT86" i="63"/>
  <c r="BX86" i="63"/>
  <c r="BT43" i="63"/>
  <c r="BX43" i="63"/>
  <c r="BS85" i="128"/>
  <c r="CW85" i="128"/>
  <c r="DA85" i="128"/>
  <c r="CY84" i="128"/>
  <c r="BT66" i="63"/>
  <c r="BX66" i="63"/>
  <c r="BS66" i="63"/>
  <c r="CX77" i="63"/>
  <c r="CX56" i="63"/>
  <c r="BT75" i="63"/>
  <c r="BX75" i="63"/>
  <c r="BT36" i="128"/>
  <c r="BS36" i="128"/>
  <c r="CW36" i="128"/>
  <c r="BV33" i="128"/>
  <c r="BT89" i="128"/>
  <c r="CW89" i="128"/>
  <c r="BS89" i="128"/>
  <c r="BS45" i="63"/>
  <c r="CY81" i="128"/>
  <c r="CX94" i="63"/>
  <c r="CX72" i="63"/>
  <c r="BW6" i="63"/>
  <c r="BW107" i="63"/>
  <c r="BR107" i="63"/>
  <c r="BT17" i="63"/>
  <c r="BX17" i="63"/>
  <c r="BS17" i="63"/>
  <c r="BV94" i="128"/>
  <c r="BU69" i="128"/>
  <c r="BW69" i="128"/>
  <c r="CX91" i="63"/>
  <c r="CW54" i="128"/>
  <c r="DA54" i="128"/>
  <c r="BS54" i="128"/>
  <c r="BS8" i="63"/>
  <c r="BT103" i="63"/>
  <c r="BX103" i="63"/>
  <c r="BS103" i="63"/>
  <c r="BS36" i="63"/>
  <c r="CX65" i="63"/>
  <c r="BS92" i="63"/>
  <c r="BT71" i="128"/>
  <c r="BS71" i="128"/>
  <c r="CW71" i="128"/>
  <c r="DA71" i="128"/>
  <c r="BV71" i="128"/>
  <c r="BW85" i="128"/>
  <c r="BP107" i="128"/>
  <c r="CX36" i="128"/>
  <c r="CZ24" i="128"/>
  <c r="BV74" i="128"/>
  <c r="BW52" i="128"/>
  <c r="BX52" i="128"/>
  <c r="CX53" i="63"/>
  <c r="CX19" i="63"/>
  <c r="BS25" i="63"/>
  <c r="BV39" i="128"/>
  <c r="BT39" i="63"/>
  <c r="BX39" i="63"/>
  <c r="BS39" i="63"/>
  <c r="BS30" i="63"/>
  <c r="BT95" i="63"/>
  <c r="BX95" i="63"/>
  <c r="BS95" i="63"/>
  <c r="CX24" i="63"/>
  <c r="CZ55" i="128"/>
  <c r="BV105" i="128"/>
  <c r="DA11" i="128"/>
  <c r="BS79" i="63"/>
  <c r="BT43" i="128"/>
  <c r="CW43" i="128"/>
  <c r="BS43" i="128"/>
  <c r="CY45" i="128"/>
  <c r="DA17" i="128"/>
  <c r="BS33" i="63"/>
  <c r="BS105" i="63"/>
  <c r="BW41" i="128"/>
  <c r="BV97" i="128"/>
  <c r="BW16" i="128"/>
  <c r="BW83" i="128"/>
  <c r="BS8" i="128"/>
  <c r="BT46" i="128"/>
  <c r="BX46" i="128"/>
  <c r="CW46" i="128"/>
  <c r="BS46" i="128"/>
  <c r="BS10" i="63"/>
  <c r="CX34" i="63"/>
  <c r="CX83" i="63"/>
  <c r="BS78" i="63"/>
  <c r="BS23" i="63"/>
  <c r="CX74" i="63"/>
  <c r="BT23" i="128"/>
  <c r="CW23" i="128"/>
  <c r="BS23" i="128"/>
  <c r="CX53" i="128"/>
  <c r="BV80" i="128"/>
  <c r="CY31" i="128"/>
  <c r="BV50" i="128"/>
  <c r="CY46" i="128"/>
  <c r="BV83" i="128"/>
  <c r="BT51" i="63"/>
  <c r="BX51" i="63"/>
  <c r="BS51" i="63"/>
  <c r="BV73" i="128"/>
  <c r="BX73" i="128"/>
  <c r="BT67" i="128"/>
  <c r="CW67" i="128"/>
  <c r="BS67" i="128"/>
  <c r="BV102" i="128"/>
  <c r="BT58" i="128"/>
  <c r="CW58" i="128"/>
  <c r="BS58" i="128"/>
  <c r="BS46" i="63"/>
  <c r="CW50" i="128"/>
  <c r="BS50" i="128"/>
  <c r="BT37" i="63"/>
  <c r="BX37" i="63"/>
  <c r="BV34" i="128"/>
  <c r="BU40" i="63"/>
  <c r="BX40" i="63"/>
  <c r="BT67" i="63"/>
  <c r="BX67" i="63"/>
  <c r="BS67" i="63"/>
  <c r="BX56" i="63"/>
  <c r="BT56" i="128"/>
  <c r="BS56" i="128"/>
  <c r="CW56" i="128"/>
  <c r="DA56" i="128"/>
  <c r="BU67" i="128"/>
  <c r="BU51" i="128"/>
  <c r="BX104" i="63"/>
  <c r="BU37" i="128"/>
  <c r="BX37" i="128"/>
  <c r="BS88" i="128"/>
  <c r="CW88" i="128"/>
  <c r="DA88" i="128"/>
  <c r="BW49" i="128"/>
  <c r="BS97" i="63"/>
  <c r="BX68" i="63"/>
  <c r="BT71" i="63"/>
  <c r="BX71" i="63"/>
  <c r="BS71" i="63"/>
  <c r="CX102" i="63"/>
  <c r="BT65" i="63"/>
  <c r="BX65" i="63"/>
  <c r="BX93" i="63"/>
  <c r="CX90" i="128"/>
  <c r="BT76" i="63"/>
  <c r="BX76" i="63"/>
  <c r="BS76" i="63"/>
  <c r="CX60" i="63"/>
  <c r="CW79" i="128"/>
  <c r="BS79" i="128"/>
  <c r="CX39" i="63"/>
  <c r="BV101" i="128"/>
  <c r="BV82" i="128"/>
  <c r="BV18" i="128"/>
  <c r="CX95" i="63"/>
  <c r="CY87" i="128"/>
  <c r="BT24" i="63"/>
  <c r="BX24" i="63"/>
  <c r="BS24" i="63"/>
  <c r="BV85" i="128"/>
  <c r="BU98" i="128"/>
  <c r="CW72" i="128"/>
  <c r="BS72" i="128"/>
  <c r="BV41" i="128"/>
  <c r="BT7" i="63"/>
  <c r="BX7" i="63"/>
  <c r="BS7" i="63"/>
  <c r="CX80" i="63"/>
  <c r="CX15" i="63"/>
  <c r="BX48" i="63"/>
  <c r="BT29" i="128"/>
  <c r="BS29" i="128"/>
  <c r="CW29" i="128"/>
  <c r="DA29" i="128"/>
  <c r="CZ37" i="128"/>
  <c r="BT13" i="63"/>
  <c r="BX13" i="63"/>
  <c r="BS13" i="63"/>
  <c r="BT68" i="128"/>
  <c r="CW68" i="128"/>
  <c r="DA68" i="128"/>
  <c r="BS68" i="128"/>
  <c r="BX85" i="63"/>
  <c r="CX105" i="63"/>
  <c r="CZ91" i="128"/>
  <c r="CX25" i="128"/>
  <c r="BT44" i="128"/>
  <c r="CW44" i="128"/>
  <c r="BS44" i="128"/>
  <c r="CX10" i="63"/>
  <c r="BT34" i="63"/>
  <c r="BX34" i="63"/>
  <c r="BS34" i="63"/>
  <c r="CX47" i="63"/>
  <c r="CX84" i="63"/>
  <c r="CX23" i="63"/>
  <c r="BX81" i="63"/>
  <c r="CX93" i="128"/>
  <c r="CZ58" i="128"/>
  <c r="CY47" i="128"/>
  <c r="BT16" i="63"/>
  <c r="BX16" i="63"/>
  <c r="BS16" i="63"/>
  <c r="BT29" i="63"/>
  <c r="BX29" i="63"/>
  <c r="BS29" i="63"/>
  <c r="CX51" i="63"/>
  <c r="BX46" i="63"/>
  <c r="BU15" i="128"/>
  <c r="BS22" i="128"/>
  <c r="CW22" i="128"/>
  <c r="DA22" i="128"/>
  <c r="CX12" i="63"/>
  <c r="BS77" i="63"/>
  <c r="CX67" i="63"/>
  <c r="BS26" i="63"/>
  <c r="BX10" i="63"/>
  <c r="BT39" i="128"/>
  <c r="CW39" i="128"/>
  <c r="DA39" i="128"/>
  <c r="BS39" i="128"/>
  <c r="BT86" i="128"/>
  <c r="CW86" i="128"/>
  <c r="BS86" i="128"/>
  <c r="CY67" i="128"/>
  <c r="CY79" i="128"/>
  <c r="CW74" i="128"/>
  <c r="BS74" i="128"/>
  <c r="BT92" i="128"/>
  <c r="CW92" i="128"/>
  <c r="DA92" i="128"/>
  <c r="BS92" i="128"/>
  <c r="CY21" i="128"/>
  <c r="BS49" i="63"/>
  <c r="CX71" i="63"/>
  <c r="BX102" i="63"/>
  <c r="BS72" i="63"/>
  <c r="BT95" i="128"/>
  <c r="BS95" i="128"/>
  <c r="CW95" i="128"/>
  <c r="DA95" i="128"/>
  <c r="CY30" i="128"/>
  <c r="CX93" i="63"/>
  <c r="CW26" i="128"/>
  <c r="BS26" i="128"/>
  <c r="BT31" i="128"/>
  <c r="BS31" i="128"/>
  <c r="CW31" i="128"/>
  <c r="DA15" i="128"/>
  <c r="CX97" i="128"/>
  <c r="CX6" i="63"/>
  <c r="BX100" i="63"/>
  <c r="CW38" i="128"/>
  <c r="BS38" i="128"/>
  <c r="CX69" i="63"/>
  <c r="BT80" i="63"/>
  <c r="BX80" i="63"/>
  <c r="BS80" i="63"/>
  <c r="BS58" i="63"/>
  <c r="BS15" i="63"/>
  <c r="BT11" i="128"/>
  <c r="BX11" i="128"/>
  <c r="BS11" i="128"/>
  <c r="BT45" i="128"/>
  <c r="BX45" i="128"/>
  <c r="BS45" i="128"/>
  <c r="CW45" i="128"/>
  <c r="CY93" i="128"/>
  <c r="CW60" i="128"/>
  <c r="BS60" i="128"/>
  <c r="BS96" i="63"/>
  <c r="CX99" i="63"/>
  <c r="BT25" i="128"/>
  <c r="BX25" i="128"/>
  <c r="BS25" i="128"/>
  <c r="CW25" i="128"/>
  <c r="BT94" i="128"/>
  <c r="BS94" i="128"/>
  <c r="CW94" i="128"/>
  <c r="CY38" i="128"/>
  <c r="BT7" i="128"/>
  <c r="BS7" i="128"/>
  <c r="CX40" i="63"/>
  <c r="BS69" i="128"/>
  <c r="CW69" i="128"/>
  <c r="CX52" i="63"/>
  <c r="BT51" i="128"/>
  <c r="BS51" i="128"/>
  <c r="CW51" i="128"/>
  <c r="DA51" i="128"/>
  <c r="CX35" i="128"/>
  <c r="BT12" i="128"/>
  <c r="BS12" i="128"/>
  <c r="CX37" i="63"/>
  <c r="BT22" i="128"/>
  <c r="BT12" i="63"/>
  <c r="BX12" i="63"/>
  <c r="BX96" i="63"/>
  <c r="CW57" i="128"/>
  <c r="BS57" i="128"/>
  <c r="BT82" i="128"/>
  <c r="CW82" i="128"/>
  <c r="BS82" i="128"/>
  <c r="BX10" i="128"/>
  <c r="CY72" i="128"/>
  <c r="CX99" i="128"/>
  <c r="BX33" i="63"/>
  <c r="CX104" i="63"/>
  <c r="BT54" i="63"/>
  <c r="BX54" i="63"/>
  <c r="BS54" i="63"/>
  <c r="BT90" i="128"/>
  <c r="BX90" i="128"/>
  <c r="CW90" i="128"/>
  <c r="BS90" i="128"/>
  <c r="CW48" i="128"/>
  <c r="DA48" i="128"/>
  <c r="BS48" i="128"/>
  <c r="BX40" i="128"/>
  <c r="BV21" i="128"/>
  <c r="CX49" i="63"/>
  <c r="BS38" i="63"/>
  <c r="BT42" i="128"/>
  <c r="BS42" i="128"/>
  <c r="CW42" i="128"/>
  <c r="DA42" i="128"/>
  <c r="BT26" i="128"/>
  <c r="CY103" i="128"/>
  <c r="BT15" i="128"/>
  <c r="BS15" i="128"/>
  <c r="BU97" i="128"/>
  <c r="BT6" i="63"/>
  <c r="BO107" i="63"/>
  <c r="BS6" i="63"/>
  <c r="BT102" i="128"/>
  <c r="CW102" i="128"/>
  <c r="DA102" i="128"/>
  <c r="BS102" i="128"/>
  <c r="BQ110" i="128"/>
  <c r="CX82" i="63"/>
  <c r="CY66" i="128"/>
  <c r="BT76" i="128"/>
  <c r="CW76" i="128"/>
  <c r="DA76" i="128"/>
  <c r="BS76" i="128"/>
  <c r="BS64" i="128"/>
  <c r="CW64" i="128"/>
  <c r="BT69" i="63"/>
  <c r="BX69" i="63"/>
  <c r="BS69" i="63"/>
  <c r="BX8" i="128"/>
  <c r="BT72" i="128"/>
  <c r="BX72" i="128"/>
  <c r="BT35" i="63"/>
  <c r="BX35" i="63"/>
  <c r="BS35" i="63"/>
  <c r="CX58" i="63"/>
  <c r="BT89" i="63"/>
  <c r="BX89" i="63"/>
  <c r="BS89" i="63"/>
  <c r="CY61" i="128"/>
  <c r="CX13" i="63"/>
  <c r="CX50" i="128"/>
  <c r="CX75" i="128"/>
  <c r="CX85" i="63"/>
  <c r="CX96" i="63"/>
  <c r="BX28" i="63"/>
  <c r="BT27" i="63"/>
  <c r="BX27" i="63"/>
  <c r="BS27" i="63"/>
  <c r="CX48" i="63"/>
  <c r="DA8" i="128"/>
  <c r="CY96" i="128"/>
  <c r="CY20" i="128"/>
  <c r="BT93" i="128"/>
  <c r="BX93" i="128"/>
  <c r="CW93" i="128"/>
  <c r="BS93" i="128"/>
  <c r="BU19" i="128"/>
  <c r="DA7" i="128"/>
  <c r="BS84" i="63"/>
  <c r="BT44" i="63"/>
  <c r="BX44" i="63"/>
  <c r="BS44" i="63"/>
  <c r="BT64" i="63"/>
  <c r="BX64" i="63"/>
  <c r="BS64" i="63"/>
  <c r="BT97" i="128"/>
  <c r="BS97" i="128"/>
  <c r="CW97" i="128"/>
  <c r="BV55" i="128"/>
  <c r="BU80" i="128"/>
  <c r="BT52" i="63"/>
  <c r="BX52" i="63"/>
  <c r="BS52" i="63"/>
  <c r="CY89" i="128"/>
  <c r="BV14" i="128"/>
  <c r="BS98" i="63"/>
  <c r="BS90" i="63"/>
  <c r="BT20" i="63"/>
  <c r="BX20" i="63"/>
  <c r="BS20" i="63"/>
  <c r="BX14" i="63"/>
  <c r="BU63" i="128"/>
  <c r="BS52" i="128"/>
  <c r="CW52" i="128"/>
  <c r="BS56" i="63"/>
  <c r="BV6" i="128"/>
  <c r="BQ107" i="128"/>
  <c r="BT81" i="128"/>
  <c r="BX81" i="128"/>
  <c r="BS81" i="128"/>
  <c r="CW81" i="128"/>
  <c r="DA9" i="128"/>
  <c r="BV54" i="128"/>
  <c r="CY37" i="128"/>
  <c r="CY23" i="128"/>
  <c r="BV12" i="128"/>
  <c r="CX7" i="63"/>
  <c r="CX61" i="128"/>
  <c r="BT62" i="128"/>
  <c r="CW62" i="128"/>
  <c r="BS62" i="128"/>
  <c r="BU99" i="128"/>
  <c r="BT31" i="63"/>
  <c r="BX31" i="63"/>
  <c r="BS31" i="63"/>
  <c r="BS104" i="63"/>
  <c r="BX36" i="63"/>
  <c r="CX54" i="63"/>
  <c r="CW35" i="128"/>
  <c r="BS35" i="128"/>
  <c r="BS41" i="128"/>
  <c r="CW41" i="128"/>
  <c r="DA41" i="128"/>
  <c r="CX40" i="128"/>
  <c r="BU96" i="128"/>
  <c r="BX96" i="128"/>
  <c r="CZ74" i="128"/>
  <c r="BU29" i="128"/>
  <c r="CX30" i="63"/>
  <c r="CX70" i="63"/>
  <c r="BV78" i="128"/>
  <c r="BT83" i="128"/>
  <c r="BS83" i="128"/>
  <c r="CW83" i="128"/>
  <c r="DA83" i="128"/>
  <c r="CX101" i="63"/>
  <c r="BS96" i="128"/>
  <c r="CW96" i="128"/>
  <c r="BN107" i="63"/>
  <c r="BS100" i="63"/>
  <c r="BW60" i="128"/>
  <c r="BS10" i="128"/>
  <c r="BS82" i="63"/>
  <c r="BT61" i="128"/>
  <c r="CW61" i="128"/>
  <c r="BS61" i="128"/>
  <c r="BT64" i="128"/>
  <c r="BX64" i="128"/>
  <c r="BU22" i="128"/>
  <c r="CX35" i="63"/>
  <c r="CX89" i="63"/>
  <c r="BV57" i="128"/>
  <c r="BX57" i="128"/>
  <c r="BT70" i="128"/>
  <c r="BS70" i="128"/>
  <c r="CW70" i="128"/>
  <c r="BW99" i="128"/>
  <c r="BW42" i="128"/>
  <c r="BS73" i="128"/>
  <c r="CW73" i="128"/>
  <c r="DA73" i="128"/>
  <c r="CY44" i="128"/>
  <c r="BU50" i="128"/>
  <c r="BV62" i="128"/>
  <c r="BS85" i="63"/>
  <c r="BS28" i="63"/>
  <c r="BT99" i="63"/>
  <c r="BX99" i="63"/>
  <c r="BS99" i="63"/>
  <c r="CX27" i="63"/>
  <c r="CX101" i="128"/>
  <c r="BW48" i="128"/>
  <c r="BV56" i="128"/>
  <c r="BU48" i="128"/>
  <c r="BS47" i="63"/>
  <c r="CX44" i="63"/>
  <c r="BT101" i="128"/>
  <c r="BS101" i="128"/>
  <c r="BQ109" i="128"/>
  <c r="CW101" i="128"/>
  <c r="CX55" i="63"/>
  <c r="BT63" i="63"/>
  <c r="BX63" i="63"/>
  <c r="BS63" i="63"/>
  <c r="BV29" i="128"/>
  <c r="BT9" i="128"/>
  <c r="BX9" i="128"/>
  <c r="BS9" i="128"/>
  <c r="BV88" i="128"/>
  <c r="BP107" i="63"/>
  <c r="BT77" i="128"/>
  <c r="CW77" i="128"/>
  <c r="DA77" i="128"/>
  <c r="BS77" i="128"/>
  <c r="BS62" i="63"/>
  <c r="BW36" i="128"/>
  <c r="DA13" i="128"/>
  <c r="CX72" i="128"/>
  <c r="BW44" i="128"/>
  <c r="BX92" i="63"/>
  <c r="CX31" i="63"/>
  <c r="BS93" i="63"/>
  <c r="BS87" i="128"/>
  <c r="CW87" i="128"/>
  <c r="CX21" i="63"/>
  <c r="CX43" i="128"/>
  <c r="CW27" i="128"/>
  <c r="BS27" i="128"/>
  <c r="BS99" i="128"/>
  <c r="CW99" i="128"/>
  <c r="CX8" i="63"/>
  <c r="CZ43" i="128"/>
  <c r="BV7" i="128"/>
  <c r="BU31" i="128"/>
  <c r="CZ57" i="128"/>
  <c r="BS80" i="128"/>
  <c r="CW80" i="128"/>
  <c r="DA80" i="128"/>
  <c r="CY25" i="128"/>
  <c r="CX100" i="63"/>
  <c r="BV76" i="128"/>
  <c r="BS68" i="63"/>
  <c r="CX59" i="63"/>
  <c r="CW32" i="128"/>
  <c r="BS32" i="128"/>
  <c r="BX79" i="63"/>
  <c r="CW63" i="128"/>
  <c r="DA63" i="128"/>
  <c r="BS63" i="128"/>
  <c r="BW23" i="128"/>
  <c r="BV91" i="128"/>
  <c r="BX91" i="128"/>
  <c r="BS37" i="128"/>
  <c r="CW37" i="128"/>
  <c r="BT24" i="128"/>
  <c r="BS24" i="128"/>
  <c r="CW24" i="128"/>
  <c r="CX28" i="63"/>
  <c r="CX76" i="63"/>
  <c r="DA16" i="128"/>
  <c r="BW6" i="128"/>
  <c r="BR107" i="128"/>
  <c r="BT84" i="128"/>
  <c r="BS84" i="128"/>
  <c r="CW84" i="128"/>
  <c r="BT47" i="128"/>
  <c r="BS47" i="128"/>
  <c r="CW47" i="128"/>
  <c r="BW75" i="128"/>
  <c r="BU76" i="128"/>
  <c r="BX78" i="63"/>
  <c r="CX60" i="128"/>
  <c r="BT49" i="128"/>
  <c r="BS49" i="128"/>
  <c r="CW49" i="128"/>
  <c r="CX86" i="128"/>
  <c r="BN107" i="128"/>
  <c r="BS33" i="128"/>
  <c r="CW33" i="128"/>
  <c r="CX55" i="128"/>
  <c r="BT105" i="128"/>
  <c r="CW105" i="128"/>
  <c r="DA105" i="128"/>
  <c r="BS105" i="128"/>
  <c r="BQ113" i="128"/>
  <c r="CX62" i="128"/>
  <c r="CX62" i="63"/>
  <c r="BT103" i="128"/>
  <c r="BS103" i="128"/>
  <c r="BQ111" i="128"/>
  <c r="CW103" i="128"/>
  <c r="BT34" i="128"/>
  <c r="BS34" i="128"/>
  <c r="CW34" i="128"/>
  <c r="DA34" i="128"/>
  <c r="BT66" i="128"/>
  <c r="BS66" i="128"/>
  <c r="CW66" i="128"/>
  <c r="BS13" i="128"/>
  <c r="BV6" i="63"/>
  <c r="BV107" i="63"/>
  <c r="BQ107" i="63"/>
  <c r="BT65" i="128"/>
  <c r="BS65" i="128"/>
  <c r="CW65" i="128"/>
  <c r="DA65" i="128"/>
  <c r="BT53" i="128"/>
  <c r="CW53" i="128"/>
  <c r="DA53" i="128"/>
  <c r="BS53" i="128"/>
  <c r="BT50" i="63"/>
  <c r="BX50" i="63"/>
  <c r="BS50" i="63"/>
  <c r="BT18" i="63"/>
  <c r="BX18" i="63"/>
  <c r="BS18" i="63"/>
  <c r="BT18" i="128"/>
  <c r="CW18" i="128"/>
  <c r="DA18" i="128"/>
  <c r="BS18" i="128"/>
  <c r="BS21" i="63"/>
  <c r="CW30" i="128"/>
  <c r="BS30" i="128"/>
  <c r="CY49" i="128"/>
  <c r="BT91" i="63"/>
  <c r="BX91" i="63"/>
  <c r="BS91" i="63"/>
  <c r="BX55" i="63"/>
  <c r="BT70" i="63"/>
  <c r="BX70" i="63"/>
  <c r="BS70" i="63"/>
  <c r="BT88" i="63"/>
  <c r="BX88" i="63"/>
  <c r="BS88" i="63"/>
  <c r="CX103" i="63"/>
  <c r="BS101" i="63"/>
  <c r="BT59" i="128"/>
  <c r="CW59" i="128"/>
  <c r="DA59" i="128"/>
  <c r="BS59" i="128"/>
  <c r="BT100" i="128"/>
  <c r="BX100" i="128"/>
  <c r="CW100" i="128"/>
  <c r="BS100" i="128"/>
  <c r="CX14" i="63"/>
  <c r="BX82" i="63"/>
  <c r="BS32" i="63"/>
  <c r="DA10" i="128"/>
  <c r="CY52" i="128"/>
  <c r="CZ93" i="128"/>
  <c r="CX9" i="63"/>
  <c r="BX38" i="63"/>
  <c r="BS59" i="63"/>
  <c r="CY90" i="128"/>
  <c r="BS87" i="63"/>
  <c r="CY32" i="128"/>
  <c r="CX82" i="128"/>
  <c r="CX45" i="63"/>
  <c r="CX11" i="63"/>
  <c r="BS48" i="63"/>
  <c r="BS16" i="128"/>
  <c r="CX42" i="63"/>
  <c r="BX83" i="63"/>
  <c r="CX78" i="63"/>
  <c r="BX60" i="63"/>
  <c r="BU49" i="128"/>
  <c r="CX52" i="128"/>
  <c r="CW78" i="128"/>
  <c r="DA78" i="128"/>
  <c r="BS78" i="128"/>
  <c r="BT6" i="128"/>
  <c r="BO107" i="128"/>
  <c r="BS6" i="128"/>
  <c r="BS55" i="63"/>
  <c r="BT41" i="63"/>
  <c r="BX41" i="63"/>
  <c r="BT33" i="128"/>
  <c r="CW98" i="128"/>
  <c r="DA98" i="128"/>
  <c r="BS98" i="128"/>
  <c r="BT55" i="128"/>
  <c r="BS55" i="128"/>
  <c r="CW55" i="128"/>
  <c r="CY64" i="128"/>
  <c r="BT77" i="63"/>
  <c r="BX77" i="63"/>
  <c r="CY86" i="128"/>
  <c r="BT19" i="128"/>
  <c r="CW19" i="128"/>
  <c r="DA19" i="128"/>
  <c r="BS19" i="128"/>
  <c r="BT94" i="63"/>
  <c r="BX94" i="63"/>
  <c r="CX50" i="63"/>
  <c r="CX18" i="63"/>
  <c r="CX17" i="63"/>
  <c r="BU70" i="128"/>
  <c r="BT21" i="63"/>
  <c r="BX21" i="63"/>
  <c r="BT28" i="128"/>
  <c r="BS28" i="128"/>
  <c r="CW28" i="128"/>
  <c r="BT21" i="128"/>
  <c r="BS21" i="128"/>
  <c r="CW21" i="128"/>
  <c r="CX97" i="63"/>
  <c r="BS102" i="63"/>
  <c r="CX88" i="63"/>
  <c r="CX36" i="63"/>
  <c r="CX92" i="63"/>
  <c r="BU84" i="128"/>
  <c r="CW104" i="128"/>
  <c r="DA104" i="128"/>
  <c r="BS104" i="128"/>
  <c r="BQ112" i="128"/>
  <c r="BS14" i="63"/>
  <c r="CY69" i="128"/>
  <c r="BT53" i="63"/>
  <c r="BX53" i="63"/>
  <c r="BS53" i="63"/>
  <c r="BT19" i="63"/>
  <c r="BX19" i="63"/>
  <c r="BS19" i="63"/>
  <c r="CX32" i="63"/>
  <c r="BS60" i="63"/>
  <c r="CW91" i="128"/>
  <c r="BS91" i="128"/>
  <c r="BW14" i="128"/>
  <c r="BU7" i="128"/>
  <c r="BS75" i="128"/>
  <c r="CW75" i="128"/>
  <c r="CX68" i="63"/>
  <c r="BT9" i="63"/>
  <c r="BX9" i="63"/>
  <c r="BS9" i="63"/>
  <c r="BT15" i="63"/>
  <c r="BX15" i="63"/>
  <c r="CX94" i="128"/>
  <c r="CX79" i="128"/>
  <c r="CX87" i="63"/>
  <c r="CX79" i="63"/>
  <c r="BU82" i="128"/>
  <c r="CW40" i="128"/>
  <c r="BS40" i="128"/>
  <c r="BT17" i="128"/>
  <c r="BX17" i="128"/>
  <c r="BS17" i="128"/>
  <c r="BX47" i="63"/>
  <c r="CX33" i="63"/>
  <c r="BT11" i="63"/>
  <c r="BX11" i="63"/>
  <c r="BS11" i="63"/>
  <c r="BX105" i="63"/>
  <c r="CX33" i="128"/>
  <c r="BU12" i="128"/>
  <c r="BT16" i="128"/>
  <c r="CY27" i="128"/>
  <c r="CY26" i="128"/>
  <c r="BS42" i="63"/>
  <c r="BS83" i="63"/>
  <c r="BT74" i="63"/>
  <c r="BX74" i="63"/>
  <c r="BS74" i="63"/>
  <c r="E22" i="123"/>
  <c r="Q22" i="123"/>
  <c r="R22" i="123"/>
  <c r="T22" i="123"/>
  <c r="AB26" i="123"/>
  <c r="E25" i="123"/>
  <c r="AB25" i="123"/>
  <c r="AB30" i="123"/>
  <c r="AB28" i="123"/>
  <c r="AB34" i="123"/>
  <c r="N15" i="123"/>
  <c r="P15" i="123"/>
  <c r="D15" i="123"/>
  <c r="AB33" i="123"/>
  <c r="AB32" i="123"/>
  <c r="AB31" i="123"/>
  <c r="AB29" i="123"/>
  <c r="AB27" i="123"/>
  <c r="N5" i="123"/>
  <c r="P5" i="123"/>
  <c r="D5" i="123"/>
  <c r="C15" i="123"/>
  <c r="N4" i="123"/>
  <c r="P4" i="123"/>
  <c r="D4" i="123"/>
  <c r="C5" i="123"/>
  <c r="N18" i="123"/>
  <c r="P18" i="123"/>
  <c r="C4" i="123"/>
  <c r="G48" i="61"/>
  <c r="H48" i="61"/>
  <c r="I48" i="61"/>
  <c r="N28" i="123"/>
  <c r="P28" i="123"/>
  <c r="N12" i="123"/>
  <c r="P12" i="123"/>
  <c r="Q12" i="123"/>
  <c r="R12" i="123"/>
  <c r="T12" i="123"/>
  <c r="E6" i="123"/>
  <c r="Q16" i="123"/>
  <c r="R16" i="123"/>
  <c r="T16" i="123"/>
  <c r="P14" i="123"/>
  <c r="E14" i="123"/>
  <c r="C26" i="123"/>
  <c r="E16" i="123"/>
  <c r="N11" i="123"/>
  <c r="P11" i="123"/>
  <c r="N29" i="123"/>
  <c r="P29" i="123"/>
  <c r="C20" i="123"/>
  <c r="P8" i="123"/>
  <c r="E8" i="123"/>
  <c r="N24" i="123"/>
  <c r="P24" i="123"/>
  <c r="D24" i="123"/>
  <c r="C24" i="123"/>
  <c r="C9" i="123"/>
  <c r="N9" i="123"/>
  <c r="P9" i="123"/>
  <c r="D9" i="123"/>
  <c r="N20" i="123"/>
  <c r="P20" i="123"/>
  <c r="D20" i="123"/>
  <c r="Q25" i="123"/>
  <c r="R25" i="123"/>
  <c r="T25" i="123"/>
  <c r="D25" i="123"/>
  <c r="D6" i="123"/>
  <c r="Q6" i="123"/>
  <c r="R6" i="123"/>
  <c r="T6" i="123"/>
  <c r="P23" i="123"/>
  <c r="E23" i="123"/>
  <c r="E32" i="123"/>
  <c r="P32" i="123"/>
  <c r="M34" i="123"/>
  <c r="M35" i="123"/>
  <c r="P19" i="123"/>
  <c r="E19" i="123"/>
  <c r="C26" i="66"/>
  <c r="M28" i="66"/>
  <c r="N27" i="66"/>
  <c r="E16" i="66"/>
  <c r="K19" i="66"/>
  <c r="M21" i="66"/>
  <c r="L8" i="66"/>
  <c r="M6" i="66"/>
  <c r="S13" i="66"/>
  <c r="L12" i="66"/>
  <c r="F11" i="66"/>
  <c r="T6" i="66"/>
  <c r="D20" i="66"/>
  <c r="O7" i="66"/>
  <c r="S26" i="66"/>
  <c r="J25" i="66"/>
  <c r="K26" i="66"/>
  <c r="V17" i="66"/>
  <c r="M19" i="66"/>
  <c r="R26" i="66"/>
  <c r="R29" i="66"/>
  <c r="R4" i="66"/>
  <c r="S11" i="66"/>
  <c r="R22" i="66"/>
  <c r="J8" i="66"/>
  <c r="G9" i="66"/>
  <c r="G29" i="66"/>
  <c r="M18" i="66"/>
  <c r="G10" i="66"/>
  <c r="S20" i="66"/>
  <c r="O20" i="66"/>
  <c r="Q24" i="66"/>
  <c r="D12" i="66"/>
  <c r="U16" i="66"/>
  <c r="L20" i="66"/>
  <c r="E19" i="66"/>
  <c r="F17" i="66"/>
  <c r="G25" i="66"/>
  <c r="Q29" i="66"/>
  <c r="C25" i="66"/>
  <c r="U19" i="66"/>
  <c r="J20" i="66"/>
  <c r="S14" i="66"/>
  <c r="N10" i="66"/>
  <c r="K23" i="66"/>
  <c r="H6" i="66"/>
  <c r="R21" i="66"/>
  <c r="D14" i="66"/>
  <c r="K9" i="66"/>
  <c r="H23" i="119"/>
  <c r="N5" i="66"/>
  <c r="R24" i="66"/>
  <c r="N14" i="66"/>
  <c r="D11" i="66"/>
  <c r="U4" i="66"/>
  <c r="M7" i="66"/>
  <c r="H30" i="119"/>
  <c r="C15" i="66"/>
  <c r="O28" i="66"/>
  <c r="H26" i="66"/>
  <c r="O24" i="66"/>
  <c r="N24" i="66"/>
  <c r="H19" i="66"/>
  <c r="J29" i="66"/>
  <c r="T8" i="66"/>
  <c r="K6" i="66"/>
  <c r="U30" i="66"/>
  <c r="D22" i="66"/>
  <c r="M27" i="66"/>
  <c r="M15" i="66"/>
  <c r="H38" i="119"/>
  <c r="H30" i="66"/>
  <c r="E6" i="66"/>
  <c r="D7" i="66"/>
  <c r="Q16" i="66"/>
  <c r="S9" i="66"/>
  <c r="S23" i="66"/>
  <c r="K7" i="66"/>
  <c r="L19" i="66"/>
  <c r="E5" i="66"/>
  <c r="Q11" i="66"/>
  <c r="F21" i="66"/>
  <c r="H11" i="119"/>
  <c r="F16" i="66"/>
  <c r="H12" i="119"/>
  <c r="R15" i="66"/>
  <c r="J14" i="66"/>
  <c r="H35" i="119"/>
  <c r="H16" i="119"/>
  <c r="D28" i="66"/>
  <c r="F20" i="66"/>
  <c r="O12" i="66"/>
  <c r="J7" i="66"/>
  <c r="R16" i="66"/>
  <c r="E29" i="66"/>
  <c r="E9" i="66"/>
  <c r="O6" i="66"/>
  <c r="H14" i="119"/>
  <c r="V9" i="66"/>
  <c r="C11" i="66"/>
  <c r="D9" i="66"/>
  <c r="J19" i="66"/>
  <c r="F9" i="66"/>
  <c r="N8" i="66"/>
  <c r="T7" i="66"/>
  <c r="L24" i="66"/>
  <c r="U15" i="66"/>
  <c r="S22" i="66"/>
  <c r="Q10" i="66"/>
  <c r="D17" i="66"/>
  <c r="H24" i="119"/>
  <c r="F22" i="66"/>
  <c r="F6" i="66"/>
  <c r="S19" i="66"/>
  <c r="V19" i="66"/>
  <c r="L18" i="66"/>
  <c r="V13" i="66"/>
  <c r="M11" i="66"/>
  <c r="H32" i="119"/>
  <c r="M25" i="66"/>
  <c r="Q5" i="66"/>
  <c r="H22" i="119"/>
  <c r="K14" i="66"/>
  <c r="J18" i="66"/>
  <c r="T17" i="66"/>
  <c r="J24" i="66"/>
  <c r="D23" i="66"/>
  <c r="D30" i="66"/>
  <c r="Q15" i="66"/>
  <c r="C30" i="66"/>
  <c r="D18" i="66"/>
  <c r="V6" i="66"/>
  <c r="N6" i="66"/>
  <c r="H24" i="66"/>
  <c r="N16" i="66"/>
  <c r="J9" i="66"/>
  <c r="S15" i="66"/>
  <c r="O15" i="66"/>
  <c r="U23" i="66"/>
  <c r="C17" i="66"/>
  <c r="N15" i="66"/>
  <c r="Q7" i="66"/>
  <c r="Q6" i="66"/>
  <c r="G20" i="66"/>
  <c r="S10" i="66"/>
  <c r="H10" i="66"/>
  <c r="G14" i="66"/>
  <c r="G19" i="66"/>
  <c r="L22" i="66"/>
  <c r="L21" i="66"/>
  <c r="Q13" i="66"/>
  <c r="F13" i="66"/>
  <c r="Q8" i="66"/>
  <c r="R20" i="66"/>
  <c r="T19" i="66"/>
  <c r="J10" i="66"/>
  <c r="H25" i="66"/>
  <c r="C13" i="66"/>
  <c r="O29" i="66"/>
  <c r="L11" i="66"/>
  <c r="E17" i="66"/>
  <c r="K17" i="66"/>
  <c r="Q9" i="66"/>
  <c r="Q30" i="66"/>
  <c r="O23" i="66"/>
  <c r="S7" i="66"/>
  <c r="N26" i="66"/>
  <c r="U18" i="66"/>
  <c r="K20" i="66"/>
  <c r="H8" i="66"/>
  <c r="D16" i="66"/>
  <c r="D29" i="66"/>
  <c r="H14" i="66"/>
  <c r="S8" i="66"/>
  <c r="R27" i="66"/>
  <c r="U5" i="66"/>
  <c r="V18" i="66"/>
  <c r="M13" i="66"/>
  <c r="M9" i="66"/>
  <c r="H12" i="66"/>
  <c r="V24" i="66"/>
  <c r="S21" i="66"/>
  <c r="L13" i="66"/>
  <c r="C8" i="66"/>
  <c r="T30" i="66"/>
  <c r="G7" i="66"/>
  <c r="T27" i="66"/>
  <c r="R6" i="66"/>
  <c r="C28" i="66"/>
  <c r="H31" i="119"/>
  <c r="Q12" i="66"/>
  <c r="L7" i="66"/>
  <c r="S30" i="66"/>
  <c r="M16" i="66"/>
  <c r="H34" i="119"/>
  <c r="D21" i="66"/>
  <c r="Q22" i="66"/>
  <c r="C18" i="66"/>
  <c r="T9" i="66"/>
  <c r="V27" i="66"/>
  <c r="O26" i="66"/>
  <c r="U11" i="66"/>
  <c r="V8" i="66"/>
  <c r="N19" i="66"/>
  <c r="G5" i="66"/>
  <c r="E23" i="66"/>
  <c r="Q26" i="66"/>
  <c r="H13" i="66"/>
  <c r="D25" i="66"/>
  <c r="R28" i="66"/>
  <c r="M22" i="66"/>
  <c r="C12" i="66"/>
  <c r="G23" i="66"/>
  <c r="J12" i="66"/>
  <c r="L16" i="66"/>
  <c r="Q4" i="66"/>
  <c r="U24" i="66"/>
  <c r="O5" i="66"/>
  <c r="E15" i="66"/>
  <c r="H27" i="119"/>
  <c r="F14" i="66"/>
  <c r="K11" i="66"/>
  <c r="F18" i="66"/>
  <c r="H17" i="66"/>
  <c r="K10" i="66"/>
  <c r="L9" i="66"/>
  <c r="H15" i="66"/>
  <c r="Q17" i="66"/>
  <c r="H36" i="119"/>
  <c r="V15" i="66"/>
  <c r="S29" i="66"/>
  <c r="N9" i="66"/>
  <c r="V30" i="66"/>
  <c r="S24" i="66"/>
  <c r="J16" i="66"/>
  <c r="Q14" i="66"/>
  <c r="S16" i="66"/>
  <c r="V28" i="66"/>
  <c r="R30" i="66"/>
  <c r="F8" i="66"/>
  <c r="K25" i="66"/>
  <c r="F24" i="66"/>
  <c r="D27" i="66"/>
  <c r="C22" i="66"/>
  <c r="K24" i="66"/>
  <c r="L14" i="66"/>
  <c r="Q21" i="66"/>
  <c r="H7" i="66"/>
  <c r="T20" i="66"/>
  <c r="M20" i="66"/>
  <c r="L29" i="66"/>
  <c r="G8" i="66"/>
  <c r="L6" i="66"/>
  <c r="H21" i="119"/>
  <c r="H22" i="66"/>
  <c r="K27" i="66"/>
  <c r="N7" i="66"/>
  <c r="M8" i="66"/>
  <c r="E11" i="66"/>
  <c r="R13" i="66"/>
  <c r="S6" i="66"/>
  <c r="R25" i="66"/>
  <c r="R12" i="66"/>
  <c r="M17" i="66"/>
  <c r="L23" i="66"/>
  <c r="K16" i="66"/>
  <c r="U20" i="66"/>
  <c r="C24" i="66"/>
  <c r="K15" i="66"/>
  <c r="M5" i="66"/>
  <c r="H25" i="119"/>
  <c r="H18" i="66"/>
  <c r="T16" i="66"/>
  <c r="G21" i="66"/>
  <c r="O21" i="66"/>
  <c r="E20" i="66"/>
  <c r="N28" i="66"/>
  <c r="M10" i="66"/>
  <c r="S28" i="66"/>
  <c r="N21" i="66"/>
  <c r="H10" i="119"/>
  <c r="O11" i="66"/>
  <c r="R11" i="66"/>
  <c r="O25" i="66"/>
  <c r="Q28" i="66"/>
  <c r="T26" i="66"/>
  <c r="H29" i="119"/>
  <c r="O27" i="66"/>
  <c r="E24" i="66"/>
  <c r="C6" i="66"/>
  <c r="H27" i="66"/>
  <c r="Q19" i="66"/>
  <c r="E27" i="66"/>
  <c r="J27" i="66"/>
  <c r="H15" i="119"/>
  <c r="M12" i="66"/>
  <c r="N30" i="66"/>
  <c r="C21" i="66"/>
  <c r="R14" i="66"/>
  <c r="D24" i="66"/>
  <c r="M26" i="66"/>
  <c r="U28" i="66"/>
  <c r="G27" i="66"/>
  <c r="J26" i="66"/>
  <c r="H11" i="66"/>
  <c r="L17" i="66"/>
  <c r="N11" i="66"/>
  <c r="F28" i="66"/>
  <c r="G4" i="66"/>
  <c r="C20" i="66"/>
  <c r="U21" i="66"/>
  <c r="J15" i="66"/>
  <c r="U10" i="66"/>
  <c r="D4" i="66"/>
  <c r="S12" i="66"/>
  <c r="Q25" i="66"/>
  <c r="E28" i="66"/>
  <c r="K29" i="66"/>
  <c r="J17" i="66"/>
  <c r="H28" i="66"/>
  <c r="K13" i="66"/>
  <c r="U14" i="66"/>
  <c r="C7" i="66"/>
  <c r="H4" i="66"/>
  <c r="R8" i="66"/>
  <c r="F30" i="66"/>
  <c r="E4" i="66"/>
  <c r="V12" i="66"/>
  <c r="S18" i="66"/>
  <c r="N17" i="66"/>
  <c r="F29" i="66"/>
  <c r="V29" i="66"/>
  <c r="Q23" i="66"/>
  <c r="H20" i="66"/>
  <c r="F26" i="66"/>
  <c r="T22" i="66"/>
  <c r="G18" i="66"/>
  <c r="J13" i="66"/>
  <c r="L5" i="66"/>
  <c r="L30" i="66"/>
  <c r="K21" i="66"/>
  <c r="O8" i="66"/>
  <c r="J5" i="66"/>
  <c r="H17" i="119"/>
  <c r="G12" i="66"/>
  <c r="T24" i="66"/>
  <c r="O22" i="66"/>
  <c r="U25" i="66"/>
  <c r="E7" i="66"/>
  <c r="C27" i="66"/>
  <c r="E14" i="66"/>
  <c r="N12" i="66"/>
  <c r="H19" i="119"/>
  <c r="J6" i="66"/>
  <c r="O30" i="66"/>
  <c r="K5" i="66"/>
  <c r="H9" i="66"/>
  <c r="N20" i="66"/>
  <c r="V25" i="66"/>
  <c r="O4" i="66"/>
  <c r="N13" i="66"/>
  <c r="E21" i="66"/>
  <c r="J11" i="66"/>
  <c r="C10" i="66"/>
  <c r="T5" i="66"/>
  <c r="H37" i="119"/>
  <c r="E22" i="66"/>
  <c r="T12" i="66"/>
  <c r="G16" i="66"/>
  <c r="U17" i="66"/>
  <c r="O18" i="66"/>
  <c r="R18" i="66"/>
  <c r="J28" i="66"/>
  <c r="H13" i="119"/>
  <c r="R9" i="66"/>
  <c r="C29" i="66"/>
  <c r="D5" i="66"/>
  <c r="F12" i="66"/>
  <c r="T25" i="66"/>
  <c r="E25" i="66"/>
  <c r="J21" i="66"/>
  <c r="T21" i="66"/>
  <c r="L28" i="66"/>
  <c r="C5" i="66"/>
  <c r="C14" i="66"/>
  <c r="S25" i="66"/>
  <c r="H33" i="119"/>
  <c r="H40" i="119"/>
  <c r="J23" i="66"/>
  <c r="H5" i="66"/>
  <c r="T11" i="66"/>
  <c r="T29" i="66"/>
  <c r="O10" i="66"/>
  <c r="M29" i="66"/>
  <c r="H26" i="119"/>
  <c r="V7" i="66"/>
  <c r="V26" i="66"/>
  <c r="G15" i="66"/>
  <c r="H29" i="66"/>
  <c r="Q18" i="66"/>
  <c r="N18" i="66"/>
  <c r="C16" i="66"/>
  <c r="O17" i="66"/>
  <c r="S27" i="66"/>
  <c r="F4" i="66"/>
  <c r="H20" i="119"/>
  <c r="U27" i="66"/>
  <c r="R5" i="66"/>
  <c r="O13" i="66"/>
  <c r="L25" i="66"/>
  <c r="G13" i="66"/>
  <c r="L26" i="66"/>
  <c r="U29" i="66"/>
  <c r="Q20" i="66"/>
  <c r="F15" i="66"/>
  <c r="G11" i="66"/>
  <c r="E26" i="66"/>
  <c r="U22" i="66"/>
  <c r="D6" i="66"/>
  <c r="R17" i="66"/>
  <c r="F23" i="66"/>
  <c r="T4" i="66"/>
  <c r="U6" i="66"/>
  <c r="V4" i="66"/>
  <c r="D8" i="66"/>
  <c r="R19" i="66"/>
  <c r="J4" i="66"/>
  <c r="V22" i="66"/>
  <c r="V16" i="66"/>
  <c r="E30" i="66"/>
  <c r="J22" i="66"/>
  <c r="D19" i="66"/>
  <c r="T10" i="66"/>
  <c r="T14" i="66"/>
  <c r="D15" i="66"/>
  <c r="V20" i="66"/>
  <c r="M4" i="66"/>
  <c r="T13" i="66"/>
  <c r="D10" i="66"/>
  <c r="F25" i="66"/>
  <c r="S17" i="66"/>
  <c r="H21" i="66"/>
  <c r="L15" i="66"/>
  <c r="M14" i="66"/>
  <c r="V10" i="66"/>
  <c r="F19" i="66"/>
  <c r="K8" i="66"/>
  <c r="O16" i="66"/>
  <c r="V21" i="66"/>
  <c r="N25" i="66"/>
  <c r="T28" i="66"/>
  <c r="H18" i="119"/>
  <c r="G26" i="66"/>
  <c r="S5" i="66"/>
  <c r="H16" i="66"/>
  <c r="G6" i="66"/>
  <c r="U13" i="66"/>
  <c r="V11" i="66"/>
  <c r="L10" i="66"/>
  <c r="N4" i="66"/>
  <c r="T15" i="66"/>
  <c r="D26" i="66"/>
  <c r="E8" i="66"/>
  <c r="O19" i="66"/>
  <c r="N23" i="66"/>
  <c r="U9" i="66"/>
  <c r="E10" i="66"/>
  <c r="U8" i="66"/>
  <c r="G22" i="66"/>
  <c r="D13" i="66"/>
  <c r="C23" i="66"/>
  <c r="U12" i="66"/>
  <c r="R10" i="66"/>
  <c r="U26" i="66"/>
  <c r="U7" i="66"/>
  <c r="H23" i="66"/>
  <c r="L4" i="66"/>
  <c r="Q27" i="66"/>
  <c r="K22" i="66"/>
  <c r="O9" i="66"/>
  <c r="R7" i="66"/>
  <c r="C4" i="66"/>
  <c r="C19" i="66"/>
  <c r="K30" i="66"/>
  <c r="E12" i="66"/>
  <c r="S4" i="66"/>
  <c r="N22" i="66"/>
  <c r="K18" i="66"/>
  <c r="M24" i="66"/>
  <c r="N29" i="66"/>
  <c r="V14" i="66"/>
  <c r="K12" i="66"/>
  <c r="V5" i="66"/>
  <c r="E13" i="66"/>
  <c r="G30" i="66"/>
  <c r="M30" i="66"/>
  <c r="F27" i="66"/>
  <c r="K28" i="66"/>
  <c r="F5" i="66"/>
  <c r="E18" i="66"/>
  <c r="R23" i="66"/>
  <c r="T18" i="66"/>
  <c r="J30" i="66"/>
  <c r="C9" i="66"/>
  <c r="L27" i="66"/>
  <c r="F7" i="66"/>
  <c r="H28" i="119"/>
  <c r="T23" i="66"/>
  <c r="V23" i="66"/>
  <c r="F10" i="66"/>
  <c r="G24" i="66"/>
  <c r="G28" i="66"/>
  <c r="M23" i="66"/>
  <c r="H39" i="119"/>
  <c r="G17" i="66"/>
  <c r="O14" i="66"/>
  <c r="K4" i="66"/>
  <c r="E50" i="60"/>
  <c r="F50" i="60"/>
  <c r="D32" i="66"/>
  <c r="AA20" i="66"/>
  <c r="AA9" i="66"/>
  <c r="W16" i="66"/>
  <c r="Z16" i="66"/>
  <c r="Z26" i="66"/>
  <c r="W26" i="66"/>
  <c r="C32" i="66"/>
  <c r="W8" i="66"/>
  <c r="Z8" i="66"/>
  <c r="Z28" i="66"/>
  <c r="W28" i="66"/>
  <c r="AA23" i="66"/>
  <c r="AA27" i="66"/>
  <c r="W22" i="66"/>
  <c r="Z22" i="66"/>
  <c r="W27" i="66"/>
  <c r="Z27" i="66"/>
  <c r="AA22" i="66"/>
  <c r="W24" i="66"/>
  <c r="Z24" i="66"/>
  <c r="Z18" i="66"/>
  <c r="W18" i="66"/>
  <c r="Z19" i="66"/>
  <c r="W19" i="66"/>
  <c r="AA19" i="66"/>
  <c r="G32" i="66"/>
  <c r="AA26" i="66"/>
  <c r="M32" i="66"/>
  <c r="AA6" i="66"/>
  <c r="AA14" i="66"/>
  <c r="Z13" i="66"/>
  <c r="W13" i="66"/>
  <c r="W20" i="66"/>
  <c r="Z20" i="66"/>
  <c r="Z23" i="66"/>
  <c r="W23" i="66"/>
  <c r="W9" i="66"/>
  <c r="Z9" i="66"/>
  <c r="W29" i="66"/>
  <c r="Z29" i="66"/>
  <c r="AA11" i="66"/>
  <c r="F32" i="66"/>
  <c r="L32" i="66"/>
  <c r="H32" i="66"/>
  <c r="AA4" i="66"/>
  <c r="S32" i="66"/>
  <c r="W6" i="66"/>
  <c r="Z6" i="66"/>
  <c r="AA21" i="66"/>
  <c r="AA7" i="66"/>
  <c r="AA30" i="66"/>
  <c r="AA15" i="66"/>
  <c r="AA17" i="66"/>
  <c r="Z17" i="66"/>
  <c r="W17" i="66"/>
  <c r="AA5" i="66"/>
  <c r="Z25" i="66"/>
  <c r="W25" i="66"/>
  <c r="W11" i="66"/>
  <c r="Z11" i="66"/>
  <c r="T32" i="66"/>
  <c r="AA8" i="66"/>
  <c r="R32" i="66"/>
  <c r="AA25" i="66"/>
  <c r="U32" i="66"/>
  <c r="AA18" i="66"/>
  <c r="N32" i="66"/>
  <c r="W7" i="66"/>
  <c r="Z7" i="66"/>
  <c r="W21" i="66"/>
  <c r="Z21" i="66"/>
  <c r="Z4" i="66"/>
  <c r="W4" i="66"/>
  <c r="Q32" i="66"/>
  <c r="AA28" i="66"/>
  <c r="AA29" i="66"/>
  <c r="W15" i="66"/>
  <c r="Z15" i="66"/>
  <c r="K32" i="66"/>
  <c r="AA13" i="66"/>
  <c r="AA12" i="66"/>
  <c r="Z14" i="66"/>
  <c r="W14" i="66"/>
  <c r="AA10" i="66"/>
  <c r="Z10" i="66"/>
  <c r="W10" i="66"/>
  <c r="J32" i="66"/>
  <c r="V32" i="66"/>
  <c r="W5" i="66"/>
  <c r="Z5" i="66"/>
  <c r="AA24" i="66"/>
  <c r="E32" i="66"/>
  <c r="AA16" i="66"/>
  <c r="Z30" i="66"/>
  <c r="W30" i="66"/>
  <c r="Z12" i="66"/>
  <c r="W12" i="66"/>
  <c r="E47" i="60"/>
  <c r="F47" i="60"/>
  <c r="G47" i="60"/>
  <c r="D52" i="60"/>
  <c r="C2" i="121"/>
  <c r="C4" i="121"/>
  <c r="F3" i="146"/>
  <c r="F50" i="61"/>
  <c r="D50" i="61"/>
  <c r="A24" i="125"/>
  <c r="A14" i="126"/>
  <c r="AF14" i="126"/>
  <c r="E50" i="61"/>
  <c r="Q36" i="137"/>
  <c r="E37" i="137"/>
  <c r="Q32" i="137"/>
  <c r="E27" i="137"/>
  <c r="K30" i="140"/>
  <c r="Q27" i="137"/>
  <c r="J30" i="140"/>
  <c r="I36" i="137"/>
  <c r="Q34" i="137"/>
  <c r="Q35" i="137"/>
  <c r="I34" i="137"/>
  <c r="I35" i="137"/>
  <c r="E34" i="137"/>
  <c r="E35" i="137"/>
  <c r="I32" i="137"/>
  <c r="I37" i="137"/>
  <c r="Q18" i="137"/>
  <c r="I18" i="137"/>
  <c r="E20" i="137"/>
  <c r="I20" i="137"/>
  <c r="Q19" i="137"/>
  <c r="E36" i="137"/>
  <c r="I31" i="137"/>
  <c r="U18" i="137"/>
  <c r="U19" i="137"/>
  <c r="Q31" i="137"/>
  <c r="I30" i="137"/>
  <c r="Q37" i="137"/>
  <c r="Q30" i="137"/>
  <c r="U36" i="137"/>
  <c r="U37" i="137"/>
  <c r="I19" i="137"/>
  <c r="Q20" i="137"/>
  <c r="U32" i="137"/>
  <c r="U31" i="137"/>
  <c r="J31" i="140"/>
  <c r="K31" i="140"/>
  <c r="D19" i="136"/>
  <c r="D50" i="140"/>
  <c r="D39" i="60"/>
  <c r="E39" i="60"/>
  <c r="F39" i="60"/>
  <c r="AM18" i="128"/>
  <c r="C21" i="136"/>
  <c r="C20" i="136"/>
  <c r="C22" i="136"/>
  <c r="BX88" i="128"/>
  <c r="BX59" i="128"/>
  <c r="BX80" i="128"/>
  <c r="BX86" i="128"/>
  <c r="Q27" i="130"/>
  <c r="R27" i="130"/>
  <c r="T27" i="130"/>
  <c r="D21" i="123"/>
  <c r="Q14" i="132"/>
  <c r="R14" i="132"/>
  <c r="T14" i="132"/>
  <c r="P2" i="130"/>
  <c r="D2" i="130"/>
  <c r="I6" i="137"/>
  <c r="Q20" i="130"/>
  <c r="R20" i="130"/>
  <c r="T20" i="130"/>
  <c r="Q12" i="129"/>
  <c r="R12" i="129"/>
  <c r="T12" i="129"/>
  <c r="E10" i="129"/>
  <c r="G13" i="137"/>
  <c r="E25" i="131"/>
  <c r="S29" i="137"/>
  <c r="Q16" i="129"/>
  <c r="R16" i="129"/>
  <c r="T16" i="129"/>
  <c r="E28" i="130"/>
  <c r="E31" i="131"/>
  <c r="E24" i="130"/>
  <c r="K28" i="137"/>
  <c r="E25" i="130"/>
  <c r="K29" i="137"/>
  <c r="E19" i="129"/>
  <c r="G23" i="137"/>
  <c r="E30" i="130"/>
  <c r="E13" i="129"/>
  <c r="G17" i="137"/>
  <c r="E11" i="131"/>
  <c r="S14" i="137"/>
  <c r="E16" i="129"/>
  <c r="G32" i="137"/>
  <c r="E12" i="130"/>
  <c r="K16" i="137"/>
  <c r="E26" i="131"/>
  <c r="E26" i="130"/>
  <c r="E9" i="130"/>
  <c r="K15" i="137"/>
  <c r="E3" i="130"/>
  <c r="K7" i="137"/>
  <c r="E18" i="130"/>
  <c r="K22" i="137"/>
  <c r="E32" i="131"/>
  <c r="E31" i="129"/>
  <c r="E11" i="132"/>
  <c r="W14" i="137"/>
  <c r="E5" i="130"/>
  <c r="K9" i="137"/>
  <c r="E32" i="129"/>
  <c r="E5" i="131"/>
  <c r="S9" i="137"/>
  <c r="E3" i="129"/>
  <c r="G7" i="137"/>
  <c r="E7" i="129"/>
  <c r="G11" i="137"/>
  <c r="E12" i="129"/>
  <c r="G16" i="137"/>
  <c r="E8" i="131"/>
  <c r="S12" i="137"/>
  <c r="E5" i="129"/>
  <c r="G9" i="137"/>
  <c r="E20" i="130"/>
  <c r="K24" i="137"/>
  <c r="E17" i="132"/>
  <c r="W21" i="137"/>
  <c r="E11" i="130"/>
  <c r="K14" i="137"/>
  <c r="E9" i="129"/>
  <c r="G15" i="137"/>
  <c r="E8" i="130"/>
  <c r="K12" i="137"/>
  <c r="E22" i="131"/>
  <c r="S26" i="137"/>
  <c r="E31" i="132"/>
  <c r="E32" i="130"/>
  <c r="E19" i="130"/>
  <c r="K23" i="137"/>
  <c r="E17" i="130"/>
  <c r="K21" i="137"/>
  <c r="E24" i="129"/>
  <c r="G28" i="137"/>
  <c r="E7" i="131"/>
  <c r="S11" i="137"/>
  <c r="E18" i="132"/>
  <c r="W22" i="137"/>
  <c r="E27" i="129"/>
  <c r="G31" i="137"/>
  <c r="E30" i="131"/>
  <c r="E28" i="132"/>
  <c r="E20" i="129"/>
  <c r="G24" i="137"/>
  <c r="E7" i="130"/>
  <c r="K11" i="137"/>
  <c r="Q7" i="129"/>
  <c r="R7" i="129"/>
  <c r="T7" i="129"/>
  <c r="Q13" i="129"/>
  <c r="R13" i="129"/>
  <c r="T13" i="129"/>
  <c r="Q19" i="130"/>
  <c r="R19" i="130"/>
  <c r="T19" i="130"/>
  <c r="D19" i="130"/>
  <c r="I23" i="137"/>
  <c r="E4" i="129"/>
  <c r="G8" i="137"/>
  <c r="E6" i="130"/>
  <c r="K10" i="137"/>
  <c r="E29" i="129"/>
  <c r="G33" i="137"/>
  <c r="E14" i="132"/>
  <c r="E26" i="132"/>
  <c r="W30" i="137"/>
  <c r="E27" i="130"/>
  <c r="E6" i="129"/>
  <c r="G10" i="137"/>
  <c r="E22" i="129"/>
  <c r="G26" i="137"/>
  <c r="E16" i="132"/>
  <c r="W20" i="137"/>
  <c r="E31" i="130"/>
  <c r="Q27" i="129"/>
  <c r="R27" i="129"/>
  <c r="T27" i="129"/>
  <c r="Q5" i="131"/>
  <c r="R5" i="131"/>
  <c r="T5" i="131"/>
  <c r="E15" i="131"/>
  <c r="E21" i="131"/>
  <c r="S25" i="137"/>
  <c r="E4" i="131"/>
  <c r="S8" i="137"/>
  <c r="E19" i="131"/>
  <c r="S23" i="137"/>
  <c r="E23" i="129"/>
  <c r="G27" i="137"/>
  <c r="E17" i="131"/>
  <c r="S21" i="137"/>
  <c r="E29" i="131"/>
  <c r="S33" i="137"/>
  <c r="E27" i="131"/>
  <c r="E23" i="131"/>
  <c r="S27" i="137"/>
  <c r="E29" i="130"/>
  <c r="K33" i="137"/>
  <c r="E7" i="132"/>
  <c r="W11" i="137"/>
  <c r="E23" i="130"/>
  <c r="K27" i="137"/>
  <c r="E9" i="132"/>
  <c r="W15" i="137"/>
  <c r="E16" i="131"/>
  <c r="E16" i="130"/>
  <c r="E6" i="131"/>
  <c r="S10" i="137"/>
  <c r="E20" i="131"/>
  <c r="S24" i="137"/>
  <c r="E15" i="130"/>
  <c r="E30" i="129"/>
  <c r="E9" i="131"/>
  <c r="S15" i="137"/>
  <c r="Q4" i="129"/>
  <c r="R4" i="129"/>
  <c r="T4" i="129"/>
  <c r="E3" i="131"/>
  <c r="S7" i="137"/>
  <c r="E18" i="131"/>
  <c r="S22" i="137"/>
  <c r="E28" i="131"/>
  <c r="E24" i="131"/>
  <c r="S28" i="137"/>
  <c r="E8" i="132"/>
  <c r="W12" i="137"/>
  <c r="E14" i="130"/>
  <c r="E15" i="129"/>
  <c r="G19" i="137"/>
  <c r="E21" i="129"/>
  <c r="G25" i="137"/>
  <c r="E25" i="132"/>
  <c r="W29" i="137"/>
  <c r="E14" i="131"/>
  <c r="S18" i="137"/>
  <c r="E4" i="130"/>
  <c r="K8" i="137"/>
  <c r="AD107" i="128"/>
  <c r="AD107" i="63"/>
  <c r="Q8" i="132"/>
  <c r="R8" i="132"/>
  <c r="T8" i="132"/>
  <c r="Q10" i="130"/>
  <c r="R10" i="130"/>
  <c r="T10" i="130"/>
  <c r="P22" i="130"/>
  <c r="D22" i="130"/>
  <c r="I26" i="137"/>
  <c r="Q30" i="131"/>
  <c r="R30" i="131"/>
  <c r="T30" i="131"/>
  <c r="Q18" i="130"/>
  <c r="R18" i="130"/>
  <c r="T18" i="130"/>
  <c r="Q14" i="131"/>
  <c r="R14" i="131"/>
  <c r="T14" i="131"/>
  <c r="Q18" i="131"/>
  <c r="R18" i="131"/>
  <c r="T18" i="131"/>
  <c r="Q4" i="131"/>
  <c r="R4" i="131"/>
  <c r="T4" i="131"/>
  <c r="Q23" i="131"/>
  <c r="R23" i="131"/>
  <c r="T23" i="131"/>
  <c r="S107" i="128"/>
  <c r="T107" i="63"/>
  <c r="AG88" i="63"/>
  <c r="AG22" i="63"/>
  <c r="AG82" i="63"/>
  <c r="AG47" i="63"/>
  <c r="AG10" i="63"/>
  <c r="AG104" i="63"/>
  <c r="AG68" i="63"/>
  <c r="AG70" i="63"/>
  <c r="AG40" i="63"/>
  <c r="AG33" i="63"/>
  <c r="AG16" i="63"/>
  <c r="AG100" i="63"/>
  <c r="AG48" i="63"/>
  <c r="AG62" i="63"/>
  <c r="AG90" i="63"/>
  <c r="AG27" i="63"/>
  <c r="AG63" i="63"/>
  <c r="AG92" i="63"/>
  <c r="AG73" i="63"/>
  <c r="AG56" i="63"/>
  <c r="AG43" i="63"/>
  <c r="AG98" i="63"/>
  <c r="AG58" i="63"/>
  <c r="AG36" i="63"/>
  <c r="AG25" i="63"/>
  <c r="AG34" i="63"/>
  <c r="AG96" i="63"/>
  <c r="AG55" i="63"/>
  <c r="AG46" i="63"/>
  <c r="AG85" i="63"/>
  <c r="AG28" i="63"/>
  <c r="AG87" i="63"/>
  <c r="AG78" i="63"/>
  <c r="AG24" i="63"/>
  <c r="AG8" i="63"/>
  <c r="AG93" i="63"/>
  <c r="AG69" i="63"/>
  <c r="AG26" i="63"/>
  <c r="AG6" i="63"/>
  <c r="AG11" i="63"/>
  <c r="AG86" i="63"/>
  <c r="AG30" i="63"/>
  <c r="AG51" i="63"/>
  <c r="AG83" i="63"/>
  <c r="AG71" i="63"/>
  <c r="AG57" i="63"/>
  <c r="AG21" i="63"/>
  <c r="AG102" i="63"/>
  <c r="AG64" i="63"/>
  <c r="AG32" i="63"/>
  <c r="AG20" i="63"/>
  <c r="AG101" i="63"/>
  <c r="AG94" i="63"/>
  <c r="AG19" i="63"/>
  <c r="AG52" i="63"/>
  <c r="AG13" i="63"/>
  <c r="AG61" i="63"/>
  <c r="AG99" i="63"/>
  <c r="AG79" i="63"/>
  <c r="AG97" i="63"/>
  <c r="AG53" i="63"/>
  <c r="AG39" i="63"/>
  <c r="AG23" i="63"/>
  <c r="AG81" i="63"/>
  <c r="AG54" i="63"/>
  <c r="AG18" i="63"/>
  <c r="AG17" i="63"/>
  <c r="AG75" i="63"/>
  <c r="AG89" i="63"/>
  <c r="AG44" i="63"/>
  <c r="AG50" i="63"/>
  <c r="AG91" i="63"/>
  <c r="AG31" i="63"/>
  <c r="AG95" i="63"/>
  <c r="AG14" i="63"/>
  <c r="AG84" i="63"/>
  <c r="AG80" i="63"/>
  <c r="AG67" i="63"/>
  <c r="AG65" i="63"/>
  <c r="AG41" i="63"/>
  <c r="AG9" i="63"/>
  <c r="AG77" i="63"/>
  <c r="AG60" i="63"/>
  <c r="AG12" i="63"/>
  <c r="AG38" i="63"/>
  <c r="AG45" i="63"/>
  <c r="AG15" i="63"/>
  <c r="AG66" i="63"/>
  <c r="AG103" i="63"/>
  <c r="AG76" i="63"/>
  <c r="AG74" i="63"/>
  <c r="AG59" i="63"/>
  <c r="AG35" i="63"/>
  <c r="AG42" i="63"/>
  <c r="AG105" i="63"/>
  <c r="AG72" i="63"/>
  <c r="AG29" i="63"/>
  <c r="AG49" i="63"/>
  <c r="AG7" i="63"/>
  <c r="AG37" i="63"/>
  <c r="AG10" i="128"/>
  <c r="AG92" i="128"/>
  <c r="AG26" i="128"/>
  <c r="AG58" i="128"/>
  <c r="AG21" i="128"/>
  <c r="AG80" i="128"/>
  <c r="AG30" i="128"/>
  <c r="AG66" i="128"/>
  <c r="AG101" i="128"/>
  <c r="AG23" i="128"/>
  <c r="AG99" i="128"/>
  <c r="AG53" i="128"/>
  <c r="AG12" i="128"/>
  <c r="AG103" i="128"/>
  <c r="AG61" i="128"/>
  <c r="AG79" i="128"/>
  <c r="AG33" i="128"/>
  <c r="AG49" i="128"/>
  <c r="AG100" i="128"/>
  <c r="AG95" i="128"/>
  <c r="AG34" i="128"/>
  <c r="AG81" i="128"/>
  <c r="AG90" i="128"/>
  <c r="AG46" i="128"/>
  <c r="AG105" i="128"/>
  <c r="AG16" i="128"/>
  <c r="AG91" i="128"/>
  <c r="AG54" i="128"/>
  <c r="AG15" i="128"/>
  <c r="AG7" i="128"/>
  <c r="AG82" i="128"/>
  <c r="AG71" i="128"/>
  <c r="AG14" i="128"/>
  <c r="AG9" i="128"/>
  <c r="AG38" i="128"/>
  <c r="AG57" i="128"/>
  <c r="AG83" i="128"/>
  <c r="AG88" i="128"/>
  <c r="AG60" i="128"/>
  <c r="AG89" i="128"/>
  <c r="AG97" i="128"/>
  <c r="AG94" i="128"/>
  <c r="AG11" i="128"/>
  <c r="AG63" i="128"/>
  <c r="AG32" i="128"/>
  <c r="AG48" i="128"/>
  <c r="AG50" i="128"/>
  <c r="AG45" i="128"/>
  <c r="AG98" i="128"/>
  <c r="AG22" i="128"/>
  <c r="AG65" i="128"/>
  <c r="AG96" i="128"/>
  <c r="AG37" i="128"/>
  <c r="AG51" i="128"/>
  <c r="AG27" i="128"/>
  <c r="AG85" i="128"/>
  <c r="AG62" i="128"/>
  <c r="AG75" i="128"/>
  <c r="AG42" i="128"/>
  <c r="AG19" i="128"/>
  <c r="AG55" i="128"/>
  <c r="AG68" i="128"/>
  <c r="AG93" i="128"/>
  <c r="AG67" i="128"/>
  <c r="AG18" i="128"/>
  <c r="AG40" i="128"/>
  <c r="AG41" i="128"/>
  <c r="AG86" i="128"/>
  <c r="AG17" i="128"/>
  <c r="AG70" i="128"/>
  <c r="AG31" i="128"/>
  <c r="AG35" i="128"/>
  <c r="AG59" i="128"/>
  <c r="AG6" i="128"/>
  <c r="AG77" i="128"/>
  <c r="AG47" i="128"/>
  <c r="AG102" i="128"/>
  <c r="AG20" i="128"/>
  <c r="AG84" i="128"/>
  <c r="AG8" i="128"/>
  <c r="AG73" i="128"/>
  <c r="AG25" i="128"/>
  <c r="AG36" i="128"/>
  <c r="AG64" i="128"/>
  <c r="AG24" i="128"/>
  <c r="AG52" i="128"/>
  <c r="AG29" i="128"/>
  <c r="AG39" i="128"/>
  <c r="AG76" i="128"/>
  <c r="AG78" i="128"/>
  <c r="AG28" i="128"/>
  <c r="AG74" i="128"/>
  <c r="AG44" i="128"/>
  <c r="AG104" i="128"/>
  <c r="AG87" i="128"/>
  <c r="AG56" i="128"/>
  <c r="AG43" i="128"/>
  <c r="AG13" i="128"/>
  <c r="AG72" i="128"/>
  <c r="AG69" i="128"/>
  <c r="AF96" i="63"/>
  <c r="AF45" i="63"/>
  <c r="AF64" i="63"/>
  <c r="AF47" i="63"/>
  <c r="AF86" i="63"/>
  <c r="AF92" i="63"/>
  <c r="AF53" i="63"/>
  <c r="AF6" i="63"/>
  <c r="AF60" i="63"/>
  <c r="AF13" i="63"/>
  <c r="AF82" i="63"/>
  <c r="AF44" i="63"/>
  <c r="AF36" i="63"/>
  <c r="AF84" i="63"/>
  <c r="AF79" i="63"/>
  <c r="AF19" i="63"/>
  <c r="AF29" i="63"/>
  <c r="AF93" i="63"/>
  <c r="AF14" i="63"/>
  <c r="AF25" i="63"/>
  <c r="AF38" i="63"/>
  <c r="AF81" i="63"/>
  <c r="AF54" i="63"/>
  <c r="AF98" i="63"/>
  <c r="AF88" i="63"/>
  <c r="AF74" i="63"/>
  <c r="AF63" i="63"/>
  <c r="AF59" i="63"/>
  <c r="AF12" i="63"/>
  <c r="AF83" i="63"/>
  <c r="AF69" i="63"/>
  <c r="AF49" i="63"/>
  <c r="AF43" i="63"/>
  <c r="AF10" i="63"/>
  <c r="AF80" i="63"/>
  <c r="AF23" i="63"/>
  <c r="AF51" i="63"/>
  <c r="AF46" i="63"/>
  <c r="AF90" i="63"/>
  <c r="AF8" i="63"/>
  <c r="AF65" i="63"/>
  <c r="AF73" i="63"/>
  <c r="AF75" i="63"/>
  <c r="AF70" i="63"/>
  <c r="AF85" i="63"/>
  <c r="AF94" i="63"/>
  <c r="AF37" i="63"/>
  <c r="AF22" i="63"/>
  <c r="AF56" i="63"/>
  <c r="AF27" i="63"/>
  <c r="AF32" i="63"/>
  <c r="AF72" i="63"/>
  <c r="AF20" i="63"/>
  <c r="AF52" i="63"/>
  <c r="AF39" i="63"/>
  <c r="AF30" i="63"/>
  <c r="AF71" i="63"/>
  <c r="AF61" i="63"/>
  <c r="AF26" i="63"/>
  <c r="AF35" i="63"/>
  <c r="AF105" i="63"/>
  <c r="AF34" i="63"/>
  <c r="AF33" i="63"/>
  <c r="AF21" i="63"/>
  <c r="AF9" i="63"/>
  <c r="AF101" i="63"/>
  <c r="AF55" i="63"/>
  <c r="AF15" i="63"/>
  <c r="AF97" i="63"/>
  <c r="AF31" i="63"/>
  <c r="AF78" i="63"/>
  <c r="AF76" i="63"/>
  <c r="AF77" i="63"/>
  <c r="AF7" i="63"/>
  <c r="AF89" i="63"/>
  <c r="AF40" i="63"/>
  <c r="AF67" i="63"/>
  <c r="AF50" i="63"/>
  <c r="AF28" i="63"/>
  <c r="AF99" i="63"/>
  <c r="AF102" i="63"/>
  <c r="AF66" i="63"/>
  <c r="AF103" i="63"/>
  <c r="AF68" i="63"/>
  <c r="AF11" i="63"/>
  <c r="AF41" i="63"/>
  <c r="AF57" i="63"/>
  <c r="AF48" i="63"/>
  <c r="AF17" i="63"/>
  <c r="AF100" i="63"/>
  <c r="AF62" i="63"/>
  <c r="AF42" i="63"/>
  <c r="AF95" i="63"/>
  <c r="AF18" i="63"/>
  <c r="AF87" i="63"/>
  <c r="AF91" i="63"/>
  <c r="AF24" i="63"/>
  <c r="AF16" i="63"/>
  <c r="AF58" i="63"/>
  <c r="AF104" i="63"/>
  <c r="AF31" i="128"/>
  <c r="AF16" i="128"/>
  <c r="AF84" i="128"/>
  <c r="AF73" i="128"/>
  <c r="AF101" i="128"/>
  <c r="AF100" i="128"/>
  <c r="AF70" i="128"/>
  <c r="AF42" i="128"/>
  <c r="AF44" i="128"/>
  <c r="AF105" i="128"/>
  <c r="AF92" i="128"/>
  <c r="AF67" i="128"/>
  <c r="AF88" i="128"/>
  <c r="AF104" i="128"/>
  <c r="AF94" i="128"/>
  <c r="AF14" i="128"/>
  <c r="AF6" i="128"/>
  <c r="AF75" i="128"/>
  <c r="AF59" i="128"/>
  <c r="AF35" i="128"/>
  <c r="AF8" i="128"/>
  <c r="AF24" i="128"/>
  <c r="AF99" i="128"/>
  <c r="AF90" i="128"/>
  <c r="AF63" i="128"/>
  <c r="AF77" i="128"/>
  <c r="AF19" i="128"/>
  <c r="AF87" i="128"/>
  <c r="AF80" i="128"/>
  <c r="AF51" i="128"/>
  <c r="AF68" i="128"/>
  <c r="AF38" i="128"/>
  <c r="AF65" i="128"/>
  <c r="AF76" i="128"/>
  <c r="AF27" i="128"/>
  <c r="AF98" i="128"/>
  <c r="AF89" i="128"/>
  <c r="AF64" i="128"/>
  <c r="AF12" i="128"/>
  <c r="AF29" i="128"/>
  <c r="AF15" i="128"/>
  <c r="AF13" i="128"/>
  <c r="AF17" i="128"/>
  <c r="AF66" i="128"/>
  <c r="AF61" i="128"/>
  <c r="AF60" i="128"/>
  <c r="AF25" i="128"/>
  <c r="AF103" i="128"/>
  <c r="AF28" i="128"/>
  <c r="AF22" i="128"/>
  <c r="AF54" i="128"/>
  <c r="AF32" i="128"/>
  <c r="AF95" i="128"/>
  <c r="AF30" i="128"/>
  <c r="AF37" i="128"/>
  <c r="AF47" i="128"/>
  <c r="AF40" i="128"/>
  <c r="AF91" i="128"/>
  <c r="AF7" i="128"/>
  <c r="AF58" i="128"/>
  <c r="AF18" i="128"/>
  <c r="AF97" i="128"/>
  <c r="AF82" i="128"/>
  <c r="AF34" i="128"/>
  <c r="AF21" i="128"/>
  <c r="AF96" i="128"/>
  <c r="AF93" i="128"/>
  <c r="AF56" i="128"/>
  <c r="AF83" i="128"/>
  <c r="AF49" i="128"/>
  <c r="AF33" i="128"/>
  <c r="AF20" i="128"/>
  <c r="AF10" i="128"/>
  <c r="AF55" i="128"/>
  <c r="AF41" i="128"/>
  <c r="AF81" i="128"/>
  <c r="AF69" i="128"/>
  <c r="AF26" i="128"/>
  <c r="AF9" i="128"/>
  <c r="AF78" i="128"/>
  <c r="AF53" i="128"/>
  <c r="AF43" i="128"/>
  <c r="AF85" i="128"/>
  <c r="AF62" i="128"/>
  <c r="AF102" i="128"/>
  <c r="AF23" i="128"/>
  <c r="AF46" i="128"/>
  <c r="AF52" i="128"/>
  <c r="AF86" i="128"/>
  <c r="AF79" i="128"/>
  <c r="AF50" i="128"/>
  <c r="AF74" i="128"/>
  <c r="AF39" i="128"/>
  <c r="AF36" i="128"/>
  <c r="AF72" i="128"/>
  <c r="AF48" i="128"/>
  <c r="AF45" i="128"/>
  <c r="AF57" i="128"/>
  <c r="AF11" i="128"/>
  <c r="AF71" i="128"/>
  <c r="L109" i="85"/>
  <c r="K113" i="85"/>
  <c r="L113" i="85"/>
  <c r="M113" i="85"/>
  <c r="K115" i="98"/>
  <c r="L115" i="98"/>
  <c r="M115" i="98"/>
  <c r="L111" i="98"/>
  <c r="M111" i="98"/>
  <c r="K115" i="96"/>
  <c r="L115" i="96"/>
  <c r="M115" i="96"/>
  <c r="L111" i="96"/>
  <c r="M111" i="96"/>
  <c r="L112" i="116"/>
  <c r="M112" i="116"/>
  <c r="K116" i="116"/>
  <c r="L116" i="116"/>
  <c r="M116" i="116"/>
  <c r="K113" i="103"/>
  <c r="L113" i="103"/>
  <c r="M113" i="103"/>
  <c r="L109" i="103"/>
  <c r="K113" i="109"/>
  <c r="L113" i="109"/>
  <c r="M113" i="109"/>
  <c r="L109" i="109"/>
  <c r="L109" i="87"/>
  <c r="K113" i="87"/>
  <c r="L113" i="87"/>
  <c r="M113" i="87"/>
  <c r="L111" i="116"/>
  <c r="M111" i="116"/>
  <c r="K115" i="116"/>
  <c r="L115" i="116"/>
  <c r="M115" i="116"/>
  <c r="K115" i="106"/>
  <c r="L115" i="106"/>
  <c r="M115" i="106"/>
  <c r="L111" i="106"/>
  <c r="M111" i="106"/>
  <c r="K115" i="92"/>
  <c r="L115" i="92"/>
  <c r="M115" i="92"/>
  <c r="L111" i="92"/>
  <c r="M111" i="92"/>
  <c r="K114" i="106"/>
  <c r="L114" i="106"/>
  <c r="M114" i="106"/>
  <c r="L110" i="106"/>
  <c r="K114" i="86"/>
  <c r="L114" i="86"/>
  <c r="M114" i="86"/>
  <c r="L110" i="86"/>
  <c r="K114" i="114"/>
  <c r="L114" i="114"/>
  <c r="M114" i="114"/>
  <c r="L110" i="114"/>
  <c r="L112" i="92"/>
  <c r="M112" i="92"/>
  <c r="K116" i="92"/>
  <c r="L116" i="92"/>
  <c r="M116" i="92"/>
  <c r="K116" i="110"/>
  <c r="L116" i="110"/>
  <c r="M116" i="110"/>
  <c r="L112" i="110"/>
  <c r="M112" i="110"/>
  <c r="K116" i="84"/>
  <c r="L116" i="84"/>
  <c r="M116" i="84"/>
  <c r="L112" i="84"/>
  <c r="M112" i="84"/>
  <c r="O107" i="128"/>
  <c r="L110" i="68"/>
  <c r="M110" i="68"/>
  <c r="K114" i="68"/>
  <c r="L114" i="68"/>
  <c r="M114" i="68"/>
  <c r="K114" i="104"/>
  <c r="L114" i="104"/>
  <c r="M114" i="104"/>
  <c r="L110" i="104"/>
  <c r="L112" i="102"/>
  <c r="M112" i="102"/>
  <c r="K116" i="102"/>
  <c r="L116" i="102"/>
  <c r="M116" i="102"/>
  <c r="K113" i="97"/>
  <c r="L113" i="97"/>
  <c r="M113" i="97"/>
  <c r="L109" i="97"/>
  <c r="K113" i="83"/>
  <c r="L113" i="83"/>
  <c r="M113" i="83"/>
  <c r="L109" i="83"/>
  <c r="L109" i="99"/>
  <c r="K113" i="99"/>
  <c r="L113" i="99"/>
  <c r="M113" i="99"/>
  <c r="K115" i="80"/>
  <c r="L115" i="80"/>
  <c r="M115" i="80"/>
  <c r="L111" i="80"/>
  <c r="M111" i="80"/>
  <c r="L111" i="86"/>
  <c r="M111" i="86"/>
  <c r="K115" i="86"/>
  <c r="L115" i="86"/>
  <c r="M115" i="86"/>
  <c r="K115" i="84"/>
  <c r="L115" i="84"/>
  <c r="M115" i="84"/>
  <c r="L111" i="84"/>
  <c r="M111" i="84"/>
  <c r="L110" i="82"/>
  <c r="K114" i="82"/>
  <c r="L114" i="82"/>
  <c r="M114" i="82"/>
  <c r="K114" i="94"/>
  <c r="L114" i="94"/>
  <c r="M114" i="94"/>
  <c r="L110" i="94"/>
  <c r="L112" i="76"/>
  <c r="M112" i="76"/>
  <c r="K116" i="76"/>
  <c r="L116" i="76"/>
  <c r="M116" i="76"/>
  <c r="L112" i="88"/>
  <c r="M112" i="88"/>
  <c r="K116" i="88"/>
  <c r="L116" i="88"/>
  <c r="M116" i="88"/>
  <c r="K116" i="98"/>
  <c r="L116" i="98"/>
  <c r="M116" i="98"/>
  <c r="L112" i="98"/>
  <c r="M112" i="98"/>
  <c r="L110" i="98"/>
  <c r="K114" i="98"/>
  <c r="L114" i="98"/>
  <c r="M114" i="98"/>
  <c r="K113" i="101"/>
  <c r="L113" i="101"/>
  <c r="M113" i="101"/>
  <c r="L109" i="101"/>
  <c r="K113" i="75"/>
  <c r="L113" i="75"/>
  <c r="M113" i="75"/>
  <c r="L109" i="75"/>
  <c r="K113" i="107"/>
  <c r="L113" i="107"/>
  <c r="M113" i="107"/>
  <c r="L109" i="107"/>
  <c r="K111" i="85"/>
  <c r="K111" i="81"/>
  <c r="K111" i="97"/>
  <c r="K111" i="115"/>
  <c r="K111" i="75"/>
  <c r="K111" i="95"/>
  <c r="K111" i="109"/>
  <c r="K111" i="87"/>
  <c r="K111" i="79"/>
  <c r="K111" i="107"/>
  <c r="K111" i="111"/>
  <c r="K111" i="89"/>
  <c r="K111" i="117"/>
  <c r="K111" i="103"/>
  <c r="K111" i="101"/>
  <c r="K111" i="91"/>
  <c r="K111" i="93"/>
  <c r="K111" i="99"/>
  <c r="K111" i="113"/>
  <c r="K111" i="77"/>
  <c r="K111" i="83"/>
  <c r="K111" i="105"/>
  <c r="K115" i="100"/>
  <c r="L115" i="100"/>
  <c r="M115" i="100"/>
  <c r="L111" i="100"/>
  <c r="M111" i="100"/>
  <c r="K115" i="108"/>
  <c r="L115" i="108"/>
  <c r="M115" i="108"/>
  <c r="L111" i="108"/>
  <c r="M111" i="108"/>
  <c r="L111" i="102"/>
  <c r="M111" i="102"/>
  <c r="K115" i="102"/>
  <c r="L115" i="102"/>
  <c r="M115" i="102"/>
  <c r="K114" i="116"/>
  <c r="L114" i="116"/>
  <c r="M114" i="116"/>
  <c r="L110" i="116"/>
  <c r="K114" i="112"/>
  <c r="L114" i="112"/>
  <c r="M114" i="112"/>
  <c r="L110" i="112"/>
  <c r="M110" i="112"/>
  <c r="AB28" i="128"/>
  <c r="AB88" i="128"/>
  <c r="AB12" i="128"/>
  <c r="AB22" i="128"/>
  <c r="AB6" i="128"/>
  <c r="AB61" i="128"/>
  <c r="AB37" i="128"/>
  <c r="AB83" i="128"/>
  <c r="AB51" i="128"/>
  <c r="AB29" i="128"/>
  <c r="AB42" i="128"/>
  <c r="AB49" i="128"/>
  <c r="AB56" i="128"/>
  <c r="AB66" i="128"/>
  <c r="AB94" i="128"/>
  <c r="AB73" i="128"/>
  <c r="AB30" i="128"/>
  <c r="AB50" i="128"/>
  <c r="AB70" i="128"/>
  <c r="AB41" i="128"/>
  <c r="AB101" i="128"/>
  <c r="AB58" i="128"/>
  <c r="AB17" i="128"/>
  <c r="AB78" i="128"/>
  <c r="AB8" i="128"/>
  <c r="AB74" i="128"/>
  <c r="AB31" i="128"/>
  <c r="AB104" i="128"/>
  <c r="AB46" i="128"/>
  <c r="AB54" i="128"/>
  <c r="AB69" i="128"/>
  <c r="AB97" i="128"/>
  <c r="AB77" i="128"/>
  <c r="AB86" i="128"/>
  <c r="AB11" i="128"/>
  <c r="AB82" i="128"/>
  <c r="AB48" i="128"/>
  <c r="AB98" i="128"/>
  <c r="AB59" i="128"/>
  <c r="AB39" i="128"/>
  <c r="AB44" i="128"/>
  <c r="AB14" i="128"/>
  <c r="AB102" i="128"/>
  <c r="AB79" i="128"/>
  <c r="AB84" i="128"/>
  <c r="AB16" i="128"/>
  <c r="AB33" i="128"/>
  <c r="AB18" i="128"/>
  <c r="AB40" i="128"/>
  <c r="AB36" i="128"/>
  <c r="AB15" i="128"/>
  <c r="AB60" i="128"/>
  <c r="AB23" i="128"/>
  <c r="AB103" i="128"/>
  <c r="AB55" i="128"/>
  <c r="AB81" i="128"/>
  <c r="AB45" i="128"/>
  <c r="AB67" i="128"/>
  <c r="AB93" i="128"/>
  <c r="AB9" i="128"/>
  <c r="AB10" i="128"/>
  <c r="AB63" i="128"/>
  <c r="AB87" i="128"/>
  <c r="AB47" i="128"/>
  <c r="AB80" i="128"/>
  <c r="AB64" i="128"/>
  <c r="AB96" i="128"/>
  <c r="AB72" i="128"/>
  <c r="AB38" i="128"/>
  <c r="AB85" i="128"/>
  <c r="AB7" i="128"/>
  <c r="AB90" i="128"/>
  <c r="AB26" i="128"/>
  <c r="AB99" i="128"/>
  <c r="AB89" i="128"/>
  <c r="AB20" i="128"/>
  <c r="AB91" i="128"/>
  <c r="AB27" i="128"/>
  <c r="AB62" i="128"/>
  <c r="AB35" i="128"/>
  <c r="AB92" i="128"/>
  <c r="AB53" i="128"/>
  <c r="AB19" i="128"/>
  <c r="AB57" i="128"/>
  <c r="AB34" i="128"/>
  <c r="AB32" i="128"/>
  <c r="AB25" i="128"/>
  <c r="AB21" i="128"/>
  <c r="AB52" i="128"/>
  <c r="AB13" i="128"/>
  <c r="AB43" i="128"/>
  <c r="AB95" i="128"/>
  <c r="AB71" i="128"/>
  <c r="AB24" i="128"/>
  <c r="AB100" i="128"/>
  <c r="AB65" i="128"/>
  <c r="AB76" i="128"/>
  <c r="AB68" i="128"/>
  <c r="AB105" i="128"/>
  <c r="AB75" i="128"/>
  <c r="K116" i="106"/>
  <c r="L116" i="106"/>
  <c r="M116" i="106"/>
  <c r="L112" i="106"/>
  <c r="M112" i="106"/>
  <c r="L112" i="86"/>
  <c r="M112" i="86"/>
  <c r="K116" i="86"/>
  <c r="L116" i="86"/>
  <c r="M116" i="86"/>
  <c r="K116" i="114"/>
  <c r="L116" i="114"/>
  <c r="M116" i="114"/>
  <c r="L112" i="114"/>
  <c r="M112" i="114"/>
  <c r="K113" i="91"/>
  <c r="L113" i="91"/>
  <c r="M113" i="91"/>
  <c r="L109" i="91"/>
  <c r="K115" i="82"/>
  <c r="L115" i="82"/>
  <c r="M115" i="82"/>
  <c r="L111" i="82"/>
  <c r="M111" i="82"/>
  <c r="K114" i="96"/>
  <c r="L114" i="96"/>
  <c r="M114" i="96"/>
  <c r="L110" i="96"/>
  <c r="L112" i="96"/>
  <c r="M112" i="96"/>
  <c r="K116" i="96"/>
  <c r="L116" i="96"/>
  <c r="M116" i="96"/>
  <c r="K113" i="79"/>
  <c r="L113" i="79"/>
  <c r="M113" i="79"/>
  <c r="L109" i="79"/>
  <c r="L109" i="113"/>
  <c r="K113" i="113"/>
  <c r="L113" i="113"/>
  <c r="M113" i="113"/>
  <c r="K113" i="93"/>
  <c r="L113" i="93"/>
  <c r="M113" i="93"/>
  <c r="L109" i="93"/>
  <c r="K115" i="88"/>
  <c r="L115" i="88"/>
  <c r="M115" i="88"/>
  <c r="L111" i="88"/>
  <c r="M111" i="88"/>
  <c r="K115" i="76"/>
  <c r="L115" i="76"/>
  <c r="M115" i="76"/>
  <c r="L111" i="76"/>
  <c r="M111" i="76"/>
  <c r="L110" i="84"/>
  <c r="K114" i="84"/>
  <c r="L114" i="84"/>
  <c r="M114" i="84"/>
  <c r="K114" i="76"/>
  <c r="L114" i="76"/>
  <c r="M114" i="76"/>
  <c r="L110" i="76"/>
  <c r="M110" i="67"/>
  <c r="M117" i="67"/>
  <c r="L117" i="67"/>
  <c r="R13" i="67"/>
  <c r="K116" i="82"/>
  <c r="L116" i="82"/>
  <c r="M116" i="82"/>
  <c r="L112" i="82"/>
  <c r="M112" i="82"/>
  <c r="L112" i="100"/>
  <c r="M112" i="100"/>
  <c r="K116" i="100"/>
  <c r="L116" i="100"/>
  <c r="M116" i="100"/>
  <c r="O107" i="63"/>
  <c r="K113" i="115"/>
  <c r="L113" i="115"/>
  <c r="M113" i="115"/>
  <c r="L109" i="115"/>
  <c r="L109" i="81"/>
  <c r="K113" i="81"/>
  <c r="L113" i="81"/>
  <c r="M113" i="81"/>
  <c r="K113" i="117"/>
  <c r="L113" i="117"/>
  <c r="M113" i="117"/>
  <c r="L109" i="117"/>
  <c r="K115" i="68"/>
  <c r="L115" i="68"/>
  <c r="M115" i="68"/>
  <c r="L111" i="68"/>
  <c r="M111" i="68"/>
  <c r="L111" i="112"/>
  <c r="M111" i="112"/>
  <c r="K115" i="112"/>
  <c r="L115" i="112"/>
  <c r="M115" i="112"/>
  <c r="K115" i="78"/>
  <c r="L115" i="78"/>
  <c r="M115" i="78"/>
  <c r="L111" i="78"/>
  <c r="M111" i="78"/>
  <c r="K114" i="92"/>
  <c r="L114" i="92"/>
  <c r="M114" i="92"/>
  <c r="L110" i="92"/>
  <c r="M110" i="92"/>
  <c r="K114" i="88"/>
  <c r="L114" i="88"/>
  <c r="M114" i="88"/>
  <c r="L110" i="88"/>
  <c r="M110" i="88"/>
  <c r="L110" i="78"/>
  <c r="M110" i="78"/>
  <c r="K114" i="78"/>
  <c r="L114" i="78"/>
  <c r="M114" i="78"/>
  <c r="K112" i="85"/>
  <c r="K112" i="99"/>
  <c r="K112" i="81"/>
  <c r="K112" i="89"/>
  <c r="K112" i="97"/>
  <c r="K112" i="105"/>
  <c r="K112" i="115"/>
  <c r="K112" i="87"/>
  <c r="K112" i="111"/>
  <c r="K112" i="91"/>
  <c r="K112" i="107"/>
  <c r="K112" i="117"/>
  <c r="K112" i="109"/>
  <c r="K112" i="113"/>
  <c r="K112" i="83"/>
  <c r="K112" i="95"/>
  <c r="K112" i="77"/>
  <c r="K112" i="93"/>
  <c r="K112" i="101"/>
  <c r="K112" i="79"/>
  <c r="K112" i="103"/>
  <c r="K112" i="75"/>
  <c r="K116" i="90"/>
  <c r="L116" i="90"/>
  <c r="M116" i="90"/>
  <c r="L112" i="90"/>
  <c r="M112" i="90"/>
  <c r="L112" i="78"/>
  <c r="M112" i="78"/>
  <c r="K116" i="78"/>
  <c r="L116" i="78"/>
  <c r="M116" i="78"/>
  <c r="L109" i="89"/>
  <c r="K113" i="89"/>
  <c r="L113" i="89"/>
  <c r="M113" i="89"/>
  <c r="L109" i="111"/>
  <c r="K113" i="111"/>
  <c r="L113" i="111"/>
  <c r="M113" i="111"/>
  <c r="L109" i="105"/>
  <c r="K113" i="105"/>
  <c r="L113" i="105"/>
  <c r="M113" i="105"/>
  <c r="K110" i="117"/>
  <c r="K110" i="77"/>
  <c r="K110" i="93"/>
  <c r="K110" i="99"/>
  <c r="K110" i="81"/>
  <c r="K110" i="91"/>
  <c r="K110" i="95"/>
  <c r="K110" i="101"/>
  <c r="K110" i="79"/>
  <c r="K110" i="85"/>
  <c r="K110" i="75"/>
  <c r="K110" i="103"/>
  <c r="K110" i="115"/>
  <c r="K110" i="111"/>
  <c r="K110" i="113"/>
  <c r="K110" i="105"/>
  <c r="K110" i="97"/>
  <c r="K110" i="89"/>
  <c r="K110" i="109"/>
  <c r="K110" i="87"/>
  <c r="K110" i="83"/>
  <c r="K110" i="107"/>
  <c r="L111" i="114"/>
  <c r="M111" i="114"/>
  <c r="K115" i="114"/>
  <c r="L115" i="114"/>
  <c r="M115" i="114"/>
  <c r="L111" i="110"/>
  <c r="M111" i="110"/>
  <c r="K115" i="110"/>
  <c r="L115" i="110"/>
  <c r="M115" i="110"/>
  <c r="K114" i="90"/>
  <c r="L114" i="90"/>
  <c r="M114" i="90"/>
  <c r="L110" i="90"/>
  <c r="K114" i="100"/>
  <c r="L114" i="100"/>
  <c r="M114" i="100"/>
  <c r="L110" i="100"/>
  <c r="K114" i="102"/>
  <c r="L114" i="102"/>
  <c r="M114" i="102"/>
  <c r="L110" i="102"/>
  <c r="L112" i="68"/>
  <c r="M112" i="68"/>
  <c r="K116" i="68"/>
  <c r="L116" i="68"/>
  <c r="M116" i="68"/>
  <c r="AB104" i="63"/>
  <c r="AB91" i="63"/>
  <c r="AB11" i="63"/>
  <c r="AB26" i="63"/>
  <c r="AB19" i="63"/>
  <c r="AB10" i="63"/>
  <c r="AB20" i="63"/>
  <c r="AB29" i="63"/>
  <c r="AB58" i="63"/>
  <c r="AB59" i="63"/>
  <c r="AB12" i="63"/>
  <c r="AB15" i="63"/>
  <c r="AB8" i="63"/>
  <c r="AB62" i="63"/>
  <c r="AB71" i="63"/>
  <c r="AB73" i="63"/>
  <c r="AB67" i="63"/>
  <c r="AB32" i="63"/>
  <c r="AB37" i="63"/>
  <c r="AB31" i="63"/>
  <c r="AB43" i="63"/>
  <c r="AB56" i="63"/>
  <c r="AB63" i="63"/>
  <c r="AB57" i="63"/>
  <c r="AB70" i="63"/>
  <c r="AB102" i="63"/>
  <c r="AB47" i="63"/>
  <c r="AB52" i="63"/>
  <c r="AB75" i="63"/>
  <c r="AB65" i="63"/>
  <c r="AB28" i="63"/>
  <c r="AB94" i="63"/>
  <c r="AB83" i="63"/>
  <c r="AB80" i="63"/>
  <c r="AB89" i="63"/>
  <c r="AB98" i="63"/>
  <c r="AB101" i="63"/>
  <c r="AB100" i="63"/>
  <c r="AB95" i="63"/>
  <c r="AB53" i="63"/>
  <c r="AB84" i="63"/>
  <c r="AB76" i="63"/>
  <c r="AB9" i="63"/>
  <c r="AB72" i="63"/>
  <c r="AB81" i="63"/>
  <c r="AB85" i="63"/>
  <c r="AB7" i="63"/>
  <c r="AB13" i="63"/>
  <c r="AB24" i="63"/>
  <c r="AB23" i="63"/>
  <c r="AB17" i="63"/>
  <c r="AB38" i="63"/>
  <c r="AB46" i="63"/>
  <c r="AB41" i="63"/>
  <c r="AB77" i="63"/>
  <c r="AB18" i="63"/>
  <c r="AB25" i="63"/>
  <c r="AB99" i="63"/>
  <c r="AB88" i="63"/>
  <c r="AB27" i="63"/>
  <c r="AB50" i="63"/>
  <c r="AB79" i="63"/>
  <c r="AB66" i="63"/>
  <c r="AB54" i="63"/>
  <c r="AB68" i="63"/>
  <c r="AB74" i="63"/>
  <c r="AB69" i="63"/>
  <c r="AB61" i="63"/>
  <c r="AB22" i="63"/>
  <c r="AB78" i="63"/>
  <c r="AB51" i="63"/>
  <c r="AB40" i="63"/>
  <c r="AB103" i="63"/>
  <c r="AB97" i="63"/>
  <c r="AB96" i="63"/>
  <c r="AB87" i="63"/>
  <c r="AB105" i="63"/>
  <c r="AB14" i="63"/>
  <c r="AB6" i="63"/>
  <c r="AB16" i="63"/>
  <c r="AB55" i="63"/>
  <c r="AB60" i="63"/>
  <c r="AB92" i="63"/>
  <c r="AB39" i="63"/>
  <c r="AB45" i="63"/>
  <c r="AB86" i="63"/>
  <c r="AB33" i="63"/>
  <c r="AB34" i="63"/>
  <c r="AB30" i="63"/>
  <c r="AB21" i="63"/>
  <c r="AB49" i="63"/>
  <c r="AB36" i="63"/>
  <c r="AB48" i="63"/>
  <c r="AB35" i="63"/>
  <c r="AB90" i="63"/>
  <c r="AB93" i="63"/>
  <c r="AB42" i="63"/>
  <c r="AB44" i="63"/>
  <c r="AB64" i="63"/>
  <c r="AB82" i="63"/>
  <c r="L112" i="112"/>
  <c r="M112" i="112"/>
  <c r="K116" i="112"/>
  <c r="L116" i="112"/>
  <c r="M116" i="112"/>
  <c r="L112" i="94"/>
  <c r="M112" i="94"/>
  <c r="K116" i="94"/>
  <c r="L116" i="94"/>
  <c r="M116" i="94"/>
  <c r="L112" i="108"/>
  <c r="M112" i="108"/>
  <c r="K116" i="108"/>
  <c r="L116" i="108"/>
  <c r="M116" i="108"/>
  <c r="K113" i="95"/>
  <c r="L113" i="95"/>
  <c r="M113" i="95"/>
  <c r="L109" i="95"/>
  <c r="K113" i="77"/>
  <c r="L113" i="77"/>
  <c r="M113" i="77"/>
  <c r="L109" i="77"/>
  <c r="L111" i="90"/>
  <c r="M111" i="90"/>
  <c r="K115" i="90"/>
  <c r="L115" i="90"/>
  <c r="M115" i="90"/>
  <c r="L111" i="104"/>
  <c r="M111" i="104"/>
  <c r="K115" i="104"/>
  <c r="L115" i="104"/>
  <c r="M115" i="104"/>
  <c r="K115" i="94"/>
  <c r="L115" i="94"/>
  <c r="M115" i="94"/>
  <c r="L111" i="94"/>
  <c r="M111" i="94"/>
  <c r="K114" i="80"/>
  <c r="L114" i="80"/>
  <c r="M114" i="80"/>
  <c r="L110" i="80"/>
  <c r="M110" i="80"/>
  <c r="K114" i="110"/>
  <c r="L114" i="110"/>
  <c r="M114" i="110"/>
  <c r="L110" i="110"/>
  <c r="L110" i="108"/>
  <c r="K114" i="108"/>
  <c r="L114" i="108"/>
  <c r="M114" i="108"/>
  <c r="L112" i="104"/>
  <c r="M112" i="104"/>
  <c r="K116" i="104"/>
  <c r="L116" i="104"/>
  <c r="M116" i="104"/>
  <c r="L112" i="80"/>
  <c r="M112" i="80"/>
  <c r="K116" i="80"/>
  <c r="L116" i="80"/>
  <c r="M116" i="80"/>
  <c r="BX77" i="128"/>
  <c r="DA28" i="128"/>
  <c r="BX18" i="128"/>
  <c r="Q9" i="131"/>
  <c r="R9" i="131"/>
  <c r="T9" i="131"/>
  <c r="Q4" i="132"/>
  <c r="R4" i="132"/>
  <c r="T4" i="132"/>
  <c r="Q32" i="129"/>
  <c r="R32" i="129"/>
  <c r="T32" i="129"/>
  <c r="Q30" i="130"/>
  <c r="R30" i="130"/>
  <c r="T30" i="130"/>
  <c r="Q31" i="130"/>
  <c r="R31" i="130"/>
  <c r="T31" i="130"/>
  <c r="Q3" i="129"/>
  <c r="R3" i="129"/>
  <c r="T3" i="129"/>
  <c r="Q10" i="131"/>
  <c r="R10" i="131"/>
  <c r="T10" i="131"/>
  <c r="Q7" i="130"/>
  <c r="R7" i="130"/>
  <c r="T7" i="130"/>
  <c r="Q25" i="130"/>
  <c r="R25" i="130"/>
  <c r="T25" i="130"/>
  <c r="Q31" i="129"/>
  <c r="R31" i="129"/>
  <c r="T31" i="129"/>
  <c r="Q28" i="129"/>
  <c r="R28" i="129"/>
  <c r="T28" i="129"/>
  <c r="Q3" i="130"/>
  <c r="R3" i="130"/>
  <c r="T3" i="130"/>
  <c r="Q32" i="132"/>
  <c r="R32" i="132"/>
  <c r="T32" i="132"/>
  <c r="Q17" i="129"/>
  <c r="R17" i="129"/>
  <c r="T17" i="129"/>
  <c r="Q12" i="130"/>
  <c r="R12" i="130"/>
  <c r="T12" i="130"/>
  <c r="Q27" i="131"/>
  <c r="R27" i="131"/>
  <c r="T27" i="131"/>
  <c r="Q15" i="132"/>
  <c r="R15" i="132"/>
  <c r="T15" i="132"/>
  <c r="Q13" i="132"/>
  <c r="R13" i="132"/>
  <c r="T13" i="132"/>
  <c r="Q10" i="132"/>
  <c r="R10" i="132"/>
  <c r="T10" i="132"/>
  <c r="Q7" i="131"/>
  <c r="R7" i="131"/>
  <c r="T7" i="131"/>
  <c r="Q20" i="131"/>
  <c r="R20" i="131"/>
  <c r="T20" i="131"/>
  <c r="Q11" i="132"/>
  <c r="R11" i="132"/>
  <c r="T11" i="132"/>
  <c r="Q22" i="129"/>
  <c r="R22" i="129"/>
  <c r="T22" i="129"/>
  <c r="Q25" i="131"/>
  <c r="R25" i="131"/>
  <c r="T25" i="131"/>
  <c r="Q15" i="130"/>
  <c r="R15" i="130"/>
  <c r="T15" i="130"/>
  <c r="Q9" i="130"/>
  <c r="R9" i="130"/>
  <c r="T9" i="130"/>
  <c r="Q20" i="129"/>
  <c r="R20" i="129"/>
  <c r="T20" i="129"/>
  <c r="Q24" i="131"/>
  <c r="R24" i="131"/>
  <c r="T24" i="131"/>
  <c r="Q21" i="132"/>
  <c r="R21" i="132"/>
  <c r="T21" i="132"/>
  <c r="Q19" i="129"/>
  <c r="R19" i="129"/>
  <c r="T19" i="129"/>
  <c r="Q29" i="129"/>
  <c r="R29" i="129"/>
  <c r="T29" i="129"/>
  <c r="Q15" i="129"/>
  <c r="R15" i="129"/>
  <c r="T15" i="129"/>
  <c r="Q16" i="131"/>
  <c r="R16" i="131"/>
  <c r="T16" i="131"/>
  <c r="Q16" i="130"/>
  <c r="R16" i="130"/>
  <c r="T16" i="130"/>
  <c r="Q3" i="132"/>
  <c r="R3" i="132"/>
  <c r="T3" i="132"/>
  <c r="Q30" i="129"/>
  <c r="R30" i="129"/>
  <c r="T30" i="129"/>
  <c r="Q29" i="130"/>
  <c r="R29" i="130"/>
  <c r="T29" i="130"/>
  <c r="Q7" i="132"/>
  <c r="R7" i="132"/>
  <c r="T7" i="132"/>
  <c r="Q24" i="130"/>
  <c r="R24" i="130"/>
  <c r="T24" i="130"/>
  <c r="Q28" i="130"/>
  <c r="R28" i="130"/>
  <c r="T28" i="130"/>
  <c r="Q5" i="129"/>
  <c r="R5" i="129"/>
  <c r="T5" i="129"/>
  <c r="Q19" i="131"/>
  <c r="R19" i="131"/>
  <c r="T19" i="131"/>
  <c r="Q23" i="132"/>
  <c r="R23" i="132"/>
  <c r="T23" i="132"/>
  <c r="Q17" i="130"/>
  <c r="R17" i="130"/>
  <c r="T17" i="130"/>
  <c r="Q19" i="132"/>
  <c r="R19" i="132"/>
  <c r="T19" i="132"/>
  <c r="Q10" i="129"/>
  <c r="R10" i="129"/>
  <c r="T10" i="129"/>
  <c r="P2" i="129"/>
  <c r="Q20" i="132"/>
  <c r="R20" i="132"/>
  <c r="T20" i="132"/>
  <c r="Q26" i="131"/>
  <c r="R26" i="131"/>
  <c r="T26" i="131"/>
  <c r="Q25" i="132"/>
  <c r="R25" i="132"/>
  <c r="T25" i="132"/>
  <c r="Q14" i="130"/>
  <c r="R14" i="130"/>
  <c r="T14" i="130"/>
  <c r="Q26" i="130"/>
  <c r="R26" i="130"/>
  <c r="T26" i="130"/>
  <c r="Q21" i="130"/>
  <c r="R21" i="130"/>
  <c r="T21" i="130"/>
  <c r="Q11" i="131"/>
  <c r="R11" i="131"/>
  <c r="T11" i="131"/>
  <c r="E2" i="123"/>
  <c r="Q21" i="131"/>
  <c r="R21" i="131"/>
  <c r="T21" i="131"/>
  <c r="Q17" i="132"/>
  <c r="R17" i="132"/>
  <c r="T17" i="132"/>
  <c r="Q8" i="129"/>
  <c r="R8" i="129"/>
  <c r="T8" i="129"/>
  <c r="D2" i="123"/>
  <c r="Q25" i="129"/>
  <c r="R25" i="129"/>
  <c r="T25" i="129"/>
  <c r="Q6" i="129"/>
  <c r="R6" i="129"/>
  <c r="T6" i="129"/>
  <c r="Q22" i="131"/>
  <c r="R22" i="131"/>
  <c r="T22" i="131"/>
  <c r="Q29" i="131"/>
  <c r="R29" i="131"/>
  <c r="T29" i="131"/>
  <c r="Q6" i="130"/>
  <c r="R6" i="130"/>
  <c r="T6" i="130"/>
  <c r="Q15" i="131"/>
  <c r="R15" i="131"/>
  <c r="T15" i="131"/>
  <c r="Q24" i="129"/>
  <c r="R24" i="129"/>
  <c r="T24" i="129"/>
  <c r="Q28" i="132"/>
  <c r="R28" i="132"/>
  <c r="T28" i="132"/>
  <c r="Q23" i="129"/>
  <c r="R23" i="129"/>
  <c r="T23" i="129"/>
  <c r="Q27" i="132"/>
  <c r="R27" i="132"/>
  <c r="T27" i="132"/>
  <c r="Q30" i="132"/>
  <c r="R30" i="132"/>
  <c r="T30" i="132"/>
  <c r="Q11" i="130"/>
  <c r="R11" i="130"/>
  <c r="T11" i="130"/>
  <c r="Q4" i="130"/>
  <c r="R4" i="130"/>
  <c r="T4" i="130"/>
  <c r="Q8" i="131"/>
  <c r="R8" i="131"/>
  <c r="T8" i="131"/>
  <c r="Q23" i="130"/>
  <c r="R23" i="130"/>
  <c r="T23" i="130"/>
  <c r="Q31" i="131"/>
  <c r="R31" i="131"/>
  <c r="T31" i="131"/>
  <c r="Q13" i="131"/>
  <c r="R13" i="131"/>
  <c r="T13" i="131"/>
  <c r="Q8" i="130"/>
  <c r="R8" i="130"/>
  <c r="T8" i="130"/>
  <c r="Q17" i="131"/>
  <c r="R17" i="131"/>
  <c r="T17" i="131"/>
  <c r="N26" i="129"/>
  <c r="P26" i="129"/>
  <c r="D26" i="129"/>
  <c r="P13" i="130"/>
  <c r="Q9" i="129"/>
  <c r="R9" i="129"/>
  <c r="T9" i="129"/>
  <c r="Q9" i="132"/>
  <c r="R9" i="132"/>
  <c r="T9" i="132"/>
  <c r="Q16" i="132"/>
  <c r="R16" i="132"/>
  <c r="T16" i="132"/>
  <c r="Q11" i="129"/>
  <c r="R11" i="129"/>
  <c r="T11" i="129"/>
  <c r="P2" i="131"/>
  <c r="D2" i="131"/>
  <c r="Q6" i="137"/>
  <c r="N34" i="131"/>
  <c r="Q18" i="129"/>
  <c r="R18" i="129"/>
  <c r="T18" i="129"/>
  <c r="Q22" i="132"/>
  <c r="R22" i="132"/>
  <c r="T22" i="132"/>
  <c r="Q26" i="132"/>
  <c r="R26" i="132"/>
  <c r="T26" i="132"/>
  <c r="Q6" i="131"/>
  <c r="R6" i="131"/>
  <c r="T6" i="131"/>
  <c r="Q27" i="123"/>
  <c r="R27" i="123"/>
  <c r="T27" i="123"/>
  <c r="Q28" i="131"/>
  <c r="R28" i="131"/>
  <c r="T28" i="131"/>
  <c r="Q21" i="129"/>
  <c r="R21" i="129"/>
  <c r="T21" i="129"/>
  <c r="O34" i="129"/>
  <c r="N34" i="132"/>
  <c r="Q5" i="130"/>
  <c r="R5" i="130"/>
  <c r="T5" i="130"/>
  <c r="Q24" i="132"/>
  <c r="R24" i="132"/>
  <c r="T24" i="132"/>
  <c r="Q32" i="130"/>
  <c r="R32" i="130"/>
  <c r="T32" i="130"/>
  <c r="Q31" i="132"/>
  <c r="R31" i="132"/>
  <c r="T31" i="132"/>
  <c r="Q18" i="132"/>
  <c r="R18" i="132"/>
  <c r="T18" i="132"/>
  <c r="Q12" i="131"/>
  <c r="R12" i="131"/>
  <c r="T12" i="131"/>
  <c r="Q5" i="132"/>
  <c r="R5" i="132"/>
  <c r="T5" i="132"/>
  <c r="Q2" i="132"/>
  <c r="P34" i="132"/>
  <c r="P35" i="132"/>
  <c r="Q32" i="131"/>
  <c r="R32" i="131"/>
  <c r="T32" i="131"/>
  <c r="N34" i="130"/>
  <c r="Q3" i="131"/>
  <c r="R3" i="131"/>
  <c r="T3" i="131"/>
  <c r="Q6" i="132"/>
  <c r="R6" i="132"/>
  <c r="T6" i="132"/>
  <c r="BX63" i="128"/>
  <c r="DA45" i="128"/>
  <c r="BX58" i="128"/>
  <c r="BX41" i="128"/>
  <c r="AA23" i="73"/>
  <c r="Y23" i="73"/>
  <c r="BX103" i="128"/>
  <c r="BX28" i="128"/>
  <c r="BX68" i="128"/>
  <c r="BX43" i="128"/>
  <c r="BX74" i="128"/>
  <c r="BX66" i="128"/>
  <c r="DA99" i="128"/>
  <c r="DA40" i="128"/>
  <c r="BX69" i="128"/>
  <c r="BX35" i="128"/>
  <c r="BX65" i="128"/>
  <c r="BX47" i="128"/>
  <c r="DA87" i="128"/>
  <c r="BX98" i="128"/>
  <c r="DA81" i="128"/>
  <c r="BX39" i="128"/>
  <c r="BX75" i="128"/>
  <c r="BX60" i="128"/>
  <c r="BX53" i="128"/>
  <c r="BX61" i="128"/>
  <c r="BX26" i="128"/>
  <c r="DA75" i="128"/>
  <c r="BX21" i="128"/>
  <c r="BX34" i="128"/>
  <c r="BX51" i="128"/>
  <c r="BX20" i="128"/>
  <c r="DA36" i="128"/>
  <c r="BX22" i="128"/>
  <c r="BX55" i="128"/>
  <c r="DA66" i="128"/>
  <c r="BX24" i="128"/>
  <c r="BX48" i="128"/>
  <c r="BX54" i="128"/>
  <c r="DA52" i="128"/>
  <c r="BX89" i="128"/>
  <c r="DA91" i="128"/>
  <c r="BX33" i="128"/>
  <c r="BX102" i="128"/>
  <c r="BX95" i="128"/>
  <c r="BX92" i="128"/>
  <c r="DA23" i="128"/>
  <c r="DA49" i="128"/>
  <c r="BU107" i="128"/>
  <c r="BZ105" i="128"/>
  <c r="CE105" i="128"/>
  <c r="DA55" i="128"/>
  <c r="DA103" i="128"/>
  <c r="BX105" i="128"/>
  <c r="DA84" i="128"/>
  <c r="DA24" i="128"/>
  <c r="BX78" i="128"/>
  <c r="BX99" i="128"/>
  <c r="E3" i="123"/>
  <c r="P3" i="123"/>
  <c r="DA100" i="128"/>
  <c r="DA101" i="128"/>
  <c r="BX85" i="128"/>
  <c r="DA89" i="128"/>
  <c r="DA47" i="128"/>
  <c r="DA97" i="128"/>
  <c r="DA82" i="128"/>
  <c r="DA31" i="128"/>
  <c r="DA61" i="128"/>
  <c r="BX83" i="128"/>
  <c r="BX82" i="128"/>
  <c r="DA79" i="128"/>
  <c r="DA67" i="128"/>
  <c r="BX71" i="128"/>
  <c r="DA21" i="128"/>
  <c r="BU107" i="63"/>
  <c r="BZ90" i="63"/>
  <c r="CE90" i="63"/>
  <c r="DA57" i="128"/>
  <c r="BX94" i="128"/>
  <c r="DA96" i="128"/>
  <c r="DA62" i="128"/>
  <c r="DA26" i="128"/>
  <c r="DA30" i="128"/>
  <c r="CA16" i="63"/>
  <c r="CF16" i="63"/>
  <c r="CA95" i="63"/>
  <c r="CF95" i="63"/>
  <c r="CA11" i="63"/>
  <c r="CF11" i="63"/>
  <c r="CA45" i="63"/>
  <c r="CF45" i="63"/>
  <c r="CA36" i="63"/>
  <c r="CF36" i="63"/>
  <c r="CA63" i="63"/>
  <c r="CF63" i="63"/>
  <c r="CA52" i="63"/>
  <c r="CF52" i="63"/>
  <c r="CA87" i="63"/>
  <c r="CF87" i="63"/>
  <c r="CA50" i="63"/>
  <c r="CF50" i="63"/>
  <c r="CA65" i="63"/>
  <c r="CF65" i="63"/>
  <c r="CA9" i="63"/>
  <c r="CF9" i="63"/>
  <c r="CA7" i="63"/>
  <c r="CF7" i="63"/>
  <c r="CA94" i="63"/>
  <c r="CF94" i="63"/>
  <c r="CA6" i="63"/>
  <c r="CF6" i="63"/>
  <c r="CA101" i="63"/>
  <c r="CF101" i="63"/>
  <c r="CA32" i="63"/>
  <c r="CF32" i="63"/>
  <c r="CA31" i="63"/>
  <c r="CF31" i="63"/>
  <c r="CA68" i="63"/>
  <c r="CF68" i="63"/>
  <c r="CA71" i="63"/>
  <c r="CF71" i="63"/>
  <c r="CA67" i="63"/>
  <c r="CF67" i="63"/>
  <c r="CA18" i="63"/>
  <c r="CF18" i="63"/>
  <c r="CA86" i="63"/>
  <c r="CF86" i="63"/>
  <c r="CA30" i="63"/>
  <c r="CF30" i="63"/>
  <c r="CA49" i="63"/>
  <c r="CF49" i="63"/>
  <c r="CA91" i="63"/>
  <c r="CF91" i="63"/>
  <c r="CA62" i="63"/>
  <c r="CF62" i="63"/>
  <c r="CA92" i="63"/>
  <c r="CF92" i="63"/>
  <c r="CA44" i="63"/>
  <c r="CF44" i="63"/>
  <c r="CA64" i="63"/>
  <c r="CF64" i="63"/>
  <c r="CA20" i="63"/>
  <c r="CF20" i="63"/>
  <c r="CA104" i="63"/>
  <c r="CF104" i="63"/>
  <c r="CA79" i="63"/>
  <c r="CF79" i="63"/>
  <c r="CA73" i="63"/>
  <c r="CF73" i="63"/>
  <c r="CA43" i="63"/>
  <c r="CF43" i="63"/>
  <c r="CA29" i="63"/>
  <c r="CF29" i="63"/>
  <c r="CA103" i="63"/>
  <c r="CF103" i="63"/>
  <c r="CA102" i="63"/>
  <c r="CF102" i="63"/>
  <c r="CA39" i="63"/>
  <c r="CF39" i="63"/>
  <c r="CA34" i="63"/>
  <c r="CF34" i="63"/>
  <c r="CA70" i="63"/>
  <c r="CF70" i="63"/>
  <c r="CA107" i="63"/>
  <c r="CA58" i="63"/>
  <c r="CF58" i="63"/>
  <c r="CA17" i="63"/>
  <c r="CF17" i="63"/>
  <c r="CA105" i="63"/>
  <c r="CF105" i="63"/>
  <c r="CA88" i="63"/>
  <c r="CF88" i="63"/>
  <c r="CA12" i="63"/>
  <c r="CF12" i="63"/>
  <c r="CA55" i="63"/>
  <c r="CF55" i="63"/>
  <c r="CA41" i="63"/>
  <c r="CF41" i="63"/>
  <c r="CA99" i="63"/>
  <c r="CF99" i="63"/>
  <c r="CA24" i="63"/>
  <c r="CF24" i="63"/>
  <c r="CA66" i="63"/>
  <c r="CF66" i="63"/>
  <c r="CA57" i="63"/>
  <c r="CF57" i="63"/>
  <c r="CA42" i="63"/>
  <c r="CF42" i="63"/>
  <c r="CA19" i="63"/>
  <c r="CF19" i="63"/>
  <c r="CA61" i="63"/>
  <c r="CF61" i="63"/>
  <c r="CA23" i="63"/>
  <c r="CF23" i="63"/>
  <c r="CA89" i="63"/>
  <c r="CF89" i="63"/>
  <c r="CA22" i="63"/>
  <c r="CF22" i="63"/>
  <c r="CA85" i="63"/>
  <c r="CF85" i="63"/>
  <c r="CA26" i="63"/>
  <c r="CF26" i="63"/>
  <c r="CA46" i="63"/>
  <c r="CF46" i="63"/>
  <c r="CA51" i="63"/>
  <c r="CF51" i="63"/>
  <c r="CA33" i="63"/>
  <c r="CF33" i="63"/>
  <c r="CA28" i="63"/>
  <c r="CF28" i="63"/>
  <c r="CA83" i="63"/>
  <c r="CF83" i="63"/>
  <c r="CA54" i="63"/>
  <c r="CF54" i="63"/>
  <c r="CA35" i="63"/>
  <c r="CF35" i="63"/>
  <c r="CA100" i="63"/>
  <c r="CF100" i="63"/>
  <c r="CA78" i="63"/>
  <c r="CF78" i="63"/>
  <c r="CA60" i="63"/>
  <c r="CF60" i="63"/>
  <c r="CA40" i="63"/>
  <c r="CF40" i="63"/>
  <c r="CA38" i="63"/>
  <c r="CF38" i="63"/>
  <c r="CA80" i="63"/>
  <c r="CF80" i="63"/>
  <c r="CA98" i="63"/>
  <c r="CF98" i="63"/>
  <c r="CA53" i="63"/>
  <c r="CF53" i="63"/>
  <c r="CA13" i="63"/>
  <c r="CF13" i="63"/>
  <c r="CA27" i="63"/>
  <c r="CF27" i="63"/>
  <c r="CA72" i="63"/>
  <c r="CF72" i="63"/>
  <c r="CA97" i="63"/>
  <c r="CF97" i="63"/>
  <c r="CA81" i="63"/>
  <c r="CF81" i="63"/>
  <c r="CA8" i="63"/>
  <c r="CF8" i="63"/>
  <c r="CA90" i="63"/>
  <c r="CF90" i="63"/>
  <c r="CA15" i="63"/>
  <c r="CF15" i="63"/>
  <c r="CA75" i="63"/>
  <c r="CF75" i="63"/>
  <c r="CA96" i="63"/>
  <c r="CF96" i="63"/>
  <c r="CA21" i="63"/>
  <c r="CF21" i="63"/>
  <c r="CA37" i="63"/>
  <c r="CF37" i="63"/>
  <c r="CA56" i="63"/>
  <c r="CF56" i="63"/>
  <c r="CA84" i="63"/>
  <c r="CF84" i="63"/>
  <c r="CA69" i="63"/>
  <c r="CF69" i="63"/>
  <c r="CA82" i="63"/>
  <c r="CF82" i="63"/>
  <c r="CA77" i="63"/>
  <c r="CF77" i="63"/>
  <c r="CA48" i="63"/>
  <c r="CF48" i="63"/>
  <c r="CA14" i="63"/>
  <c r="CF14" i="63"/>
  <c r="CA74" i="63"/>
  <c r="CF74" i="63"/>
  <c r="CA25" i="63"/>
  <c r="CF25" i="63"/>
  <c r="CA59" i="63"/>
  <c r="CF59" i="63"/>
  <c r="CA93" i="63"/>
  <c r="CF93" i="63"/>
  <c r="CA10" i="63"/>
  <c r="CF10" i="63"/>
  <c r="CA47" i="63"/>
  <c r="CF47" i="63"/>
  <c r="CA76" i="63"/>
  <c r="CF76" i="63"/>
  <c r="BX19" i="128"/>
  <c r="BX84" i="128"/>
  <c r="BX101" i="128"/>
  <c r="DA35" i="128"/>
  <c r="BX97" i="128"/>
  <c r="BX6" i="63"/>
  <c r="BX107" i="63"/>
  <c r="BT107" i="63"/>
  <c r="BX31" i="128"/>
  <c r="DA74" i="128"/>
  <c r="DA86" i="128"/>
  <c r="DA50" i="128"/>
  <c r="BX36" i="128"/>
  <c r="DA20" i="128"/>
  <c r="DA27" i="128"/>
  <c r="BX12" i="128"/>
  <c r="BW107" i="128"/>
  <c r="BX62" i="128"/>
  <c r="BX50" i="128"/>
  <c r="CB32" i="63"/>
  <c r="CG32" i="63"/>
  <c r="CB95" i="63"/>
  <c r="CG95" i="63"/>
  <c r="CB63" i="63"/>
  <c r="CG63" i="63"/>
  <c r="CB43" i="63"/>
  <c r="CG43" i="63"/>
  <c r="CB13" i="63"/>
  <c r="CG13" i="63"/>
  <c r="CB19" i="63"/>
  <c r="CG19" i="63"/>
  <c r="CB36" i="63"/>
  <c r="CG36" i="63"/>
  <c r="CB80" i="63"/>
  <c r="CG80" i="63"/>
  <c r="CB101" i="63"/>
  <c r="CG101" i="63"/>
  <c r="CB98" i="63"/>
  <c r="CG98" i="63"/>
  <c r="CB18" i="63"/>
  <c r="CG18" i="63"/>
  <c r="CB78" i="63"/>
  <c r="CG78" i="63"/>
  <c r="CB96" i="63"/>
  <c r="CG96" i="63"/>
  <c r="CB79" i="63"/>
  <c r="CG79" i="63"/>
  <c r="CB84" i="63"/>
  <c r="CG84" i="63"/>
  <c r="CB31" i="63"/>
  <c r="CG31" i="63"/>
  <c r="CB92" i="63"/>
  <c r="CG92" i="63"/>
  <c r="CB21" i="63"/>
  <c r="CG21" i="63"/>
  <c r="CB70" i="63"/>
  <c r="CG70" i="63"/>
  <c r="CB52" i="63"/>
  <c r="CG52" i="63"/>
  <c r="CB68" i="63"/>
  <c r="CG68" i="63"/>
  <c r="CB40" i="63"/>
  <c r="CG40" i="63"/>
  <c r="CB29" i="63"/>
  <c r="CG29" i="63"/>
  <c r="CB35" i="63"/>
  <c r="CG35" i="63"/>
  <c r="CB56" i="63"/>
  <c r="CG56" i="63"/>
  <c r="CB44" i="63"/>
  <c r="CG44" i="63"/>
  <c r="CB6" i="63"/>
  <c r="CG6" i="63"/>
  <c r="CB93" i="63"/>
  <c r="CG93" i="63"/>
  <c r="CB42" i="63"/>
  <c r="CG42" i="63"/>
  <c r="CB7" i="63"/>
  <c r="CG7" i="63"/>
  <c r="CB38" i="63"/>
  <c r="CG38" i="63"/>
  <c r="CB64" i="63"/>
  <c r="CG64" i="63"/>
  <c r="CB51" i="63"/>
  <c r="CG51" i="63"/>
  <c r="CB24" i="63"/>
  <c r="CG24" i="63"/>
  <c r="CB47" i="63"/>
  <c r="CG47" i="63"/>
  <c r="CB12" i="63"/>
  <c r="CG12" i="63"/>
  <c r="CB107" i="63"/>
  <c r="CB103" i="63"/>
  <c r="CG103" i="63"/>
  <c r="CB30" i="63"/>
  <c r="CG30" i="63"/>
  <c r="CB60" i="63"/>
  <c r="CG60" i="63"/>
  <c r="CB76" i="63"/>
  <c r="CG76" i="63"/>
  <c r="CB14" i="63"/>
  <c r="CG14" i="63"/>
  <c r="CB54" i="63"/>
  <c r="CG54" i="63"/>
  <c r="CB57" i="63"/>
  <c r="CG57" i="63"/>
  <c r="CB94" i="63"/>
  <c r="CG94" i="63"/>
  <c r="CB59" i="63"/>
  <c r="CG59" i="63"/>
  <c r="CB58" i="63"/>
  <c r="CG58" i="63"/>
  <c r="CB87" i="63"/>
  <c r="CG87" i="63"/>
  <c r="CB9" i="63"/>
  <c r="CG9" i="63"/>
  <c r="CB97" i="63"/>
  <c r="CG97" i="63"/>
  <c r="CB73" i="63"/>
  <c r="CG73" i="63"/>
  <c r="CB75" i="63"/>
  <c r="CG75" i="63"/>
  <c r="CB45" i="63"/>
  <c r="CG45" i="63"/>
  <c r="CB28" i="63"/>
  <c r="CG28" i="63"/>
  <c r="CB67" i="63"/>
  <c r="CG67" i="63"/>
  <c r="CB8" i="63"/>
  <c r="CG8" i="63"/>
  <c r="CB62" i="63"/>
  <c r="CG62" i="63"/>
  <c r="CB50" i="63"/>
  <c r="CG50" i="63"/>
  <c r="CB91" i="63"/>
  <c r="CG91" i="63"/>
  <c r="CB81" i="63"/>
  <c r="CG81" i="63"/>
  <c r="CB15" i="63"/>
  <c r="CG15" i="63"/>
  <c r="CB49" i="63"/>
  <c r="CG49" i="63"/>
  <c r="CB86" i="63"/>
  <c r="CG86" i="63"/>
  <c r="CB26" i="63"/>
  <c r="CG26" i="63"/>
  <c r="CB16" i="63"/>
  <c r="CG16" i="63"/>
  <c r="CB72" i="63"/>
  <c r="CG72" i="63"/>
  <c r="CB66" i="63"/>
  <c r="CG66" i="63"/>
  <c r="CB85" i="63"/>
  <c r="CG85" i="63"/>
  <c r="CB55" i="63"/>
  <c r="CG55" i="63"/>
  <c r="CB83" i="63"/>
  <c r="CG83" i="63"/>
  <c r="CB33" i="63"/>
  <c r="CG33" i="63"/>
  <c r="CB11" i="63"/>
  <c r="CG11" i="63"/>
  <c r="CB25" i="63"/>
  <c r="CG25" i="63"/>
  <c r="CB46" i="63"/>
  <c r="CG46" i="63"/>
  <c r="CB99" i="63"/>
  <c r="CG99" i="63"/>
  <c r="CB23" i="63"/>
  <c r="CG23" i="63"/>
  <c r="CB61" i="63"/>
  <c r="CG61" i="63"/>
  <c r="CB65" i="63"/>
  <c r="CG65" i="63"/>
  <c r="CB17" i="63"/>
  <c r="CG17" i="63"/>
  <c r="CB22" i="63"/>
  <c r="CG22" i="63"/>
  <c r="CB34" i="63"/>
  <c r="CG34" i="63"/>
  <c r="CB71" i="63"/>
  <c r="CG71" i="63"/>
  <c r="CB82" i="63"/>
  <c r="CG82" i="63"/>
  <c r="CB53" i="63"/>
  <c r="CG53" i="63"/>
  <c r="CB90" i="63"/>
  <c r="CG90" i="63"/>
  <c r="CB74" i="63"/>
  <c r="CG74" i="63"/>
  <c r="CB48" i="63"/>
  <c r="CG48" i="63"/>
  <c r="CB10" i="63"/>
  <c r="CG10" i="63"/>
  <c r="CB89" i="63"/>
  <c r="CG89" i="63"/>
  <c r="CB20" i="63"/>
  <c r="CG20" i="63"/>
  <c r="CB88" i="63"/>
  <c r="CG88" i="63"/>
  <c r="CB100" i="63"/>
  <c r="CG100" i="63"/>
  <c r="CB104" i="63"/>
  <c r="CG104" i="63"/>
  <c r="CB69" i="63"/>
  <c r="CG69" i="63"/>
  <c r="CB27" i="63"/>
  <c r="CG27" i="63"/>
  <c r="CB105" i="63"/>
  <c r="CG105" i="63"/>
  <c r="CB37" i="63"/>
  <c r="CG37" i="63"/>
  <c r="CB39" i="63"/>
  <c r="CG39" i="63"/>
  <c r="CB102" i="63"/>
  <c r="CG102" i="63"/>
  <c r="CB41" i="63"/>
  <c r="CG41" i="63"/>
  <c r="CB77" i="63"/>
  <c r="CG77" i="63"/>
  <c r="BX14" i="128"/>
  <c r="BX49" i="128"/>
  <c r="DA37" i="128"/>
  <c r="DA69" i="128"/>
  <c r="BX7" i="128"/>
  <c r="DA25" i="128"/>
  <c r="BX29" i="128"/>
  <c r="BX67" i="128"/>
  <c r="BX23" i="128"/>
  <c r="BX16" i="128"/>
  <c r="BS107" i="63"/>
  <c r="DA70" i="128"/>
  <c r="DA93" i="128"/>
  <c r="BX76" i="128"/>
  <c r="BX15" i="128"/>
  <c r="BX42" i="128"/>
  <c r="DA60" i="128"/>
  <c r="DA72" i="128"/>
  <c r="BS107" i="128"/>
  <c r="DA32" i="128"/>
  <c r="DA44" i="128"/>
  <c r="BX56" i="128"/>
  <c r="DA58" i="128"/>
  <c r="DA46" i="128"/>
  <c r="DA33" i="128"/>
  <c r="BX70" i="128"/>
  <c r="BV107" i="128"/>
  <c r="DA90" i="128"/>
  <c r="BX44" i="128"/>
  <c r="BX6" i="128"/>
  <c r="BT107" i="128"/>
  <c r="DA64" i="128"/>
  <c r="DA94" i="128"/>
  <c r="DA38" i="128"/>
  <c r="DA43" i="128"/>
  <c r="E5" i="123"/>
  <c r="Q5" i="123"/>
  <c r="R5" i="123"/>
  <c r="T5" i="123"/>
  <c r="Q15" i="123"/>
  <c r="R15" i="123"/>
  <c r="T15" i="123"/>
  <c r="E15" i="123"/>
  <c r="E9" i="123"/>
  <c r="Q4" i="123"/>
  <c r="R4" i="123"/>
  <c r="T4" i="123"/>
  <c r="E4" i="123"/>
  <c r="E28" i="123"/>
  <c r="E18" i="123"/>
  <c r="Q18" i="123"/>
  <c r="R18" i="123"/>
  <c r="T18" i="123"/>
  <c r="D18" i="123"/>
  <c r="H50" i="61"/>
  <c r="I45" i="61"/>
  <c r="I50" i="61"/>
  <c r="G50" i="61"/>
  <c r="G50" i="60"/>
  <c r="H50" i="60"/>
  <c r="I50" i="60"/>
  <c r="C8" i="121"/>
  <c r="D28" i="123"/>
  <c r="Q28" i="123"/>
  <c r="R28" i="123"/>
  <c r="T28" i="123"/>
  <c r="E12" i="123"/>
  <c r="D12" i="123"/>
  <c r="E30" i="123"/>
  <c r="E24" i="123"/>
  <c r="E11" i="123"/>
  <c r="Q14" i="123"/>
  <c r="R14" i="123"/>
  <c r="T14" i="123"/>
  <c r="D14" i="123"/>
  <c r="D11" i="123"/>
  <c r="Q11" i="123"/>
  <c r="R11" i="123"/>
  <c r="T11" i="123"/>
  <c r="O34" i="123"/>
  <c r="Q30" i="123"/>
  <c r="R30" i="123"/>
  <c r="T30" i="123"/>
  <c r="D30" i="123"/>
  <c r="E29" i="123"/>
  <c r="N26" i="123"/>
  <c r="P26" i="123"/>
  <c r="D29" i="123"/>
  <c r="Q29" i="123"/>
  <c r="R29" i="123"/>
  <c r="T29" i="123"/>
  <c r="E20" i="123"/>
  <c r="Q9" i="123"/>
  <c r="R9" i="123"/>
  <c r="T9" i="123"/>
  <c r="Q8" i="123"/>
  <c r="R8" i="123"/>
  <c r="T8" i="123"/>
  <c r="D8" i="123"/>
  <c r="Q24" i="123"/>
  <c r="R24" i="123"/>
  <c r="T24" i="123"/>
  <c r="Q20" i="123"/>
  <c r="R20" i="123"/>
  <c r="T20" i="123"/>
  <c r="P31" i="123"/>
  <c r="E31" i="123"/>
  <c r="D32" i="123"/>
  <c r="Q32" i="123"/>
  <c r="R32" i="123"/>
  <c r="T32" i="123"/>
  <c r="D23" i="123"/>
  <c r="Q23" i="123"/>
  <c r="R23" i="123"/>
  <c r="T23" i="123"/>
  <c r="D19" i="123"/>
  <c r="Q19" i="123"/>
  <c r="R19" i="123"/>
  <c r="T19" i="123"/>
  <c r="I28" i="119"/>
  <c r="I20" i="119"/>
  <c r="I36" i="119"/>
  <c r="I29" i="119"/>
  <c r="I11" i="119"/>
  <c r="I18" i="119"/>
  <c r="I25" i="119"/>
  <c r="I38" i="119"/>
  <c r="I16" i="119"/>
  <c r="I14" i="119"/>
  <c r="I10" i="119"/>
  <c r="I17" i="119"/>
  <c r="I31" i="119"/>
  <c r="I32" i="119"/>
  <c r="I21" i="119"/>
  <c r="I37" i="119"/>
  <c r="I24" i="119"/>
  <c r="I26" i="119"/>
  <c r="I27" i="119"/>
  <c r="I13" i="119"/>
  <c r="I19" i="119"/>
  <c r="I12" i="119"/>
  <c r="I39" i="119"/>
  <c r="I40" i="119"/>
  <c r="I33" i="119"/>
  <c r="I15" i="119"/>
  <c r="I30" i="119"/>
  <c r="I23" i="119"/>
  <c r="I35" i="119"/>
  <c r="AM100" i="63"/>
  <c r="A47" i="60"/>
  <c r="F52" i="60"/>
  <c r="F56" i="60"/>
  <c r="H47" i="60"/>
  <c r="H52" i="60"/>
  <c r="Y24" i="66"/>
  <c r="Y27" i="66"/>
  <c r="Y22" i="66"/>
  <c r="Y30" i="66"/>
  <c r="P32" i="66"/>
  <c r="D6" i="65"/>
  <c r="D14" i="65"/>
  <c r="J14" i="65"/>
  <c r="J16" i="65"/>
  <c r="Y11" i="66"/>
  <c r="C6" i="65"/>
  <c r="C8" i="65"/>
  <c r="Y12" i="66"/>
  <c r="Y10" i="66"/>
  <c r="Y28" i="66"/>
  <c r="Y16" i="66"/>
  <c r="W32" i="66"/>
  <c r="Y17" i="66"/>
  <c r="Y20" i="66"/>
  <c r="Y29" i="66"/>
  <c r="Y23" i="66"/>
  <c r="Y25" i="66"/>
  <c r="Y15" i="66"/>
  <c r="Y13" i="66"/>
  <c r="Y4" i="66"/>
  <c r="Y14" i="66"/>
  <c r="Y26" i="66"/>
  <c r="Y21" i="66"/>
  <c r="Y5" i="66"/>
  <c r="Y6" i="66"/>
  <c r="Y7" i="66"/>
  <c r="Y8" i="66"/>
  <c r="Y19" i="66"/>
  <c r="Y9" i="66"/>
  <c r="Y18" i="66"/>
  <c r="E52" i="60"/>
  <c r="E56" i="60"/>
  <c r="AM71" i="128"/>
  <c r="AR71" i="128"/>
  <c r="AW71" i="128"/>
  <c r="BB71" i="128"/>
  <c r="BG71" i="128"/>
  <c r="A50" i="60"/>
  <c r="A49" i="60"/>
  <c r="AM81" i="63"/>
  <c r="AR81" i="63"/>
  <c r="A48" i="60"/>
  <c r="D3" i="146"/>
  <c r="E3" i="146"/>
  <c r="A25" i="125"/>
  <c r="A15" i="126"/>
  <c r="AF15" i="126"/>
  <c r="AM48" i="63"/>
  <c r="AR48" i="63"/>
  <c r="AM30" i="63"/>
  <c r="AR30" i="63"/>
  <c r="AM93" i="63"/>
  <c r="AR93" i="63"/>
  <c r="E54" i="61"/>
  <c r="G34" i="137"/>
  <c r="G35" i="137"/>
  <c r="AM60" i="128"/>
  <c r="AR60" i="128"/>
  <c r="AW60" i="128"/>
  <c r="BB60" i="128"/>
  <c r="AM75" i="63"/>
  <c r="AR75" i="63"/>
  <c r="AW75" i="63"/>
  <c r="BB75" i="63"/>
  <c r="BG75" i="63"/>
  <c r="DI75" i="63"/>
  <c r="AM99" i="128"/>
  <c r="AR99" i="128"/>
  <c r="AW99" i="128"/>
  <c r="BB99" i="128"/>
  <c r="AM15" i="128"/>
  <c r="AR15" i="128"/>
  <c r="AW15" i="128"/>
  <c r="BB15" i="128"/>
  <c r="AM14" i="63"/>
  <c r="AR14" i="63"/>
  <c r="AW14" i="63"/>
  <c r="I26" i="125"/>
  <c r="AC26" i="125"/>
  <c r="AM34" i="128"/>
  <c r="AR34" i="128"/>
  <c r="AW34" i="128"/>
  <c r="BB34" i="128"/>
  <c r="AM87" i="63"/>
  <c r="AR87" i="63"/>
  <c r="AM80" i="128"/>
  <c r="AR80" i="128"/>
  <c r="AM76" i="63"/>
  <c r="AR76" i="63"/>
  <c r="AM79" i="128"/>
  <c r="AR79" i="128"/>
  <c r="AM74" i="128"/>
  <c r="AR74" i="128"/>
  <c r="AM26" i="128"/>
  <c r="AR26" i="128"/>
  <c r="AM97" i="63"/>
  <c r="AR97" i="63"/>
  <c r="AW97" i="63"/>
  <c r="BB97" i="63"/>
  <c r="BG97" i="63"/>
  <c r="DI97" i="63"/>
  <c r="AM29" i="128"/>
  <c r="AR29" i="128"/>
  <c r="AM8" i="63"/>
  <c r="AR8" i="63"/>
  <c r="AW8" i="63"/>
  <c r="BB8" i="63"/>
  <c r="BG8" i="63"/>
  <c r="DC8" i="63"/>
  <c r="AM99" i="63"/>
  <c r="AR99" i="63"/>
  <c r="AW99" i="63"/>
  <c r="AM69" i="128"/>
  <c r="AR69" i="128"/>
  <c r="AM13" i="128"/>
  <c r="AR13" i="128"/>
  <c r="AM53" i="128"/>
  <c r="AR53" i="128"/>
  <c r="AM40" i="63"/>
  <c r="AR40" i="63"/>
  <c r="AM27" i="128"/>
  <c r="AR27" i="128"/>
  <c r="AW27" i="128"/>
  <c r="BB27" i="128"/>
  <c r="BG27" i="128"/>
  <c r="AM93" i="128"/>
  <c r="AR93" i="128"/>
  <c r="AM67" i="63"/>
  <c r="AR67" i="63"/>
  <c r="AM21" i="63"/>
  <c r="AR21" i="63"/>
  <c r="AM24" i="128"/>
  <c r="AR24" i="128"/>
  <c r="AW24" i="128"/>
  <c r="BB24" i="128"/>
  <c r="AM90" i="128"/>
  <c r="AR90" i="128"/>
  <c r="AW90" i="128"/>
  <c r="BB90" i="128"/>
  <c r="BG90" i="128"/>
  <c r="AM101" i="63"/>
  <c r="AR101" i="63"/>
  <c r="AW101" i="63"/>
  <c r="I113" i="125"/>
  <c r="AC113" i="125"/>
  <c r="AM35" i="63"/>
  <c r="AR35" i="63"/>
  <c r="AW35" i="63"/>
  <c r="I47" i="125"/>
  <c r="AC47" i="125"/>
  <c r="AM22" i="128"/>
  <c r="AR22" i="128"/>
  <c r="AM98" i="128"/>
  <c r="AR98" i="128"/>
  <c r="AW98" i="128"/>
  <c r="BB98" i="128"/>
  <c r="AM81" i="128"/>
  <c r="AR81" i="128"/>
  <c r="AM9" i="63"/>
  <c r="AR9" i="63"/>
  <c r="AM89" i="63"/>
  <c r="AR89" i="63"/>
  <c r="AM83" i="63"/>
  <c r="AR83" i="63"/>
  <c r="AM79" i="63"/>
  <c r="AR79" i="63"/>
  <c r="AM88" i="63"/>
  <c r="AR88" i="63"/>
  <c r="AM96" i="128"/>
  <c r="AR96" i="128"/>
  <c r="AW96" i="128"/>
  <c r="BB96" i="128"/>
  <c r="AM66" i="63"/>
  <c r="AR66" i="63"/>
  <c r="P78" i="125"/>
  <c r="CR66" i="128"/>
  <c r="AM34" i="63"/>
  <c r="AR34" i="63"/>
  <c r="AW34" i="63"/>
  <c r="I46" i="125"/>
  <c r="AC46" i="125"/>
  <c r="AM74" i="63"/>
  <c r="AR74" i="63"/>
  <c r="AW74" i="63"/>
  <c r="BB74" i="63"/>
  <c r="AM95" i="128"/>
  <c r="AR95" i="128"/>
  <c r="AW95" i="128"/>
  <c r="BB95" i="128"/>
  <c r="AM100" i="128"/>
  <c r="AR100" i="128"/>
  <c r="AW100" i="128"/>
  <c r="BB100" i="128"/>
  <c r="D26" i="140"/>
  <c r="AM28" i="128"/>
  <c r="AR28" i="128"/>
  <c r="AW28" i="128"/>
  <c r="BB28" i="128"/>
  <c r="AM42" i="63"/>
  <c r="AR42" i="63"/>
  <c r="AM46" i="128"/>
  <c r="AR46" i="128"/>
  <c r="AW46" i="128"/>
  <c r="BB46" i="128"/>
  <c r="AM62" i="63"/>
  <c r="AR62" i="63"/>
  <c r="AW62" i="63"/>
  <c r="BB62" i="63"/>
  <c r="BG62" i="63"/>
  <c r="DI62" i="63"/>
  <c r="AM105" i="63"/>
  <c r="AR105" i="63"/>
  <c r="AW105" i="63"/>
  <c r="I117" i="125"/>
  <c r="AC117" i="125"/>
  <c r="AM57" i="128"/>
  <c r="AR57" i="128"/>
  <c r="AW57" i="128"/>
  <c r="BB57" i="128"/>
  <c r="AM10" i="128"/>
  <c r="AR10" i="128"/>
  <c r="AW10" i="128"/>
  <c r="BB10" i="128"/>
  <c r="AM41" i="63"/>
  <c r="AR41" i="63"/>
  <c r="AW41" i="63"/>
  <c r="BB41" i="63"/>
  <c r="BG41" i="63"/>
  <c r="DI41" i="63"/>
  <c r="AM51" i="63"/>
  <c r="AR51" i="63"/>
  <c r="AM70" i="128"/>
  <c r="AR70" i="128"/>
  <c r="AM65" i="128"/>
  <c r="AR65" i="128"/>
  <c r="AW65" i="128"/>
  <c r="BB65" i="128"/>
  <c r="AM86" i="63"/>
  <c r="AR86" i="63"/>
  <c r="AM64" i="63"/>
  <c r="AR64" i="63"/>
  <c r="AM68" i="63"/>
  <c r="AR68" i="63"/>
  <c r="AM40" i="128"/>
  <c r="AR40" i="128"/>
  <c r="AM43" i="63"/>
  <c r="AR43" i="63"/>
  <c r="AM97" i="128"/>
  <c r="AR97" i="128"/>
  <c r="AW97" i="128"/>
  <c r="BB97" i="128"/>
  <c r="AM69" i="63"/>
  <c r="AR69" i="63"/>
  <c r="AM61" i="128"/>
  <c r="AR61" i="128"/>
  <c r="AW61" i="128"/>
  <c r="BB61" i="128"/>
  <c r="AM45" i="63"/>
  <c r="AR45" i="63"/>
  <c r="AW45" i="63"/>
  <c r="AM89" i="128"/>
  <c r="AR89" i="128"/>
  <c r="AM58" i="128"/>
  <c r="AR58" i="128"/>
  <c r="AM37" i="128"/>
  <c r="AR37" i="128"/>
  <c r="AW37" i="128"/>
  <c r="BB37" i="128"/>
  <c r="AM61" i="63"/>
  <c r="AR61" i="63"/>
  <c r="AM28" i="63"/>
  <c r="AR28" i="63"/>
  <c r="AM32" i="128"/>
  <c r="AR32" i="128"/>
  <c r="AW32" i="128"/>
  <c r="BB32" i="128"/>
  <c r="AM104" i="128"/>
  <c r="AR104" i="128"/>
  <c r="AM73" i="128"/>
  <c r="AR73" i="128"/>
  <c r="AM96" i="63"/>
  <c r="AR96" i="63"/>
  <c r="AW96" i="63"/>
  <c r="AM6" i="63"/>
  <c r="AR6" i="63"/>
  <c r="AM51" i="128"/>
  <c r="AR51" i="128"/>
  <c r="AW51" i="128"/>
  <c r="BB51" i="128"/>
  <c r="AM80" i="63"/>
  <c r="AR80" i="63"/>
  <c r="AW80" i="63"/>
  <c r="AM105" i="128"/>
  <c r="AR105" i="128"/>
  <c r="AW105" i="128"/>
  <c r="BB105" i="128"/>
  <c r="AM98" i="63"/>
  <c r="AR98" i="63"/>
  <c r="AM49" i="63"/>
  <c r="AR49" i="63"/>
  <c r="AM60" i="63"/>
  <c r="AR60" i="63"/>
  <c r="AM8" i="128"/>
  <c r="AR8" i="128"/>
  <c r="AM11" i="63"/>
  <c r="AR11" i="63"/>
  <c r="AM23" i="63"/>
  <c r="AR23" i="63"/>
  <c r="AM54" i="128"/>
  <c r="AR54" i="128"/>
  <c r="AM20" i="128"/>
  <c r="AR20" i="128"/>
  <c r="AM41" i="128"/>
  <c r="AR41" i="128"/>
  <c r="AM91" i="128"/>
  <c r="AR91" i="128"/>
  <c r="AM43" i="128"/>
  <c r="AR43" i="128"/>
  <c r="AM63" i="128"/>
  <c r="AR63" i="128"/>
  <c r="AW63" i="128"/>
  <c r="BB63" i="128"/>
  <c r="BG63" i="128"/>
  <c r="AM95" i="63"/>
  <c r="AR95" i="63"/>
  <c r="AM46" i="63"/>
  <c r="AR46" i="63"/>
  <c r="AM92" i="128"/>
  <c r="AR92" i="128"/>
  <c r="AM21" i="128"/>
  <c r="AR21" i="128"/>
  <c r="AM90" i="63"/>
  <c r="AR90" i="63"/>
  <c r="AM71" i="63"/>
  <c r="AR71" i="63"/>
  <c r="AM42" i="128"/>
  <c r="AR42" i="128"/>
  <c r="AM87" i="128"/>
  <c r="AR87" i="128"/>
  <c r="AM37" i="63"/>
  <c r="AR37" i="63"/>
  <c r="AM36" i="63"/>
  <c r="AR36" i="63"/>
  <c r="AM77" i="63"/>
  <c r="AR77" i="63"/>
  <c r="AM77" i="128"/>
  <c r="AM76" i="128"/>
  <c r="AR76" i="128"/>
  <c r="AW76" i="128"/>
  <c r="BB76" i="128"/>
  <c r="AM70" i="63"/>
  <c r="AR70" i="63"/>
  <c r="AM82" i="128"/>
  <c r="AR82" i="128"/>
  <c r="AM83" i="128"/>
  <c r="AR83" i="128"/>
  <c r="AM65" i="63"/>
  <c r="AR65" i="63"/>
  <c r="AM103" i="63"/>
  <c r="AR103" i="63"/>
  <c r="AW103" i="63"/>
  <c r="I115" i="125"/>
  <c r="AC115" i="125"/>
  <c r="AM38" i="63"/>
  <c r="AR38" i="63"/>
  <c r="AM24" i="63"/>
  <c r="AR24" i="63"/>
  <c r="AW24" i="63"/>
  <c r="I36" i="125"/>
  <c r="AC36" i="125"/>
  <c r="AM26" i="63"/>
  <c r="AR26" i="63"/>
  <c r="AW26" i="63"/>
  <c r="BB26" i="63"/>
  <c r="BG26" i="63"/>
  <c r="DI26" i="63"/>
  <c r="AM72" i="63"/>
  <c r="AR72" i="63"/>
  <c r="AW72" i="63"/>
  <c r="I84" i="125"/>
  <c r="AC84" i="125"/>
  <c r="AM44" i="128"/>
  <c r="AR44" i="128"/>
  <c r="AW44" i="128"/>
  <c r="BB44" i="128"/>
  <c r="AM55" i="63"/>
  <c r="AR55" i="63"/>
  <c r="AW55" i="63"/>
  <c r="BB55" i="63"/>
  <c r="AM101" i="128"/>
  <c r="AR101" i="128"/>
  <c r="AW101" i="128"/>
  <c r="BB101" i="128"/>
  <c r="AM19" i="128"/>
  <c r="AR19" i="128"/>
  <c r="AW19" i="128"/>
  <c r="BB19" i="128"/>
  <c r="AM55" i="128"/>
  <c r="AR55" i="128"/>
  <c r="AW55" i="128"/>
  <c r="BB55" i="128"/>
  <c r="AM38" i="128"/>
  <c r="AR38" i="128"/>
  <c r="AW38" i="128"/>
  <c r="BB38" i="128"/>
  <c r="AM9" i="128"/>
  <c r="AR9" i="128"/>
  <c r="AW9" i="128"/>
  <c r="BB9" i="128"/>
  <c r="AM39" i="128"/>
  <c r="AR39" i="128"/>
  <c r="AW39" i="128"/>
  <c r="BB39" i="128"/>
  <c r="AM91" i="63"/>
  <c r="AR91" i="63"/>
  <c r="AW91" i="63"/>
  <c r="BB91" i="63"/>
  <c r="BG91" i="63"/>
  <c r="AM23" i="128"/>
  <c r="AR23" i="128"/>
  <c r="AW23" i="128"/>
  <c r="BB23" i="128"/>
  <c r="AM17" i="128"/>
  <c r="AR17" i="128"/>
  <c r="AW17" i="128"/>
  <c r="BB17" i="128"/>
  <c r="AM52" i="128"/>
  <c r="AR52" i="128"/>
  <c r="AW52" i="128"/>
  <c r="BB52" i="128"/>
  <c r="AM63" i="63"/>
  <c r="AR63" i="63"/>
  <c r="AW63" i="63"/>
  <c r="AM39" i="63"/>
  <c r="AR39" i="63"/>
  <c r="AW39" i="63"/>
  <c r="I51" i="125"/>
  <c r="AC51" i="125"/>
  <c r="AM30" i="128"/>
  <c r="AR30" i="128"/>
  <c r="AW30" i="128"/>
  <c r="BB30" i="128"/>
  <c r="AM94" i="63"/>
  <c r="AR94" i="63"/>
  <c r="AW94" i="63"/>
  <c r="AM56" i="63"/>
  <c r="AR56" i="63"/>
  <c r="AM47" i="63"/>
  <c r="AR47" i="63"/>
  <c r="AM102" i="128"/>
  <c r="AR102" i="128"/>
  <c r="AM50" i="128"/>
  <c r="AR50" i="128"/>
  <c r="AW50" i="128"/>
  <c r="BB50" i="128"/>
  <c r="AM49" i="128"/>
  <c r="AR49" i="128"/>
  <c r="AW49" i="128"/>
  <c r="BB49" i="128"/>
  <c r="AM14" i="128"/>
  <c r="AR14" i="128"/>
  <c r="AW14" i="128"/>
  <c r="BB14" i="128"/>
  <c r="AM103" i="128"/>
  <c r="AR103" i="128"/>
  <c r="AW103" i="128"/>
  <c r="BB103" i="128"/>
  <c r="AM67" i="128"/>
  <c r="AR67" i="128"/>
  <c r="AW67" i="128"/>
  <c r="BB67" i="128"/>
  <c r="AM73" i="63"/>
  <c r="AR73" i="63"/>
  <c r="AM18" i="63"/>
  <c r="AR18" i="63"/>
  <c r="AM27" i="63"/>
  <c r="AR27" i="63"/>
  <c r="AM13" i="63"/>
  <c r="AR13" i="63"/>
  <c r="AM31" i="63"/>
  <c r="AR31" i="63"/>
  <c r="AM88" i="128"/>
  <c r="AR88" i="128"/>
  <c r="AM102" i="63"/>
  <c r="AR102" i="63"/>
  <c r="AM84" i="128"/>
  <c r="AR84" i="128"/>
  <c r="AM85" i="128"/>
  <c r="AR85" i="128"/>
  <c r="AM6" i="128"/>
  <c r="AR6" i="128"/>
  <c r="AM12" i="128"/>
  <c r="AR12" i="128"/>
  <c r="AM78" i="128"/>
  <c r="AR78" i="128"/>
  <c r="AM75" i="128"/>
  <c r="AR75" i="128"/>
  <c r="AM20" i="63"/>
  <c r="AR20" i="63"/>
  <c r="AM36" i="128"/>
  <c r="AR36" i="128"/>
  <c r="AM25" i="128"/>
  <c r="AR25" i="128"/>
  <c r="AM78" i="63"/>
  <c r="AR78" i="63"/>
  <c r="AM84" i="63"/>
  <c r="AR84" i="63"/>
  <c r="AM66" i="128"/>
  <c r="AR66" i="128"/>
  <c r="AM56" i="128"/>
  <c r="AR56" i="128"/>
  <c r="AM22" i="63"/>
  <c r="AR22" i="63"/>
  <c r="AM85" i="63"/>
  <c r="AR85" i="63"/>
  <c r="AM54" i="63"/>
  <c r="AR54" i="63"/>
  <c r="AM7" i="128"/>
  <c r="AR7" i="128"/>
  <c r="AW7" i="128"/>
  <c r="BB7" i="128"/>
  <c r="AM59" i="128"/>
  <c r="AR59" i="128"/>
  <c r="AW59" i="128"/>
  <c r="BB59" i="128"/>
  <c r="AM53" i="63"/>
  <c r="AR53" i="63"/>
  <c r="P65" i="125"/>
  <c r="CR53" i="128"/>
  <c r="AM16" i="63"/>
  <c r="AR16" i="63"/>
  <c r="AW16" i="63"/>
  <c r="AM68" i="128"/>
  <c r="AR68" i="128"/>
  <c r="AW68" i="128"/>
  <c r="BB68" i="128"/>
  <c r="AM104" i="63"/>
  <c r="AR104" i="63"/>
  <c r="AW104" i="63"/>
  <c r="AM44" i="63"/>
  <c r="AR44" i="63"/>
  <c r="AW44" i="63"/>
  <c r="AM72" i="128"/>
  <c r="AR72" i="128"/>
  <c r="AW72" i="128"/>
  <c r="BB72" i="128"/>
  <c r="AM19" i="63"/>
  <c r="AR19" i="63"/>
  <c r="AW19" i="63"/>
  <c r="I31" i="125"/>
  <c r="AC31" i="125"/>
  <c r="AM7" i="63"/>
  <c r="AR7" i="63"/>
  <c r="AM32" i="63"/>
  <c r="AR32" i="63"/>
  <c r="AW32" i="63"/>
  <c r="AM82" i="63"/>
  <c r="AR82" i="63"/>
  <c r="P94" i="125"/>
  <c r="CR82" i="128"/>
  <c r="AM92" i="63"/>
  <c r="AR92" i="63"/>
  <c r="AM64" i="128"/>
  <c r="AR64" i="128"/>
  <c r="AW64" i="128"/>
  <c r="BB64" i="128"/>
  <c r="AM10" i="63"/>
  <c r="AR10" i="63"/>
  <c r="AW10" i="63"/>
  <c r="AM29" i="63"/>
  <c r="AR29" i="63"/>
  <c r="AM33" i="128"/>
  <c r="AR33" i="128"/>
  <c r="AW33" i="128"/>
  <c r="BB33" i="128"/>
  <c r="AM33" i="63"/>
  <c r="AR33" i="63"/>
  <c r="AM17" i="63"/>
  <c r="AR17" i="63"/>
  <c r="AW17" i="63"/>
  <c r="AM50" i="63"/>
  <c r="AR50" i="63"/>
  <c r="AM31" i="128"/>
  <c r="AR31" i="128"/>
  <c r="AM86" i="128"/>
  <c r="AR86" i="128"/>
  <c r="AW86" i="128"/>
  <c r="BB86" i="128"/>
  <c r="AM52" i="63"/>
  <c r="AR52" i="63"/>
  <c r="AW52" i="63"/>
  <c r="BB52" i="63"/>
  <c r="BG52" i="63"/>
  <c r="DI52" i="63"/>
  <c r="AM15" i="63"/>
  <c r="AR15" i="63"/>
  <c r="AW15" i="63"/>
  <c r="AM16" i="128"/>
  <c r="AR16" i="128"/>
  <c r="AM11" i="128"/>
  <c r="AR11" i="128"/>
  <c r="AW11" i="128"/>
  <c r="BB11" i="128"/>
  <c r="AM48" i="128"/>
  <c r="AR48" i="128"/>
  <c r="AM25" i="63"/>
  <c r="AR25" i="63"/>
  <c r="AW25" i="63"/>
  <c r="BB25" i="63"/>
  <c r="BG25" i="63"/>
  <c r="DI25" i="63"/>
  <c r="AM12" i="63"/>
  <c r="AR12" i="63"/>
  <c r="AW12" i="63"/>
  <c r="BB12" i="63"/>
  <c r="BG12" i="63"/>
  <c r="DI12" i="63"/>
  <c r="AM94" i="128"/>
  <c r="AR94" i="128"/>
  <c r="K34" i="137"/>
  <c r="K35" i="137"/>
  <c r="S34" i="137"/>
  <c r="S35" i="137"/>
  <c r="S32" i="137"/>
  <c r="K32" i="137"/>
  <c r="K18" i="137"/>
  <c r="E30" i="137"/>
  <c r="E18" i="137"/>
  <c r="S20" i="137"/>
  <c r="K31" i="137"/>
  <c r="K36" i="137"/>
  <c r="G36" i="137"/>
  <c r="G20" i="137"/>
  <c r="K19" i="137"/>
  <c r="G37" i="137"/>
  <c r="S19" i="137"/>
  <c r="S31" i="137"/>
  <c r="W18" i="137"/>
  <c r="W19" i="137"/>
  <c r="K30" i="137"/>
  <c r="K20" i="137"/>
  <c r="S30" i="137"/>
  <c r="W32" i="137"/>
  <c r="W31" i="137"/>
  <c r="K37" i="137"/>
  <c r="S36" i="137"/>
  <c r="W36" i="137"/>
  <c r="W37" i="137"/>
  <c r="S37" i="137"/>
  <c r="D22" i="136"/>
  <c r="D54" i="140"/>
  <c r="D20" i="136"/>
  <c r="D51" i="140"/>
  <c r="D21" i="136"/>
  <c r="D52" i="140"/>
  <c r="AM47" i="128"/>
  <c r="AR47" i="128"/>
  <c r="AM58" i="63"/>
  <c r="AR58" i="63"/>
  <c r="AW58" i="63"/>
  <c r="BB58" i="63"/>
  <c r="BG58" i="63"/>
  <c r="DI58" i="63"/>
  <c r="AM35" i="128"/>
  <c r="AM45" i="128"/>
  <c r="AR45" i="128"/>
  <c r="AW45" i="128"/>
  <c r="BB45" i="128"/>
  <c r="AM57" i="63"/>
  <c r="AR57" i="63"/>
  <c r="AM59" i="63"/>
  <c r="AR59" i="63"/>
  <c r="AM62" i="128"/>
  <c r="AR62" i="128"/>
  <c r="Q2" i="130"/>
  <c r="R2" i="130"/>
  <c r="T2" i="130"/>
  <c r="BZ45" i="128"/>
  <c r="CE45" i="128"/>
  <c r="BZ62" i="128"/>
  <c r="CE62" i="128"/>
  <c r="BZ23" i="128"/>
  <c r="CE23" i="128"/>
  <c r="BZ31" i="128"/>
  <c r="CE31" i="128"/>
  <c r="BZ87" i="128"/>
  <c r="CE87" i="128"/>
  <c r="BZ18" i="63"/>
  <c r="CE18" i="63"/>
  <c r="BZ30" i="128"/>
  <c r="CE30" i="128"/>
  <c r="BZ94" i="63"/>
  <c r="CE94" i="63"/>
  <c r="BZ95" i="128"/>
  <c r="CE95" i="128"/>
  <c r="BZ95" i="63"/>
  <c r="CE95" i="63"/>
  <c r="BZ68" i="63"/>
  <c r="CE68" i="63"/>
  <c r="BZ22" i="63"/>
  <c r="CE22" i="63"/>
  <c r="BZ99" i="63"/>
  <c r="CE99" i="63"/>
  <c r="BZ61" i="63"/>
  <c r="CE61" i="63"/>
  <c r="BZ15" i="63"/>
  <c r="CE15" i="63"/>
  <c r="BZ89" i="63"/>
  <c r="CE89" i="63"/>
  <c r="BZ70" i="63"/>
  <c r="CE70" i="63"/>
  <c r="BZ69" i="63"/>
  <c r="CE69" i="63"/>
  <c r="BZ87" i="63"/>
  <c r="CE87" i="63"/>
  <c r="BZ27" i="63"/>
  <c r="CE27" i="63"/>
  <c r="BZ35" i="63"/>
  <c r="CE35" i="63"/>
  <c r="BZ44" i="63"/>
  <c r="CE44" i="63"/>
  <c r="BZ60" i="63"/>
  <c r="CE60" i="63"/>
  <c r="BZ39" i="63"/>
  <c r="CE39" i="63"/>
  <c r="BZ23" i="63"/>
  <c r="CE23" i="63"/>
  <c r="BZ40" i="63"/>
  <c r="CE40" i="63"/>
  <c r="BZ98" i="63"/>
  <c r="CE98" i="63"/>
  <c r="BZ53" i="128"/>
  <c r="CE53" i="128"/>
  <c r="BZ72" i="128"/>
  <c r="CE72" i="128"/>
  <c r="BZ28" i="63"/>
  <c r="CE28" i="63"/>
  <c r="BZ29" i="63"/>
  <c r="CE29" i="63"/>
  <c r="BZ47" i="63"/>
  <c r="CE47" i="63"/>
  <c r="BZ82" i="63"/>
  <c r="CE82" i="63"/>
  <c r="BZ61" i="128"/>
  <c r="CE61" i="128"/>
  <c r="BZ90" i="128"/>
  <c r="CE90" i="128"/>
  <c r="BZ66" i="63"/>
  <c r="CE66" i="63"/>
  <c r="BZ62" i="63"/>
  <c r="CE62" i="63"/>
  <c r="BZ33" i="63"/>
  <c r="CE33" i="63"/>
  <c r="BZ38" i="63"/>
  <c r="CE38" i="63"/>
  <c r="BZ56" i="63"/>
  <c r="CE56" i="63"/>
  <c r="BZ37" i="128"/>
  <c r="CE37" i="128"/>
  <c r="BZ9" i="63"/>
  <c r="CE9" i="63"/>
  <c r="BZ86" i="63"/>
  <c r="CE86" i="63"/>
  <c r="BZ101" i="63"/>
  <c r="CE101" i="63"/>
  <c r="BZ7" i="63"/>
  <c r="CE7" i="63"/>
  <c r="BZ78" i="128"/>
  <c r="CE78" i="128"/>
  <c r="Q22" i="130"/>
  <c r="R22" i="130"/>
  <c r="T22" i="130"/>
  <c r="Q2" i="129"/>
  <c r="R2" i="129"/>
  <c r="T2" i="129"/>
  <c r="D2" i="129"/>
  <c r="E6" i="137"/>
  <c r="P34" i="130"/>
  <c r="P35" i="130"/>
  <c r="E26" i="129"/>
  <c r="AF107" i="63"/>
  <c r="AG107" i="63"/>
  <c r="AG107" i="128"/>
  <c r="AF107" i="128"/>
  <c r="L110" i="109"/>
  <c r="M110" i="109"/>
  <c r="K114" i="109"/>
  <c r="L114" i="109"/>
  <c r="M114" i="109"/>
  <c r="K114" i="75"/>
  <c r="L114" i="75"/>
  <c r="M114" i="75"/>
  <c r="L110" i="75"/>
  <c r="M110" i="75"/>
  <c r="K116" i="75"/>
  <c r="L116" i="75"/>
  <c r="M116" i="75"/>
  <c r="L112" i="75"/>
  <c r="M112" i="75"/>
  <c r="K116" i="105"/>
  <c r="L116" i="105"/>
  <c r="M116" i="105"/>
  <c r="L112" i="105"/>
  <c r="M112" i="105"/>
  <c r="K115" i="93"/>
  <c r="L115" i="93"/>
  <c r="M115" i="93"/>
  <c r="L111" i="93"/>
  <c r="M111" i="93"/>
  <c r="K115" i="85"/>
  <c r="L115" i="85"/>
  <c r="M115" i="85"/>
  <c r="L111" i="85"/>
  <c r="M111" i="85"/>
  <c r="M110" i="98"/>
  <c r="M117" i="98"/>
  <c r="S13" i="98"/>
  <c r="S15" i="98"/>
  <c r="D20" i="69"/>
  <c r="L117" i="98"/>
  <c r="R13" i="98"/>
  <c r="R15" i="98"/>
  <c r="C20" i="69"/>
  <c r="K114" i="89"/>
  <c r="L114" i="89"/>
  <c r="M114" i="89"/>
  <c r="L110" i="89"/>
  <c r="M110" i="89"/>
  <c r="L110" i="85"/>
  <c r="M110" i="85"/>
  <c r="K114" i="85"/>
  <c r="L114" i="85"/>
  <c r="M114" i="85"/>
  <c r="K114" i="77"/>
  <c r="L114" i="77"/>
  <c r="M114" i="77"/>
  <c r="L110" i="77"/>
  <c r="M110" i="77"/>
  <c r="L117" i="80"/>
  <c r="R13" i="80"/>
  <c r="R15" i="80"/>
  <c r="C7" i="69"/>
  <c r="K116" i="103"/>
  <c r="L116" i="103"/>
  <c r="M116" i="103"/>
  <c r="L112" i="103"/>
  <c r="M112" i="103"/>
  <c r="L112" i="109"/>
  <c r="M112" i="109"/>
  <c r="K116" i="109"/>
  <c r="L116" i="109"/>
  <c r="M116" i="109"/>
  <c r="K116" i="97"/>
  <c r="L116" i="97"/>
  <c r="M116" i="97"/>
  <c r="L112" i="97"/>
  <c r="M112" i="97"/>
  <c r="M117" i="68"/>
  <c r="S13" i="68"/>
  <c r="M110" i="96"/>
  <c r="M117" i="96"/>
  <c r="S13" i="96"/>
  <c r="S15" i="96"/>
  <c r="D19" i="69"/>
  <c r="L117" i="96"/>
  <c r="R13" i="96"/>
  <c r="R15" i="96"/>
  <c r="C19" i="69"/>
  <c r="L111" i="91"/>
  <c r="M111" i="91"/>
  <c r="K115" i="91"/>
  <c r="L115" i="91"/>
  <c r="M115" i="91"/>
  <c r="L111" i="87"/>
  <c r="M111" i="87"/>
  <c r="K115" i="87"/>
  <c r="L115" i="87"/>
  <c r="M115" i="87"/>
  <c r="M109" i="107"/>
  <c r="K115" i="79"/>
  <c r="L115" i="79"/>
  <c r="M115" i="79"/>
  <c r="L111" i="79"/>
  <c r="M111" i="79"/>
  <c r="M109" i="77"/>
  <c r="AB107" i="63"/>
  <c r="L110" i="97"/>
  <c r="M110" i="97"/>
  <c r="K114" i="97"/>
  <c r="L114" i="97"/>
  <c r="M114" i="97"/>
  <c r="K114" i="79"/>
  <c r="L114" i="79"/>
  <c r="M114" i="79"/>
  <c r="L110" i="79"/>
  <c r="M110" i="79"/>
  <c r="K114" i="117"/>
  <c r="L114" i="117"/>
  <c r="M114" i="117"/>
  <c r="L110" i="117"/>
  <c r="M110" i="117"/>
  <c r="L117" i="88"/>
  <c r="R13" i="88"/>
  <c r="R15" i="88"/>
  <c r="C13" i="69"/>
  <c r="K116" i="79"/>
  <c r="L116" i="79"/>
  <c r="M116" i="79"/>
  <c r="L112" i="79"/>
  <c r="M112" i="79"/>
  <c r="L112" i="117"/>
  <c r="M112" i="117"/>
  <c r="K116" i="117"/>
  <c r="L116" i="117"/>
  <c r="M116" i="117"/>
  <c r="K116" i="89"/>
  <c r="L116" i="89"/>
  <c r="M116" i="89"/>
  <c r="L112" i="89"/>
  <c r="M112" i="89"/>
  <c r="M109" i="117"/>
  <c r="M110" i="84"/>
  <c r="M117" i="84"/>
  <c r="S13" i="84"/>
  <c r="S15" i="84"/>
  <c r="D9" i="69"/>
  <c r="L117" i="84"/>
  <c r="R13" i="84"/>
  <c r="R15" i="84"/>
  <c r="C9" i="69"/>
  <c r="M109" i="113"/>
  <c r="L111" i="101"/>
  <c r="M111" i="101"/>
  <c r="K115" i="101"/>
  <c r="L115" i="101"/>
  <c r="M115" i="101"/>
  <c r="L111" i="109"/>
  <c r="K115" i="109"/>
  <c r="L115" i="109"/>
  <c r="M115" i="109"/>
  <c r="M110" i="82"/>
  <c r="M117" i="82"/>
  <c r="S13" i="82"/>
  <c r="S15" i="82"/>
  <c r="D8" i="69"/>
  <c r="L117" i="82"/>
  <c r="R13" i="82"/>
  <c r="R15" i="82"/>
  <c r="C8" i="69"/>
  <c r="M109" i="99"/>
  <c r="M110" i="104"/>
  <c r="M117" i="104"/>
  <c r="S13" i="104"/>
  <c r="S15" i="104"/>
  <c r="D23" i="69"/>
  <c r="L117" i="104"/>
  <c r="R13" i="104"/>
  <c r="R15" i="104"/>
  <c r="C23" i="69"/>
  <c r="M110" i="106"/>
  <c r="M117" i="106"/>
  <c r="S13" i="106"/>
  <c r="S15" i="106"/>
  <c r="D24" i="69"/>
  <c r="L117" i="106"/>
  <c r="R13" i="106"/>
  <c r="R15" i="106"/>
  <c r="C24" i="69"/>
  <c r="M117" i="80"/>
  <c r="S13" i="80"/>
  <c r="S15" i="80"/>
  <c r="D7" i="69"/>
  <c r="M110" i="102"/>
  <c r="M117" i="102"/>
  <c r="S13" i="102"/>
  <c r="S15" i="102"/>
  <c r="D22" i="69"/>
  <c r="L117" i="102"/>
  <c r="R13" i="102"/>
  <c r="R15" i="102"/>
  <c r="C22" i="69"/>
  <c r="L110" i="105"/>
  <c r="M110" i="105"/>
  <c r="K114" i="105"/>
  <c r="L114" i="105"/>
  <c r="M114" i="105"/>
  <c r="L110" i="101"/>
  <c r="M110" i="101"/>
  <c r="K114" i="101"/>
  <c r="L114" i="101"/>
  <c r="M114" i="101"/>
  <c r="L117" i="112"/>
  <c r="R13" i="112"/>
  <c r="R15" i="112"/>
  <c r="C27" i="69"/>
  <c r="K116" i="101"/>
  <c r="L116" i="101"/>
  <c r="M116" i="101"/>
  <c r="L112" i="101"/>
  <c r="M112" i="101"/>
  <c r="K116" i="107"/>
  <c r="L116" i="107"/>
  <c r="M116" i="107"/>
  <c r="L112" i="107"/>
  <c r="M112" i="107"/>
  <c r="K116" i="81"/>
  <c r="L116" i="81"/>
  <c r="M116" i="81"/>
  <c r="L112" i="81"/>
  <c r="M112" i="81"/>
  <c r="M109" i="79"/>
  <c r="M110" i="116"/>
  <c r="M117" i="116"/>
  <c r="S13" i="116"/>
  <c r="S15" i="116"/>
  <c r="D30" i="69"/>
  <c r="L117" i="116"/>
  <c r="R13" i="116"/>
  <c r="R15" i="116"/>
  <c r="C30" i="69"/>
  <c r="L111" i="105"/>
  <c r="M111" i="105"/>
  <c r="K115" i="105"/>
  <c r="L115" i="105"/>
  <c r="M115" i="105"/>
  <c r="K115" i="103"/>
  <c r="L115" i="103"/>
  <c r="M115" i="103"/>
  <c r="L111" i="103"/>
  <c r="M111" i="103"/>
  <c r="L111" i="95"/>
  <c r="M111" i="95"/>
  <c r="K115" i="95"/>
  <c r="L115" i="95"/>
  <c r="M115" i="95"/>
  <c r="M109" i="75"/>
  <c r="M109" i="83"/>
  <c r="M109" i="87"/>
  <c r="M109" i="89"/>
  <c r="M109" i="95"/>
  <c r="M117" i="112"/>
  <c r="S13" i="112"/>
  <c r="S15" i="112"/>
  <c r="D27" i="69"/>
  <c r="K114" i="113"/>
  <c r="L114" i="113"/>
  <c r="M114" i="113"/>
  <c r="L110" i="113"/>
  <c r="M110" i="113"/>
  <c r="K114" i="95"/>
  <c r="L114" i="95"/>
  <c r="M114" i="95"/>
  <c r="L110" i="95"/>
  <c r="M110" i="95"/>
  <c r="M109" i="105"/>
  <c r="L112" i="93"/>
  <c r="M112" i="93"/>
  <c r="K116" i="93"/>
  <c r="L116" i="93"/>
  <c r="M116" i="93"/>
  <c r="K116" i="91"/>
  <c r="L116" i="91"/>
  <c r="M116" i="91"/>
  <c r="L112" i="91"/>
  <c r="M112" i="91"/>
  <c r="L112" i="99"/>
  <c r="M112" i="99"/>
  <c r="K116" i="99"/>
  <c r="L116" i="99"/>
  <c r="M116" i="99"/>
  <c r="AB107" i="128"/>
  <c r="L111" i="83"/>
  <c r="M111" i="83"/>
  <c r="K115" i="83"/>
  <c r="L115" i="83"/>
  <c r="M115" i="83"/>
  <c r="L111" i="117"/>
  <c r="M111" i="117"/>
  <c r="K115" i="117"/>
  <c r="L115" i="117"/>
  <c r="M115" i="117"/>
  <c r="L111" i="75"/>
  <c r="M111" i="75"/>
  <c r="K115" i="75"/>
  <c r="L115" i="75"/>
  <c r="M115" i="75"/>
  <c r="M117" i="88"/>
  <c r="S13" i="88"/>
  <c r="S15" i="88"/>
  <c r="D13" i="69"/>
  <c r="K117" i="68"/>
  <c r="M109" i="109"/>
  <c r="L110" i="93"/>
  <c r="M110" i="93"/>
  <c r="K114" i="93"/>
  <c r="L114" i="93"/>
  <c r="M110" i="100"/>
  <c r="M117" i="100"/>
  <c r="S13" i="100"/>
  <c r="S15" i="100"/>
  <c r="D21" i="69"/>
  <c r="L117" i="100"/>
  <c r="R13" i="100"/>
  <c r="R15" i="100"/>
  <c r="C21" i="69"/>
  <c r="K114" i="107"/>
  <c r="L114" i="107"/>
  <c r="M114" i="107"/>
  <c r="L110" i="107"/>
  <c r="M110" i="107"/>
  <c r="K114" i="111"/>
  <c r="L114" i="111"/>
  <c r="M114" i="111"/>
  <c r="L110" i="111"/>
  <c r="K114" i="91"/>
  <c r="L114" i="91"/>
  <c r="M114" i="91"/>
  <c r="L110" i="91"/>
  <c r="M110" i="91"/>
  <c r="M117" i="78"/>
  <c r="S13" i="78"/>
  <c r="S15" i="78"/>
  <c r="D5" i="69"/>
  <c r="L112" i="77"/>
  <c r="M112" i="77"/>
  <c r="K116" i="77"/>
  <c r="L116" i="77"/>
  <c r="M116" i="77"/>
  <c r="K116" i="111"/>
  <c r="L116" i="111"/>
  <c r="M116" i="111"/>
  <c r="L112" i="111"/>
  <c r="M112" i="111"/>
  <c r="K116" i="85"/>
  <c r="L116" i="85"/>
  <c r="M116" i="85"/>
  <c r="L112" i="85"/>
  <c r="M112" i="85"/>
  <c r="M109" i="81"/>
  <c r="R15" i="67"/>
  <c r="S13" i="67"/>
  <c r="S15" i="67"/>
  <c r="L117" i="78"/>
  <c r="R13" i="78"/>
  <c r="R15" i="78"/>
  <c r="C5" i="69"/>
  <c r="M109" i="91"/>
  <c r="K115" i="77"/>
  <c r="L115" i="77"/>
  <c r="M115" i="77"/>
  <c r="L111" i="77"/>
  <c r="M111" i="77"/>
  <c r="K115" i="89"/>
  <c r="L115" i="89"/>
  <c r="M115" i="89"/>
  <c r="L111" i="89"/>
  <c r="M111" i="89"/>
  <c r="K115" i="115"/>
  <c r="L115" i="115"/>
  <c r="M115" i="115"/>
  <c r="L111" i="115"/>
  <c r="M111" i="115"/>
  <c r="M109" i="101"/>
  <c r="M109" i="97"/>
  <c r="M117" i="92"/>
  <c r="S13" i="92"/>
  <c r="S15" i="92"/>
  <c r="D17" i="69"/>
  <c r="M110" i="110"/>
  <c r="M117" i="110"/>
  <c r="S13" i="110"/>
  <c r="S15" i="110"/>
  <c r="D26" i="69"/>
  <c r="L117" i="110"/>
  <c r="R13" i="110"/>
  <c r="R15" i="110"/>
  <c r="C26" i="69"/>
  <c r="K116" i="113"/>
  <c r="L116" i="113"/>
  <c r="M116" i="113"/>
  <c r="L112" i="113"/>
  <c r="M112" i="113"/>
  <c r="M110" i="86"/>
  <c r="M117" i="86"/>
  <c r="S13" i="86"/>
  <c r="S15" i="86"/>
  <c r="D10" i="69"/>
  <c r="L117" i="86"/>
  <c r="R13" i="86"/>
  <c r="R15" i="86"/>
  <c r="C10" i="69"/>
  <c r="L110" i="83"/>
  <c r="M110" i="83"/>
  <c r="K114" i="83"/>
  <c r="L114" i="83"/>
  <c r="M114" i="83"/>
  <c r="L110" i="115"/>
  <c r="M110" i="115"/>
  <c r="K114" i="115"/>
  <c r="L114" i="115"/>
  <c r="M114" i="115"/>
  <c r="K114" i="81"/>
  <c r="L114" i="81"/>
  <c r="M114" i="81"/>
  <c r="L110" i="81"/>
  <c r="M110" i="81"/>
  <c r="M109" i="111"/>
  <c r="L112" i="95"/>
  <c r="M112" i="95"/>
  <c r="K116" i="95"/>
  <c r="L116" i="95"/>
  <c r="M116" i="95"/>
  <c r="K116" i="87"/>
  <c r="L116" i="87"/>
  <c r="M116" i="87"/>
  <c r="L112" i="87"/>
  <c r="M112" i="87"/>
  <c r="M109" i="115"/>
  <c r="L117" i="68"/>
  <c r="R13" i="68"/>
  <c r="R15" i="68"/>
  <c r="K115" i="113"/>
  <c r="L115" i="113"/>
  <c r="M115" i="113"/>
  <c r="L111" i="113"/>
  <c r="M111" i="113"/>
  <c r="L111" i="111"/>
  <c r="M111" i="111"/>
  <c r="K115" i="111"/>
  <c r="L115" i="111"/>
  <c r="M115" i="111"/>
  <c r="L111" i="97"/>
  <c r="M111" i="97"/>
  <c r="K115" i="97"/>
  <c r="L115" i="97"/>
  <c r="M115" i="97"/>
  <c r="M110" i="114"/>
  <c r="M117" i="114"/>
  <c r="S13" i="114"/>
  <c r="S15" i="114"/>
  <c r="D28" i="69"/>
  <c r="L117" i="114"/>
  <c r="R13" i="114"/>
  <c r="R15" i="114"/>
  <c r="C28" i="69"/>
  <c r="M109" i="103"/>
  <c r="M110" i="108"/>
  <c r="M117" i="108"/>
  <c r="S13" i="108"/>
  <c r="S15" i="108"/>
  <c r="D25" i="69"/>
  <c r="L117" i="108"/>
  <c r="R13" i="108"/>
  <c r="R15" i="108"/>
  <c r="C25" i="69"/>
  <c r="M110" i="90"/>
  <c r="M117" i="90"/>
  <c r="S13" i="90"/>
  <c r="S15" i="90"/>
  <c r="D14" i="69"/>
  <c r="L117" i="90"/>
  <c r="R13" i="90"/>
  <c r="R15" i="90"/>
  <c r="C14" i="69"/>
  <c r="K114" i="87"/>
  <c r="L114" i="87"/>
  <c r="M114" i="87"/>
  <c r="L110" i="87"/>
  <c r="M110" i="87"/>
  <c r="L110" i="103"/>
  <c r="M110" i="103"/>
  <c r="K114" i="103"/>
  <c r="L114" i="103"/>
  <c r="M114" i="103"/>
  <c r="L110" i="99"/>
  <c r="M110" i="99"/>
  <c r="K114" i="99"/>
  <c r="L114" i="99"/>
  <c r="M114" i="99"/>
  <c r="K116" i="83"/>
  <c r="L116" i="83"/>
  <c r="M116" i="83"/>
  <c r="L112" i="83"/>
  <c r="M112" i="83"/>
  <c r="K116" i="115"/>
  <c r="L116" i="115"/>
  <c r="M116" i="115"/>
  <c r="L112" i="115"/>
  <c r="M112" i="115"/>
  <c r="M110" i="76"/>
  <c r="M117" i="76"/>
  <c r="S13" i="76"/>
  <c r="S15" i="76"/>
  <c r="D4" i="69"/>
  <c r="L117" i="76"/>
  <c r="R13" i="76"/>
  <c r="R15" i="76"/>
  <c r="C4" i="69"/>
  <c r="M109" i="93"/>
  <c r="L111" i="99"/>
  <c r="M111" i="99"/>
  <c r="K115" i="99"/>
  <c r="L115" i="99"/>
  <c r="M115" i="99"/>
  <c r="K115" i="107"/>
  <c r="L115" i="107"/>
  <c r="M115" i="107"/>
  <c r="L111" i="107"/>
  <c r="M111" i="107"/>
  <c r="L111" i="81"/>
  <c r="M111" i="81"/>
  <c r="K115" i="81"/>
  <c r="L115" i="81"/>
  <c r="M115" i="81"/>
  <c r="M110" i="94"/>
  <c r="M117" i="94"/>
  <c r="S13" i="94"/>
  <c r="S15" i="94"/>
  <c r="D18" i="69"/>
  <c r="L117" i="94"/>
  <c r="R13" i="94"/>
  <c r="R15" i="94"/>
  <c r="C18" i="69"/>
  <c r="L117" i="92"/>
  <c r="R13" i="92"/>
  <c r="R15" i="92"/>
  <c r="C17" i="69"/>
  <c r="M109" i="85"/>
  <c r="BZ52" i="63"/>
  <c r="CE52" i="63"/>
  <c r="BZ31" i="63"/>
  <c r="CE31" i="63"/>
  <c r="BZ78" i="63"/>
  <c r="CE78" i="63"/>
  <c r="BZ30" i="63"/>
  <c r="CE30" i="63"/>
  <c r="BZ92" i="63"/>
  <c r="CE92" i="63"/>
  <c r="BZ55" i="63"/>
  <c r="CE55" i="63"/>
  <c r="BZ24" i="63"/>
  <c r="CE24" i="63"/>
  <c r="BZ41" i="63"/>
  <c r="CE41" i="63"/>
  <c r="BZ17" i="63"/>
  <c r="CE17" i="63"/>
  <c r="BZ88" i="63"/>
  <c r="CE88" i="63"/>
  <c r="BZ76" i="63"/>
  <c r="CE76" i="63"/>
  <c r="BZ45" i="63"/>
  <c r="CE45" i="63"/>
  <c r="N34" i="129"/>
  <c r="AR100" i="63"/>
  <c r="AR18" i="128"/>
  <c r="Q13" i="130"/>
  <c r="R13" i="130"/>
  <c r="T13" i="130"/>
  <c r="AR77" i="128"/>
  <c r="Q26" i="129"/>
  <c r="R26" i="129"/>
  <c r="T26" i="129"/>
  <c r="P34" i="131"/>
  <c r="P35" i="131"/>
  <c r="Q2" i="131"/>
  <c r="P34" i="129"/>
  <c r="P35" i="129"/>
  <c r="R2" i="132"/>
  <c r="T2" i="132"/>
  <c r="Q34" i="132"/>
  <c r="Q35" i="132"/>
  <c r="R34" i="132"/>
  <c r="BZ73" i="63"/>
  <c r="CE73" i="63"/>
  <c r="BZ46" i="63"/>
  <c r="CE46" i="63"/>
  <c r="BZ37" i="63"/>
  <c r="CE37" i="63"/>
  <c r="BZ19" i="63"/>
  <c r="CE19" i="63"/>
  <c r="BZ13" i="63"/>
  <c r="CE13" i="63"/>
  <c r="BZ16" i="63"/>
  <c r="CE16" i="63"/>
  <c r="BZ52" i="128"/>
  <c r="CE52" i="128"/>
  <c r="BZ16" i="128"/>
  <c r="CE16" i="128"/>
  <c r="BZ96" i="128"/>
  <c r="CE96" i="128"/>
  <c r="BZ32" i="128"/>
  <c r="CE32" i="128"/>
  <c r="BZ68" i="128"/>
  <c r="CE68" i="128"/>
  <c r="BZ41" i="128"/>
  <c r="CE41" i="128"/>
  <c r="BZ34" i="128"/>
  <c r="CE34" i="128"/>
  <c r="BZ11" i="128"/>
  <c r="CE11" i="128"/>
  <c r="BZ29" i="128"/>
  <c r="CE29" i="128"/>
  <c r="BZ10" i="128"/>
  <c r="CE10" i="128"/>
  <c r="BZ8" i="128"/>
  <c r="CE8" i="128"/>
  <c r="BZ7" i="128"/>
  <c r="CE7" i="128"/>
  <c r="BZ38" i="128"/>
  <c r="CE38" i="128"/>
  <c r="BZ63" i="128"/>
  <c r="CE63" i="128"/>
  <c r="BZ67" i="128"/>
  <c r="CE67" i="128"/>
  <c r="BZ73" i="128"/>
  <c r="CE73" i="128"/>
  <c r="BZ57" i="128"/>
  <c r="CE57" i="128"/>
  <c r="BZ99" i="128"/>
  <c r="CE99" i="128"/>
  <c r="BZ50" i="128"/>
  <c r="CE50" i="128"/>
  <c r="BZ40" i="128"/>
  <c r="CE40" i="128"/>
  <c r="BZ55" i="128"/>
  <c r="CE55" i="128"/>
  <c r="BZ85" i="128"/>
  <c r="CE85" i="128"/>
  <c r="BZ47" i="128"/>
  <c r="CE47" i="128"/>
  <c r="BZ79" i="128"/>
  <c r="CE79" i="128"/>
  <c r="BZ107" i="128"/>
  <c r="BZ20" i="128"/>
  <c r="CE20" i="128"/>
  <c r="BZ66" i="128"/>
  <c r="CE66" i="128"/>
  <c r="BZ80" i="128"/>
  <c r="CE80" i="128"/>
  <c r="BZ65" i="128"/>
  <c r="CE65" i="128"/>
  <c r="BZ35" i="128"/>
  <c r="CE35" i="128"/>
  <c r="BZ101" i="128"/>
  <c r="CE101" i="128"/>
  <c r="BZ26" i="128"/>
  <c r="CE26" i="128"/>
  <c r="BZ104" i="128"/>
  <c r="CE104" i="128"/>
  <c r="BZ28" i="128"/>
  <c r="CE28" i="128"/>
  <c r="BZ92" i="128"/>
  <c r="CE92" i="128"/>
  <c r="BZ51" i="128"/>
  <c r="CE51" i="128"/>
  <c r="BZ46" i="128"/>
  <c r="CE46" i="128"/>
  <c r="BZ88" i="128"/>
  <c r="CE88" i="128"/>
  <c r="BZ84" i="128"/>
  <c r="CE84" i="128"/>
  <c r="BZ9" i="128"/>
  <c r="CE9" i="128"/>
  <c r="BZ64" i="128"/>
  <c r="CE64" i="128"/>
  <c r="BZ19" i="128"/>
  <c r="CE19" i="128"/>
  <c r="BZ49" i="128"/>
  <c r="CE49" i="128"/>
  <c r="BZ39" i="128"/>
  <c r="CE39" i="128"/>
  <c r="BZ12" i="128"/>
  <c r="CE12" i="128"/>
  <c r="BZ21" i="128"/>
  <c r="CE21" i="128"/>
  <c r="BZ25" i="128"/>
  <c r="CE25" i="128"/>
  <c r="BZ86" i="128"/>
  <c r="CE86" i="128"/>
  <c r="BZ42" i="128"/>
  <c r="CE42" i="128"/>
  <c r="BZ103" i="128"/>
  <c r="CE103" i="128"/>
  <c r="BZ102" i="128"/>
  <c r="CE102" i="128"/>
  <c r="BZ13" i="128"/>
  <c r="CE13" i="128"/>
  <c r="BZ98" i="128"/>
  <c r="CE98" i="128"/>
  <c r="BZ27" i="128"/>
  <c r="CE27" i="128"/>
  <c r="BZ100" i="128"/>
  <c r="CE100" i="128"/>
  <c r="BZ70" i="128"/>
  <c r="CE70" i="128"/>
  <c r="BZ91" i="128"/>
  <c r="CE91" i="128"/>
  <c r="BZ82" i="128"/>
  <c r="CE82" i="128"/>
  <c r="BZ6" i="128"/>
  <c r="CE6" i="128"/>
  <c r="BZ83" i="128"/>
  <c r="CE83" i="128"/>
  <c r="BZ60" i="128"/>
  <c r="CE60" i="128"/>
  <c r="BZ74" i="128"/>
  <c r="CE74" i="128"/>
  <c r="BZ71" i="128"/>
  <c r="CE71" i="128"/>
  <c r="BZ93" i="128"/>
  <c r="CE93" i="128"/>
  <c r="BZ58" i="128"/>
  <c r="CE58" i="128"/>
  <c r="BZ94" i="128"/>
  <c r="CE94" i="128"/>
  <c r="BZ76" i="128"/>
  <c r="CE76" i="128"/>
  <c r="BZ54" i="128"/>
  <c r="CE54" i="128"/>
  <c r="D60" i="61"/>
  <c r="AB23" i="73"/>
  <c r="D62" i="60"/>
  <c r="BZ81" i="128"/>
  <c r="CE81" i="128"/>
  <c r="BZ33" i="128"/>
  <c r="CE33" i="128"/>
  <c r="BZ69" i="128"/>
  <c r="CE69" i="128"/>
  <c r="BZ43" i="128"/>
  <c r="CE43" i="128"/>
  <c r="BZ15" i="128"/>
  <c r="CE15" i="128"/>
  <c r="BZ89" i="128"/>
  <c r="CE89" i="128"/>
  <c r="BZ22" i="128"/>
  <c r="CE22" i="128"/>
  <c r="BZ17" i="128"/>
  <c r="CE17" i="128"/>
  <c r="BZ14" i="128"/>
  <c r="CE14" i="128"/>
  <c r="BZ18" i="128"/>
  <c r="CE18" i="128"/>
  <c r="BZ75" i="128"/>
  <c r="CE75" i="128"/>
  <c r="BZ59" i="128"/>
  <c r="CE59" i="128"/>
  <c r="BZ97" i="128"/>
  <c r="CE97" i="128"/>
  <c r="BZ56" i="128"/>
  <c r="CE56" i="128"/>
  <c r="BZ77" i="128"/>
  <c r="CE77" i="128"/>
  <c r="BZ48" i="128"/>
  <c r="CE48" i="128"/>
  <c r="BZ44" i="128"/>
  <c r="CE44" i="128"/>
  <c r="BZ24" i="128"/>
  <c r="CE24" i="128"/>
  <c r="BZ36" i="128"/>
  <c r="CE36" i="128"/>
  <c r="E60" i="61"/>
  <c r="E62" i="60"/>
  <c r="BZ34" i="63"/>
  <c r="CE34" i="63"/>
  <c r="BZ49" i="63"/>
  <c r="CE49" i="63"/>
  <c r="BZ97" i="63"/>
  <c r="CE97" i="63"/>
  <c r="BZ85" i="63"/>
  <c r="CE85" i="63"/>
  <c r="BZ67" i="63"/>
  <c r="CE67" i="63"/>
  <c r="BZ10" i="63"/>
  <c r="CE10" i="63"/>
  <c r="BZ79" i="63"/>
  <c r="CE79" i="63"/>
  <c r="BZ64" i="63"/>
  <c r="CE64" i="63"/>
  <c r="BZ91" i="63"/>
  <c r="CE91" i="63"/>
  <c r="BZ93" i="63"/>
  <c r="CE93" i="63"/>
  <c r="BZ6" i="63"/>
  <c r="CE6" i="63"/>
  <c r="BZ54" i="63"/>
  <c r="CE54" i="63"/>
  <c r="BZ65" i="63"/>
  <c r="CE65" i="63"/>
  <c r="BZ25" i="63"/>
  <c r="CE25" i="63"/>
  <c r="BZ32" i="63"/>
  <c r="CE32" i="63"/>
  <c r="BZ96" i="63"/>
  <c r="CE96" i="63"/>
  <c r="BZ36" i="63"/>
  <c r="CE36" i="63"/>
  <c r="BZ53" i="63"/>
  <c r="CE53" i="63"/>
  <c r="BZ11" i="63"/>
  <c r="CE11" i="63"/>
  <c r="BZ105" i="63"/>
  <c r="CE105" i="63"/>
  <c r="BZ26" i="63"/>
  <c r="CE26" i="63"/>
  <c r="BZ50" i="63"/>
  <c r="CE50" i="63"/>
  <c r="BZ102" i="63"/>
  <c r="CE102" i="63"/>
  <c r="BZ77" i="63"/>
  <c r="CE77" i="63"/>
  <c r="BZ71" i="63"/>
  <c r="CE71" i="63"/>
  <c r="BZ43" i="63"/>
  <c r="CE43" i="63"/>
  <c r="BZ14" i="63"/>
  <c r="CE14" i="63"/>
  <c r="BZ80" i="63"/>
  <c r="CE80" i="63"/>
  <c r="BZ48" i="63"/>
  <c r="CE48" i="63"/>
  <c r="BZ58" i="63"/>
  <c r="CE58" i="63"/>
  <c r="BZ83" i="63"/>
  <c r="CE83" i="63"/>
  <c r="BZ81" i="63"/>
  <c r="CE81" i="63"/>
  <c r="BZ8" i="63"/>
  <c r="CE8" i="63"/>
  <c r="BZ12" i="63"/>
  <c r="CE12" i="63"/>
  <c r="BZ103" i="63"/>
  <c r="CE103" i="63"/>
  <c r="BZ59" i="63"/>
  <c r="CE59" i="63"/>
  <c r="BZ57" i="63"/>
  <c r="CE57" i="63"/>
  <c r="BZ100" i="63"/>
  <c r="CE100" i="63"/>
  <c r="BZ21" i="63"/>
  <c r="CE21" i="63"/>
  <c r="BZ74" i="63"/>
  <c r="CE74" i="63"/>
  <c r="BZ75" i="63"/>
  <c r="CE75" i="63"/>
  <c r="BZ63" i="63"/>
  <c r="CE63" i="63"/>
  <c r="BZ51" i="63"/>
  <c r="CE51" i="63"/>
  <c r="BZ42" i="63"/>
  <c r="CE42" i="63"/>
  <c r="BZ72" i="63"/>
  <c r="CE72" i="63"/>
  <c r="BZ104" i="63"/>
  <c r="CE104" i="63"/>
  <c r="BZ20" i="63"/>
  <c r="CE20" i="63"/>
  <c r="BZ107" i="63"/>
  <c r="BZ84" i="63"/>
  <c r="CE84" i="63"/>
  <c r="Q3" i="123"/>
  <c r="R3" i="123"/>
  <c r="T3" i="123"/>
  <c r="D3" i="123"/>
  <c r="BX107" i="128"/>
  <c r="CA103" i="128"/>
  <c r="CF103" i="128"/>
  <c r="CA35" i="128"/>
  <c r="CF35" i="128"/>
  <c r="CA89" i="128"/>
  <c r="CF89" i="128"/>
  <c r="CA96" i="128"/>
  <c r="CF96" i="128"/>
  <c r="CA33" i="128"/>
  <c r="CF33" i="128"/>
  <c r="CA98" i="128"/>
  <c r="CF98" i="128"/>
  <c r="CA65" i="128"/>
  <c r="CF65" i="128"/>
  <c r="CA36" i="128"/>
  <c r="CF36" i="128"/>
  <c r="CA64" i="128"/>
  <c r="CF64" i="128"/>
  <c r="CA57" i="128"/>
  <c r="CF57" i="128"/>
  <c r="CA81" i="128"/>
  <c r="CF81" i="128"/>
  <c r="CA39" i="128"/>
  <c r="CF39" i="128"/>
  <c r="CA37" i="128"/>
  <c r="CF37" i="128"/>
  <c r="CA70" i="128"/>
  <c r="CF70" i="128"/>
  <c r="CA38" i="128"/>
  <c r="CF38" i="128"/>
  <c r="CA23" i="128"/>
  <c r="CF23" i="128"/>
  <c r="CA83" i="128"/>
  <c r="CF83" i="128"/>
  <c r="CA14" i="128"/>
  <c r="CF14" i="128"/>
  <c r="CA12" i="128"/>
  <c r="CF12" i="128"/>
  <c r="CA62" i="128"/>
  <c r="CF62" i="128"/>
  <c r="CA50" i="128"/>
  <c r="CF50" i="128"/>
  <c r="CA88" i="128"/>
  <c r="CF88" i="128"/>
  <c r="CA93" i="128"/>
  <c r="CF93" i="128"/>
  <c r="CA16" i="128"/>
  <c r="CF16" i="128"/>
  <c r="CA45" i="128"/>
  <c r="CF45" i="128"/>
  <c r="CA80" i="128"/>
  <c r="CF80" i="128"/>
  <c r="CA43" i="128"/>
  <c r="CF43" i="128"/>
  <c r="CA95" i="128"/>
  <c r="CF95" i="128"/>
  <c r="CA77" i="128"/>
  <c r="CF77" i="128"/>
  <c r="CA56" i="128"/>
  <c r="CF56" i="128"/>
  <c r="CA72" i="128"/>
  <c r="CF72" i="128"/>
  <c r="CA105" i="128"/>
  <c r="CF105" i="128"/>
  <c r="CA63" i="128"/>
  <c r="CF63" i="128"/>
  <c r="CA17" i="128"/>
  <c r="CF17" i="128"/>
  <c r="CA28" i="128"/>
  <c r="CF28" i="128"/>
  <c r="CA74" i="128"/>
  <c r="CF74" i="128"/>
  <c r="CA20" i="128"/>
  <c r="CF20" i="128"/>
  <c r="CA58" i="128"/>
  <c r="CF58" i="128"/>
  <c r="CA32" i="128"/>
  <c r="CF32" i="128"/>
  <c r="CA21" i="128"/>
  <c r="CF21" i="128"/>
  <c r="CA52" i="128"/>
  <c r="CF52" i="128"/>
  <c r="CA31" i="128"/>
  <c r="CF31" i="128"/>
  <c r="CA26" i="128"/>
  <c r="CF26" i="128"/>
  <c r="CA51" i="128"/>
  <c r="CF51" i="128"/>
  <c r="CA41" i="128"/>
  <c r="CF41" i="128"/>
  <c r="CA13" i="128"/>
  <c r="CF13" i="128"/>
  <c r="CA40" i="128"/>
  <c r="CF40" i="128"/>
  <c r="CA48" i="128"/>
  <c r="CF48" i="128"/>
  <c r="CA79" i="128"/>
  <c r="CF79" i="128"/>
  <c r="CA85" i="128"/>
  <c r="CF85" i="128"/>
  <c r="CA107" i="128"/>
  <c r="CA92" i="128"/>
  <c r="CF92" i="128"/>
  <c r="CA71" i="128"/>
  <c r="CF71" i="128"/>
  <c r="CA59" i="128"/>
  <c r="CF59" i="128"/>
  <c r="CA30" i="128"/>
  <c r="CF30" i="128"/>
  <c r="CA87" i="128"/>
  <c r="CF87" i="128"/>
  <c r="CA102" i="128"/>
  <c r="CF102" i="128"/>
  <c r="CA82" i="128"/>
  <c r="CF82" i="128"/>
  <c r="CA104" i="128"/>
  <c r="CF104" i="128"/>
  <c r="CA46" i="128"/>
  <c r="CF46" i="128"/>
  <c r="CA27" i="128"/>
  <c r="CF27" i="128"/>
  <c r="CA75" i="128"/>
  <c r="CF75" i="128"/>
  <c r="CA61" i="128"/>
  <c r="CF61" i="128"/>
  <c r="CA97" i="128"/>
  <c r="CF97" i="128"/>
  <c r="CA34" i="128"/>
  <c r="CF34" i="128"/>
  <c r="CA69" i="128"/>
  <c r="CF69" i="128"/>
  <c r="CA86" i="128"/>
  <c r="CF86" i="128"/>
  <c r="CA84" i="128"/>
  <c r="CF84" i="128"/>
  <c r="CA76" i="128"/>
  <c r="CF76" i="128"/>
  <c r="CA66" i="128"/>
  <c r="CF66" i="128"/>
  <c r="CA29" i="128"/>
  <c r="CF29" i="128"/>
  <c r="CA22" i="128"/>
  <c r="CF22" i="128"/>
  <c r="CA47" i="128"/>
  <c r="CF47" i="128"/>
  <c r="CA9" i="128"/>
  <c r="CF9" i="128"/>
  <c r="CA53" i="128"/>
  <c r="CF53" i="128"/>
  <c r="CA100" i="128"/>
  <c r="CF100" i="128"/>
  <c r="CA44" i="128"/>
  <c r="CF44" i="128"/>
  <c r="CA7" i="128"/>
  <c r="CF7" i="128"/>
  <c r="CA60" i="128"/>
  <c r="CF60" i="128"/>
  <c r="CA8" i="128"/>
  <c r="CF8" i="128"/>
  <c r="CA90" i="128"/>
  <c r="CF90" i="128"/>
  <c r="CA68" i="128"/>
  <c r="CF68" i="128"/>
  <c r="CA54" i="128"/>
  <c r="CF54" i="128"/>
  <c r="CA78" i="128"/>
  <c r="CF78" i="128"/>
  <c r="CA24" i="128"/>
  <c r="CF24" i="128"/>
  <c r="CA15" i="128"/>
  <c r="CF15" i="128"/>
  <c r="CA49" i="128"/>
  <c r="CF49" i="128"/>
  <c r="CA67" i="128"/>
  <c r="CF67" i="128"/>
  <c r="CA94" i="128"/>
  <c r="CF94" i="128"/>
  <c r="CA6" i="128"/>
  <c r="CF6" i="128"/>
  <c r="CA10" i="128"/>
  <c r="CF10" i="128"/>
  <c r="CA11" i="128"/>
  <c r="CF11" i="128"/>
  <c r="CA42" i="128"/>
  <c r="CF42" i="128"/>
  <c r="CA18" i="128"/>
  <c r="CF18" i="128"/>
  <c r="CA91" i="128"/>
  <c r="CF91" i="128"/>
  <c r="CA73" i="128"/>
  <c r="CF73" i="128"/>
  <c r="CA25" i="128"/>
  <c r="CF25" i="128"/>
  <c r="CA55" i="128"/>
  <c r="CF55" i="128"/>
  <c r="CA101" i="128"/>
  <c r="CF101" i="128"/>
  <c r="CA99" i="128"/>
  <c r="CF99" i="128"/>
  <c r="CA19" i="128"/>
  <c r="CF19" i="128"/>
  <c r="CF107" i="63"/>
  <c r="BY96" i="128"/>
  <c r="BY75" i="128"/>
  <c r="BY62" i="128"/>
  <c r="BY97" i="128"/>
  <c r="BY8" i="128"/>
  <c r="BY57" i="128"/>
  <c r="BY69" i="128"/>
  <c r="BY24" i="128"/>
  <c r="BY46" i="128"/>
  <c r="BY99" i="128"/>
  <c r="BY26" i="128"/>
  <c r="BY88" i="128"/>
  <c r="BY72" i="128"/>
  <c r="BY78" i="128"/>
  <c r="BY23" i="128"/>
  <c r="BY55" i="128"/>
  <c r="BY92" i="128"/>
  <c r="BY51" i="128"/>
  <c r="BY81" i="128"/>
  <c r="BY28" i="128"/>
  <c r="BY41" i="128"/>
  <c r="BY102" i="128"/>
  <c r="BY22" i="128"/>
  <c r="BY83" i="128"/>
  <c r="BY67" i="128"/>
  <c r="BY105" i="128"/>
  <c r="BY101" i="128"/>
  <c r="BY19" i="128"/>
  <c r="BY45" i="128"/>
  <c r="BY90" i="128"/>
  <c r="BY58" i="128"/>
  <c r="BY103" i="128"/>
  <c r="BY7" i="128"/>
  <c r="BY39" i="128"/>
  <c r="BY76" i="128"/>
  <c r="BY35" i="128"/>
  <c r="BY65" i="128"/>
  <c r="BY91" i="128"/>
  <c r="BY86" i="128"/>
  <c r="BY6" i="128"/>
  <c r="BY64" i="128"/>
  <c r="BY100" i="128"/>
  <c r="BY59" i="128"/>
  <c r="BY89" i="128"/>
  <c r="BY13" i="128"/>
  <c r="BY49" i="128"/>
  <c r="BY61" i="128"/>
  <c r="BY21" i="128"/>
  <c r="BY38" i="128"/>
  <c r="BY93" i="128"/>
  <c r="BY104" i="128"/>
  <c r="BY52" i="128"/>
  <c r="BY66" i="128"/>
  <c r="BY79" i="128"/>
  <c r="BY30" i="128"/>
  <c r="BY32" i="128"/>
  <c r="BY12" i="128"/>
  <c r="BY74" i="128"/>
  <c r="BY87" i="128"/>
  <c r="BY56" i="128"/>
  <c r="BY48" i="128"/>
  <c r="BY60" i="128"/>
  <c r="BY15" i="128"/>
  <c r="BY84" i="128"/>
  <c r="BY73" i="128"/>
  <c r="BY33" i="128"/>
  <c r="BY25" i="128"/>
  <c r="BY63" i="128"/>
  <c r="BY20" i="128"/>
  <c r="BY82" i="128"/>
  <c r="BY95" i="128"/>
  <c r="BY31" i="128"/>
  <c r="BY27" i="128"/>
  <c r="BY80" i="128"/>
  <c r="BY53" i="128"/>
  <c r="BY17" i="128"/>
  <c r="BY77" i="128"/>
  <c r="BY54" i="128"/>
  <c r="BY34" i="128"/>
  <c r="BY10" i="128"/>
  <c r="BY44" i="128"/>
  <c r="BY40" i="128"/>
  <c r="BY85" i="128"/>
  <c r="BY29" i="128"/>
  <c r="BY42" i="128"/>
  <c r="BY18" i="128"/>
  <c r="BY107" i="128"/>
  <c r="BY14" i="128"/>
  <c r="BY9" i="128"/>
  <c r="BY70" i="128"/>
  <c r="BY47" i="128"/>
  <c r="BY43" i="128"/>
  <c r="BY36" i="128"/>
  <c r="BY94" i="128"/>
  <c r="BY11" i="128"/>
  <c r="BY98" i="128"/>
  <c r="BY37" i="128"/>
  <c r="BY50" i="128"/>
  <c r="BY16" i="128"/>
  <c r="BY68" i="128"/>
  <c r="BY71" i="128"/>
  <c r="CB61" i="128"/>
  <c r="CG61" i="128"/>
  <c r="CB14" i="128"/>
  <c r="CG14" i="128"/>
  <c r="CB67" i="128"/>
  <c r="CG67" i="128"/>
  <c r="CB29" i="128"/>
  <c r="CG29" i="128"/>
  <c r="CB55" i="128"/>
  <c r="CG55" i="128"/>
  <c r="CB49" i="128"/>
  <c r="CG49" i="128"/>
  <c r="CB105" i="128"/>
  <c r="CG105" i="128"/>
  <c r="CB50" i="128"/>
  <c r="CG50" i="128"/>
  <c r="CB83" i="128"/>
  <c r="CG83" i="128"/>
  <c r="CB65" i="128"/>
  <c r="CG65" i="128"/>
  <c r="CB86" i="128"/>
  <c r="CG86" i="128"/>
  <c r="CB72" i="128"/>
  <c r="CG72" i="128"/>
  <c r="CB74" i="128"/>
  <c r="CG74" i="128"/>
  <c r="CB79" i="128"/>
  <c r="CG79" i="128"/>
  <c r="CB24" i="128"/>
  <c r="CG24" i="128"/>
  <c r="CB43" i="128"/>
  <c r="CG43" i="128"/>
  <c r="CB88" i="128"/>
  <c r="CG88" i="128"/>
  <c r="CB89" i="128"/>
  <c r="CG89" i="128"/>
  <c r="CB98" i="128"/>
  <c r="CG98" i="128"/>
  <c r="CB21" i="128"/>
  <c r="CG21" i="128"/>
  <c r="CB9" i="128"/>
  <c r="CG9" i="128"/>
  <c r="CB28" i="128"/>
  <c r="CG28" i="128"/>
  <c r="CB6" i="128"/>
  <c r="CG6" i="128"/>
  <c r="CB94" i="128"/>
  <c r="CG94" i="128"/>
  <c r="CB93" i="128"/>
  <c r="CG93" i="128"/>
  <c r="CB51" i="128"/>
  <c r="CG51" i="128"/>
  <c r="CB45" i="128"/>
  <c r="CG45" i="128"/>
  <c r="CB19" i="128"/>
  <c r="CG19" i="128"/>
  <c r="CB70" i="128"/>
  <c r="CG70" i="128"/>
  <c r="CB44" i="128"/>
  <c r="CG44" i="128"/>
  <c r="CB35" i="128"/>
  <c r="CG35" i="128"/>
  <c r="CB53" i="128"/>
  <c r="CG53" i="128"/>
  <c r="CB64" i="128"/>
  <c r="CG64" i="128"/>
  <c r="CB80" i="128"/>
  <c r="CG80" i="128"/>
  <c r="CB18" i="128"/>
  <c r="CG18" i="128"/>
  <c r="CB84" i="128"/>
  <c r="CG84" i="128"/>
  <c r="CB99" i="128"/>
  <c r="CG99" i="128"/>
  <c r="CB12" i="128"/>
  <c r="CG12" i="128"/>
  <c r="CB97" i="128"/>
  <c r="CG97" i="128"/>
  <c r="CB31" i="128"/>
  <c r="CG31" i="128"/>
  <c r="CB39" i="128"/>
  <c r="CG39" i="128"/>
  <c r="CB77" i="128"/>
  <c r="CG77" i="128"/>
  <c r="CB8" i="128"/>
  <c r="CG8" i="128"/>
  <c r="CB20" i="128"/>
  <c r="CG20" i="128"/>
  <c r="CB10" i="128"/>
  <c r="CG10" i="128"/>
  <c r="CB85" i="128"/>
  <c r="CG85" i="128"/>
  <c r="CB59" i="128"/>
  <c r="CG59" i="128"/>
  <c r="CB30" i="128"/>
  <c r="CG30" i="128"/>
  <c r="CB56" i="128"/>
  <c r="CG56" i="128"/>
  <c r="CB87" i="128"/>
  <c r="CG87" i="128"/>
  <c r="CB40" i="128"/>
  <c r="CG40" i="128"/>
  <c r="CB66" i="128"/>
  <c r="CG66" i="128"/>
  <c r="CB68" i="128"/>
  <c r="CG68" i="128"/>
  <c r="CB42" i="128"/>
  <c r="CG42" i="128"/>
  <c r="CB63" i="128"/>
  <c r="CG63" i="128"/>
  <c r="CB96" i="128"/>
  <c r="CG96" i="128"/>
  <c r="CB100" i="128"/>
  <c r="CG100" i="128"/>
  <c r="CB76" i="128"/>
  <c r="CG76" i="128"/>
  <c r="CB71" i="128"/>
  <c r="CG71" i="128"/>
  <c r="CB32" i="128"/>
  <c r="CG32" i="128"/>
  <c r="CB7" i="128"/>
  <c r="CG7" i="128"/>
  <c r="CB36" i="128"/>
  <c r="CG36" i="128"/>
  <c r="CB34" i="128"/>
  <c r="CG34" i="128"/>
  <c r="CB46" i="128"/>
  <c r="CG46" i="128"/>
  <c r="CB54" i="128"/>
  <c r="CG54" i="128"/>
  <c r="CB82" i="128"/>
  <c r="CG82" i="128"/>
  <c r="CB47" i="128"/>
  <c r="CG47" i="128"/>
  <c r="CB38" i="128"/>
  <c r="CG38" i="128"/>
  <c r="CB60" i="128"/>
  <c r="CG60" i="128"/>
  <c r="CB90" i="128"/>
  <c r="CG90" i="128"/>
  <c r="CB37" i="128"/>
  <c r="CG37" i="128"/>
  <c r="CB16" i="128"/>
  <c r="CG16" i="128"/>
  <c r="CB48" i="128"/>
  <c r="CG48" i="128"/>
  <c r="CB26" i="128"/>
  <c r="CG26" i="128"/>
  <c r="CB11" i="128"/>
  <c r="CG11" i="128"/>
  <c r="CB95" i="128"/>
  <c r="CG95" i="128"/>
  <c r="CB69" i="128"/>
  <c r="CG69" i="128"/>
  <c r="CB104" i="128"/>
  <c r="CG104" i="128"/>
  <c r="CB52" i="128"/>
  <c r="CG52" i="128"/>
  <c r="CB73" i="128"/>
  <c r="CG73" i="128"/>
  <c r="CB57" i="128"/>
  <c r="CG57" i="128"/>
  <c r="CB27" i="128"/>
  <c r="CG27" i="128"/>
  <c r="CB17" i="128"/>
  <c r="CG17" i="128"/>
  <c r="CB23" i="128"/>
  <c r="CG23" i="128"/>
  <c r="CB78" i="128"/>
  <c r="CG78" i="128"/>
  <c r="CB62" i="128"/>
  <c r="CG62" i="128"/>
  <c r="CB101" i="128"/>
  <c r="CG101" i="128"/>
  <c r="CB91" i="128"/>
  <c r="CG91" i="128"/>
  <c r="CB58" i="128"/>
  <c r="CG58" i="128"/>
  <c r="CB13" i="128"/>
  <c r="CG13" i="128"/>
  <c r="CB22" i="128"/>
  <c r="CG22" i="128"/>
  <c r="CB15" i="128"/>
  <c r="CG15" i="128"/>
  <c r="CB107" i="128"/>
  <c r="CB81" i="128"/>
  <c r="CG81" i="128"/>
  <c r="CB75" i="128"/>
  <c r="CG75" i="128"/>
  <c r="CB33" i="128"/>
  <c r="CG33" i="128"/>
  <c r="CB103" i="128"/>
  <c r="CG103" i="128"/>
  <c r="CB41" i="128"/>
  <c r="CG41" i="128"/>
  <c r="CB25" i="128"/>
  <c r="CG25" i="128"/>
  <c r="CB92" i="128"/>
  <c r="CG92" i="128"/>
  <c r="CB102" i="128"/>
  <c r="CG102" i="128"/>
  <c r="CG107" i="63"/>
  <c r="BY86" i="63"/>
  <c r="BY21" i="63"/>
  <c r="BY69" i="63"/>
  <c r="BY98" i="63"/>
  <c r="BY44" i="63"/>
  <c r="BY76" i="63"/>
  <c r="BY62" i="63"/>
  <c r="BY54" i="63"/>
  <c r="BY49" i="63"/>
  <c r="BY46" i="63"/>
  <c r="BY48" i="63"/>
  <c r="BY22" i="63"/>
  <c r="BY40" i="63"/>
  <c r="BY102" i="63"/>
  <c r="BY37" i="63"/>
  <c r="BY77" i="63"/>
  <c r="BY92" i="63"/>
  <c r="BY19" i="63"/>
  <c r="BY43" i="63"/>
  <c r="BY35" i="63"/>
  <c r="BY31" i="63"/>
  <c r="BY71" i="63"/>
  <c r="BY63" i="63"/>
  <c r="BY27" i="63"/>
  <c r="BY65" i="63"/>
  <c r="BY73" i="63"/>
  <c r="BY7" i="63"/>
  <c r="BY47" i="63"/>
  <c r="BY81" i="63"/>
  <c r="BY45" i="63"/>
  <c r="BY32" i="63"/>
  <c r="BY55" i="63"/>
  <c r="BY26" i="63"/>
  <c r="BY11" i="63"/>
  <c r="BY30" i="63"/>
  <c r="BY18" i="63"/>
  <c r="BY6" i="63"/>
  <c r="BY60" i="63"/>
  <c r="BY103" i="63"/>
  <c r="BY52" i="63"/>
  <c r="BY70" i="63"/>
  <c r="BY16" i="63"/>
  <c r="BY23" i="63"/>
  <c r="BY15" i="63"/>
  <c r="BY41" i="63"/>
  <c r="BY33" i="63"/>
  <c r="BY24" i="63"/>
  <c r="BY82" i="63"/>
  <c r="BY57" i="63"/>
  <c r="BY99" i="63"/>
  <c r="BY58" i="63"/>
  <c r="BY100" i="63"/>
  <c r="BY25" i="63"/>
  <c r="BY72" i="63"/>
  <c r="BY17" i="63"/>
  <c r="BY20" i="63"/>
  <c r="BY10" i="63"/>
  <c r="BY12" i="63"/>
  <c r="BY9" i="63"/>
  <c r="BY107" i="63"/>
  <c r="BY36" i="63"/>
  <c r="BY14" i="63"/>
  <c r="BY101" i="63"/>
  <c r="BY34" i="63"/>
  <c r="BY97" i="63"/>
  <c r="BY28" i="63"/>
  <c r="BY61" i="63"/>
  <c r="BY105" i="63"/>
  <c r="BY94" i="63"/>
  <c r="BY90" i="63"/>
  <c r="BY91" i="63"/>
  <c r="BY96" i="63"/>
  <c r="BY66" i="63"/>
  <c r="BY84" i="63"/>
  <c r="BY38" i="63"/>
  <c r="BY93" i="63"/>
  <c r="BY53" i="63"/>
  <c r="BY80" i="63"/>
  <c r="BY29" i="63"/>
  <c r="BY50" i="63"/>
  <c r="BY85" i="63"/>
  <c r="BY79" i="63"/>
  <c r="BY75" i="63"/>
  <c r="BY83" i="63"/>
  <c r="BY74" i="63"/>
  <c r="BY56" i="63"/>
  <c r="BY13" i="63"/>
  <c r="BY104" i="63"/>
  <c r="BY95" i="63"/>
  <c r="BY59" i="63"/>
  <c r="BY87" i="63"/>
  <c r="BY8" i="63"/>
  <c r="BY39" i="63"/>
  <c r="BY67" i="63"/>
  <c r="BY78" i="63"/>
  <c r="BY68" i="63"/>
  <c r="BY64" i="63"/>
  <c r="BY88" i="63"/>
  <c r="BY42" i="63"/>
  <c r="BY89" i="63"/>
  <c r="BY51" i="63"/>
  <c r="H54" i="61"/>
  <c r="G52" i="60"/>
  <c r="B2" i="127"/>
  <c r="C7" i="121"/>
  <c r="C13" i="121"/>
  <c r="P34" i="123"/>
  <c r="P35" i="123"/>
  <c r="D26" i="123"/>
  <c r="Q26" i="123"/>
  <c r="R26" i="123"/>
  <c r="T26" i="123"/>
  <c r="N34" i="123"/>
  <c r="E26" i="123"/>
  <c r="Q31" i="123"/>
  <c r="R31" i="123"/>
  <c r="T31" i="123"/>
  <c r="D31" i="123"/>
  <c r="I22" i="119"/>
  <c r="I34" i="119"/>
  <c r="B7" i="127"/>
  <c r="I47" i="60"/>
  <c r="I52" i="60"/>
  <c r="E6" i="65"/>
  <c r="E8" i="65"/>
  <c r="D8" i="65"/>
  <c r="D16" i="65"/>
  <c r="J6" i="65"/>
  <c r="J8" i="65"/>
  <c r="P34" i="66"/>
  <c r="C14" i="65"/>
  <c r="C16" i="65"/>
  <c r="A16" i="126"/>
  <c r="AF16" i="126"/>
  <c r="A26" i="125"/>
  <c r="DC91" i="63"/>
  <c r="DI91" i="63"/>
  <c r="DC26" i="63"/>
  <c r="DC75" i="63"/>
  <c r="AM107" i="63"/>
  <c r="AM107" i="128"/>
  <c r="DC41" i="63"/>
  <c r="AR35" i="128"/>
  <c r="AR107" i="128"/>
  <c r="DI8" i="63"/>
  <c r="G30" i="137"/>
  <c r="G18" i="137"/>
  <c r="D55" i="140"/>
  <c r="D53" i="140"/>
  <c r="P87" i="125"/>
  <c r="CR75" i="128"/>
  <c r="BG86" i="128"/>
  <c r="BG15" i="128"/>
  <c r="BG44" i="128"/>
  <c r="P56" i="125"/>
  <c r="CR44" i="128"/>
  <c r="P27" i="125"/>
  <c r="CR15" i="128"/>
  <c r="I103" i="125"/>
  <c r="AC103" i="125"/>
  <c r="BG9" i="128"/>
  <c r="P92" i="125"/>
  <c r="CR80" i="128"/>
  <c r="BG24" i="128"/>
  <c r="I38" i="125"/>
  <c r="AC38" i="125"/>
  <c r="BG46" i="128"/>
  <c r="BG19" i="128"/>
  <c r="P115" i="125"/>
  <c r="CR103" i="128"/>
  <c r="P29" i="125"/>
  <c r="CR17" i="128"/>
  <c r="P86" i="125"/>
  <c r="CR74" i="128"/>
  <c r="BG51" i="128"/>
  <c r="BG32" i="128"/>
  <c r="BG96" i="128"/>
  <c r="P46" i="125"/>
  <c r="CR34" i="128"/>
  <c r="BB34" i="63"/>
  <c r="BG34" i="63"/>
  <c r="DI34" i="63"/>
  <c r="DC52" i="63"/>
  <c r="BG95" i="128"/>
  <c r="I74" i="125"/>
  <c r="AC74" i="125"/>
  <c r="DC62" i="63"/>
  <c r="BG74" i="63"/>
  <c r="BB103" i="63"/>
  <c r="BG103" i="63"/>
  <c r="DI103" i="63"/>
  <c r="BG14" i="128"/>
  <c r="DC58" i="63"/>
  <c r="BG98" i="128"/>
  <c r="DC25" i="63"/>
  <c r="I37" i="125"/>
  <c r="AC37" i="125"/>
  <c r="BG52" i="128"/>
  <c r="BG97" i="128"/>
  <c r="BG101" i="128"/>
  <c r="BG11" i="128"/>
  <c r="P31" i="125"/>
  <c r="CR19" i="128"/>
  <c r="BG17" i="128"/>
  <c r="P47" i="125"/>
  <c r="CR35" i="128"/>
  <c r="BB14" i="63"/>
  <c r="BG14" i="63"/>
  <c r="DI14" i="63"/>
  <c r="BG68" i="128"/>
  <c r="BG23" i="128"/>
  <c r="I86" i="125"/>
  <c r="AC86" i="125"/>
  <c r="BG55" i="128"/>
  <c r="P103" i="125"/>
  <c r="CR91" i="128"/>
  <c r="AW66" i="63"/>
  <c r="I78" i="125"/>
  <c r="AC78" i="125"/>
  <c r="BG59" i="128"/>
  <c r="I87" i="125"/>
  <c r="AC87" i="125"/>
  <c r="BG60" i="128"/>
  <c r="BB39" i="63"/>
  <c r="BG39" i="63"/>
  <c r="P75" i="125"/>
  <c r="CR63" i="128"/>
  <c r="BG99" i="128"/>
  <c r="P37" i="125"/>
  <c r="CR25" i="128"/>
  <c r="I67" i="125"/>
  <c r="AC67" i="125"/>
  <c r="BG30" i="128"/>
  <c r="P74" i="125"/>
  <c r="CR62" i="128"/>
  <c r="P57" i="125"/>
  <c r="CR45" i="128"/>
  <c r="BG55" i="63"/>
  <c r="P44" i="125"/>
  <c r="CR32" i="128"/>
  <c r="CC107" i="63"/>
  <c r="P26" i="125"/>
  <c r="CR14" i="128"/>
  <c r="P67" i="125"/>
  <c r="CR55" i="128"/>
  <c r="I64" i="125"/>
  <c r="AC64" i="125"/>
  <c r="I70" i="125"/>
  <c r="AC70" i="125"/>
  <c r="Q34" i="129"/>
  <c r="Q35" i="129"/>
  <c r="R34" i="129"/>
  <c r="M117" i="99"/>
  <c r="S13" i="99"/>
  <c r="S15" i="99"/>
  <c r="H20" i="69"/>
  <c r="M117" i="97"/>
  <c r="S13" i="97"/>
  <c r="S15" i="97"/>
  <c r="H19" i="69"/>
  <c r="L117" i="95"/>
  <c r="R13" i="95"/>
  <c r="R15" i="95"/>
  <c r="G18" i="69"/>
  <c r="K117" i="75"/>
  <c r="AE2" i="63"/>
  <c r="L117" i="101"/>
  <c r="R13" i="101"/>
  <c r="R15" i="101"/>
  <c r="G21" i="69"/>
  <c r="L117" i="91"/>
  <c r="R13" i="91"/>
  <c r="R15" i="91"/>
  <c r="G14" i="69"/>
  <c r="L117" i="115"/>
  <c r="R13" i="115"/>
  <c r="R15" i="115"/>
  <c r="G28" i="69"/>
  <c r="M117" i="89"/>
  <c r="S13" i="89"/>
  <c r="S15" i="89"/>
  <c r="H13" i="69"/>
  <c r="M114" i="93"/>
  <c r="M117" i="93"/>
  <c r="S13" i="93"/>
  <c r="S15" i="93"/>
  <c r="H17" i="69"/>
  <c r="L117" i="93"/>
  <c r="R13" i="93"/>
  <c r="R15" i="93"/>
  <c r="G17" i="69"/>
  <c r="M111" i="109"/>
  <c r="M117" i="109"/>
  <c r="S13" i="109"/>
  <c r="S15" i="109"/>
  <c r="H25" i="69"/>
  <c r="L117" i="109"/>
  <c r="R13" i="109"/>
  <c r="R15" i="109"/>
  <c r="G25" i="69"/>
  <c r="M110" i="111"/>
  <c r="M117" i="111"/>
  <c r="S13" i="111"/>
  <c r="S15" i="111"/>
  <c r="H26" i="69"/>
  <c r="L117" i="111"/>
  <c r="R13" i="111"/>
  <c r="R15" i="111"/>
  <c r="G26" i="69"/>
  <c r="D36" i="69"/>
  <c r="D32" i="69"/>
  <c r="L117" i="83"/>
  <c r="R13" i="83"/>
  <c r="R15" i="83"/>
  <c r="G8" i="69"/>
  <c r="M117" i="117"/>
  <c r="S13" i="117"/>
  <c r="S15" i="117"/>
  <c r="H30" i="69"/>
  <c r="M117" i="105"/>
  <c r="S13" i="105"/>
  <c r="S15" i="105"/>
  <c r="H23" i="69"/>
  <c r="L117" i="117"/>
  <c r="R13" i="117"/>
  <c r="R15" i="117"/>
  <c r="G30" i="69"/>
  <c r="L117" i="107"/>
  <c r="R13" i="107"/>
  <c r="R15" i="107"/>
  <c r="G24" i="69"/>
  <c r="M117" i="85"/>
  <c r="S13" i="85"/>
  <c r="S15" i="85"/>
  <c r="H9" i="69"/>
  <c r="M117" i="115"/>
  <c r="S13" i="115"/>
  <c r="S15" i="115"/>
  <c r="H28" i="69"/>
  <c r="L117" i="75"/>
  <c r="R13" i="75"/>
  <c r="R15" i="75"/>
  <c r="M117" i="101"/>
  <c r="S13" i="101"/>
  <c r="S15" i="101"/>
  <c r="H21" i="69"/>
  <c r="L117" i="77"/>
  <c r="R13" i="77"/>
  <c r="R15" i="77"/>
  <c r="G4" i="69"/>
  <c r="M117" i="83"/>
  <c r="S13" i="83"/>
  <c r="S15" i="83"/>
  <c r="H8" i="69"/>
  <c r="L117" i="105"/>
  <c r="R13" i="105"/>
  <c r="R15" i="105"/>
  <c r="G23" i="69"/>
  <c r="L117" i="99"/>
  <c r="R13" i="99"/>
  <c r="R15" i="99"/>
  <c r="G20" i="69"/>
  <c r="M117" i="81"/>
  <c r="S13" i="81"/>
  <c r="S15" i="81"/>
  <c r="H7" i="69"/>
  <c r="C32" i="69"/>
  <c r="C33" i="69"/>
  <c r="D36" i="61"/>
  <c r="E36" i="61"/>
  <c r="F36" i="61"/>
  <c r="C36" i="69"/>
  <c r="L117" i="103"/>
  <c r="R13" i="103"/>
  <c r="R15" i="103"/>
  <c r="G22" i="69"/>
  <c r="R16" i="67"/>
  <c r="D35" i="61"/>
  <c r="E35" i="61"/>
  <c r="F35" i="61"/>
  <c r="P17" i="67"/>
  <c r="D58" i="61"/>
  <c r="I7" i="65"/>
  <c r="R2" i="63"/>
  <c r="R2" i="128"/>
  <c r="L117" i="89"/>
  <c r="R13" i="89"/>
  <c r="R15" i="89"/>
  <c r="G13" i="69"/>
  <c r="L117" i="113"/>
  <c r="R13" i="113"/>
  <c r="R15" i="113"/>
  <c r="G27" i="69"/>
  <c r="M117" i="79"/>
  <c r="S13" i="79"/>
  <c r="S15" i="79"/>
  <c r="H5" i="69"/>
  <c r="M117" i="87"/>
  <c r="S13" i="87"/>
  <c r="S15" i="87"/>
  <c r="H10" i="69"/>
  <c r="M117" i="107"/>
  <c r="S13" i="107"/>
  <c r="S15" i="107"/>
  <c r="H24" i="69"/>
  <c r="M117" i="113"/>
  <c r="S13" i="113"/>
  <c r="S15" i="113"/>
  <c r="H27" i="69"/>
  <c r="L117" i="81"/>
  <c r="R13" i="81"/>
  <c r="R15" i="81"/>
  <c r="G7" i="69"/>
  <c r="M117" i="95"/>
  <c r="S13" i="95"/>
  <c r="S15" i="95"/>
  <c r="H18" i="69"/>
  <c r="L117" i="79"/>
  <c r="R13" i="79"/>
  <c r="R15" i="79"/>
  <c r="G5" i="69"/>
  <c r="L117" i="85"/>
  <c r="R13" i="85"/>
  <c r="R15" i="85"/>
  <c r="G9" i="69"/>
  <c r="L117" i="97"/>
  <c r="R13" i="97"/>
  <c r="R15" i="97"/>
  <c r="G19" i="69"/>
  <c r="M117" i="77"/>
  <c r="S13" i="77"/>
  <c r="S15" i="77"/>
  <c r="H4" i="69"/>
  <c r="L117" i="87"/>
  <c r="R13" i="87"/>
  <c r="R15" i="87"/>
  <c r="G10" i="69"/>
  <c r="M117" i="103"/>
  <c r="S13" i="103"/>
  <c r="S15" i="103"/>
  <c r="H22" i="69"/>
  <c r="M117" i="91"/>
  <c r="S13" i="91"/>
  <c r="S15" i="91"/>
  <c r="H14" i="69"/>
  <c r="S15" i="68"/>
  <c r="R16" i="68"/>
  <c r="D37" i="60"/>
  <c r="E37" i="60"/>
  <c r="F37" i="60"/>
  <c r="M117" i="75"/>
  <c r="S13" i="75"/>
  <c r="S15" i="75"/>
  <c r="BB24" i="63"/>
  <c r="BG24" i="63"/>
  <c r="AW31" i="128"/>
  <c r="BB31" i="128"/>
  <c r="BG31" i="128"/>
  <c r="BG57" i="128"/>
  <c r="BG76" i="128"/>
  <c r="I53" i="125"/>
  <c r="AC53" i="125"/>
  <c r="P108" i="125"/>
  <c r="CR96" i="128"/>
  <c r="P109" i="125"/>
  <c r="CR97" i="128"/>
  <c r="I20" i="125"/>
  <c r="AC20" i="125"/>
  <c r="P51" i="125"/>
  <c r="CR39" i="128"/>
  <c r="P24" i="125"/>
  <c r="CR12" i="128"/>
  <c r="AW82" i="63"/>
  <c r="BG72" i="128"/>
  <c r="BG39" i="128"/>
  <c r="AW50" i="63"/>
  <c r="P62" i="125"/>
  <c r="CR50" i="128"/>
  <c r="I44" i="125"/>
  <c r="AC44" i="125"/>
  <c r="BB32" i="63"/>
  <c r="BG32" i="63"/>
  <c r="I75" i="125"/>
  <c r="AC75" i="125"/>
  <c r="BB63" i="63"/>
  <c r="BG63" i="63"/>
  <c r="AW38" i="63"/>
  <c r="P50" i="125"/>
  <c r="CR38" i="128"/>
  <c r="BB101" i="63"/>
  <c r="BG101" i="63"/>
  <c r="DC101" i="63"/>
  <c r="BG100" i="128"/>
  <c r="BB105" i="63"/>
  <c r="BG105" i="63"/>
  <c r="BG103" i="128"/>
  <c r="BB35" i="63"/>
  <c r="BG35" i="63"/>
  <c r="BG33" i="128"/>
  <c r="P22" i="125"/>
  <c r="CR10" i="128"/>
  <c r="P38" i="125"/>
  <c r="CR26" i="128"/>
  <c r="BB72" i="63"/>
  <c r="BG72" i="63"/>
  <c r="AW48" i="128"/>
  <c r="BB48" i="128"/>
  <c r="BG48" i="128"/>
  <c r="BB17" i="63"/>
  <c r="BG17" i="63"/>
  <c r="I29" i="125"/>
  <c r="AC29" i="125"/>
  <c r="AW7" i="63"/>
  <c r="P19" i="125"/>
  <c r="CR7" i="128"/>
  <c r="I109" i="125"/>
  <c r="AC109" i="125"/>
  <c r="AW33" i="63"/>
  <c r="P45" i="125"/>
  <c r="CR33" i="128"/>
  <c r="BG61" i="128"/>
  <c r="P113" i="125"/>
  <c r="CR101" i="128"/>
  <c r="BB19" i="63"/>
  <c r="BG19" i="63"/>
  <c r="DI19" i="63"/>
  <c r="AW16" i="128"/>
  <c r="BB16" i="128"/>
  <c r="BG16" i="128"/>
  <c r="DC12" i="63"/>
  <c r="DC97" i="63"/>
  <c r="P84" i="125"/>
  <c r="CR72" i="128"/>
  <c r="P28" i="125"/>
  <c r="CR16" i="128"/>
  <c r="P117" i="125"/>
  <c r="CR105" i="128"/>
  <c r="P36" i="125"/>
  <c r="CR24" i="128"/>
  <c r="I24" i="125"/>
  <c r="AC24" i="125"/>
  <c r="P106" i="125"/>
  <c r="CR94" i="128"/>
  <c r="P64" i="125"/>
  <c r="CR52" i="128"/>
  <c r="I27" i="125"/>
  <c r="AC27" i="125"/>
  <c r="BB15" i="63"/>
  <c r="BG15" i="63"/>
  <c r="AW29" i="63"/>
  <c r="P41" i="125"/>
  <c r="CR29" i="128"/>
  <c r="BB44" i="63"/>
  <c r="BG44" i="63"/>
  <c r="I56" i="125"/>
  <c r="AC56" i="125"/>
  <c r="BG65" i="128"/>
  <c r="P20" i="125"/>
  <c r="CR8" i="128"/>
  <c r="I22" i="125"/>
  <c r="AC22" i="125"/>
  <c r="BB10" i="63"/>
  <c r="BG10" i="63"/>
  <c r="I106" i="125"/>
  <c r="AC106" i="125"/>
  <c r="BB94" i="63"/>
  <c r="BG94" i="63"/>
  <c r="BG38" i="128"/>
  <c r="AW102" i="128"/>
  <c r="BB102" i="128"/>
  <c r="BG102" i="128"/>
  <c r="AW92" i="63"/>
  <c r="P104" i="125"/>
  <c r="CR92" i="128"/>
  <c r="Q34" i="130"/>
  <c r="Q35" i="130"/>
  <c r="R34" i="130"/>
  <c r="I111" i="125"/>
  <c r="AC111" i="125"/>
  <c r="BB99" i="63"/>
  <c r="BG99" i="63"/>
  <c r="AW20" i="63"/>
  <c r="P32" i="125"/>
  <c r="CR20" i="128"/>
  <c r="AW31" i="63"/>
  <c r="P43" i="125"/>
  <c r="CR31" i="128"/>
  <c r="AW87" i="128"/>
  <c r="BB87" i="128"/>
  <c r="BG87" i="128"/>
  <c r="AW8" i="128"/>
  <c r="BB8" i="128"/>
  <c r="BG8" i="128"/>
  <c r="AW58" i="128"/>
  <c r="BB58" i="128"/>
  <c r="BG58" i="128"/>
  <c r="AW68" i="63"/>
  <c r="P80" i="125"/>
  <c r="CR68" i="128"/>
  <c r="AW74" i="128"/>
  <c r="BB74" i="128"/>
  <c r="BG74" i="128"/>
  <c r="AW76" i="63"/>
  <c r="P88" i="125"/>
  <c r="CR76" i="128"/>
  <c r="AW87" i="63"/>
  <c r="P99" i="125"/>
  <c r="CR87" i="128"/>
  <c r="AW36" i="128"/>
  <c r="BB36" i="128"/>
  <c r="BG36" i="128"/>
  <c r="AW11" i="63"/>
  <c r="P23" i="125"/>
  <c r="CR11" i="128"/>
  <c r="AW53" i="63"/>
  <c r="AW40" i="63"/>
  <c r="P52" i="125"/>
  <c r="CR40" i="128"/>
  <c r="BG34" i="128"/>
  <c r="P53" i="125"/>
  <c r="CR41" i="128"/>
  <c r="AW22" i="63"/>
  <c r="P34" i="125"/>
  <c r="CR22" i="128"/>
  <c r="AW75" i="128"/>
  <c r="BB75" i="128"/>
  <c r="BG75" i="128"/>
  <c r="AW13" i="63"/>
  <c r="P25" i="125"/>
  <c r="CR13" i="128"/>
  <c r="AW42" i="128"/>
  <c r="BB42" i="128"/>
  <c r="BG42" i="128"/>
  <c r="AW43" i="128"/>
  <c r="BB43" i="128"/>
  <c r="BG43" i="128"/>
  <c r="AW60" i="63"/>
  <c r="P72" i="125"/>
  <c r="CR60" i="128"/>
  <c r="I108" i="125"/>
  <c r="AC108" i="125"/>
  <c r="BB96" i="63"/>
  <c r="BG96" i="63"/>
  <c r="AW89" i="128"/>
  <c r="BB89" i="128"/>
  <c r="BG89" i="128"/>
  <c r="AW64" i="63"/>
  <c r="P76" i="125"/>
  <c r="CR64" i="128"/>
  <c r="AW82" i="128"/>
  <c r="BB82" i="128"/>
  <c r="BG82" i="128"/>
  <c r="I92" i="125"/>
  <c r="AC92" i="125"/>
  <c r="BB80" i="63"/>
  <c r="BG80" i="63"/>
  <c r="AW100" i="63"/>
  <c r="P112" i="125"/>
  <c r="CR100" i="128"/>
  <c r="AW81" i="63"/>
  <c r="P93" i="125"/>
  <c r="CR81" i="128"/>
  <c r="AW30" i="63"/>
  <c r="P42" i="125"/>
  <c r="CR30" i="128"/>
  <c r="AW88" i="128"/>
  <c r="BB88" i="128"/>
  <c r="BG88" i="128"/>
  <c r="AW95" i="63"/>
  <c r="P107" i="125"/>
  <c r="CR95" i="128"/>
  <c r="AW40" i="128"/>
  <c r="BB40" i="128"/>
  <c r="BG40" i="128"/>
  <c r="BG45" i="128"/>
  <c r="BG50" i="128"/>
  <c r="P70" i="125"/>
  <c r="CR58" i="128"/>
  <c r="AW56" i="128"/>
  <c r="BB56" i="128"/>
  <c r="BG56" i="128"/>
  <c r="AW78" i="128"/>
  <c r="BB78" i="128"/>
  <c r="BG78" i="128"/>
  <c r="AW27" i="63"/>
  <c r="P39" i="125"/>
  <c r="CR27" i="128"/>
  <c r="AW71" i="63"/>
  <c r="P83" i="125"/>
  <c r="CR71" i="128"/>
  <c r="AW91" i="128"/>
  <c r="BB91" i="128"/>
  <c r="BG91" i="128"/>
  <c r="AW49" i="63"/>
  <c r="P61" i="125"/>
  <c r="CR49" i="128"/>
  <c r="AW73" i="128"/>
  <c r="BB73" i="128"/>
  <c r="BG73" i="128"/>
  <c r="BB45" i="63"/>
  <c r="BG45" i="63"/>
  <c r="I57" i="125"/>
  <c r="AC57" i="125"/>
  <c r="AW86" i="63"/>
  <c r="P98" i="125"/>
  <c r="CR86" i="128"/>
  <c r="AW79" i="63"/>
  <c r="P91" i="125"/>
  <c r="CR79" i="128"/>
  <c r="AW89" i="63"/>
  <c r="P101" i="125"/>
  <c r="CR89" i="128"/>
  <c r="AW81" i="128"/>
  <c r="BB81" i="128"/>
  <c r="BG81" i="128"/>
  <c r="BG37" i="128"/>
  <c r="AW66" i="128"/>
  <c r="BB66" i="128"/>
  <c r="BG66" i="128"/>
  <c r="AW12" i="128"/>
  <c r="BB12" i="128"/>
  <c r="BG12" i="128"/>
  <c r="AW18" i="63"/>
  <c r="P30" i="125"/>
  <c r="CR18" i="128"/>
  <c r="AW90" i="63"/>
  <c r="P102" i="125"/>
  <c r="CR90" i="128"/>
  <c r="AW41" i="128"/>
  <c r="BB41" i="128"/>
  <c r="BG41" i="128"/>
  <c r="AW98" i="63"/>
  <c r="P110" i="125"/>
  <c r="CR98" i="128"/>
  <c r="AW104" i="128"/>
  <c r="BB104" i="128"/>
  <c r="BG104" i="128"/>
  <c r="I28" i="125"/>
  <c r="AC28" i="125"/>
  <c r="BB16" i="63"/>
  <c r="BG16" i="63"/>
  <c r="AW42" i="63"/>
  <c r="P54" i="125"/>
  <c r="CR42" i="128"/>
  <c r="AW69" i="128"/>
  <c r="BB69" i="128"/>
  <c r="BG69" i="128"/>
  <c r="AW18" i="128"/>
  <c r="BB18" i="128"/>
  <c r="BG18" i="128"/>
  <c r="AW21" i="63"/>
  <c r="P33" i="125"/>
  <c r="CR21" i="128"/>
  <c r="AW67" i="63"/>
  <c r="P79" i="125"/>
  <c r="CR67" i="128"/>
  <c r="AW93" i="128"/>
  <c r="BB93" i="128"/>
  <c r="BG93" i="128"/>
  <c r="BG10" i="128"/>
  <c r="BG105" i="128"/>
  <c r="AW84" i="63"/>
  <c r="P96" i="125"/>
  <c r="CR84" i="128"/>
  <c r="AW85" i="128"/>
  <c r="BB85" i="128"/>
  <c r="BG85" i="128"/>
  <c r="P85" i="125"/>
  <c r="CR73" i="128"/>
  <c r="AW73" i="63"/>
  <c r="AW62" i="128"/>
  <c r="BB62" i="128"/>
  <c r="BG62" i="128"/>
  <c r="AW21" i="128"/>
  <c r="BB21" i="128"/>
  <c r="BG21" i="128"/>
  <c r="AW20" i="128"/>
  <c r="BB20" i="128"/>
  <c r="BG20" i="128"/>
  <c r="AW65" i="63"/>
  <c r="P77" i="125"/>
  <c r="CR65" i="128"/>
  <c r="AW69" i="63"/>
  <c r="P81" i="125"/>
  <c r="CR69" i="128"/>
  <c r="AW70" i="128"/>
  <c r="BB70" i="128"/>
  <c r="BG70" i="128"/>
  <c r="AW83" i="128"/>
  <c r="BB83" i="128"/>
  <c r="BG83" i="128"/>
  <c r="AW59" i="63"/>
  <c r="P71" i="125"/>
  <c r="CR59" i="128"/>
  <c r="AW79" i="128"/>
  <c r="BB79" i="128"/>
  <c r="BG79" i="128"/>
  <c r="AW80" i="128"/>
  <c r="BB80" i="128"/>
  <c r="BG80" i="128"/>
  <c r="AW37" i="63"/>
  <c r="P49" i="125"/>
  <c r="CR37" i="128"/>
  <c r="AW29" i="128"/>
  <c r="BB29" i="128"/>
  <c r="BG29" i="128"/>
  <c r="BG28" i="128"/>
  <c r="AW78" i="63"/>
  <c r="P90" i="125"/>
  <c r="CR78" i="128"/>
  <c r="AW84" i="128"/>
  <c r="BB84" i="128"/>
  <c r="BG84" i="128"/>
  <c r="AW57" i="63"/>
  <c r="P69" i="125"/>
  <c r="CR57" i="128"/>
  <c r="AW92" i="128"/>
  <c r="BB92" i="128"/>
  <c r="BG92" i="128"/>
  <c r="AW54" i="128"/>
  <c r="BB54" i="128"/>
  <c r="BG54" i="128"/>
  <c r="AW28" i="63"/>
  <c r="P40" i="125"/>
  <c r="CR28" i="128"/>
  <c r="AW51" i="63"/>
  <c r="P63" i="125"/>
  <c r="CR51" i="128"/>
  <c r="AW70" i="63"/>
  <c r="P82" i="125"/>
  <c r="CR70" i="128"/>
  <c r="AW48" i="63"/>
  <c r="P60" i="125"/>
  <c r="CR48" i="128"/>
  <c r="AW93" i="63"/>
  <c r="P105" i="125"/>
  <c r="CR93" i="128"/>
  <c r="AW53" i="128"/>
  <c r="BB53" i="128"/>
  <c r="BG53" i="128"/>
  <c r="BG49" i="128"/>
  <c r="P111" i="125"/>
  <c r="CR99" i="128"/>
  <c r="AW25" i="128"/>
  <c r="BB25" i="128"/>
  <c r="BG25" i="128"/>
  <c r="AW102" i="63"/>
  <c r="P114" i="125"/>
  <c r="CR102" i="128"/>
  <c r="AW36" i="63"/>
  <c r="P48" i="125"/>
  <c r="CR36" i="128"/>
  <c r="AW46" i="63"/>
  <c r="P58" i="125"/>
  <c r="CR46" i="128"/>
  <c r="AW23" i="63"/>
  <c r="P35" i="125"/>
  <c r="CR23" i="128"/>
  <c r="R2" i="131"/>
  <c r="T2" i="131"/>
  <c r="Q34" i="131"/>
  <c r="Q35" i="131"/>
  <c r="R34" i="131"/>
  <c r="AW61" i="63"/>
  <c r="P73" i="125"/>
  <c r="CR61" i="128"/>
  <c r="AW43" i="63"/>
  <c r="P55" i="125"/>
  <c r="CR43" i="128"/>
  <c r="AW77" i="128"/>
  <c r="BB77" i="128"/>
  <c r="BG77" i="128"/>
  <c r="AW22" i="128"/>
  <c r="BB22" i="128"/>
  <c r="BG22" i="128"/>
  <c r="AW88" i="63"/>
  <c r="P100" i="125"/>
  <c r="CR88" i="128"/>
  <c r="AW83" i="63"/>
  <c r="P95" i="125"/>
  <c r="CR83" i="128"/>
  <c r="AW9" i="63"/>
  <c r="P21" i="125"/>
  <c r="CR9" i="128"/>
  <c r="BG7" i="128"/>
  <c r="P116" i="125"/>
  <c r="CR104" i="128"/>
  <c r="AW94" i="128"/>
  <c r="BB94" i="128"/>
  <c r="BG94" i="128"/>
  <c r="BG67" i="128"/>
  <c r="AW13" i="128"/>
  <c r="BB13" i="128"/>
  <c r="BG13" i="128"/>
  <c r="AW77" i="63"/>
  <c r="P89" i="125"/>
  <c r="CR77" i="128"/>
  <c r="AW47" i="63"/>
  <c r="P59" i="125"/>
  <c r="CR47" i="128"/>
  <c r="AW56" i="63"/>
  <c r="P68" i="125"/>
  <c r="CR56" i="128"/>
  <c r="BB104" i="63"/>
  <c r="BG104" i="63"/>
  <c r="I116" i="125"/>
  <c r="AC116" i="125"/>
  <c r="AW35" i="128"/>
  <c r="BB35" i="128"/>
  <c r="BG35" i="128"/>
  <c r="CE107" i="63"/>
  <c r="CE107" i="128"/>
  <c r="AW47" i="128"/>
  <c r="BB47" i="128"/>
  <c r="BG47" i="128"/>
  <c r="AW54" i="63"/>
  <c r="P66" i="125"/>
  <c r="CR54" i="128"/>
  <c r="AW85" i="63"/>
  <c r="P97" i="125"/>
  <c r="CR85" i="128"/>
  <c r="AW26" i="128"/>
  <c r="BB26" i="128"/>
  <c r="BG26" i="128"/>
  <c r="F62" i="60"/>
  <c r="H62" i="60"/>
  <c r="I62" i="60"/>
  <c r="AW6" i="128"/>
  <c r="AW6" i="63"/>
  <c r="P18" i="125"/>
  <c r="AR107" i="63"/>
  <c r="I5" i="65"/>
  <c r="F60" i="61"/>
  <c r="H60" i="61"/>
  <c r="I60" i="61"/>
  <c r="K70" i="61"/>
  <c r="BG64" i="128"/>
  <c r="CC42" i="63"/>
  <c r="CD42" i="63"/>
  <c r="CH42" i="63"/>
  <c r="CJ42" i="63"/>
  <c r="CC87" i="63"/>
  <c r="CD87" i="63"/>
  <c r="CH87" i="63"/>
  <c r="CJ87" i="63"/>
  <c r="CC75" i="63"/>
  <c r="CD75" i="63"/>
  <c r="CH75" i="63"/>
  <c r="CJ75" i="63"/>
  <c r="CD38" i="63"/>
  <c r="CH38" i="63"/>
  <c r="CJ38" i="63"/>
  <c r="CC38" i="63"/>
  <c r="CC61" i="63"/>
  <c r="CD61" i="63"/>
  <c r="CH61" i="63"/>
  <c r="CJ61" i="63"/>
  <c r="CC9" i="63"/>
  <c r="CD9" i="63"/>
  <c r="CH9" i="63"/>
  <c r="CJ9" i="63"/>
  <c r="CC58" i="63"/>
  <c r="CD58" i="63"/>
  <c r="CH58" i="63"/>
  <c r="CJ58" i="63"/>
  <c r="CC23" i="63"/>
  <c r="CD23" i="63"/>
  <c r="CH23" i="63"/>
  <c r="CJ23" i="63"/>
  <c r="CC30" i="63"/>
  <c r="CD30" i="63"/>
  <c r="CH30" i="63"/>
  <c r="CJ30" i="63"/>
  <c r="CC7" i="63"/>
  <c r="CD7" i="63"/>
  <c r="CH7" i="63"/>
  <c r="CJ7" i="63"/>
  <c r="CC43" i="63"/>
  <c r="CD43" i="63"/>
  <c r="CH43" i="63"/>
  <c r="CJ43" i="63"/>
  <c r="CC48" i="63"/>
  <c r="CD48" i="63"/>
  <c r="CH48" i="63"/>
  <c r="CJ48" i="63"/>
  <c r="CD69" i="63"/>
  <c r="CH69" i="63"/>
  <c r="CJ69" i="63"/>
  <c r="CC69" i="63"/>
  <c r="CC94" i="128"/>
  <c r="CD94" i="128"/>
  <c r="CH94" i="128"/>
  <c r="CJ94" i="128"/>
  <c r="CC18" i="128"/>
  <c r="CD18" i="128"/>
  <c r="CH18" i="128"/>
  <c r="CJ18" i="128"/>
  <c r="CC54" i="128"/>
  <c r="CD54" i="128"/>
  <c r="CH54" i="128"/>
  <c r="CJ54" i="128"/>
  <c r="CC82" i="128"/>
  <c r="CD82" i="128"/>
  <c r="CH82" i="128"/>
  <c r="CJ82" i="128"/>
  <c r="CC60" i="128"/>
  <c r="CD60" i="128"/>
  <c r="CH60" i="128"/>
  <c r="CJ60" i="128"/>
  <c r="CC79" i="128"/>
  <c r="CD79" i="128"/>
  <c r="CH79" i="128"/>
  <c r="CJ79" i="128"/>
  <c r="CC49" i="128"/>
  <c r="CD49" i="128"/>
  <c r="CH49" i="128"/>
  <c r="CJ49" i="128"/>
  <c r="CC91" i="128"/>
  <c r="CD91" i="128"/>
  <c r="CH91" i="128"/>
  <c r="CJ91" i="128"/>
  <c r="CC90" i="128"/>
  <c r="CD90" i="128"/>
  <c r="CH90" i="128"/>
  <c r="CJ90" i="128"/>
  <c r="CC102" i="128"/>
  <c r="CD102" i="128"/>
  <c r="CH102" i="128"/>
  <c r="CJ102" i="128"/>
  <c r="CC78" i="128"/>
  <c r="CD78" i="128"/>
  <c r="CH78" i="128"/>
  <c r="CJ78" i="128"/>
  <c r="CC57" i="128"/>
  <c r="CD57" i="128"/>
  <c r="CH57" i="128"/>
  <c r="CJ57" i="128"/>
  <c r="CC88" i="63"/>
  <c r="CD88" i="63"/>
  <c r="CH88" i="63"/>
  <c r="CJ88" i="63"/>
  <c r="CC59" i="63"/>
  <c r="CD59" i="63"/>
  <c r="CH59" i="63"/>
  <c r="CJ59" i="63"/>
  <c r="CC79" i="63"/>
  <c r="CD79" i="63"/>
  <c r="CH79" i="63"/>
  <c r="CJ79" i="63"/>
  <c r="CC84" i="63"/>
  <c r="CD84" i="63"/>
  <c r="CH84" i="63"/>
  <c r="CJ84" i="63"/>
  <c r="CD28" i="63"/>
  <c r="CH28" i="63"/>
  <c r="CJ28" i="63"/>
  <c r="CC28" i="63"/>
  <c r="CC12" i="63"/>
  <c r="CD12" i="63"/>
  <c r="CH12" i="63"/>
  <c r="CJ12" i="63"/>
  <c r="CC99" i="63"/>
  <c r="CD99" i="63"/>
  <c r="CH99" i="63"/>
  <c r="CJ99" i="63"/>
  <c r="CD16" i="63"/>
  <c r="CH16" i="63"/>
  <c r="CJ16" i="63"/>
  <c r="CC16" i="63"/>
  <c r="CC11" i="63"/>
  <c r="CD11" i="63"/>
  <c r="CH11" i="63"/>
  <c r="CJ11" i="63"/>
  <c r="CC73" i="63"/>
  <c r="CD73" i="63"/>
  <c r="CH73" i="63"/>
  <c r="CJ73" i="63"/>
  <c r="CC19" i="63"/>
  <c r="CD19" i="63"/>
  <c r="CH19" i="63"/>
  <c r="CJ19" i="63"/>
  <c r="CC46" i="63"/>
  <c r="CD46" i="63"/>
  <c r="CH46" i="63"/>
  <c r="CJ46" i="63"/>
  <c r="CC21" i="63"/>
  <c r="CD21" i="63"/>
  <c r="CH21" i="63"/>
  <c r="CJ21" i="63"/>
  <c r="CC71" i="128"/>
  <c r="CD71" i="128"/>
  <c r="CH71" i="128"/>
  <c r="CJ71" i="128"/>
  <c r="CC36" i="128"/>
  <c r="CD36" i="128"/>
  <c r="CH36" i="128"/>
  <c r="CJ36" i="128"/>
  <c r="CC42" i="128"/>
  <c r="CD42" i="128"/>
  <c r="CH42" i="128"/>
  <c r="CJ42" i="128"/>
  <c r="CC77" i="128"/>
  <c r="CD77" i="128"/>
  <c r="CH77" i="128"/>
  <c r="CJ77" i="128"/>
  <c r="CC20" i="128"/>
  <c r="CD20" i="128"/>
  <c r="CH20" i="128"/>
  <c r="CJ20" i="128"/>
  <c r="CC48" i="128"/>
  <c r="CD48" i="128"/>
  <c r="CH48" i="128"/>
  <c r="CJ48" i="128"/>
  <c r="CC66" i="128"/>
  <c r="CD66" i="128"/>
  <c r="CH66" i="128"/>
  <c r="CJ66" i="128"/>
  <c r="CC13" i="128"/>
  <c r="CD13" i="128"/>
  <c r="CH13" i="128"/>
  <c r="CJ13" i="128"/>
  <c r="CC65" i="128"/>
  <c r="CD65" i="128"/>
  <c r="CH65" i="128"/>
  <c r="CJ65" i="128"/>
  <c r="CC45" i="128"/>
  <c r="CD45" i="128"/>
  <c r="CH45" i="128"/>
  <c r="CJ45" i="128"/>
  <c r="CC41" i="128"/>
  <c r="CD41" i="128"/>
  <c r="CH41" i="128"/>
  <c r="CJ41" i="128"/>
  <c r="CC72" i="128"/>
  <c r="CD72" i="128"/>
  <c r="CH72" i="128"/>
  <c r="CJ72" i="128"/>
  <c r="CC8" i="128"/>
  <c r="CD8" i="128"/>
  <c r="CH8" i="128"/>
  <c r="CJ8" i="128"/>
  <c r="CC64" i="63"/>
  <c r="CD64" i="63"/>
  <c r="CH64" i="63"/>
  <c r="CJ64" i="63"/>
  <c r="CC95" i="63"/>
  <c r="CD95" i="63"/>
  <c r="CH95" i="63"/>
  <c r="CJ95" i="63"/>
  <c r="CC85" i="63"/>
  <c r="CD85" i="63"/>
  <c r="CH85" i="63"/>
  <c r="CJ85" i="63"/>
  <c r="CC66" i="63"/>
  <c r="CD66" i="63"/>
  <c r="CH66" i="63"/>
  <c r="CJ66" i="63"/>
  <c r="CD97" i="63"/>
  <c r="CH97" i="63"/>
  <c r="CJ97" i="63"/>
  <c r="CC97" i="63"/>
  <c r="CD10" i="63"/>
  <c r="CH10" i="63"/>
  <c r="CJ10" i="63"/>
  <c r="CC10" i="63"/>
  <c r="CD57" i="63"/>
  <c r="CH57" i="63"/>
  <c r="CJ57" i="63"/>
  <c r="CC57" i="63"/>
  <c r="CC70" i="63"/>
  <c r="CD70" i="63"/>
  <c r="CH70" i="63"/>
  <c r="CJ70" i="63"/>
  <c r="CC26" i="63"/>
  <c r="CD26" i="63"/>
  <c r="CH26" i="63"/>
  <c r="CJ26" i="63"/>
  <c r="CC65" i="63"/>
  <c r="CD65" i="63"/>
  <c r="CH65" i="63"/>
  <c r="CJ65" i="63"/>
  <c r="CC92" i="63"/>
  <c r="CD92" i="63"/>
  <c r="CH92" i="63"/>
  <c r="CJ92" i="63"/>
  <c r="CC49" i="63"/>
  <c r="CD49" i="63"/>
  <c r="CH49" i="63"/>
  <c r="CJ49" i="63"/>
  <c r="CC86" i="63"/>
  <c r="CD86" i="63"/>
  <c r="CH86" i="63"/>
  <c r="CJ86" i="63"/>
  <c r="CG107" i="128"/>
  <c r="CC68" i="128"/>
  <c r="CD68" i="128"/>
  <c r="CH68" i="128"/>
  <c r="CJ68" i="128"/>
  <c r="CC43" i="128"/>
  <c r="CD43" i="128"/>
  <c r="CH43" i="128"/>
  <c r="CJ43" i="128"/>
  <c r="CC29" i="128"/>
  <c r="CD29" i="128"/>
  <c r="CH29" i="128"/>
  <c r="CJ29" i="128"/>
  <c r="CC17" i="128"/>
  <c r="CD17" i="128"/>
  <c r="CH17" i="128"/>
  <c r="CJ17" i="128"/>
  <c r="CC63" i="128"/>
  <c r="CD63" i="128"/>
  <c r="CH63" i="128"/>
  <c r="CJ63" i="128"/>
  <c r="CC56" i="128"/>
  <c r="CD56" i="128"/>
  <c r="CH56" i="128"/>
  <c r="CJ56" i="128"/>
  <c r="CC52" i="128"/>
  <c r="CD52" i="128"/>
  <c r="CH52" i="128"/>
  <c r="CJ52" i="128"/>
  <c r="CC89" i="128"/>
  <c r="CD89" i="128"/>
  <c r="CH89" i="128"/>
  <c r="CJ89" i="128"/>
  <c r="CC35" i="128"/>
  <c r="CD35" i="128"/>
  <c r="CH35" i="128"/>
  <c r="CJ35" i="128"/>
  <c r="CC19" i="128"/>
  <c r="CD19" i="128"/>
  <c r="CH19" i="128"/>
  <c r="CJ19" i="128"/>
  <c r="CC28" i="128"/>
  <c r="CD28" i="128"/>
  <c r="CH28" i="128"/>
  <c r="CJ28" i="128"/>
  <c r="CC88" i="128"/>
  <c r="CD88" i="128"/>
  <c r="CH88" i="128"/>
  <c r="CJ88" i="128"/>
  <c r="CC97" i="128"/>
  <c r="CD97" i="128"/>
  <c r="CH97" i="128"/>
  <c r="CJ97" i="128"/>
  <c r="CC68" i="63"/>
  <c r="CD68" i="63"/>
  <c r="CH68" i="63"/>
  <c r="CJ68" i="63"/>
  <c r="CC104" i="63"/>
  <c r="CD104" i="63"/>
  <c r="CH104" i="63"/>
  <c r="CJ104" i="63"/>
  <c r="CC50" i="63"/>
  <c r="CD50" i="63"/>
  <c r="CH50" i="63"/>
  <c r="CJ50" i="63"/>
  <c r="CD96" i="63"/>
  <c r="CH96" i="63"/>
  <c r="CJ96" i="63"/>
  <c r="CC96" i="63"/>
  <c r="CD34" i="63"/>
  <c r="CH34" i="63"/>
  <c r="CJ34" i="63"/>
  <c r="CC34" i="63"/>
  <c r="CC20" i="63"/>
  <c r="CD20" i="63"/>
  <c r="CH20" i="63"/>
  <c r="CJ20" i="63"/>
  <c r="CD82" i="63"/>
  <c r="CH82" i="63"/>
  <c r="CJ82" i="63"/>
  <c r="CC82" i="63"/>
  <c r="CC52" i="63"/>
  <c r="CD52" i="63"/>
  <c r="CH52" i="63"/>
  <c r="CJ52" i="63"/>
  <c r="CC55" i="63"/>
  <c r="CD55" i="63"/>
  <c r="CH55" i="63"/>
  <c r="CJ55" i="63"/>
  <c r="CC27" i="63"/>
  <c r="CD27" i="63"/>
  <c r="CH27" i="63"/>
  <c r="CJ27" i="63"/>
  <c r="CD77" i="63"/>
  <c r="CH77" i="63"/>
  <c r="CJ77" i="63"/>
  <c r="CC77" i="63"/>
  <c r="CC54" i="63"/>
  <c r="CD54" i="63"/>
  <c r="CH54" i="63"/>
  <c r="CJ54" i="63"/>
  <c r="CC16" i="128"/>
  <c r="CD16" i="128"/>
  <c r="CH16" i="128"/>
  <c r="CJ16" i="128"/>
  <c r="CC47" i="128"/>
  <c r="CD47" i="128"/>
  <c r="CH47" i="128"/>
  <c r="CJ47" i="128"/>
  <c r="CC85" i="128"/>
  <c r="CD85" i="128"/>
  <c r="CH85" i="128"/>
  <c r="CJ85" i="128"/>
  <c r="CC53" i="128"/>
  <c r="CD53" i="128"/>
  <c r="CH53" i="128"/>
  <c r="CJ53" i="128"/>
  <c r="CC25" i="128"/>
  <c r="CD25" i="128"/>
  <c r="CH25" i="128"/>
  <c r="CJ25" i="128"/>
  <c r="CC87" i="128"/>
  <c r="CD87" i="128"/>
  <c r="CH87" i="128"/>
  <c r="CJ87" i="128"/>
  <c r="CC104" i="128"/>
  <c r="CD104" i="128"/>
  <c r="CH104" i="128"/>
  <c r="CJ104" i="128"/>
  <c r="CC59" i="128"/>
  <c r="CD59" i="128"/>
  <c r="CH59" i="128"/>
  <c r="CJ59" i="128"/>
  <c r="CC76" i="128"/>
  <c r="CD76" i="128"/>
  <c r="CH76" i="128"/>
  <c r="CJ76" i="128"/>
  <c r="CC101" i="128"/>
  <c r="CD101" i="128"/>
  <c r="CH101" i="128"/>
  <c r="CJ101" i="128"/>
  <c r="CC81" i="128"/>
  <c r="CD81" i="128"/>
  <c r="CH81" i="128"/>
  <c r="CJ81" i="128"/>
  <c r="CC26" i="128"/>
  <c r="CD26" i="128"/>
  <c r="CH26" i="128"/>
  <c r="CJ26" i="128"/>
  <c r="CC62" i="128"/>
  <c r="CD62" i="128"/>
  <c r="CH62" i="128"/>
  <c r="CJ62" i="128"/>
  <c r="CF107" i="128"/>
  <c r="CC78" i="63"/>
  <c r="CD78" i="63"/>
  <c r="CH78" i="63"/>
  <c r="CJ78" i="63"/>
  <c r="CC13" i="63"/>
  <c r="CD13" i="63"/>
  <c r="CH13" i="63"/>
  <c r="CJ13" i="63"/>
  <c r="CD29" i="63"/>
  <c r="CH29" i="63"/>
  <c r="CJ29" i="63"/>
  <c r="CC29" i="63"/>
  <c r="CC91" i="63"/>
  <c r="CD91" i="63"/>
  <c r="CH91" i="63"/>
  <c r="CJ91" i="63"/>
  <c r="CC101" i="63"/>
  <c r="CD101" i="63"/>
  <c r="CH101" i="63"/>
  <c r="CJ101" i="63"/>
  <c r="CC17" i="63"/>
  <c r="CD17" i="63"/>
  <c r="CH17" i="63"/>
  <c r="CJ17" i="63"/>
  <c r="CC24" i="63"/>
  <c r="CD24" i="63"/>
  <c r="CH24" i="63"/>
  <c r="CJ24" i="63"/>
  <c r="CC103" i="63"/>
  <c r="CD103" i="63"/>
  <c r="CH103" i="63"/>
  <c r="CJ103" i="63"/>
  <c r="CC32" i="63"/>
  <c r="CD32" i="63"/>
  <c r="CH32" i="63"/>
  <c r="CJ32" i="63"/>
  <c r="CC63" i="63"/>
  <c r="CD63" i="63"/>
  <c r="CH63" i="63"/>
  <c r="CJ63" i="63"/>
  <c r="CD37" i="63"/>
  <c r="CH37" i="63"/>
  <c r="CJ37" i="63"/>
  <c r="CC37" i="63"/>
  <c r="CC62" i="63"/>
  <c r="CD62" i="63"/>
  <c r="CH62" i="63"/>
  <c r="CJ62" i="63"/>
  <c r="CC50" i="128"/>
  <c r="CD50" i="128"/>
  <c r="CH50" i="128"/>
  <c r="CJ50" i="128"/>
  <c r="CC70" i="128"/>
  <c r="CD70" i="128"/>
  <c r="CH70" i="128"/>
  <c r="CJ70" i="128"/>
  <c r="CC40" i="128"/>
  <c r="CD40" i="128"/>
  <c r="CH40" i="128"/>
  <c r="CJ40" i="128"/>
  <c r="CC80" i="128"/>
  <c r="CD80" i="128"/>
  <c r="CH80" i="128"/>
  <c r="CJ80" i="128"/>
  <c r="CC33" i="128"/>
  <c r="CD33" i="128"/>
  <c r="CH33" i="128"/>
  <c r="CJ33" i="128"/>
  <c r="CC74" i="128"/>
  <c r="CD74" i="128"/>
  <c r="CH74" i="128"/>
  <c r="CJ74" i="128"/>
  <c r="CC93" i="128"/>
  <c r="CD93" i="128"/>
  <c r="CH93" i="128"/>
  <c r="CJ93" i="128"/>
  <c r="CC100" i="128"/>
  <c r="CD100" i="128"/>
  <c r="CH100" i="128"/>
  <c r="CJ100" i="128"/>
  <c r="CC39" i="128"/>
  <c r="CD39" i="128"/>
  <c r="CH39" i="128"/>
  <c r="CJ39" i="128"/>
  <c r="CC105" i="128"/>
  <c r="CD105" i="128"/>
  <c r="CH105" i="128"/>
  <c r="CJ105" i="128"/>
  <c r="CC51" i="128"/>
  <c r="CD51" i="128"/>
  <c r="CH51" i="128"/>
  <c r="CJ51" i="128"/>
  <c r="CC99" i="128"/>
  <c r="CD99" i="128"/>
  <c r="CH99" i="128"/>
  <c r="CJ99" i="128"/>
  <c r="CC75" i="128"/>
  <c r="CD75" i="128"/>
  <c r="CH75" i="128"/>
  <c r="CJ75" i="128"/>
  <c r="CC67" i="63"/>
  <c r="CD67" i="63"/>
  <c r="CH67" i="63"/>
  <c r="CJ67" i="63"/>
  <c r="CC56" i="63"/>
  <c r="CD56" i="63"/>
  <c r="CH56" i="63"/>
  <c r="CJ56" i="63"/>
  <c r="CC80" i="63"/>
  <c r="CD80" i="63"/>
  <c r="CH80" i="63"/>
  <c r="CJ80" i="63"/>
  <c r="CC90" i="63"/>
  <c r="CD90" i="63"/>
  <c r="CH90" i="63"/>
  <c r="CJ90" i="63"/>
  <c r="CC14" i="63"/>
  <c r="CD14" i="63"/>
  <c r="CH14" i="63"/>
  <c r="CJ14" i="63"/>
  <c r="CC72" i="63"/>
  <c r="CD72" i="63"/>
  <c r="CH72" i="63"/>
  <c r="CJ72" i="63"/>
  <c r="CC33" i="63"/>
  <c r="CD33" i="63"/>
  <c r="CH33" i="63"/>
  <c r="CJ33" i="63"/>
  <c r="CC60" i="63"/>
  <c r="CD60" i="63"/>
  <c r="CH60" i="63"/>
  <c r="CJ60" i="63"/>
  <c r="CC45" i="63"/>
  <c r="CD45" i="63"/>
  <c r="CH45" i="63"/>
  <c r="CJ45" i="63"/>
  <c r="CD71" i="63"/>
  <c r="CH71" i="63"/>
  <c r="CJ71" i="63"/>
  <c r="CC71" i="63"/>
  <c r="CC102" i="63"/>
  <c r="CD102" i="63"/>
  <c r="CH102" i="63"/>
  <c r="CJ102" i="63"/>
  <c r="CC76" i="63"/>
  <c r="CD76" i="63"/>
  <c r="CH76" i="63"/>
  <c r="CJ76" i="63"/>
  <c r="CC37" i="128"/>
  <c r="CD37" i="128"/>
  <c r="CH37" i="128"/>
  <c r="CJ37" i="128"/>
  <c r="CC9" i="128"/>
  <c r="CD9" i="128"/>
  <c r="CH9" i="128"/>
  <c r="CJ9" i="128"/>
  <c r="CC44" i="128"/>
  <c r="CD44" i="128"/>
  <c r="CH44" i="128"/>
  <c r="CJ44" i="128"/>
  <c r="CC27" i="128"/>
  <c r="CD27" i="128"/>
  <c r="CH27" i="128"/>
  <c r="CJ27" i="128"/>
  <c r="CC73" i="128"/>
  <c r="CD73" i="128"/>
  <c r="CH73" i="128"/>
  <c r="CJ73" i="128"/>
  <c r="CC12" i="128"/>
  <c r="CD12" i="128"/>
  <c r="CH12" i="128"/>
  <c r="CJ12" i="128"/>
  <c r="CC38" i="128"/>
  <c r="CD38" i="128"/>
  <c r="CH38" i="128"/>
  <c r="CJ38" i="128"/>
  <c r="CC64" i="128"/>
  <c r="CD64" i="128"/>
  <c r="CH64" i="128"/>
  <c r="CJ64" i="128"/>
  <c r="CC7" i="128"/>
  <c r="CD7" i="128"/>
  <c r="CH7" i="128"/>
  <c r="CJ7" i="128"/>
  <c r="CC67" i="128"/>
  <c r="CD67" i="128"/>
  <c r="CH67" i="128"/>
  <c r="CJ67" i="128"/>
  <c r="CC92" i="128"/>
  <c r="CD92" i="128"/>
  <c r="CH92" i="128"/>
  <c r="CJ92" i="128"/>
  <c r="CC46" i="128"/>
  <c r="CD46" i="128"/>
  <c r="CH46" i="128"/>
  <c r="CJ46" i="128"/>
  <c r="CC96" i="128"/>
  <c r="CD96" i="128"/>
  <c r="CH96" i="128"/>
  <c r="CJ96" i="128"/>
  <c r="CC51" i="63"/>
  <c r="CD51" i="63"/>
  <c r="CH51" i="63"/>
  <c r="CJ51" i="63"/>
  <c r="CD39" i="63"/>
  <c r="CH39" i="63"/>
  <c r="CJ39" i="63"/>
  <c r="CC39" i="63"/>
  <c r="CC74" i="63"/>
  <c r="CD74" i="63"/>
  <c r="CH74" i="63"/>
  <c r="CJ74" i="63"/>
  <c r="CC53" i="63"/>
  <c r="CD53" i="63"/>
  <c r="CH53" i="63"/>
  <c r="CJ53" i="63"/>
  <c r="CC94" i="63"/>
  <c r="CD94" i="63"/>
  <c r="CH94" i="63"/>
  <c r="CJ94" i="63"/>
  <c r="CD36" i="63"/>
  <c r="CH36" i="63"/>
  <c r="CJ36" i="63"/>
  <c r="CC36" i="63"/>
  <c r="CD25" i="63"/>
  <c r="CH25" i="63"/>
  <c r="CJ25" i="63"/>
  <c r="CC25" i="63"/>
  <c r="CC41" i="63"/>
  <c r="CD41" i="63"/>
  <c r="CH41" i="63"/>
  <c r="CJ41" i="63"/>
  <c r="CC6" i="63"/>
  <c r="CD6" i="63"/>
  <c r="CC81" i="63"/>
  <c r="CD81" i="63"/>
  <c r="CH81" i="63"/>
  <c r="CJ81" i="63"/>
  <c r="CC31" i="63"/>
  <c r="CD31" i="63"/>
  <c r="CH31" i="63"/>
  <c r="CJ31" i="63"/>
  <c r="CC40" i="63"/>
  <c r="CD40" i="63"/>
  <c r="CH40" i="63"/>
  <c r="CJ40" i="63"/>
  <c r="CC44" i="63"/>
  <c r="CD44" i="63"/>
  <c r="CH44" i="63"/>
  <c r="CJ44" i="63"/>
  <c r="CC98" i="128"/>
  <c r="CD98" i="128"/>
  <c r="CH98" i="128"/>
  <c r="CJ98" i="128"/>
  <c r="CC14" i="128"/>
  <c r="CD14" i="128"/>
  <c r="CH14" i="128"/>
  <c r="CJ14" i="128"/>
  <c r="CC10" i="128"/>
  <c r="CD10" i="128"/>
  <c r="CH10" i="128"/>
  <c r="CJ10" i="128"/>
  <c r="CC31" i="128"/>
  <c r="CD31" i="128"/>
  <c r="CH31" i="128"/>
  <c r="CJ31" i="128"/>
  <c r="CC84" i="128"/>
  <c r="CD84" i="128"/>
  <c r="CH84" i="128"/>
  <c r="CJ84" i="128"/>
  <c r="CC32" i="128"/>
  <c r="CD32" i="128"/>
  <c r="CH32" i="128"/>
  <c r="CJ32" i="128"/>
  <c r="CC21" i="128"/>
  <c r="CD21" i="128"/>
  <c r="CH21" i="128"/>
  <c r="CJ21" i="128"/>
  <c r="CC6" i="128"/>
  <c r="CD6" i="128"/>
  <c r="CC103" i="128"/>
  <c r="CD103" i="128"/>
  <c r="CH103" i="128"/>
  <c r="CJ103" i="128"/>
  <c r="CC83" i="128"/>
  <c r="CD83" i="128"/>
  <c r="CH83" i="128"/>
  <c r="CJ83" i="128"/>
  <c r="CC55" i="128"/>
  <c r="CD55" i="128"/>
  <c r="CH55" i="128"/>
  <c r="CJ55" i="128"/>
  <c r="CC24" i="128"/>
  <c r="CD24" i="128"/>
  <c r="CH24" i="128"/>
  <c r="CJ24" i="128"/>
  <c r="CD89" i="63"/>
  <c r="CH89" i="63"/>
  <c r="CJ89" i="63"/>
  <c r="CC89" i="63"/>
  <c r="CD8" i="63"/>
  <c r="CH8" i="63"/>
  <c r="CJ8" i="63"/>
  <c r="CC8" i="63"/>
  <c r="CC83" i="63"/>
  <c r="CD83" i="63"/>
  <c r="CH83" i="63"/>
  <c r="CJ83" i="63"/>
  <c r="CD93" i="63"/>
  <c r="CH93" i="63"/>
  <c r="CJ93" i="63"/>
  <c r="CC93" i="63"/>
  <c r="CD105" i="63"/>
  <c r="CH105" i="63"/>
  <c r="CJ105" i="63"/>
  <c r="CC105" i="63"/>
  <c r="CD100" i="63"/>
  <c r="CH100" i="63"/>
  <c r="CJ100" i="63"/>
  <c r="CC100" i="63"/>
  <c r="CC15" i="63"/>
  <c r="CD15" i="63"/>
  <c r="CH15" i="63"/>
  <c r="CJ15" i="63"/>
  <c r="CC18" i="63"/>
  <c r="CD18" i="63"/>
  <c r="CH18" i="63"/>
  <c r="CJ18" i="63"/>
  <c r="CD47" i="63"/>
  <c r="CH47" i="63"/>
  <c r="CJ47" i="63"/>
  <c r="CC47" i="63"/>
  <c r="CC35" i="63"/>
  <c r="CD35" i="63"/>
  <c r="CH35" i="63"/>
  <c r="CJ35" i="63"/>
  <c r="CC22" i="63"/>
  <c r="CD22" i="63"/>
  <c r="CH22" i="63"/>
  <c r="CJ22" i="63"/>
  <c r="CC98" i="63"/>
  <c r="CD98" i="63"/>
  <c r="CH98" i="63"/>
  <c r="CJ98" i="63"/>
  <c r="CC11" i="128"/>
  <c r="CD11" i="128"/>
  <c r="CH11" i="128"/>
  <c r="CJ11" i="128"/>
  <c r="CC107" i="128"/>
  <c r="CC34" i="128"/>
  <c r="CD34" i="128"/>
  <c r="CH34" i="128"/>
  <c r="CJ34" i="128"/>
  <c r="CC95" i="128"/>
  <c r="CD95" i="128"/>
  <c r="CH95" i="128"/>
  <c r="CJ95" i="128"/>
  <c r="CC15" i="128"/>
  <c r="CD15" i="128"/>
  <c r="CH15" i="128"/>
  <c r="CJ15" i="128"/>
  <c r="CC30" i="128"/>
  <c r="CD30" i="128"/>
  <c r="CH30" i="128"/>
  <c r="CJ30" i="128"/>
  <c r="CC61" i="128"/>
  <c r="CD61" i="128"/>
  <c r="CH61" i="128"/>
  <c r="CJ61" i="128"/>
  <c r="CC86" i="128"/>
  <c r="CD86" i="128"/>
  <c r="CH86" i="128"/>
  <c r="CJ86" i="128"/>
  <c r="CC58" i="128"/>
  <c r="CD58" i="128"/>
  <c r="CH58" i="128"/>
  <c r="CJ58" i="128"/>
  <c r="CC22" i="128"/>
  <c r="CD22" i="128"/>
  <c r="CH22" i="128"/>
  <c r="CJ22" i="128"/>
  <c r="CC23" i="128"/>
  <c r="CD23" i="128"/>
  <c r="CH23" i="128"/>
  <c r="CJ23" i="128"/>
  <c r="CC69" i="128"/>
  <c r="CD69" i="128"/>
  <c r="CH69" i="128"/>
  <c r="CJ69" i="128"/>
  <c r="G56" i="60"/>
  <c r="G57" i="60"/>
  <c r="B5" i="127"/>
  <c r="B11" i="127"/>
  <c r="H57" i="60"/>
  <c r="H56" i="60"/>
  <c r="C12" i="121"/>
  <c r="C17" i="121"/>
  <c r="C9" i="121"/>
  <c r="B10" i="127"/>
  <c r="B12" i="127"/>
  <c r="I56" i="60"/>
  <c r="Q34" i="123"/>
  <c r="Q35" i="123"/>
  <c r="K6" i="65"/>
  <c r="K8" i="65"/>
  <c r="E14" i="65"/>
  <c r="F14" i="65"/>
  <c r="C25" i="65"/>
  <c r="C30" i="65"/>
  <c r="F6" i="65"/>
  <c r="F8" i="65"/>
  <c r="C14" i="121"/>
  <c r="F21" i="146"/>
  <c r="A17" i="126"/>
  <c r="AF17" i="126"/>
  <c r="A27" i="125"/>
  <c r="DC103" i="63"/>
  <c r="D19" i="140"/>
  <c r="D20" i="140"/>
  <c r="DC34" i="63"/>
  <c r="G62" i="60"/>
  <c r="BB66" i="63"/>
  <c r="BG66" i="63"/>
  <c r="DI74" i="63"/>
  <c r="DC74" i="63"/>
  <c r="DC14" i="63"/>
  <c r="DC39" i="63"/>
  <c r="DI39" i="63"/>
  <c r="DC55" i="63"/>
  <c r="DI55" i="63"/>
  <c r="AE2" i="128"/>
  <c r="AE99" i="128"/>
  <c r="AH99" i="128"/>
  <c r="R17" i="67"/>
  <c r="E58" i="61"/>
  <c r="F58" i="61"/>
  <c r="H58" i="61"/>
  <c r="I58" i="61"/>
  <c r="K68" i="61"/>
  <c r="D33" i="69"/>
  <c r="D34" i="69"/>
  <c r="L7" i="65"/>
  <c r="I15" i="65"/>
  <c r="L15" i="65"/>
  <c r="D26" i="65"/>
  <c r="D37" i="69"/>
  <c r="D38" i="69"/>
  <c r="H36" i="69"/>
  <c r="H32" i="69"/>
  <c r="S17" i="67"/>
  <c r="C37" i="69"/>
  <c r="C38" i="69"/>
  <c r="E59" i="61"/>
  <c r="R17" i="68"/>
  <c r="E60" i="60"/>
  <c r="AK31" i="63"/>
  <c r="AK32" i="63"/>
  <c r="AK47" i="63"/>
  <c r="AK58" i="128"/>
  <c r="AK71" i="128"/>
  <c r="AK7" i="63"/>
  <c r="AK40" i="63"/>
  <c r="AK28" i="63"/>
  <c r="AK6" i="128"/>
  <c r="AK79" i="63"/>
  <c r="AK29" i="63"/>
  <c r="AK82" i="63"/>
  <c r="AK81" i="63"/>
  <c r="AK52" i="128"/>
  <c r="AK83" i="128"/>
  <c r="AK12" i="63"/>
  <c r="AK10" i="128"/>
  <c r="AK39" i="128"/>
  <c r="AK66" i="63"/>
  <c r="AK55" i="63"/>
  <c r="AK89" i="128"/>
  <c r="AK45" i="128"/>
  <c r="AK51" i="63"/>
  <c r="AK85" i="128"/>
  <c r="AK6" i="63"/>
  <c r="AK73" i="128"/>
  <c r="AK105" i="128"/>
  <c r="AK68" i="128"/>
  <c r="AK13" i="128"/>
  <c r="AK68" i="63"/>
  <c r="AK87" i="128"/>
  <c r="AK75" i="63"/>
  <c r="AK8" i="128"/>
  <c r="AK70" i="63"/>
  <c r="AK20" i="128"/>
  <c r="AK71" i="63"/>
  <c r="AK87" i="63"/>
  <c r="AK98" i="63"/>
  <c r="AK42" i="128"/>
  <c r="AK50" i="63"/>
  <c r="AK40" i="128"/>
  <c r="AK91" i="63"/>
  <c r="AK97" i="128"/>
  <c r="AK80" i="128"/>
  <c r="AK27" i="128"/>
  <c r="AK94" i="63"/>
  <c r="AK90" i="63"/>
  <c r="AK69" i="128"/>
  <c r="AK18" i="63"/>
  <c r="AK15" i="128"/>
  <c r="AK22" i="63"/>
  <c r="AK25" i="128"/>
  <c r="AK16" i="128"/>
  <c r="AK19" i="128"/>
  <c r="AK8" i="63"/>
  <c r="AK100" i="63"/>
  <c r="AK17" i="63"/>
  <c r="AK59" i="128"/>
  <c r="AK29" i="128"/>
  <c r="AK24" i="128"/>
  <c r="AK44" i="128"/>
  <c r="AK94" i="128"/>
  <c r="AK92" i="63"/>
  <c r="AK75" i="128"/>
  <c r="AK70" i="128"/>
  <c r="AK32" i="128"/>
  <c r="AK41" i="63"/>
  <c r="AK44" i="63"/>
  <c r="AK56" i="63"/>
  <c r="AK85" i="63"/>
  <c r="AK72" i="63"/>
  <c r="AK48" i="128"/>
  <c r="AK78" i="63"/>
  <c r="AK14" i="63"/>
  <c r="AK57" i="63"/>
  <c r="AK9" i="63"/>
  <c r="AK53" i="128"/>
  <c r="AK18" i="128"/>
  <c r="AK59" i="63"/>
  <c r="AK93" i="128"/>
  <c r="AK46" i="128"/>
  <c r="AK54" i="63"/>
  <c r="AK61" i="63"/>
  <c r="AK102" i="63"/>
  <c r="AK31" i="128"/>
  <c r="AK86" i="128"/>
  <c r="AK57" i="128"/>
  <c r="AK37" i="63"/>
  <c r="AK99" i="128"/>
  <c r="AK69" i="63"/>
  <c r="AK55" i="128"/>
  <c r="P17" i="68"/>
  <c r="AK77" i="128"/>
  <c r="AK27" i="63"/>
  <c r="AK76" i="128"/>
  <c r="AK56" i="128"/>
  <c r="AK16" i="63"/>
  <c r="AK65" i="128"/>
  <c r="AK47" i="128"/>
  <c r="AK64" i="128"/>
  <c r="AK62" i="128"/>
  <c r="AK35" i="63"/>
  <c r="AK84" i="128"/>
  <c r="AK35" i="128"/>
  <c r="AK67" i="128"/>
  <c r="AK34" i="128"/>
  <c r="AK77" i="63"/>
  <c r="AK24" i="63"/>
  <c r="AK10" i="63"/>
  <c r="AK88" i="63"/>
  <c r="AK15" i="63"/>
  <c r="AK103" i="128"/>
  <c r="AK38" i="63"/>
  <c r="AK14" i="128"/>
  <c r="AK33" i="63"/>
  <c r="AK78" i="128"/>
  <c r="AK46" i="63"/>
  <c r="AK33" i="128"/>
  <c r="AK51" i="128"/>
  <c r="AK7" i="128"/>
  <c r="AK17" i="128"/>
  <c r="AK88" i="128"/>
  <c r="AK73" i="63"/>
  <c r="AK91" i="128"/>
  <c r="AK36" i="63"/>
  <c r="AK61" i="128"/>
  <c r="AK25" i="63"/>
  <c r="AK21" i="128"/>
  <c r="AK90" i="128"/>
  <c r="AK39" i="63"/>
  <c r="AK67" i="63"/>
  <c r="AK58" i="63"/>
  <c r="AK82" i="128"/>
  <c r="AK50" i="128"/>
  <c r="AK23" i="63"/>
  <c r="AK30" i="63"/>
  <c r="AK26" i="128"/>
  <c r="AK80" i="63"/>
  <c r="AK63" i="63"/>
  <c r="AK36" i="128"/>
  <c r="AK38" i="128"/>
  <c r="AK23" i="128"/>
  <c r="AK104" i="63"/>
  <c r="AK95" i="63"/>
  <c r="AK54" i="128"/>
  <c r="AK26" i="63"/>
  <c r="AK11" i="128"/>
  <c r="AK96" i="128"/>
  <c r="AK45" i="63"/>
  <c r="AK66" i="128"/>
  <c r="AK81" i="128"/>
  <c r="AK79" i="128"/>
  <c r="AK30" i="128"/>
  <c r="AK89" i="63"/>
  <c r="AK100" i="128"/>
  <c r="AK74" i="63"/>
  <c r="AK102" i="128"/>
  <c r="AK74" i="128"/>
  <c r="AK105" i="63"/>
  <c r="AK42" i="63"/>
  <c r="AK12" i="128"/>
  <c r="AK22" i="128"/>
  <c r="AK95" i="128"/>
  <c r="AK52" i="63"/>
  <c r="AK62" i="63"/>
  <c r="AK34" i="63"/>
  <c r="AK97" i="63"/>
  <c r="AK101" i="128"/>
  <c r="AK98" i="128"/>
  <c r="AK28" i="128"/>
  <c r="AK48" i="63"/>
  <c r="AK101" i="63"/>
  <c r="AK84" i="63"/>
  <c r="AK21" i="63"/>
  <c r="AK92" i="128"/>
  <c r="AK72" i="128"/>
  <c r="AK104" i="128"/>
  <c r="AK96" i="63"/>
  <c r="AK41" i="128"/>
  <c r="AK13" i="63"/>
  <c r="AK9" i="128"/>
  <c r="AK37" i="128"/>
  <c r="AK53" i="63"/>
  <c r="AK65" i="63"/>
  <c r="AK76" i="63"/>
  <c r="AK93" i="63"/>
  <c r="AK86" i="63"/>
  <c r="AK64" i="63"/>
  <c r="AK20" i="63"/>
  <c r="AK63" i="128"/>
  <c r="AK43" i="63"/>
  <c r="AK19" i="63"/>
  <c r="AK99" i="63"/>
  <c r="AK60" i="63"/>
  <c r="AK43" i="128"/>
  <c r="AK49" i="128"/>
  <c r="AK83" i="63"/>
  <c r="AK60" i="128"/>
  <c r="AK103" i="63"/>
  <c r="AK11" i="63"/>
  <c r="AK49" i="63"/>
  <c r="C34" i="69"/>
  <c r="B34" i="69"/>
  <c r="B38" i="69"/>
  <c r="D59" i="61"/>
  <c r="C34" i="66"/>
  <c r="AE10" i="63"/>
  <c r="AH10" i="63"/>
  <c r="AE93" i="63"/>
  <c r="AH93" i="63"/>
  <c r="AE104" i="63"/>
  <c r="AH104" i="63"/>
  <c r="AE38" i="63"/>
  <c r="AH38" i="63"/>
  <c r="AE86" i="63"/>
  <c r="AH86" i="63"/>
  <c r="AE39" i="63"/>
  <c r="AH39" i="63"/>
  <c r="AE103" i="63"/>
  <c r="AH103" i="63"/>
  <c r="AE98" i="63"/>
  <c r="AH98" i="63"/>
  <c r="AE63" i="63"/>
  <c r="AH63" i="63"/>
  <c r="AE95" i="63"/>
  <c r="AH95" i="63"/>
  <c r="AE34" i="63"/>
  <c r="AH34" i="63"/>
  <c r="AE17" i="63"/>
  <c r="AH17" i="63"/>
  <c r="AE54" i="63"/>
  <c r="AH54" i="63"/>
  <c r="AE7" i="63"/>
  <c r="AH7" i="63"/>
  <c r="AE52" i="63"/>
  <c r="AH52" i="63"/>
  <c r="AE74" i="63"/>
  <c r="AH74" i="63"/>
  <c r="AE30" i="63"/>
  <c r="AH30" i="63"/>
  <c r="AE20" i="63"/>
  <c r="AH20" i="63"/>
  <c r="AE16" i="63"/>
  <c r="AH16" i="63"/>
  <c r="AE12" i="63"/>
  <c r="AH12" i="63"/>
  <c r="AE66" i="63"/>
  <c r="AH66" i="63"/>
  <c r="AE105" i="63"/>
  <c r="AH105" i="63"/>
  <c r="AE55" i="63"/>
  <c r="AH55" i="63"/>
  <c r="AE75" i="63"/>
  <c r="AH75" i="63"/>
  <c r="AE80" i="63"/>
  <c r="AH80" i="63"/>
  <c r="AE44" i="63"/>
  <c r="AH44" i="63"/>
  <c r="AE90" i="63"/>
  <c r="AH90" i="63"/>
  <c r="AE67" i="63"/>
  <c r="AH67" i="63"/>
  <c r="AE18" i="63"/>
  <c r="AH18" i="63"/>
  <c r="AE50" i="63"/>
  <c r="AH50" i="63"/>
  <c r="AE13" i="63"/>
  <c r="AH13" i="63"/>
  <c r="AE6" i="63"/>
  <c r="AE53" i="63"/>
  <c r="AH53" i="63"/>
  <c r="AE102" i="63"/>
  <c r="AH102" i="63"/>
  <c r="AE36" i="63"/>
  <c r="AH36" i="63"/>
  <c r="AE100" i="63"/>
  <c r="AH100" i="63"/>
  <c r="AE32" i="63"/>
  <c r="AH32" i="63"/>
  <c r="AE94" i="63"/>
  <c r="AH94" i="63"/>
  <c r="AE27" i="63"/>
  <c r="AH27" i="63"/>
  <c r="AE19" i="63"/>
  <c r="AH19" i="63"/>
  <c r="AE29" i="63"/>
  <c r="AH29" i="63"/>
  <c r="AE62" i="63"/>
  <c r="AH62" i="63"/>
  <c r="AE8" i="63"/>
  <c r="AH8" i="63"/>
  <c r="AE83" i="63"/>
  <c r="AH83" i="63"/>
  <c r="AE49" i="63"/>
  <c r="AH49" i="63"/>
  <c r="AE24" i="63"/>
  <c r="AH24" i="63"/>
  <c r="AE26" i="63"/>
  <c r="AH26" i="63"/>
  <c r="AE33" i="63"/>
  <c r="AH33" i="63"/>
  <c r="AE41" i="63"/>
  <c r="AH41" i="63"/>
  <c r="AE78" i="63"/>
  <c r="AH78" i="63"/>
  <c r="AE25" i="63"/>
  <c r="AH25" i="63"/>
  <c r="AE72" i="63"/>
  <c r="AH72" i="63"/>
  <c r="AE77" i="63"/>
  <c r="AH77" i="63"/>
  <c r="AE23" i="63"/>
  <c r="AH23" i="63"/>
  <c r="AE65" i="63"/>
  <c r="AH65" i="63"/>
  <c r="AE85" i="63"/>
  <c r="AH85" i="63"/>
  <c r="AE47" i="63"/>
  <c r="AH47" i="63"/>
  <c r="AE15" i="63"/>
  <c r="AH15" i="63"/>
  <c r="AE96" i="63"/>
  <c r="AH96" i="63"/>
  <c r="AE46" i="63"/>
  <c r="AH46" i="63"/>
  <c r="AE68" i="63"/>
  <c r="AH68" i="63"/>
  <c r="AE21" i="63"/>
  <c r="AH21" i="63"/>
  <c r="AE71" i="63"/>
  <c r="AH71" i="63"/>
  <c r="AE42" i="63"/>
  <c r="AH42" i="63"/>
  <c r="AE91" i="63"/>
  <c r="AH91" i="63"/>
  <c r="AE81" i="63"/>
  <c r="AH81" i="63"/>
  <c r="AE64" i="63"/>
  <c r="AH64" i="63"/>
  <c r="AE37" i="63"/>
  <c r="AH37" i="63"/>
  <c r="AE59" i="63"/>
  <c r="AH59" i="63"/>
  <c r="AE31" i="63"/>
  <c r="AH31" i="63"/>
  <c r="AE89" i="63"/>
  <c r="AH89" i="63"/>
  <c r="AE48" i="63"/>
  <c r="AH48" i="63"/>
  <c r="AE14" i="63"/>
  <c r="AH14" i="63"/>
  <c r="AE97" i="63"/>
  <c r="AH97" i="63"/>
  <c r="AE84" i="63"/>
  <c r="AH84" i="63"/>
  <c r="AE9" i="63"/>
  <c r="AH9" i="63"/>
  <c r="AE88" i="63"/>
  <c r="AH88" i="63"/>
  <c r="AE58" i="63"/>
  <c r="AH58" i="63"/>
  <c r="AE57" i="63"/>
  <c r="AH57" i="63"/>
  <c r="AE56" i="63"/>
  <c r="AH56" i="63"/>
  <c r="AE60" i="63"/>
  <c r="AH60" i="63"/>
  <c r="AE82" i="63"/>
  <c r="AH82" i="63"/>
  <c r="AE45" i="63"/>
  <c r="AH45" i="63"/>
  <c r="AE70" i="63"/>
  <c r="AH70" i="63"/>
  <c r="AE92" i="63"/>
  <c r="AH92" i="63"/>
  <c r="AE40" i="63"/>
  <c r="AH40" i="63"/>
  <c r="AE43" i="63"/>
  <c r="AH43" i="63"/>
  <c r="AE101" i="63"/>
  <c r="AH101" i="63"/>
  <c r="AE22" i="63"/>
  <c r="AH22" i="63"/>
  <c r="AE99" i="63"/>
  <c r="AH99" i="63"/>
  <c r="AE76" i="63"/>
  <c r="AH76" i="63"/>
  <c r="AE73" i="63"/>
  <c r="AH73" i="63"/>
  <c r="AE51" i="63"/>
  <c r="AH51" i="63"/>
  <c r="AE69" i="63"/>
  <c r="AH69" i="63"/>
  <c r="AE61" i="63"/>
  <c r="AH61" i="63"/>
  <c r="AE87" i="63"/>
  <c r="AH87" i="63"/>
  <c r="AE79" i="63"/>
  <c r="AH79" i="63"/>
  <c r="AE28" i="63"/>
  <c r="AH28" i="63"/>
  <c r="AE35" i="63"/>
  <c r="AH35" i="63"/>
  <c r="AE11" i="63"/>
  <c r="AH11" i="63"/>
  <c r="R65" i="128"/>
  <c r="U65" i="128"/>
  <c r="AP65" i="128"/>
  <c r="R93" i="128"/>
  <c r="U93" i="128"/>
  <c r="AP93" i="128"/>
  <c r="R99" i="128"/>
  <c r="U99" i="128"/>
  <c r="AP99" i="128"/>
  <c r="R31" i="128"/>
  <c r="U31" i="128"/>
  <c r="AP31" i="128"/>
  <c r="R103" i="128"/>
  <c r="U103" i="128"/>
  <c r="AP103" i="128"/>
  <c r="R41" i="128"/>
  <c r="U41" i="128"/>
  <c r="AP41" i="128"/>
  <c r="R96" i="128"/>
  <c r="U96" i="128"/>
  <c r="AP96" i="128"/>
  <c r="R77" i="128"/>
  <c r="U77" i="128"/>
  <c r="AP77" i="128"/>
  <c r="R20" i="128"/>
  <c r="U20" i="128"/>
  <c r="AP20" i="128"/>
  <c r="R37" i="128"/>
  <c r="U37" i="128"/>
  <c r="AP37" i="128"/>
  <c r="R39" i="128"/>
  <c r="U39" i="128"/>
  <c r="AP39" i="128"/>
  <c r="R49" i="128"/>
  <c r="U49" i="128"/>
  <c r="AP49" i="128"/>
  <c r="R35" i="128"/>
  <c r="U35" i="128"/>
  <c r="AP35" i="128"/>
  <c r="R17" i="128"/>
  <c r="U17" i="128"/>
  <c r="AP17" i="128"/>
  <c r="R92" i="128"/>
  <c r="U92" i="128"/>
  <c r="AP92" i="128"/>
  <c r="R40" i="128"/>
  <c r="U40" i="128"/>
  <c r="AP40" i="128"/>
  <c r="R94" i="128"/>
  <c r="U94" i="128"/>
  <c r="AP94" i="128"/>
  <c r="R74" i="128"/>
  <c r="U74" i="128"/>
  <c r="AP74" i="128"/>
  <c r="R34" i="128"/>
  <c r="U34" i="128"/>
  <c r="AP34" i="128"/>
  <c r="R101" i="128"/>
  <c r="U101" i="128"/>
  <c r="AP101" i="128"/>
  <c r="R63" i="128"/>
  <c r="U63" i="128"/>
  <c r="AP63" i="128"/>
  <c r="R46" i="128"/>
  <c r="U46" i="128"/>
  <c r="AP46" i="128"/>
  <c r="R98" i="128"/>
  <c r="U98" i="128"/>
  <c r="AP98" i="128"/>
  <c r="R26" i="128"/>
  <c r="U26" i="128"/>
  <c r="AP26" i="128"/>
  <c r="R9" i="128"/>
  <c r="U9" i="128"/>
  <c r="AP9" i="128"/>
  <c r="R104" i="128"/>
  <c r="U104" i="128"/>
  <c r="AP104" i="128"/>
  <c r="R36" i="128"/>
  <c r="U36" i="128"/>
  <c r="AP36" i="128"/>
  <c r="R87" i="128"/>
  <c r="U87" i="128"/>
  <c r="AP87" i="128"/>
  <c r="R64" i="128"/>
  <c r="U64" i="128"/>
  <c r="AP64" i="128"/>
  <c r="R73" i="128"/>
  <c r="U73" i="128"/>
  <c r="AP73" i="128"/>
  <c r="R61" i="128"/>
  <c r="U61" i="128"/>
  <c r="AP61" i="128"/>
  <c r="R44" i="128"/>
  <c r="U44" i="128"/>
  <c r="AP44" i="128"/>
  <c r="R82" i="128"/>
  <c r="U82" i="128"/>
  <c r="AP82" i="128"/>
  <c r="R58" i="128"/>
  <c r="U58" i="128"/>
  <c r="AP58" i="128"/>
  <c r="R53" i="128"/>
  <c r="U53" i="128"/>
  <c r="AP53" i="128"/>
  <c r="R85" i="128"/>
  <c r="U85" i="128"/>
  <c r="AP85" i="128"/>
  <c r="R12" i="128"/>
  <c r="U12" i="128"/>
  <c r="AP12" i="128"/>
  <c r="R51" i="128"/>
  <c r="U51" i="128"/>
  <c r="AP51" i="128"/>
  <c r="R27" i="128"/>
  <c r="U27" i="128"/>
  <c r="AP27" i="128"/>
  <c r="R11" i="128"/>
  <c r="U11" i="128"/>
  <c r="AP11" i="128"/>
  <c r="R24" i="128"/>
  <c r="U24" i="128"/>
  <c r="AP24" i="128"/>
  <c r="R21" i="128"/>
  <c r="U21" i="128"/>
  <c r="AP21" i="128"/>
  <c r="R75" i="128"/>
  <c r="U75" i="128"/>
  <c r="AP75" i="128"/>
  <c r="R47" i="128"/>
  <c r="U47" i="128"/>
  <c r="AP47" i="128"/>
  <c r="R78" i="128"/>
  <c r="U78" i="128"/>
  <c r="AP78" i="128"/>
  <c r="R23" i="128"/>
  <c r="U23" i="128"/>
  <c r="AP23" i="128"/>
  <c r="R81" i="128"/>
  <c r="U81" i="128"/>
  <c r="AP81" i="128"/>
  <c r="R84" i="128"/>
  <c r="U84" i="128"/>
  <c r="AP84" i="128"/>
  <c r="R30" i="128"/>
  <c r="U30" i="128"/>
  <c r="AP30" i="128"/>
  <c r="R32" i="128"/>
  <c r="U32" i="128"/>
  <c r="AP32" i="128"/>
  <c r="R13" i="128"/>
  <c r="U13" i="128"/>
  <c r="AP13" i="128"/>
  <c r="R7" i="128"/>
  <c r="U7" i="128"/>
  <c r="AP7" i="128"/>
  <c r="R95" i="128"/>
  <c r="U95" i="128"/>
  <c r="AP95" i="128"/>
  <c r="R100" i="128"/>
  <c r="U100" i="128"/>
  <c r="AP100" i="128"/>
  <c r="R79" i="128"/>
  <c r="U79" i="128"/>
  <c r="AP79" i="128"/>
  <c r="R55" i="128"/>
  <c r="U55" i="128"/>
  <c r="AP55" i="128"/>
  <c r="R72" i="128"/>
  <c r="U72" i="128"/>
  <c r="AP72" i="128"/>
  <c r="R50" i="128"/>
  <c r="U50" i="128"/>
  <c r="AP50" i="128"/>
  <c r="R62" i="128"/>
  <c r="U62" i="128"/>
  <c r="AP62" i="128"/>
  <c r="R66" i="128"/>
  <c r="U66" i="128"/>
  <c r="AP66" i="128"/>
  <c r="R90" i="128"/>
  <c r="U90" i="128"/>
  <c r="AP90" i="128"/>
  <c r="R28" i="128"/>
  <c r="U28" i="128"/>
  <c r="AP28" i="128"/>
  <c r="R33" i="128"/>
  <c r="U33" i="128"/>
  <c r="AP33" i="128"/>
  <c r="R91" i="128"/>
  <c r="U91" i="128"/>
  <c r="AP91" i="128"/>
  <c r="R22" i="128"/>
  <c r="U22" i="128"/>
  <c r="AP22" i="128"/>
  <c r="R88" i="128"/>
  <c r="U88" i="128"/>
  <c r="AP88" i="128"/>
  <c r="R105" i="128"/>
  <c r="U105" i="128"/>
  <c r="AP105" i="128"/>
  <c r="R19" i="128"/>
  <c r="U19" i="128"/>
  <c r="AP19" i="128"/>
  <c r="R86" i="128"/>
  <c r="U86" i="128"/>
  <c r="AP86" i="128"/>
  <c r="R80" i="128"/>
  <c r="U80" i="128"/>
  <c r="AP80" i="128"/>
  <c r="R102" i="128"/>
  <c r="U102" i="128"/>
  <c r="AP102" i="128"/>
  <c r="R97" i="128"/>
  <c r="U97" i="128"/>
  <c r="AP97" i="128"/>
  <c r="R57" i="128"/>
  <c r="U57" i="128"/>
  <c r="AP57" i="128"/>
  <c r="R43" i="128"/>
  <c r="U43" i="128"/>
  <c r="AP43" i="128"/>
  <c r="R67" i="128"/>
  <c r="U67" i="128"/>
  <c r="AP67" i="128"/>
  <c r="R56" i="128"/>
  <c r="U56" i="128"/>
  <c r="AP56" i="128"/>
  <c r="R29" i="128"/>
  <c r="U29" i="128"/>
  <c r="AP29" i="128"/>
  <c r="R15" i="128"/>
  <c r="U15" i="128"/>
  <c r="AP15" i="128"/>
  <c r="R45" i="128"/>
  <c r="U45" i="128"/>
  <c r="AP45" i="128"/>
  <c r="R42" i="128"/>
  <c r="U42" i="128"/>
  <c r="AP42" i="128"/>
  <c r="R38" i="128"/>
  <c r="U38" i="128"/>
  <c r="AP38" i="128"/>
  <c r="R16" i="128"/>
  <c r="U16" i="128"/>
  <c r="AP16" i="128"/>
  <c r="R18" i="128"/>
  <c r="U18" i="128"/>
  <c r="AP18" i="128"/>
  <c r="R59" i="128"/>
  <c r="U59" i="128"/>
  <c r="AP59" i="128"/>
  <c r="R10" i="128"/>
  <c r="U10" i="128"/>
  <c r="AP10" i="128"/>
  <c r="R76" i="128"/>
  <c r="U76" i="128"/>
  <c r="AP76" i="128"/>
  <c r="R68" i="128"/>
  <c r="U68" i="128"/>
  <c r="AP68" i="128"/>
  <c r="R6" i="128"/>
  <c r="R69" i="128"/>
  <c r="U69" i="128"/>
  <c r="AP69" i="128"/>
  <c r="R52" i="128"/>
  <c r="U52" i="128"/>
  <c r="AP52" i="128"/>
  <c r="R83" i="128"/>
  <c r="U83" i="128"/>
  <c r="AP83" i="128"/>
  <c r="R60" i="128"/>
  <c r="U60" i="128"/>
  <c r="AP60" i="128"/>
  <c r="R54" i="128"/>
  <c r="U54" i="128"/>
  <c r="AP54" i="128"/>
  <c r="R48" i="128"/>
  <c r="U48" i="128"/>
  <c r="AP48" i="128"/>
  <c r="R14" i="128"/>
  <c r="U14" i="128"/>
  <c r="AP14" i="128"/>
  <c r="R70" i="128"/>
  <c r="U70" i="128"/>
  <c r="AP70" i="128"/>
  <c r="R89" i="128"/>
  <c r="U89" i="128"/>
  <c r="AP89" i="128"/>
  <c r="R71" i="128"/>
  <c r="U71" i="128"/>
  <c r="AP71" i="128"/>
  <c r="R8" i="128"/>
  <c r="U8" i="128"/>
  <c r="AP8" i="128"/>
  <c r="R25" i="128"/>
  <c r="U25" i="128"/>
  <c r="AP25" i="128"/>
  <c r="G36" i="69"/>
  <c r="G32" i="69"/>
  <c r="R95" i="63"/>
  <c r="U95" i="63"/>
  <c r="AP95" i="63"/>
  <c r="R76" i="63"/>
  <c r="U76" i="63"/>
  <c r="AP76" i="63"/>
  <c r="R82" i="63"/>
  <c r="U82" i="63"/>
  <c r="AP82" i="63"/>
  <c r="R24" i="63"/>
  <c r="U24" i="63"/>
  <c r="AP24" i="63"/>
  <c r="R40" i="63"/>
  <c r="U40" i="63"/>
  <c r="AP40" i="63"/>
  <c r="R42" i="63"/>
  <c r="U42" i="63"/>
  <c r="AP42" i="63"/>
  <c r="R87" i="63"/>
  <c r="U87" i="63"/>
  <c r="AP87" i="63"/>
  <c r="R46" i="63"/>
  <c r="U46" i="63"/>
  <c r="AP46" i="63"/>
  <c r="R105" i="63"/>
  <c r="U105" i="63"/>
  <c r="AP105" i="63"/>
  <c r="R56" i="63"/>
  <c r="U56" i="63"/>
  <c r="AP56" i="63"/>
  <c r="R39" i="63"/>
  <c r="U39" i="63"/>
  <c r="AP39" i="63"/>
  <c r="R85" i="63"/>
  <c r="U85" i="63"/>
  <c r="AP85" i="63"/>
  <c r="R89" i="63"/>
  <c r="U89" i="63"/>
  <c r="AP89" i="63"/>
  <c r="R101" i="63"/>
  <c r="U101" i="63"/>
  <c r="AP101" i="63"/>
  <c r="R47" i="63"/>
  <c r="U47" i="63"/>
  <c r="AP47" i="63"/>
  <c r="R73" i="63"/>
  <c r="U73" i="63"/>
  <c r="AP73" i="63"/>
  <c r="R10" i="63"/>
  <c r="U10" i="63"/>
  <c r="AP10" i="63"/>
  <c r="R28" i="63"/>
  <c r="U28" i="63"/>
  <c r="AP28" i="63"/>
  <c r="R80" i="63"/>
  <c r="U80" i="63"/>
  <c r="AP80" i="63"/>
  <c r="R67" i="63"/>
  <c r="U67" i="63"/>
  <c r="AP67" i="63"/>
  <c r="R61" i="63"/>
  <c r="U61" i="63"/>
  <c r="AP61" i="63"/>
  <c r="R78" i="63"/>
  <c r="U78" i="63"/>
  <c r="AP78" i="63"/>
  <c r="R53" i="63"/>
  <c r="U53" i="63"/>
  <c r="AP53" i="63"/>
  <c r="R37" i="63"/>
  <c r="U37" i="63"/>
  <c r="AP37" i="63"/>
  <c r="R69" i="63"/>
  <c r="U69" i="63"/>
  <c r="AP69" i="63"/>
  <c r="R79" i="63"/>
  <c r="U79" i="63"/>
  <c r="AP79" i="63"/>
  <c r="R32" i="63"/>
  <c r="U32" i="63"/>
  <c r="AP32" i="63"/>
  <c r="R22" i="63"/>
  <c r="U22" i="63"/>
  <c r="AP22" i="63"/>
  <c r="R98" i="63"/>
  <c r="U98" i="63"/>
  <c r="AP98" i="63"/>
  <c r="R44" i="63"/>
  <c r="U44" i="63"/>
  <c r="AP44" i="63"/>
  <c r="R100" i="63"/>
  <c r="U100" i="63"/>
  <c r="AP100" i="63"/>
  <c r="R41" i="63"/>
  <c r="U41" i="63"/>
  <c r="AP41" i="63"/>
  <c r="R72" i="63"/>
  <c r="U72" i="63"/>
  <c r="AP72" i="63"/>
  <c r="R34" i="63"/>
  <c r="U34" i="63"/>
  <c r="AP34" i="63"/>
  <c r="R16" i="63"/>
  <c r="U16" i="63"/>
  <c r="AP16" i="63"/>
  <c r="R25" i="63"/>
  <c r="U25" i="63"/>
  <c r="AP25" i="63"/>
  <c r="R77" i="63"/>
  <c r="U77" i="63"/>
  <c r="AP77" i="63"/>
  <c r="R103" i="63"/>
  <c r="U103" i="63"/>
  <c r="AP103" i="63"/>
  <c r="R51" i="63"/>
  <c r="U51" i="63"/>
  <c r="AP51" i="63"/>
  <c r="R35" i="63"/>
  <c r="U35" i="63"/>
  <c r="AP35" i="63"/>
  <c r="R64" i="63"/>
  <c r="U64" i="63"/>
  <c r="AP64" i="63"/>
  <c r="R7" i="63"/>
  <c r="U7" i="63"/>
  <c r="AP7" i="63"/>
  <c r="R23" i="63"/>
  <c r="U23" i="63"/>
  <c r="AP23" i="63"/>
  <c r="R84" i="63"/>
  <c r="U84" i="63"/>
  <c r="AP84" i="63"/>
  <c r="R66" i="63"/>
  <c r="U66" i="63"/>
  <c r="AP66" i="63"/>
  <c r="R94" i="63"/>
  <c r="U94" i="63"/>
  <c r="AP94" i="63"/>
  <c r="R20" i="63"/>
  <c r="U20" i="63"/>
  <c r="AP20" i="63"/>
  <c r="R96" i="63"/>
  <c r="U96" i="63"/>
  <c r="AP96" i="63"/>
  <c r="R71" i="63"/>
  <c r="U71" i="63"/>
  <c r="AP71" i="63"/>
  <c r="R13" i="63"/>
  <c r="U13" i="63"/>
  <c r="AP13" i="63"/>
  <c r="R26" i="63"/>
  <c r="U26" i="63"/>
  <c r="AP26" i="63"/>
  <c r="R30" i="63"/>
  <c r="U30" i="63"/>
  <c r="AP30" i="63"/>
  <c r="R104" i="63"/>
  <c r="U104" i="63"/>
  <c r="AP104" i="63"/>
  <c r="R12" i="63"/>
  <c r="U12" i="63"/>
  <c r="AP12" i="63"/>
  <c r="R70" i="63"/>
  <c r="U70" i="63"/>
  <c r="AP70" i="63"/>
  <c r="R62" i="63"/>
  <c r="U62" i="63"/>
  <c r="AP62" i="63"/>
  <c r="R6" i="63"/>
  <c r="R97" i="63"/>
  <c r="U97" i="63"/>
  <c r="AP97" i="63"/>
  <c r="R15" i="63"/>
  <c r="U15" i="63"/>
  <c r="AP15" i="63"/>
  <c r="R63" i="63"/>
  <c r="U63" i="63"/>
  <c r="AP63" i="63"/>
  <c r="R27" i="63"/>
  <c r="U27" i="63"/>
  <c r="AP27" i="63"/>
  <c r="R68" i="63"/>
  <c r="U68" i="63"/>
  <c r="AP68" i="63"/>
  <c r="R92" i="63"/>
  <c r="U92" i="63"/>
  <c r="AP92" i="63"/>
  <c r="R60" i="63"/>
  <c r="U60" i="63"/>
  <c r="AP60" i="63"/>
  <c r="R99" i="63"/>
  <c r="U99" i="63"/>
  <c r="AP99" i="63"/>
  <c r="R36" i="63"/>
  <c r="U36" i="63"/>
  <c r="AP36" i="63"/>
  <c r="R59" i="63"/>
  <c r="U59" i="63"/>
  <c r="AP59" i="63"/>
  <c r="R55" i="63"/>
  <c r="U55" i="63"/>
  <c r="AP55" i="63"/>
  <c r="R91" i="63"/>
  <c r="U91" i="63"/>
  <c r="AP91" i="63"/>
  <c r="R57" i="63"/>
  <c r="U57" i="63"/>
  <c r="AP57" i="63"/>
  <c r="R88" i="63"/>
  <c r="U88" i="63"/>
  <c r="AP88" i="63"/>
  <c r="R58" i="63"/>
  <c r="U58" i="63"/>
  <c r="AP58" i="63"/>
  <c r="R90" i="63"/>
  <c r="U90" i="63"/>
  <c r="AP90" i="63"/>
  <c r="R33" i="63"/>
  <c r="U33" i="63"/>
  <c r="AP33" i="63"/>
  <c r="R86" i="63"/>
  <c r="U86" i="63"/>
  <c r="AP86" i="63"/>
  <c r="R74" i="63"/>
  <c r="U74" i="63"/>
  <c r="AP74" i="63"/>
  <c r="R8" i="63"/>
  <c r="U8" i="63"/>
  <c r="AP8" i="63"/>
  <c r="R38" i="63"/>
  <c r="U38" i="63"/>
  <c r="AP38" i="63"/>
  <c r="R21" i="63"/>
  <c r="U21" i="63"/>
  <c r="AP21" i="63"/>
  <c r="R81" i="63"/>
  <c r="U81" i="63"/>
  <c r="AP81" i="63"/>
  <c r="R11" i="63"/>
  <c r="U11" i="63"/>
  <c r="AP11" i="63"/>
  <c r="R17" i="63"/>
  <c r="U17" i="63"/>
  <c r="AP17" i="63"/>
  <c r="R29" i="63"/>
  <c r="U29" i="63"/>
  <c r="AP29" i="63"/>
  <c r="R83" i="63"/>
  <c r="U83" i="63"/>
  <c r="AP83" i="63"/>
  <c r="R65" i="63"/>
  <c r="U65" i="63"/>
  <c r="AP65" i="63"/>
  <c r="R9" i="63"/>
  <c r="U9" i="63"/>
  <c r="AP9" i="63"/>
  <c r="R75" i="63"/>
  <c r="U75" i="63"/>
  <c r="AP75" i="63"/>
  <c r="R45" i="63"/>
  <c r="U45" i="63"/>
  <c r="AP45" i="63"/>
  <c r="R52" i="63"/>
  <c r="U52" i="63"/>
  <c r="AP52" i="63"/>
  <c r="R102" i="63"/>
  <c r="U102" i="63"/>
  <c r="AP102" i="63"/>
  <c r="R19" i="63"/>
  <c r="U19" i="63"/>
  <c r="AP19" i="63"/>
  <c r="R54" i="63"/>
  <c r="U54" i="63"/>
  <c r="AP54" i="63"/>
  <c r="R31" i="63"/>
  <c r="U31" i="63"/>
  <c r="AP31" i="63"/>
  <c r="R93" i="63"/>
  <c r="U93" i="63"/>
  <c r="AP93" i="63"/>
  <c r="R43" i="63"/>
  <c r="U43" i="63"/>
  <c r="AP43" i="63"/>
  <c r="R50" i="63"/>
  <c r="U50" i="63"/>
  <c r="AP50" i="63"/>
  <c r="R48" i="63"/>
  <c r="U48" i="63"/>
  <c r="AP48" i="63"/>
  <c r="R49" i="63"/>
  <c r="U49" i="63"/>
  <c r="AP49" i="63"/>
  <c r="R14" i="63"/>
  <c r="U14" i="63"/>
  <c r="AP14" i="63"/>
  <c r="R18" i="63"/>
  <c r="U18" i="63"/>
  <c r="AP18" i="63"/>
  <c r="DI94" i="63"/>
  <c r="DC94" i="63"/>
  <c r="BB92" i="63"/>
  <c r="BG92" i="63"/>
  <c r="I104" i="125"/>
  <c r="AC104" i="125"/>
  <c r="I41" i="125"/>
  <c r="AC41" i="125"/>
  <c r="BB29" i="63"/>
  <c r="BG29" i="63"/>
  <c r="BB50" i="63"/>
  <c r="BG50" i="63"/>
  <c r="I62" i="125"/>
  <c r="AC62" i="125"/>
  <c r="DI10" i="63"/>
  <c r="DC10" i="63"/>
  <c r="DI15" i="63"/>
  <c r="DC15" i="63"/>
  <c r="DI101" i="63"/>
  <c r="I19" i="125"/>
  <c r="AC19" i="125"/>
  <c r="BB7" i="63"/>
  <c r="BG7" i="63"/>
  <c r="I50" i="125"/>
  <c r="AC50" i="125"/>
  <c r="BB38" i="63"/>
  <c r="BG38" i="63"/>
  <c r="DI72" i="63"/>
  <c r="DC72" i="63"/>
  <c r="DC19" i="63"/>
  <c r="DI35" i="63"/>
  <c r="DC35" i="63"/>
  <c r="DI63" i="63"/>
  <c r="DC63" i="63"/>
  <c r="BB82" i="63"/>
  <c r="BG82" i="63"/>
  <c r="I94" i="125"/>
  <c r="AC94" i="125"/>
  <c r="BB33" i="63"/>
  <c r="BG33" i="63"/>
  <c r="I45" i="125"/>
  <c r="AC45" i="125"/>
  <c r="DI17" i="63"/>
  <c r="DC17" i="63"/>
  <c r="DI105" i="63"/>
  <c r="DC105" i="63"/>
  <c r="DI32" i="63"/>
  <c r="DC32" i="63"/>
  <c r="DC44" i="63"/>
  <c r="DI44" i="63"/>
  <c r="DC24" i="63"/>
  <c r="DI24" i="63"/>
  <c r="BB73" i="63"/>
  <c r="BG73" i="63"/>
  <c r="I85" i="125"/>
  <c r="AC85" i="125"/>
  <c r="I102" i="125"/>
  <c r="AC102" i="125"/>
  <c r="BB90" i="63"/>
  <c r="BG90" i="63"/>
  <c r="I107" i="125"/>
  <c r="AC107" i="125"/>
  <c r="BB95" i="63"/>
  <c r="BG95" i="63"/>
  <c r="G60" i="61"/>
  <c r="BB88" i="63"/>
  <c r="BG88" i="63"/>
  <c r="I100" i="125"/>
  <c r="AC100" i="125"/>
  <c r="I73" i="125"/>
  <c r="AC73" i="125"/>
  <c r="BB61" i="63"/>
  <c r="BG61" i="63"/>
  <c r="BB36" i="63"/>
  <c r="BG36" i="63"/>
  <c r="I48" i="125"/>
  <c r="AC48" i="125"/>
  <c r="BB51" i="63"/>
  <c r="BG51" i="63"/>
  <c r="I63" i="125"/>
  <c r="AC63" i="125"/>
  <c r="BB57" i="63"/>
  <c r="BG57" i="63"/>
  <c r="I69" i="125"/>
  <c r="AC69" i="125"/>
  <c r="BB59" i="63"/>
  <c r="BG59" i="63"/>
  <c r="I71" i="125"/>
  <c r="AC71" i="125"/>
  <c r="BB65" i="63"/>
  <c r="BG65" i="63"/>
  <c r="I77" i="125"/>
  <c r="AC77" i="125"/>
  <c r="DI45" i="63"/>
  <c r="DC45" i="63"/>
  <c r="DC80" i="63"/>
  <c r="DI80" i="63"/>
  <c r="DC96" i="63"/>
  <c r="DI96" i="63"/>
  <c r="BB68" i="63"/>
  <c r="BG68" i="63"/>
  <c r="I80" i="125"/>
  <c r="AC80" i="125"/>
  <c r="BB31" i="63"/>
  <c r="BG31" i="63"/>
  <c r="I43" i="125"/>
  <c r="AC43" i="125"/>
  <c r="BB18" i="63"/>
  <c r="BG18" i="63"/>
  <c r="I30" i="125"/>
  <c r="AC30" i="125"/>
  <c r="BB71" i="63"/>
  <c r="BG71" i="63"/>
  <c r="I83" i="125"/>
  <c r="AC83" i="125"/>
  <c r="I25" i="125"/>
  <c r="AC25" i="125"/>
  <c r="BB13" i="63"/>
  <c r="BG13" i="63"/>
  <c r="I114" i="125"/>
  <c r="AC114" i="125"/>
  <c r="BB102" i="63"/>
  <c r="BG102" i="63"/>
  <c r="I105" i="125"/>
  <c r="AC105" i="125"/>
  <c r="BB93" i="63"/>
  <c r="BG93" i="63"/>
  <c r="I40" i="125"/>
  <c r="AC40" i="125"/>
  <c r="BB28" i="63"/>
  <c r="BG28" i="63"/>
  <c r="I49" i="125"/>
  <c r="AC49" i="125"/>
  <c r="BB37" i="63"/>
  <c r="BG37" i="63"/>
  <c r="BB98" i="63"/>
  <c r="BG98" i="63"/>
  <c r="I110" i="125"/>
  <c r="AC110" i="125"/>
  <c r="BB89" i="63"/>
  <c r="BG89" i="63"/>
  <c r="I101" i="125"/>
  <c r="AC101" i="125"/>
  <c r="BB40" i="63"/>
  <c r="BG40" i="63"/>
  <c r="I52" i="125"/>
  <c r="AC52" i="125"/>
  <c r="I99" i="125"/>
  <c r="AC99" i="125"/>
  <c r="BB87" i="63"/>
  <c r="BG87" i="63"/>
  <c r="BB20" i="63"/>
  <c r="BG20" i="63"/>
  <c r="I32" i="125"/>
  <c r="AC32" i="125"/>
  <c r="I79" i="125"/>
  <c r="AC79" i="125"/>
  <c r="BB67" i="63"/>
  <c r="BG67" i="63"/>
  <c r="BB42" i="63"/>
  <c r="BG42" i="63"/>
  <c r="I54" i="125"/>
  <c r="AC54" i="125"/>
  <c r="I39" i="125"/>
  <c r="AC39" i="125"/>
  <c r="BB27" i="63"/>
  <c r="BG27" i="63"/>
  <c r="BB30" i="63"/>
  <c r="BG30" i="63"/>
  <c r="I42" i="125"/>
  <c r="AC42" i="125"/>
  <c r="BB60" i="63"/>
  <c r="BG60" i="63"/>
  <c r="I72" i="125"/>
  <c r="AC72" i="125"/>
  <c r="BB9" i="63"/>
  <c r="BG9" i="63"/>
  <c r="I21" i="125"/>
  <c r="AC21" i="125"/>
  <c r="I35" i="125"/>
  <c r="AC35" i="125"/>
  <c r="BB23" i="63"/>
  <c r="BG23" i="63"/>
  <c r="I60" i="125"/>
  <c r="AC60" i="125"/>
  <c r="BB48" i="63"/>
  <c r="BG48" i="63"/>
  <c r="BB78" i="63"/>
  <c r="BG78" i="63"/>
  <c r="I90" i="125"/>
  <c r="AC90" i="125"/>
  <c r="BB84" i="63"/>
  <c r="BG84" i="63"/>
  <c r="I96" i="125"/>
  <c r="AC96" i="125"/>
  <c r="DI16" i="63"/>
  <c r="DC16" i="63"/>
  <c r="I91" i="125"/>
  <c r="AC91" i="125"/>
  <c r="BB79" i="63"/>
  <c r="BG79" i="63"/>
  <c r="BB53" i="63"/>
  <c r="BG53" i="63"/>
  <c r="I65" i="125"/>
  <c r="AC65" i="125"/>
  <c r="BB76" i="63"/>
  <c r="BG76" i="63"/>
  <c r="I88" i="125"/>
  <c r="AC88" i="125"/>
  <c r="I112" i="125"/>
  <c r="AC112" i="125"/>
  <c r="BB100" i="63"/>
  <c r="BG100" i="63"/>
  <c r="BB21" i="63"/>
  <c r="BG21" i="63"/>
  <c r="I33" i="125"/>
  <c r="AC33" i="125"/>
  <c r="I61" i="125"/>
  <c r="AC61" i="125"/>
  <c r="BB49" i="63"/>
  <c r="BG49" i="63"/>
  <c r="I93" i="125"/>
  <c r="AC93" i="125"/>
  <c r="BB81" i="63"/>
  <c r="BG81" i="63"/>
  <c r="I76" i="125"/>
  <c r="AC76" i="125"/>
  <c r="BB64" i="63"/>
  <c r="BG64" i="63"/>
  <c r="I34" i="125"/>
  <c r="AC34" i="125"/>
  <c r="BB22" i="63"/>
  <c r="BG22" i="63"/>
  <c r="DI99" i="63"/>
  <c r="DC99" i="63"/>
  <c r="BB83" i="63"/>
  <c r="BG83" i="63"/>
  <c r="I95" i="125"/>
  <c r="AC95" i="125"/>
  <c r="I55" i="125"/>
  <c r="AC55" i="125"/>
  <c r="BB43" i="63"/>
  <c r="BG43" i="63"/>
  <c r="BB46" i="63"/>
  <c r="BG46" i="63"/>
  <c r="I58" i="125"/>
  <c r="AC58" i="125"/>
  <c r="BB70" i="63"/>
  <c r="BG70" i="63"/>
  <c r="I82" i="125"/>
  <c r="AC82" i="125"/>
  <c r="I81" i="125"/>
  <c r="AC81" i="125"/>
  <c r="BB69" i="63"/>
  <c r="BG69" i="63"/>
  <c r="BB86" i="63"/>
  <c r="BG86" i="63"/>
  <c r="I98" i="125"/>
  <c r="AC98" i="125"/>
  <c r="I23" i="125"/>
  <c r="AC23" i="125"/>
  <c r="BB11" i="63"/>
  <c r="BG11" i="63"/>
  <c r="I66" i="125"/>
  <c r="AC66" i="125"/>
  <c r="BB54" i="63"/>
  <c r="BG54" i="63"/>
  <c r="DI104" i="63"/>
  <c r="DC104" i="63"/>
  <c r="BB56" i="63"/>
  <c r="BG56" i="63"/>
  <c r="I68" i="125"/>
  <c r="AC68" i="125"/>
  <c r="I59" i="125"/>
  <c r="AC59" i="125"/>
  <c r="BB47" i="63"/>
  <c r="BG47" i="63"/>
  <c r="BB85" i="63"/>
  <c r="BG85" i="63"/>
  <c r="I97" i="125"/>
  <c r="AC97" i="125"/>
  <c r="I89" i="125"/>
  <c r="AC89" i="125"/>
  <c r="BB77" i="63"/>
  <c r="BG77" i="63"/>
  <c r="L5" i="65"/>
  <c r="I13" i="65"/>
  <c r="L13" i="65"/>
  <c r="D24" i="65"/>
  <c r="I18" i="125"/>
  <c r="AC18" i="125"/>
  <c r="BB6" i="63"/>
  <c r="AW107" i="63"/>
  <c r="BB6" i="128"/>
  <c r="AW107" i="128"/>
  <c r="CR6" i="128"/>
  <c r="P118" i="125"/>
  <c r="CD107" i="128"/>
  <c r="CH6" i="128"/>
  <c r="CD107" i="63"/>
  <c r="CH6" i="63"/>
  <c r="B8" i="127"/>
  <c r="C19" i="121"/>
  <c r="C18" i="121"/>
  <c r="D22" i="61"/>
  <c r="R34" i="123"/>
  <c r="E16" i="65"/>
  <c r="K14" i="65"/>
  <c r="K16" i="65"/>
  <c r="D31" i="65"/>
  <c r="C32" i="65"/>
  <c r="C33" i="65"/>
  <c r="D33" i="65"/>
  <c r="F16" i="65"/>
  <c r="C31" i="65"/>
  <c r="D21" i="146"/>
  <c r="E21" i="146"/>
  <c r="A28" i="125"/>
  <c r="A18" i="126"/>
  <c r="AF18" i="126"/>
  <c r="D24" i="140"/>
  <c r="DI66" i="63"/>
  <c r="DC66" i="63"/>
  <c r="AE41" i="128"/>
  <c r="AH41" i="128"/>
  <c r="AE103" i="128"/>
  <c r="AH103" i="128"/>
  <c r="AE18" i="128"/>
  <c r="AH18" i="128"/>
  <c r="AE90" i="128"/>
  <c r="AH90" i="128"/>
  <c r="AE105" i="128"/>
  <c r="AH105" i="128"/>
  <c r="AE36" i="128"/>
  <c r="AH36" i="128"/>
  <c r="AE15" i="128"/>
  <c r="AH15" i="128"/>
  <c r="AE79" i="128"/>
  <c r="AH79" i="128"/>
  <c r="AE17" i="128"/>
  <c r="AH17" i="128"/>
  <c r="AE86" i="128"/>
  <c r="AH86" i="128"/>
  <c r="AE7" i="128"/>
  <c r="AH7" i="128"/>
  <c r="AE28" i="128"/>
  <c r="AH28" i="128"/>
  <c r="AE20" i="128"/>
  <c r="AH20" i="128"/>
  <c r="AE62" i="128"/>
  <c r="AH62" i="128"/>
  <c r="AE46" i="128"/>
  <c r="AH46" i="128"/>
  <c r="AE24" i="128"/>
  <c r="AH24" i="128"/>
  <c r="AE72" i="128"/>
  <c r="AH72" i="128"/>
  <c r="AE51" i="128"/>
  <c r="AH51" i="128"/>
  <c r="AE66" i="128"/>
  <c r="AH66" i="128"/>
  <c r="AE39" i="128"/>
  <c r="AH39" i="128"/>
  <c r="AE43" i="128"/>
  <c r="AH43" i="128"/>
  <c r="AE82" i="128"/>
  <c r="AH82" i="128"/>
  <c r="AE45" i="128"/>
  <c r="AH45" i="128"/>
  <c r="AE9" i="128"/>
  <c r="AH9" i="128"/>
  <c r="AE76" i="128"/>
  <c r="AH76" i="128"/>
  <c r="AE97" i="128"/>
  <c r="AH97" i="128"/>
  <c r="AE102" i="128"/>
  <c r="AH102" i="128"/>
  <c r="AE65" i="128"/>
  <c r="AH65" i="128"/>
  <c r="AE32" i="128"/>
  <c r="AH32" i="128"/>
  <c r="AE29" i="128"/>
  <c r="AH29" i="128"/>
  <c r="AE104" i="128"/>
  <c r="AH104" i="128"/>
  <c r="AE12" i="128"/>
  <c r="AH12" i="128"/>
  <c r="AE59" i="128"/>
  <c r="AH59" i="128"/>
  <c r="AE38" i="128"/>
  <c r="AH38" i="128"/>
  <c r="AE33" i="128"/>
  <c r="AH33" i="128"/>
  <c r="AE77" i="128"/>
  <c r="AH77" i="128"/>
  <c r="AE49" i="128"/>
  <c r="AH49" i="128"/>
  <c r="AE92" i="128"/>
  <c r="AH92" i="128"/>
  <c r="AE52" i="128"/>
  <c r="AH52" i="128"/>
  <c r="AE44" i="128"/>
  <c r="AH44" i="128"/>
  <c r="AE25" i="128"/>
  <c r="AH25" i="128"/>
  <c r="AE87" i="128"/>
  <c r="AH87" i="128"/>
  <c r="AE40" i="128"/>
  <c r="AH40" i="128"/>
  <c r="AE71" i="128"/>
  <c r="AH71" i="128"/>
  <c r="AE47" i="128"/>
  <c r="AH47" i="128"/>
  <c r="AE27" i="128"/>
  <c r="AH27" i="128"/>
  <c r="AE57" i="128"/>
  <c r="AH57" i="128"/>
  <c r="AE30" i="128"/>
  <c r="AH30" i="128"/>
  <c r="AE63" i="128"/>
  <c r="AH63" i="128"/>
  <c r="AE73" i="128"/>
  <c r="AH73" i="128"/>
  <c r="AE85" i="128"/>
  <c r="AH85" i="128"/>
  <c r="AE75" i="128"/>
  <c r="AH75" i="128"/>
  <c r="AE11" i="128"/>
  <c r="AH11" i="128"/>
  <c r="AE96" i="128"/>
  <c r="AH96" i="128"/>
  <c r="AE8" i="128"/>
  <c r="AH8" i="128"/>
  <c r="AE68" i="128"/>
  <c r="AH68" i="128"/>
  <c r="AE64" i="128"/>
  <c r="AH64" i="128"/>
  <c r="AE95" i="128"/>
  <c r="AH95" i="128"/>
  <c r="AE26" i="128"/>
  <c r="AH26" i="128"/>
  <c r="AE53" i="128"/>
  <c r="AH53" i="128"/>
  <c r="AE58" i="128"/>
  <c r="AH58" i="128"/>
  <c r="AE94" i="128"/>
  <c r="AH94" i="128"/>
  <c r="AE98" i="128"/>
  <c r="AH98" i="128"/>
  <c r="AE81" i="128"/>
  <c r="AH81" i="128"/>
  <c r="AE55" i="128"/>
  <c r="AH55" i="128"/>
  <c r="AE60" i="128"/>
  <c r="AH60" i="128"/>
  <c r="AE42" i="128"/>
  <c r="AH42" i="128"/>
  <c r="AE50" i="128"/>
  <c r="AH50" i="128"/>
  <c r="AE35" i="128"/>
  <c r="AH35" i="128"/>
  <c r="AE34" i="128"/>
  <c r="AH34" i="128"/>
  <c r="AE67" i="128"/>
  <c r="AH67" i="128"/>
  <c r="AE74" i="128"/>
  <c r="AH74" i="128"/>
  <c r="AE48" i="128"/>
  <c r="AH48" i="128"/>
  <c r="AE78" i="128"/>
  <c r="AH78" i="128"/>
  <c r="AE22" i="128"/>
  <c r="AH22" i="128"/>
  <c r="AE88" i="128"/>
  <c r="AH88" i="128"/>
  <c r="AE80" i="128"/>
  <c r="AH80" i="128"/>
  <c r="AE61" i="128"/>
  <c r="AH61" i="128"/>
  <c r="AE14" i="128"/>
  <c r="AH14" i="128"/>
  <c r="AE100" i="128"/>
  <c r="AH100" i="128"/>
  <c r="AE31" i="128"/>
  <c r="AH31" i="128"/>
  <c r="AE23" i="128"/>
  <c r="AH23" i="128"/>
  <c r="AE91" i="128"/>
  <c r="AH91" i="128"/>
  <c r="AE13" i="128"/>
  <c r="AH13" i="128"/>
  <c r="AE101" i="128"/>
  <c r="AH101" i="128"/>
  <c r="AE69" i="128"/>
  <c r="AH69" i="128"/>
  <c r="AE19" i="128"/>
  <c r="AH19" i="128"/>
  <c r="AE56" i="128"/>
  <c r="AH56" i="128"/>
  <c r="AE16" i="128"/>
  <c r="AH16" i="128"/>
  <c r="AE21" i="128"/>
  <c r="AH21" i="128"/>
  <c r="AE70" i="128"/>
  <c r="AH70" i="128"/>
  <c r="AE84" i="128"/>
  <c r="AH84" i="128"/>
  <c r="AE37" i="128"/>
  <c r="AH37" i="128"/>
  <c r="AE6" i="128"/>
  <c r="AH6" i="128"/>
  <c r="AE10" i="128"/>
  <c r="AH10" i="128"/>
  <c r="AE83" i="128"/>
  <c r="AH83" i="128"/>
  <c r="AE93" i="128"/>
  <c r="AH93" i="128"/>
  <c r="AE54" i="128"/>
  <c r="AH54" i="128"/>
  <c r="AE89" i="128"/>
  <c r="AH89" i="128"/>
  <c r="AU37" i="128"/>
  <c r="AU74" i="128"/>
  <c r="C35" i="69"/>
  <c r="E63" i="61"/>
  <c r="E69" i="61"/>
  <c r="G58" i="61"/>
  <c r="AU60" i="128"/>
  <c r="AU34" i="63"/>
  <c r="AU66" i="128"/>
  <c r="AU23" i="128"/>
  <c r="AU50" i="128"/>
  <c r="AU61" i="128"/>
  <c r="AU33" i="128"/>
  <c r="AU35" i="63"/>
  <c r="AU27" i="63"/>
  <c r="AU18" i="128"/>
  <c r="AU85" i="63"/>
  <c r="AU94" i="128"/>
  <c r="AU19" i="128"/>
  <c r="AU94" i="63"/>
  <c r="AU98" i="63"/>
  <c r="AU68" i="63"/>
  <c r="AU45" i="128"/>
  <c r="AU52" i="128"/>
  <c r="AU7" i="63"/>
  <c r="N32" i="125"/>
  <c r="G37" i="69"/>
  <c r="N43" i="125"/>
  <c r="N77" i="125"/>
  <c r="N100" i="125"/>
  <c r="N65" i="125"/>
  <c r="AU88" i="63"/>
  <c r="N55" i="125"/>
  <c r="N82" i="125"/>
  <c r="N99" i="125"/>
  <c r="AU21" i="63"/>
  <c r="N104" i="125"/>
  <c r="N59" i="125"/>
  <c r="AU63" i="128"/>
  <c r="N87" i="125"/>
  <c r="N112" i="125"/>
  <c r="N60" i="125"/>
  <c r="N64" i="125"/>
  <c r="N33" i="125"/>
  <c r="N63" i="125"/>
  <c r="AU86" i="128"/>
  <c r="N105" i="125"/>
  <c r="N21" i="125"/>
  <c r="N50" i="125"/>
  <c r="N69" i="125"/>
  <c r="N80" i="125"/>
  <c r="N24" i="125"/>
  <c r="N106" i="125"/>
  <c r="N115" i="125"/>
  <c r="N56" i="125"/>
  <c r="N90" i="125"/>
  <c r="N113" i="125"/>
  <c r="N54" i="125"/>
  <c r="AH6" i="63"/>
  <c r="AE107" i="63"/>
  <c r="AH107" i="63"/>
  <c r="AU83" i="63"/>
  <c r="AU20" i="63"/>
  <c r="AU9" i="128"/>
  <c r="AU84" i="63"/>
  <c r="AU62" i="63"/>
  <c r="AU102" i="128"/>
  <c r="AU45" i="63"/>
  <c r="AU38" i="128"/>
  <c r="AU82" i="128"/>
  <c r="AU36" i="63"/>
  <c r="AU46" i="63"/>
  <c r="AU10" i="63"/>
  <c r="AU62" i="128"/>
  <c r="AU77" i="128"/>
  <c r="AU31" i="128"/>
  <c r="AU53" i="128"/>
  <c r="AU56" i="63"/>
  <c r="AU44" i="128"/>
  <c r="AU16" i="128"/>
  <c r="AU27" i="128"/>
  <c r="AU87" i="63"/>
  <c r="AU13" i="128"/>
  <c r="AU89" i="128"/>
  <c r="AU81" i="63"/>
  <c r="AU71" i="128"/>
  <c r="N20" i="125"/>
  <c r="N103" i="125"/>
  <c r="N39" i="125"/>
  <c r="N116" i="125"/>
  <c r="N78" i="125"/>
  <c r="N89" i="125"/>
  <c r="N110" i="125"/>
  <c r="N73" i="125"/>
  <c r="N101" i="125"/>
  <c r="N52" i="125"/>
  <c r="I6" i="65"/>
  <c r="F59" i="61"/>
  <c r="AU49" i="128"/>
  <c r="AU64" i="63"/>
  <c r="AU13" i="63"/>
  <c r="AU101" i="63"/>
  <c r="AU52" i="63"/>
  <c r="AU74" i="63"/>
  <c r="AU96" i="128"/>
  <c r="AU36" i="128"/>
  <c r="AU58" i="63"/>
  <c r="AU91" i="128"/>
  <c r="AU78" i="128"/>
  <c r="AU24" i="63"/>
  <c r="AU64" i="128"/>
  <c r="U17" i="68"/>
  <c r="V17" i="68"/>
  <c r="D60" i="60"/>
  <c r="F60" i="60"/>
  <c r="S17" i="68"/>
  <c r="AU102" i="63"/>
  <c r="AU9" i="63"/>
  <c r="AU44" i="63"/>
  <c r="AU24" i="128"/>
  <c r="AU25" i="128"/>
  <c r="AU80" i="128"/>
  <c r="AU71" i="63"/>
  <c r="AU68" i="128"/>
  <c r="AU55" i="63"/>
  <c r="AU82" i="63"/>
  <c r="AU58" i="128"/>
  <c r="N30" i="125"/>
  <c r="N66" i="125"/>
  <c r="N95" i="125"/>
  <c r="N86" i="125"/>
  <c r="N67" i="125"/>
  <c r="N75" i="125"/>
  <c r="N42" i="125"/>
  <c r="N96" i="125"/>
  <c r="N37" i="125"/>
  <c r="N34" i="125"/>
  <c r="N79" i="125"/>
  <c r="N97" i="125"/>
  <c r="N36" i="125"/>
  <c r="AU43" i="128"/>
  <c r="AU86" i="63"/>
  <c r="AU41" i="128"/>
  <c r="AU48" i="63"/>
  <c r="AU95" i="128"/>
  <c r="AU100" i="128"/>
  <c r="AU11" i="128"/>
  <c r="AU63" i="63"/>
  <c r="AU67" i="63"/>
  <c r="AU73" i="63"/>
  <c r="AU33" i="63"/>
  <c r="AU77" i="63"/>
  <c r="AU47" i="128"/>
  <c r="AU55" i="128"/>
  <c r="AU61" i="63"/>
  <c r="AU57" i="63"/>
  <c r="AU41" i="63"/>
  <c r="AU29" i="128"/>
  <c r="AU22" i="63"/>
  <c r="AU97" i="128"/>
  <c r="AU20" i="128"/>
  <c r="AU105" i="128"/>
  <c r="AU66" i="63"/>
  <c r="AU29" i="63"/>
  <c r="AU47" i="63"/>
  <c r="N26" i="125"/>
  <c r="N31" i="125"/>
  <c r="N41" i="125"/>
  <c r="N98" i="125"/>
  <c r="N71" i="125"/>
  <c r="N27" i="125"/>
  <c r="N38" i="125"/>
  <c r="N35" i="125"/>
  <c r="N28" i="125"/>
  <c r="N44" i="125"/>
  <c r="N92" i="125"/>
  <c r="N51" i="125"/>
  <c r="N94" i="125"/>
  <c r="AU60" i="63"/>
  <c r="AU93" i="63"/>
  <c r="AU96" i="63"/>
  <c r="AU28" i="128"/>
  <c r="AU22" i="128"/>
  <c r="AU89" i="63"/>
  <c r="AU26" i="63"/>
  <c r="AU80" i="63"/>
  <c r="AU39" i="63"/>
  <c r="AU88" i="128"/>
  <c r="AU14" i="128"/>
  <c r="AU34" i="128"/>
  <c r="AU65" i="128"/>
  <c r="AU69" i="63"/>
  <c r="AU54" i="63"/>
  <c r="AU14" i="63"/>
  <c r="AU32" i="128"/>
  <c r="AU59" i="128"/>
  <c r="AU15" i="128"/>
  <c r="AU91" i="63"/>
  <c r="AU70" i="63"/>
  <c r="AU73" i="128"/>
  <c r="AU39" i="128"/>
  <c r="AU79" i="63"/>
  <c r="AU32" i="63"/>
  <c r="D35" i="69"/>
  <c r="N61" i="125"/>
  <c r="N114" i="125"/>
  <c r="N29" i="125"/>
  <c r="N45" i="125"/>
  <c r="N48" i="125"/>
  <c r="N109" i="125"/>
  <c r="N25" i="125"/>
  <c r="N19" i="125"/>
  <c r="N46" i="125"/>
  <c r="N91" i="125"/>
  <c r="N40" i="125"/>
  <c r="N68" i="125"/>
  <c r="N88" i="125"/>
  <c r="U6" i="128"/>
  <c r="AP6" i="128"/>
  <c r="AU6" i="128"/>
  <c r="R107" i="128"/>
  <c r="U107" i="128"/>
  <c r="AU49" i="63"/>
  <c r="AU99" i="63"/>
  <c r="AU76" i="63"/>
  <c r="AU104" i="128"/>
  <c r="AU98" i="128"/>
  <c r="AU12" i="128"/>
  <c r="AU30" i="128"/>
  <c r="AU54" i="128"/>
  <c r="AU26" i="128"/>
  <c r="AU90" i="128"/>
  <c r="AU17" i="128"/>
  <c r="AU38" i="63"/>
  <c r="AU67" i="128"/>
  <c r="AU16" i="63"/>
  <c r="AU99" i="128"/>
  <c r="AU46" i="128"/>
  <c r="AU78" i="63"/>
  <c r="AU70" i="128"/>
  <c r="AU17" i="63"/>
  <c r="AU18" i="63"/>
  <c r="AU40" i="128"/>
  <c r="AU8" i="128"/>
  <c r="AK107" i="63"/>
  <c r="AU10" i="128"/>
  <c r="AK107" i="128"/>
  <c r="AU31" i="63"/>
  <c r="N23" i="125"/>
  <c r="N102" i="125"/>
  <c r="N111" i="125"/>
  <c r="U6" i="63"/>
  <c r="AP6" i="63"/>
  <c r="AU6" i="63"/>
  <c r="R107" i="63"/>
  <c r="U107" i="63"/>
  <c r="N83" i="125"/>
  <c r="N76" i="125"/>
  <c r="N84" i="125"/>
  <c r="N81" i="125"/>
  <c r="N22" i="125"/>
  <c r="N117" i="125"/>
  <c r="N107" i="125"/>
  <c r="AU11" i="63"/>
  <c r="AU19" i="63"/>
  <c r="AU65" i="63"/>
  <c r="AU72" i="128"/>
  <c r="AU101" i="128"/>
  <c r="AU42" i="63"/>
  <c r="AU79" i="128"/>
  <c r="AU95" i="63"/>
  <c r="AU30" i="63"/>
  <c r="AU21" i="128"/>
  <c r="AU7" i="128"/>
  <c r="AU103" i="128"/>
  <c r="AU35" i="128"/>
  <c r="AU56" i="128"/>
  <c r="AU37" i="63"/>
  <c r="AU93" i="128"/>
  <c r="AU48" i="128"/>
  <c r="AU75" i="128"/>
  <c r="AU100" i="63"/>
  <c r="AU69" i="128"/>
  <c r="AU50" i="63"/>
  <c r="AU75" i="63"/>
  <c r="AU85" i="128"/>
  <c r="AU12" i="63"/>
  <c r="AU28" i="63"/>
  <c r="H33" i="69"/>
  <c r="N62" i="125"/>
  <c r="N57" i="125"/>
  <c r="N93" i="125"/>
  <c r="N70" i="125"/>
  <c r="N72" i="125"/>
  <c r="N74" i="125"/>
  <c r="N108" i="125"/>
  <c r="N47" i="125"/>
  <c r="N53" i="125"/>
  <c r="N49" i="125"/>
  <c r="N85" i="125"/>
  <c r="N58" i="125"/>
  <c r="G33" i="69"/>
  <c r="D38" i="60"/>
  <c r="E38" i="60"/>
  <c r="F38" i="60"/>
  <c r="AQ48" i="63"/>
  <c r="AU103" i="63"/>
  <c r="AU43" i="63"/>
  <c r="AU53" i="63"/>
  <c r="AU92" i="128"/>
  <c r="AU97" i="63"/>
  <c r="AU105" i="63"/>
  <c r="AU81" i="128"/>
  <c r="AU104" i="63"/>
  <c r="AU23" i="63"/>
  <c r="AU25" i="63"/>
  <c r="AU51" i="128"/>
  <c r="AU15" i="63"/>
  <c r="AU84" i="128"/>
  <c r="AU76" i="128"/>
  <c r="AU57" i="128"/>
  <c r="AU59" i="63"/>
  <c r="AU72" i="63"/>
  <c r="AU92" i="63"/>
  <c r="AU8" i="63"/>
  <c r="AU90" i="63"/>
  <c r="AU42" i="128"/>
  <c r="AU87" i="128"/>
  <c r="AU51" i="63"/>
  <c r="AU83" i="128"/>
  <c r="AU40" i="63"/>
  <c r="H37" i="69"/>
  <c r="DC29" i="63"/>
  <c r="DI29" i="63"/>
  <c r="DI33" i="63"/>
  <c r="DC33" i="63"/>
  <c r="DC92" i="63"/>
  <c r="DI92" i="63"/>
  <c r="DC82" i="63"/>
  <c r="DI82" i="63"/>
  <c r="DI38" i="63"/>
  <c r="DC38" i="63"/>
  <c r="DI7" i="63"/>
  <c r="DC7" i="63"/>
  <c r="DI50" i="63"/>
  <c r="DC50" i="63"/>
  <c r="DI46" i="63"/>
  <c r="DC46" i="63"/>
  <c r="DI21" i="63"/>
  <c r="DC21" i="63"/>
  <c r="DI30" i="63"/>
  <c r="DC30" i="63"/>
  <c r="DC89" i="63"/>
  <c r="DI89" i="63"/>
  <c r="DI18" i="63"/>
  <c r="DC18" i="63"/>
  <c r="DC57" i="63"/>
  <c r="DI57" i="63"/>
  <c r="DI88" i="63"/>
  <c r="DC88" i="63"/>
  <c r="DI43" i="63"/>
  <c r="DC43" i="63"/>
  <c r="DC64" i="63"/>
  <c r="DI64" i="63"/>
  <c r="DI100" i="63"/>
  <c r="DC100" i="63"/>
  <c r="DC23" i="63"/>
  <c r="DI23" i="63"/>
  <c r="DI27" i="63"/>
  <c r="DC27" i="63"/>
  <c r="DI102" i="63"/>
  <c r="DC102" i="63"/>
  <c r="DI20" i="63"/>
  <c r="DC20" i="63"/>
  <c r="DI98" i="63"/>
  <c r="DC98" i="63"/>
  <c r="DC31" i="63"/>
  <c r="DI31" i="63"/>
  <c r="DI95" i="63"/>
  <c r="DC95" i="63"/>
  <c r="DC69" i="63"/>
  <c r="DI69" i="63"/>
  <c r="DC81" i="63"/>
  <c r="DI81" i="63"/>
  <c r="DI87" i="63"/>
  <c r="DC87" i="63"/>
  <c r="DI37" i="63"/>
  <c r="DC37" i="63"/>
  <c r="DI13" i="63"/>
  <c r="DC13" i="63"/>
  <c r="DI83" i="63"/>
  <c r="DC83" i="63"/>
  <c r="DI76" i="63"/>
  <c r="DC76" i="63"/>
  <c r="DI84" i="63"/>
  <c r="DC84" i="63"/>
  <c r="DI9" i="63"/>
  <c r="DC9" i="63"/>
  <c r="DI42" i="63"/>
  <c r="DC42" i="63"/>
  <c r="DI68" i="63"/>
  <c r="DC68" i="63"/>
  <c r="DI65" i="63"/>
  <c r="DC65" i="63"/>
  <c r="DI36" i="63"/>
  <c r="DC36" i="63"/>
  <c r="DI90" i="63"/>
  <c r="DC90" i="63"/>
  <c r="DI86" i="63"/>
  <c r="DC86" i="63"/>
  <c r="DI49" i="63"/>
  <c r="DC49" i="63"/>
  <c r="DI67" i="63"/>
  <c r="DC67" i="63"/>
  <c r="DC28" i="63"/>
  <c r="DI28" i="63"/>
  <c r="DC61" i="63"/>
  <c r="DI61" i="63"/>
  <c r="DI51" i="63"/>
  <c r="DC51" i="63"/>
  <c r="DI70" i="63"/>
  <c r="DC70" i="63"/>
  <c r="DC53" i="63"/>
  <c r="DI53" i="63"/>
  <c r="DI78" i="63"/>
  <c r="DC78" i="63"/>
  <c r="DC60" i="63"/>
  <c r="DI60" i="63"/>
  <c r="DI40" i="63"/>
  <c r="DC40" i="63"/>
  <c r="DC71" i="63"/>
  <c r="DI71" i="63"/>
  <c r="DI59" i="63"/>
  <c r="DC59" i="63"/>
  <c r="DI11" i="63"/>
  <c r="DC11" i="63"/>
  <c r="DI22" i="63"/>
  <c r="DC22" i="63"/>
  <c r="DI79" i="63"/>
  <c r="DC79" i="63"/>
  <c r="DC48" i="63"/>
  <c r="DI48" i="63"/>
  <c r="DI93" i="63"/>
  <c r="DC93" i="63"/>
  <c r="DI73" i="63"/>
  <c r="DC73" i="63"/>
  <c r="DC47" i="63"/>
  <c r="DI47" i="63"/>
  <c r="DI85" i="63"/>
  <c r="DC85" i="63"/>
  <c r="DI56" i="63"/>
  <c r="DC56" i="63"/>
  <c r="DI77" i="63"/>
  <c r="DC77" i="63"/>
  <c r="AC118" i="125"/>
  <c r="DI54" i="63"/>
  <c r="DC54" i="63"/>
  <c r="BG6" i="63"/>
  <c r="BB107" i="63"/>
  <c r="BG6" i="128"/>
  <c r="BG107" i="128"/>
  <c r="BB107" i="128"/>
  <c r="CH107" i="128"/>
  <c r="CJ6" i="128"/>
  <c r="CJ107" i="128"/>
  <c r="CH107" i="63"/>
  <c r="CJ6" i="63"/>
  <c r="CJ107" i="63"/>
  <c r="K45" i="71"/>
  <c r="K63" i="71"/>
  <c r="K11" i="71"/>
  <c r="K54" i="71"/>
  <c r="K51" i="71"/>
  <c r="K31" i="71"/>
  <c r="K17" i="71"/>
  <c r="I11" i="125"/>
  <c r="K22" i="71"/>
  <c r="K9" i="71"/>
  <c r="K25" i="71"/>
  <c r="K60" i="71"/>
  <c r="K57" i="71"/>
  <c r="K37" i="71"/>
  <c r="K34" i="71"/>
  <c r="K26" i="71"/>
  <c r="K6" i="71"/>
  <c r="K23" i="71"/>
  <c r="D24" i="60"/>
  <c r="D40" i="60"/>
  <c r="E40" i="60"/>
  <c r="E41" i="60"/>
  <c r="F41" i="60"/>
  <c r="K46" i="71"/>
  <c r="K43" i="71"/>
  <c r="K40" i="71"/>
  <c r="K52" i="71"/>
  <c r="K49" i="71"/>
  <c r="K20" i="71"/>
  <c r="K32" i="71"/>
  <c r="K15" i="71"/>
  <c r="K33" i="71"/>
  <c r="K61" i="71"/>
  <c r="K55" i="71"/>
  <c r="K58" i="71"/>
  <c r="K38" i="71"/>
  <c r="K29" i="71"/>
  <c r="K5" i="71"/>
  <c r="K8" i="71"/>
  <c r="K24" i="71"/>
  <c r="K21" i="71"/>
  <c r="K56" i="71"/>
  <c r="K50" i="71"/>
  <c r="K30" i="71"/>
  <c r="K39" i="71"/>
  <c r="Y3" i="125"/>
  <c r="K14" i="71"/>
  <c r="K36" i="71"/>
  <c r="K62" i="71"/>
  <c r="K59" i="71"/>
  <c r="K48" i="71"/>
  <c r="K42" i="71"/>
  <c r="K28" i="71"/>
  <c r="K16" i="71"/>
  <c r="K41" i="71"/>
  <c r="K18" i="71"/>
  <c r="K12" i="71"/>
  <c r="K4" i="71"/>
  <c r="K64" i="71"/>
  <c r="K53" i="71"/>
  <c r="K47" i="71"/>
  <c r="K35" i="71"/>
  <c r="K19" i="71"/>
  <c r="K27" i="71"/>
  <c r="K7" i="71"/>
  <c r="D38" i="61"/>
  <c r="E38" i="61"/>
  <c r="K13" i="71"/>
  <c r="K10" i="71"/>
  <c r="K65" i="71"/>
  <c r="K44" i="71"/>
  <c r="A29" i="125"/>
  <c r="A19" i="126"/>
  <c r="AF19" i="126"/>
  <c r="AE107" i="128"/>
  <c r="AH107" i="128"/>
  <c r="AQ15" i="63"/>
  <c r="AS15" i="63"/>
  <c r="AQ57" i="128"/>
  <c r="AS57" i="128"/>
  <c r="AQ98" i="128"/>
  <c r="AS98" i="128"/>
  <c r="AQ94" i="63"/>
  <c r="O106" i="125"/>
  <c r="CQ94" i="128"/>
  <c r="H38" i="69"/>
  <c r="AQ51" i="128"/>
  <c r="AS51" i="128"/>
  <c r="AQ55" i="63"/>
  <c r="O67" i="125"/>
  <c r="AQ14" i="63"/>
  <c r="AS14" i="63"/>
  <c r="O60" i="125"/>
  <c r="AS48" i="63"/>
  <c r="CP80" i="128"/>
  <c r="CP29" i="128"/>
  <c r="AQ70" i="128"/>
  <c r="AS70" i="128"/>
  <c r="CP41" i="128"/>
  <c r="CP50" i="128"/>
  <c r="AQ11" i="128"/>
  <c r="AS11" i="128"/>
  <c r="AQ74" i="63"/>
  <c r="AU107" i="63"/>
  <c r="CP66" i="128"/>
  <c r="CP88" i="128"/>
  <c r="AQ36" i="128"/>
  <c r="AS36" i="128"/>
  <c r="AQ100" i="63"/>
  <c r="AQ66" i="63"/>
  <c r="AQ55" i="128"/>
  <c r="AS55" i="128"/>
  <c r="AQ43" i="63"/>
  <c r="AQ11" i="63"/>
  <c r="AQ92" i="63"/>
  <c r="CP26" i="128"/>
  <c r="AQ26" i="128"/>
  <c r="AS26" i="128"/>
  <c r="AL31" i="128"/>
  <c r="AL23" i="128"/>
  <c r="AL59" i="128"/>
  <c r="AL18" i="63"/>
  <c r="AL37" i="63"/>
  <c r="AL43" i="63"/>
  <c r="AL95" i="128"/>
  <c r="AL30" i="128"/>
  <c r="AL56" i="128"/>
  <c r="AL91" i="128"/>
  <c r="AL83" i="63"/>
  <c r="AL35" i="63"/>
  <c r="AL79" i="63"/>
  <c r="AL63" i="128"/>
  <c r="AL44" i="63"/>
  <c r="AL104" i="128"/>
  <c r="AL6" i="63"/>
  <c r="AL20" i="128"/>
  <c r="AL26" i="63"/>
  <c r="AL56" i="63"/>
  <c r="AL55" i="128"/>
  <c r="AL86" i="128"/>
  <c r="AL72" i="63"/>
  <c r="AL36" i="63"/>
  <c r="AL94" i="128"/>
  <c r="AL66" i="63"/>
  <c r="AL31" i="63"/>
  <c r="F34" i="69"/>
  <c r="AL83" i="128"/>
  <c r="AL93" i="128"/>
  <c r="AL92" i="128"/>
  <c r="AL25" i="63"/>
  <c r="AL9" i="128"/>
  <c r="AL32" i="128"/>
  <c r="AL54" i="128"/>
  <c r="AL11" i="63"/>
  <c r="AL81" i="128"/>
  <c r="AL16" i="63"/>
  <c r="AL67" i="63"/>
  <c r="AL72" i="128"/>
  <c r="AL47" i="128"/>
  <c r="AL88" i="63"/>
  <c r="AL12" i="128"/>
  <c r="AL48" i="63"/>
  <c r="AV48" i="63"/>
  <c r="AL100" i="128"/>
  <c r="AL80" i="63"/>
  <c r="AL43" i="128"/>
  <c r="AL50" i="128"/>
  <c r="AL9" i="63"/>
  <c r="AL22" i="128"/>
  <c r="AL41" i="128"/>
  <c r="AL53" i="63"/>
  <c r="AL50" i="63"/>
  <c r="AL38" i="128"/>
  <c r="AL23" i="63"/>
  <c r="AL101" i="128"/>
  <c r="AL44" i="128"/>
  <c r="AL85" i="128"/>
  <c r="AL30" i="63"/>
  <c r="AL68" i="63"/>
  <c r="AL39" i="128"/>
  <c r="AL14" i="63"/>
  <c r="AL90" i="128"/>
  <c r="AL51" i="63"/>
  <c r="AL93" i="63"/>
  <c r="AL35" i="128"/>
  <c r="AL26" i="128"/>
  <c r="AL61" i="128"/>
  <c r="AL38" i="63"/>
  <c r="AL13" i="63"/>
  <c r="AL71" i="128"/>
  <c r="AL40" i="128"/>
  <c r="AL105" i="63"/>
  <c r="AL86" i="63"/>
  <c r="AL34" i="128"/>
  <c r="AL59" i="63"/>
  <c r="AL62" i="128"/>
  <c r="AL24" i="128"/>
  <c r="AL21" i="63"/>
  <c r="AL19" i="128"/>
  <c r="AL8" i="63"/>
  <c r="AL92" i="63"/>
  <c r="AL101" i="63"/>
  <c r="AL82" i="63"/>
  <c r="AL102" i="128"/>
  <c r="AL65" i="63"/>
  <c r="AL77" i="128"/>
  <c r="AL29" i="128"/>
  <c r="AL17" i="128"/>
  <c r="AL84" i="128"/>
  <c r="AL64" i="63"/>
  <c r="AL49" i="63"/>
  <c r="AL87" i="63"/>
  <c r="AL33" i="128"/>
  <c r="AL76" i="128"/>
  <c r="AL33" i="63"/>
  <c r="AL97" i="63"/>
  <c r="AL99" i="63"/>
  <c r="AL95" i="63"/>
  <c r="AL42" i="128"/>
  <c r="AL99" i="128"/>
  <c r="AL102" i="63"/>
  <c r="AL74" i="128"/>
  <c r="AL42" i="63"/>
  <c r="AL40" i="63"/>
  <c r="AL70" i="63"/>
  <c r="AL18" i="128"/>
  <c r="AL14" i="128"/>
  <c r="AL61" i="63"/>
  <c r="AL69" i="63"/>
  <c r="AL51" i="128"/>
  <c r="AL10" i="63"/>
  <c r="AL39" i="63"/>
  <c r="AL74" i="63"/>
  <c r="AL13" i="128"/>
  <c r="AL84" i="63"/>
  <c r="AL32" i="63"/>
  <c r="AL77" i="63"/>
  <c r="AL94" i="63"/>
  <c r="AL24" i="63"/>
  <c r="AL103" i="128"/>
  <c r="AL46" i="128"/>
  <c r="AL58" i="63"/>
  <c r="AL17" i="63"/>
  <c r="AL89" i="128"/>
  <c r="AL96" i="128"/>
  <c r="AL78" i="63"/>
  <c r="AL73" i="63"/>
  <c r="AL46" i="63"/>
  <c r="AL49" i="128"/>
  <c r="AL29" i="63"/>
  <c r="AL75" i="63"/>
  <c r="AL11" i="128"/>
  <c r="AL63" i="63"/>
  <c r="AL103" i="63"/>
  <c r="AL57" i="63"/>
  <c r="AL15" i="128"/>
  <c r="AL90" i="63"/>
  <c r="AL78" i="128"/>
  <c r="AL37" i="128"/>
  <c r="AL66" i="128"/>
  <c r="AL98" i="128"/>
  <c r="AL28" i="128"/>
  <c r="AL58" i="128"/>
  <c r="AL91" i="63"/>
  <c r="AL45" i="128"/>
  <c r="AL100" i="63"/>
  <c r="AL60" i="63"/>
  <c r="AL47" i="63"/>
  <c r="AL89" i="63"/>
  <c r="AL88" i="128"/>
  <c r="AL22" i="63"/>
  <c r="AL69" i="128"/>
  <c r="AL67" i="128"/>
  <c r="AL60" i="128"/>
  <c r="AL54" i="63"/>
  <c r="AL70" i="128"/>
  <c r="AL8" i="128"/>
  <c r="AL28" i="63"/>
  <c r="AL16" i="128"/>
  <c r="AL36" i="128"/>
  <c r="AL96" i="63"/>
  <c r="AL75" i="128"/>
  <c r="AL57" i="128"/>
  <c r="AL41" i="63"/>
  <c r="F38" i="69"/>
  <c r="D61" i="60"/>
  <c r="AL53" i="128"/>
  <c r="AL52" i="128"/>
  <c r="AL45" i="63"/>
  <c r="AL80" i="128"/>
  <c r="AL105" i="128"/>
  <c r="AL21" i="128"/>
  <c r="AL98" i="63"/>
  <c r="AL104" i="63"/>
  <c r="AL10" i="128"/>
  <c r="AL82" i="128"/>
  <c r="AL7" i="63"/>
  <c r="AL81" i="63"/>
  <c r="AL76" i="63"/>
  <c r="AL64" i="128"/>
  <c r="AL97" i="128"/>
  <c r="AL19" i="63"/>
  <c r="AL25" i="128"/>
  <c r="AL27" i="63"/>
  <c r="AL27" i="128"/>
  <c r="AL6" i="128"/>
  <c r="AL12" i="63"/>
  <c r="AL52" i="63"/>
  <c r="AL7" i="128"/>
  <c r="AL15" i="63"/>
  <c r="AL87" i="128"/>
  <c r="AL71" i="63"/>
  <c r="AL68" i="128"/>
  <c r="AL48" i="128"/>
  <c r="AL79" i="128"/>
  <c r="AL55" i="63"/>
  <c r="AL65" i="128"/>
  <c r="AL62" i="63"/>
  <c r="AL85" i="63"/>
  <c r="AL20" i="63"/>
  <c r="AL73" i="128"/>
  <c r="AL34" i="63"/>
  <c r="AQ79" i="128"/>
  <c r="AS79" i="128"/>
  <c r="AQ47" i="63"/>
  <c r="AQ83" i="128"/>
  <c r="AS83" i="128"/>
  <c r="AQ30" i="128"/>
  <c r="AS30" i="128"/>
  <c r="AQ80" i="63"/>
  <c r="AQ17" i="128"/>
  <c r="AS17" i="128"/>
  <c r="AQ42" i="63"/>
  <c r="AQ98" i="63"/>
  <c r="AQ104" i="128"/>
  <c r="AS104" i="128"/>
  <c r="AQ57" i="63"/>
  <c r="AQ52" i="63"/>
  <c r="AQ53" i="128"/>
  <c r="AS53" i="128"/>
  <c r="AQ68" i="128"/>
  <c r="AS68" i="128"/>
  <c r="AQ69" i="63"/>
  <c r="AQ50" i="63"/>
  <c r="AQ88" i="128"/>
  <c r="AS88" i="128"/>
  <c r="AQ64" i="128"/>
  <c r="AS64" i="128"/>
  <c r="AQ88" i="63"/>
  <c r="AQ54" i="63"/>
  <c r="AQ105" i="128"/>
  <c r="AS105" i="128"/>
  <c r="AQ73" i="63"/>
  <c r="AQ67" i="63"/>
  <c r="AQ39" i="128"/>
  <c r="AS39" i="128"/>
  <c r="AQ15" i="128"/>
  <c r="AS15" i="128"/>
  <c r="AQ96" i="63"/>
  <c r="AQ74" i="128"/>
  <c r="AS74" i="128"/>
  <c r="G34" i="69"/>
  <c r="AQ78" i="63"/>
  <c r="AQ59" i="128"/>
  <c r="AS59" i="128"/>
  <c r="AQ84" i="128"/>
  <c r="AS84" i="128"/>
  <c r="AQ45" i="128"/>
  <c r="AS45" i="128"/>
  <c r="AQ10" i="63"/>
  <c r="AQ91" i="63"/>
  <c r="AQ103" i="128"/>
  <c r="AS103" i="128"/>
  <c r="AQ54" i="128"/>
  <c r="AS54" i="128"/>
  <c r="AQ85" i="63"/>
  <c r="AQ42" i="128"/>
  <c r="AS42" i="128"/>
  <c r="AQ89" i="63"/>
  <c r="AQ103" i="63"/>
  <c r="AQ52" i="128"/>
  <c r="AS52" i="128"/>
  <c r="AQ60" i="128"/>
  <c r="AS60" i="128"/>
  <c r="AQ40" i="63"/>
  <c r="AQ105" i="63"/>
  <c r="AQ80" i="128"/>
  <c r="AS80" i="128"/>
  <c r="AQ59" i="63"/>
  <c r="AQ86" i="63"/>
  <c r="AQ67" i="128"/>
  <c r="AS67" i="128"/>
  <c r="AQ70" i="63"/>
  <c r="AQ12" i="63"/>
  <c r="AQ38" i="128"/>
  <c r="AS38" i="128"/>
  <c r="AQ49" i="128"/>
  <c r="AS49" i="128"/>
  <c r="AQ25" i="63"/>
  <c r="AQ73" i="128"/>
  <c r="AS73" i="128"/>
  <c r="AQ65" i="128"/>
  <c r="AS65" i="128"/>
  <c r="AQ62" i="63"/>
  <c r="AQ92" i="128"/>
  <c r="AS92" i="128"/>
  <c r="AQ37" i="128"/>
  <c r="AS37" i="128"/>
  <c r="AQ25" i="128"/>
  <c r="AS25" i="128"/>
  <c r="AQ30" i="63"/>
  <c r="AQ93" i="128"/>
  <c r="AS93" i="128"/>
  <c r="AQ33" i="63"/>
  <c r="AQ71" i="128"/>
  <c r="AS71" i="128"/>
  <c r="AQ87" i="128"/>
  <c r="AS87" i="128"/>
  <c r="AQ71" i="63"/>
  <c r="AQ27" i="128"/>
  <c r="AS27" i="128"/>
  <c r="AQ10" i="128"/>
  <c r="AS10" i="128"/>
  <c r="AQ58" i="63"/>
  <c r="AQ7" i="63"/>
  <c r="AQ61" i="128"/>
  <c r="AS61" i="128"/>
  <c r="AQ68" i="63"/>
  <c r="AQ8" i="128"/>
  <c r="AS8" i="128"/>
  <c r="AQ9" i="63"/>
  <c r="AQ17" i="63"/>
  <c r="AQ24" i="128"/>
  <c r="AS24" i="128"/>
  <c r="AQ91" i="128"/>
  <c r="AS91" i="128"/>
  <c r="AQ8" i="63"/>
  <c r="AQ85" i="128"/>
  <c r="AS85" i="128"/>
  <c r="AQ35" i="128"/>
  <c r="AS35" i="128"/>
  <c r="AQ28" i="63"/>
  <c r="AQ102" i="63"/>
  <c r="AQ69" i="128"/>
  <c r="AS69" i="128"/>
  <c r="AQ19" i="63"/>
  <c r="AQ76" i="128"/>
  <c r="AS76" i="128"/>
  <c r="AQ48" i="128"/>
  <c r="AS48" i="128"/>
  <c r="AQ65" i="63"/>
  <c r="AQ90" i="128"/>
  <c r="AS90" i="128"/>
  <c r="AQ9" i="128"/>
  <c r="AS9" i="128"/>
  <c r="AQ31" i="63"/>
  <c r="AQ39" i="63"/>
  <c r="AQ14" i="128"/>
  <c r="AS14" i="128"/>
  <c r="AQ77" i="63"/>
  <c r="AQ46" i="128"/>
  <c r="AS46" i="128"/>
  <c r="AQ50" i="128"/>
  <c r="AS50" i="128"/>
  <c r="AQ37" i="63"/>
  <c r="AQ38" i="63"/>
  <c r="AQ29" i="128"/>
  <c r="AS29" i="128"/>
  <c r="AQ34" i="128"/>
  <c r="AS34" i="128"/>
  <c r="AQ35" i="63"/>
  <c r="AQ36" i="63"/>
  <c r="AQ43" i="128"/>
  <c r="AS43" i="128"/>
  <c r="AQ78" i="128"/>
  <c r="AS78" i="128"/>
  <c r="AQ99" i="63"/>
  <c r="AQ44" i="63"/>
  <c r="AQ19" i="128"/>
  <c r="AS19" i="128"/>
  <c r="AQ22" i="63"/>
  <c r="AQ33" i="128"/>
  <c r="AS33" i="128"/>
  <c r="AQ60" i="63"/>
  <c r="AQ79" i="63"/>
  <c r="AQ87" i="63"/>
  <c r="AQ7" i="128"/>
  <c r="AS7" i="128"/>
  <c r="AQ41" i="128"/>
  <c r="AS41" i="128"/>
  <c r="AQ26" i="63"/>
  <c r="AQ82" i="128"/>
  <c r="AS82" i="128"/>
  <c r="AQ21" i="63"/>
  <c r="AQ100" i="128"/>
  <c r="AS100" i="128"/>
  <c r="AQ49" i="63"/>
  <c r="AQ47" i="128"/>
  <c r="AS47" i="128"/>
  <c r="AQ63" i="128"/>
  <c r="AS63" i="128"/>
  <c r="AQ46" i="63"/>
  <c r="AQ28" i="128"/>
  <c r="AS28" i="128"/>
  <c r="AQ76" i="63"/>
  <c r="AQ90" i="63"/>
  <c r="AQ94" i="128"/>
  <c r="AS94" i="128"/>
  <c r="AQ95" i="128"/>
  <c r="AS95" i="128"/>
  <c r="AQ82" i="63"/>
  <c r="AQ20" i="63"/>
  <c r="AQ56" i="128"/>
  <c r="AS56" i="128"/>
  <c r="AQ40" i="128"/>
  <c r="AS40" i="128"/>
  <c r="G38" i="69"/>
  <c r="E61" i="60"/>
  <c r="E65" i="60"/>
  <c r="AQ29" i="63"/>
  <c r="AQ12" i="128"/>
  <c r="AS12" i="128"/>
  <c r="AQ53" i="63"/>
  <c r="AQ41" i="63"/>
  <c r="AQ101" i="63"/>
  <c r="AQ75" i="128"/>
  <c r="AS75" i="128"/>
  <c r="AQ66" i="128"/>
  <c r="AS66" i="128"/>
  <c r="AQ27" i="63"/>
  <c r="AQ77" i="128"/>
  <c r="AS77" i="128"/>
  <c r="AQ23" i="63"/>
  <c r="AQ86" i="128"/>
  <c r="AS86" i="128"/>
  <c r="AQ31" i="128"/>
  <c r="AS31" i="128"/>
  <c r="AQ32" i="63"/>
  <c r="AQ58" i="128"/>
  <c r="AS58" i="128"/>
  <c r="AQ89" i="128"/>
  <c r="AS89" i="128"/>
  <c r="AQ72" i="63"/>
  <c r="AQ102" i="128"/>
  <c r="AS102" i="128"/>
  <c r="AQ45" i="63"/>
  <c r="AQ16" i="63"/>
  <c r="AQ72" i="128"/>
  <c r="AS72" i="128"/>
  <c r="AQ97" i="63"/>
  <c r="AQ95" i="63"/>
  <c r="AQ16" i="128"/>
  <c r="AS16" i="128"/>
  <c r="AQ13" i="128"/>
  <c r="AS13" i="128"/>
  <c r="AQ63" i="63"/>
  <c r="AQ56" i="63"/>
  <c r="AQ75" i="63"/>
  <c r="AQ44" i="128"/>
  <c r="AS44" i="128"/>
  <c r="AQ101" i="128"/>
  <c r="AS101" i="128"/>
  <c r="AQ61" i="63"/>
  <c r="AQ13" i="63"/>
  <c r="AQ20" i="128"/>
  <c r="AS20" i="128"/>
  <c r="AQ24" i="63"/>
  <c r="AQ32" i="128"/>
  <c r="AS32" i="128"/>
  <c r="AQ23" i="128"/>
  <c r="AS23" i="128"/>
  <c r="AQ51" i="63"/>
  <c r="AQ18" i="63"/>
  <c r="AQ97" i="128"/>
  <c r="AS97" i="128"/>
  <c r="AQ99" i="128"/>
  <c r="AS99" i="128"/>
  <c r="AQ83" i="63"/>
  <c r="AQ81" i="128"/>
  <c r="AS81" i="128"/>
  <c r="AQ84" i="63"/>
  <c r="AQ34" i="63"/>
  <c r="AQ96" i="128"/>
  <c r="AS96" i="128"/>
  <c r="H34" i="69"/>
  <c r="AQ81" i="63"/>
  <c r="AQ93" i="63"/>
  <c r="AQ21" i="128"/>
  <c r="AS21" i="128"/>
  <c r="CP60" i="128"/>
  <c r="AQ104" i="63"/>
  <c r="AQ62" i="128"/>
  <c r="AS62" i="128"/>
  <c r="AQ18" i="128"/>
  <c r="AS18" i="128"/>
  <c r="AQ64" i="63"/>
  <c r="AQ22" i="128"/>
  <c r="AS22" i="128"/>
  <c r="CP89" i="128"/>
  <c r="CP8" i="128"/>
  <c r="CP21" i="128"/>
  <c r="CP105" i="128"/>
  <c r="CP64" i="128"/>
  <c r="CP90" i="128"/>
  <c r="CP56" i="128"/>
  <c r="CP7" i="128"/>
  <c r="CP33" i="128"/>
  <c r="CP22" i="128"/>
  <c r="CP63" i="128"/>
  <c r="CP54" i="128"/>
  <c r="CP101" i="128"/>
  <c r="CP94" i="128"/>
  <c r="CP38" i="128"/>
  <c r="CP92" i="128"/>
  <c r="CP46" i="128"/>
  <c r="CP35" i="128"/>
  <c r="CP58" i="128"/>
  <c r="AU107" i="128"/>
  <c r="CP32" i="128"/>
  <c r="CP15" i="128"/>
  <c r="CP19" i="128"/>
  <c r="CP61" i="128"/>
  <c r="CP104" i="128"/>
  <c r="CP52" i="128"/>
  <c r="CP87" i="128"/>
  <c r="CP65" i="128"/>
  <c r="CP10" i="128"/>
  <c r="CP71" i="128"/>
  <c r="CP11" i="128"/>
  <c r="CP28" i="128"/>
  <c r="CP13" i="128"/>
  <c r="CP17" i="128"/>
  <c r="CP24" i="128"/>
  <c r="CP25" i="128"/>
  <c r="CP55" i="128"/>
  <c r="CP18" i="128"/>
  <c r="AQ6" i="63"/>
  <c r="AS6" i="63"/>
  <c r="CP78" i="128"/>
  <c r="CP12" i="128"/>
  <c r="CP9" i="128"/>
  <c r="CP73" i="128"/>
  <c r="CP96" i="128"/>
  <c r="CP81" i="128"/>
  <c r="AP107" i="128"/>
  <c r="CP82" i="128"/>
  <c r="CP16" i="128"/>
  <c r="CP59" i="128"/>
  <c r="CP14" i="128"/>
  <c r="F71" i="61"/>
  <c r="H59" i="61"/>
  <c r="CP98" i="128"/>
  <c r="CP27" i="128"/>
  <c r="CP48" i="128"/>
  <c r="CP100" i="128"/>
  <c r="CP70" i="128"/>
  <c r="CP31" i="128"/>
  <c r="AQ6" i="128"/>
  <c r="CP69" i="128"/>
  <c r="AP107" i="63"/>
  <c r="N18" i="125"/>
  <c r="CP79" i="128"/>
  <c r="CP97" i="128"/>
  <c r="CP102" i="128"/>
  <c r="CP85" i="128"/>
  <c r="CP84" i="128"/>
  <c r="CP74" i="128"/>
  <c r="I5" i="125"/>
  <c r="Y5" i="125"/>
  <c r="H60" i="60"/>
  <c r="I14" i="65"/>
  <c r="L14" i="65"/>
  <c r="D25" i="65"/>
  <c r="D32" i="65"/>
  <c r="L6" i="65"/>
  <c r="CP44" i="128"/>
  <c r="CP68" i="128"/>
  <c r="CP93" i="128"/>
  <c r="CP20" i="128"/>
  <c r="CP37" i="128"/>
  <c r="CP62" i="128"/>
  <c r="CP45" i="128"/>
  <c r="CP39" i="128"/>
  <c r="CP23" i="128"/>
  <c r="CP86" i="128"/>
  <c r="CP40" i="128"/>
  <c r="CP77" i="128"/>
  <c r="CP91" i="128"/>
  <c r="CP51" i="128"/>
  <c r="CP75" i="128"/>
  <c r="CP43" i="128"/>
  <c r="CP53" i="128"/>
  <c r="CP95" i="128"/>
  <c r="CP72" i="128"/>
  <c r="CP99" i="128"/>
  <c r="CP76" i="128"/>
  <c r="CP34" i="128"/>
  <c r="CP36" i="128"/>
  <c r="CP49" i="128"/>
  <c r="CP67" i="128"/>
  <c r="CP30" i="128"/>
  <c r="CP83" i="128"/>
  <c r="CP42" i="128"/>
  <c r="CP103" i="128"/>
  <c r="CP57" i="128"/>
  <c r="CP47" i="128"/>
  <c r="DI6" i="63"/>
  <c r="BG107" i="63"/>
  <c r="DC6" i="63"/>
  <c r="F40" i="60"/>
  <c r="F38" i="61"/>
  <c r="E39" i="61"/>
  <c r="F39" i="61"/>
  <c r="AJ60" i="128"/>
  <c r="AJ71" i="128"/>
  <c r="AJ70" i="128"/>
  <c r="AJ32" i="128"/>
  <c r="AJ7" i="128"/>
  <c r="AJ103" i="128"/>
  <c r="AJ49" i="128"/>
  <c r="AJ105" i="128"/>
  <c r="AJ58" i="128"/>
  <c r="AJ26" i="128"/>
  <c r="AJ77" i="128"/>
  <c r="AJ44" i="128"/>
  <c r="AJ102" i="128"/>
  <c r="AJ53" i="128"/>
  <c r="AJ23" i="128"/>
  <c r="AJ73" i="128"/>
  <c r="AJ104" i="128"/>
  <c r="AJ33" i="128"/>
  <c r="AJ99" i="128"/>
  <c r="AJ51" i="128"/>
  <c r="AJ19" i="128"/>
  <c r="AJ63" i="128"/>
  <c r="AJ14" i="128"/>
  <c r="AJ89" i="128"/>
  <c r="AJ42" i="128"/>
  <c r="AJ6" i="128"/>
  <c r="AJ31" i="128"/>
  <c r="AJ92" i="128"/>
  <c r="AJ74" i="128"/>
  <c r="AJ10" i="128"/>
  <c r="AJ86" i="128"/>
  <c r="AJ37" i="128"/>
  <c r="AJ87" i="128"/>
  <c r="AJ12" i="128"/>
  <c r="AJ67" i="128"/>
  <c r="AJ96" i="128"/>
  <c r="AJ83" i="128"/>
  <c r="AJ35" i="128"/>
  <c r="AJ54" i="128"/>
  <c r="AJ47" i="128"/>
  <c r="AJ72" i="128"/>
  <c r="AJ20" i="128"/>
  <c r="AJ11" i="128"/>
  <c r="AJ81" i="128"/>
  <c r="AJ29" i="128"/>
  <c r="AJ65" i="128"/>
  <c r="AJ17" i="128"/>
  <c r="AJ78" i="63"/>
  <c r="AJ39" i="63"/>
  <c r="AJ18" i="63"/>
  <c r="AJ97" i="63"/>
  <c r="AJ91" i="63"/>
  <c r="AJ71" i="63"/>
  <c r="AJ66" i="63"/>
  <c r="AJ85" i="63"/>
  <c r="AJ42" i="63"/>
  <c r="AJ74" i="63"/>
  <c r="AJ98" i="63"/>
  <c r="AJ47" i="63"/>
  <c r="AJ9" i="128"/>
  <c r="AJ69" i="128"/>
  <c r="AJ76" i="128"/>
  <c r="AJ84" i="128"/>
  <c r="AJ59" i="128"/>
  <c r="AJ27" i="128"/>
  <c r="AJ61" i="128"/>
  <c r="AJ13" i="63"/>
  <c r="AJ9" i="63"/>
  <c r="AJ60" i="63"/>
  <c r="AJ104" i="63"/>
  <c r="AJ52" i="63"/>
  <c r="AJ94" i="63"/>
  <c r="AJ30" i="63"/>
  <c r="AJ92" i="63"/>
  <c r="AJ70" i="63"/>
  <c r="AJ37" i="63"/>
  <c r="AJ64" i="63"/>
  <c r="AJ35" i="63"/>
  <c r="AJ64" i="128"/>
  <c r="AJ66" i="128"/>
  <c r="AJ62" i="128"/>
  <c r="AJ38" i="128"/>
  <c r="AJ56" i="128"/>
  <c r="AJ21" i="128"/>
  <c r="AJ55" i="128"/>
  <c r="AJ103" i="63"/>
  <c r="AJ41" i="63"/>
  <c r="AJ77" i="63"/>
  <c r="AJ14" i="63"/>
  <c r="AJ55" i="63"/>
  <c r="AJ58" i="63"/>
  <c r="AJ86" i="63"/>
  <c r="AJ24" i="63"/>
  <c r="AJ20" i="63"/>
  <c r="AJ50" i="63"/>
  <c r="AJ87" i="63"/>
  <c r="AJ23" i="63"/>
  <c r="AJ65" i="63"/>
  <c r="AJ98" i="128"/>
  <c r="AJ46" i="128"/>
  <c r="AJ57" i="128"/>
  <c r="AJ101" i="128"/>
  <c r="AJ50" i="128"/>
  <c r="AJ18" i="128"/>
  <c r="AJ39" i="128"/>
  <c r="AJ38" i="63"/>
  <c r="AJ75" i="63"/>
  <c r="AJ69" i="63"/>
  <c r="AJ44" i="63"/>
  <c r="AJ15" i="63"/>
  <c r="AJ100" i="63"/>
  <c r="AJ73" i="63"/>
  <c r="AJ63" i="63"/>
  <c r="AJ57" i="63"/>
  <c r="AJ72" i="63"/>
  <c r="AJ82" i="63"/>
  <c r="AJ33" i="63"/>
  <c r="AJ62" i="63"/>
  <c r="AJ28" i="128"/>
  <c r="AJ95" i="128"/>
  <c r="AJ30" i="128"/>
  <c r="AJ52" i="128"/>
  <c r="AJ97" i="128"/>
  <c r="AJ45" i="128"/>
  <c r="AJ8" i="128"/>
  <c r="AJ24" i="128"/>
  <c r="AJ25" i="63"/>
  <c r="AJ26" i="63"/>
  <c r="AJ89" i="63"/>
  <c r="AJ96" i="63"/>
  <c r="AJ43" i="63"/>
  <c r="AJ27" i="63"/>
  <c r="AJ105" i="63"/>
  <c r="AJ11" i="63"/>
  <c r="AJ93" i="63"/>
  <c r="AJ95" i="63"/>
  <c r="AJ101" i="63"/>
  <c r="AJ48" i="63"/>
  <c r="AJ34" i="63"/>
  <c r="AJ93" i="128"/>
  <c r="AJ88" i="128"/>
  <c r="AJ22" i="128"/>
  <c r="AJ41" i="128"/>
  <c r="AJ94" i="128"/>
  <c r="AJ43" i="128"/>
  <c r="AJ78" i="128"/>
  <c r="AJ15" i="128"/>
  <c r="AJ7" i="63"/>
  <c r="AJ56" i="63"/>
  <c r="AJ19" i="63"/>
  <c r="AJ88" i="63"/>
  <c r="AJ12" i="63"/>
  <c r="AJ51" i="63"/>
  <c r="AJ36" i="63"/>
  <c r="AJ61" i="63"/>
  <c r="AJ16" i="63"/>
  <c r="AJ17" i="63"/>
  <c r="AJ67" i="63"/>
  <c r="AJ84" i="63"/>
  <c r="AJ45" i="63"/>
  <c r="AJ48" i="128"/>
  <c r="AJ82" i="128"/>
  <c r="AJ16" i="128"/>
  <c r="AJ36" i="128"/>
  <c r="AJ91" i="128"/>
  <c r="AJ40" i="128"/>
  <c r="AJ75" i="128"/>
  <c r="AJ100" i="128"/>
  <c r="AJ76" i="63"/>
  <c r="AJ83" i="63"/>
  <c r="AJ21" i="63"/>
  <c r="AJ49" i="63"/>
  <c r="AJ99" i="63"/>
  <c r="AJ59" i="63"/>
  <c r="AJ40" i="63"/>
  <c r="AJ90" i="63"/>
  <c r="AJ31" i="63"/>
  <c r="AJ28" i="63"/>
  <c r="AJ46" i="63"/>
  <c r="AJ53" i="63"/>
  <c r="AJ13" i="128"/>
  <c r="AJ79" i="128"/>
  <c r="AJ90" i="128"/>
  <c r="AJ25" i="128"/>
  <c r="AJ85" i="128"/>
  <c r="AJ34" i="128"/>
  <c r="AJ68" i="128"/>
  <c r="AJ80" i="128"/>
  <c r="AJ54" i="63"/>
  <c r="AJ22" i="63"/>
  <c r="AJ80" i="63"/>
  <c r="AJ68" i="63"/>
  <c r="AJ6" i="63"/>
  <c r="AJ10" i="63"/>
  <c r="AJ8" i="63"/>
  <c r="AJ32" i="63"/>
  <c r="AJ79" i="63"/>
  <c r="AJ29" i="63"/>
  <c r="AJ102" i="63"/>
  <c r="AJ81" i="63"/>
  <c r="A20" i="126"/>
  <c r="AF20" i="126"/>
  <c r="A30" i="125"/>
  <c r="AV57" i="128"/>
  <c r="BA57" i="128"/>
  <c r="BF57" i="128"/>
  <c r="O27" i="125"/>
  <c r="CQ15" i="128"/>
  <c r="AV15" i="63"/>
  <c r="H27" i="125"/>
  <c r="AB27" i="125"/>
  <c r="R106" i="125"/>
  <c r="X97" i="126"/>
  <c r="H35" i="69"/>
  <c r="G35" i="69"/>
  <c r="AV51" i="128"/>
  <c r="BA51" i="128"/>
  <c r="BF51" i="128"/>
  <c r="AV98" i="128"/>
  <c r="BA98" i="128"/>
  <c r="BF98" i="128"/>
  <c r="AV94" i="63"/>
  <c r="H106" i="125"/>
  <c r="AB106" i="125"/>
  <c r="AV43" i="63"/>
  <c r="H55" i="125"/>
  <c r="AB55" i="125"/>
  <c r="AV70" i="128"/>
  <c r="BA70" i="128"/>
  <c r="BF70" i="128"/>
  <c r="AV14" i="63"/>
  <c r="H26" i="125"/>
  <c r="AB26" i="125"/>
  <c r="AV11" i="128"/>
  <c r="BA11" i="128"/>
  <c r="BF11" i="128"/>
  <c r="AV100" i="63"/>
  <c r="BA100" i="63"/>
  <c r="BF100" i="63"/>
  <c r="AV55" i="63"/>
  <c r="BA55" i="63"/>
  <c r="BF55" i="63"/>
  <c r="AV55" i="128"/>
  <c r="BA55" i="128"/>
  <c r="BF55" i="128"/>
  <c r="AV62" i="63"/>
  <c r="H74" i="125"/>
  <c r="AB74" i="125"/>
  <c r="AV19" i="63"/>
  <c r="BA19" i="63"/>
  <c r="BF19" i="63"/>
  <c r="F61" i="60"/>
  <c r="F74" i="60"/>
  <c r="AV8" i="128"/>
  <c r="BA8" i="128"/>
  <c r="BF8" i="128"/>
  <c r="AV89" i="63"/>
  <c r="H101" i="125"/>
  <c r="AB101" i="125"/>
  <c r="AV63" i="63"/>
  <c r="H75" i="125"/>
  <c r="AB75" i="125"/>
  <c r="AV96" i="128"/>
  <c r="BA96" i="128"/>
  <c r="BF96" i="128"/>
  <c r="AV69" i="63"/>
  <c r="H81" i="125"/>
  <c r="AB81" i="125"/>
  <c r="AV102" i="63"/>
  <c r="H114" i="125"/>
  <c r="AB114" i="125"/>
  <c r="AV33" i="128"/>
  <c r="BA33" i="128"/>
  <c r="BF33" i="128"/>
  <c r="AV65" i="63"/>
  <c r="BA65" i="63"/>
  <c r="BF65" i="63"/>
  <c r="AV24" i="128"/>
  <c r="BA24" i="128"/>
  <c r="BF24" i="128"/>
  <c r="AV13" i="63"/>
  <c r="BA13" i="63"/>
  <c r="BF13" i="63"/>
  <c r="AV38" i="128"/>
  <c r="BA38" i="128"/>
  <c r="BF38" i="128"/>
  <c r="AV80" i="63"/>
  <c r="H92" i="125"/>
  <c r="AB92" i="125"/>
  <c r="AV63" i="128"/>
  <c r="BA63" i="128"/>
  <c r="BF63" i="128"/>
  <c r="AV65" i="128"/>
  <c r="BA65" i="128"/>
  <c r="BF65" i="128"/>
  <c r="CQ55" i="128"/>
  <c r="R67" i="125"/>
  <c r="X58" i="126"/>
  <c r="AV26" i="128"/>
  <c r="BA26" i="128"/>
  <c r="BF26" i="128"/>
  <c r="O26" i="125"/>
  <c r="AV74" i="63"/>
  <c r="H86" i="125"/>
  <c r="AB86" i="125"/>
  <c r="AV92" i="63"/>
  <c r="BA92" i="63"/>
  <c r="BF92" i="63"/>
  <c r="AV66" i="63"/>
  <c r="H78" i="125"/>
  <c r="AB78" i="125"/>
  <c r="AS55" i="63"/>
  <c r="AS94" i="63"/>
  <c r="AV7" i="128"/>
  <c r="BA7" i="128"/>
  <c r="BF7" i="128"/>
  <c r="AV97" i="128"/>
  <c r="BA97" i="128"/>
  <c r="BF97" i="128"/>
  <c r="AV98" i="63"/>
  <c r="BA98" i="63"/>
  <c r="BF98" i="63"/>
  <c r="AV41" i="63"/>
  <c r="BA41" i="63"/>
  <c r="BF41" i="63"/>
  <c r="AV47" i="63"/>
  <c r="BA47" i="63"/>
  <c r="BF47" i="63"/>
  <c r="AV66" i="128"/>
  <c r="BA66" i="128"/>
  <c r="BF66" i="128"/>
  <c r="AV89" i="128"/>
  <c r="BA89" i="128"/>
  <c r="BF89" i="128"/>
  <c r="AV32" i="63"/>
  <c r="H44" i="125"/>
  <c r="AB44" i="125"/>
  <c r="AV61" i="63"/>
  <c r="H73" i="125"/>
  <c r="AB73" i="125"/>
  <c r="AV99" i="128"/>
  <c r="BA99" i="128"/>
  <c r="BF99" i="128"/>
  <c r="AV87" i="63"/>
  <c r="H99" i="125"/>
  <c r="AB99" i="125"/>
  <c r="AV102" i="128"/>
  <c r="BA102" i="128"/>
  <c r="BF102" i="128"/>
  <c r="AV62" i="128"/>
  <c r="BA62" i="128"/>
  <c r="BF62" i="128"/>
  <c r="AV38" i="63"/>
  <c r="H50" i="125"/>
  <c r="AB50" i="125"/>
  <c r="AV39" i="128"/>
  <c r="BA39" i="128"/>
  <c r="BF39" i="128"/>
  <c r="AV50" i="63"/>
  <c r="BA50" i="63"/>
  <c r="BF50" i="63"/>
  <c r="AV81" i="128"/>
  <c r="BA81" i="128"/>
  <c r="BF81" i="128"/>
  <c r="AV37" i="63"/>
  <c r="BA37" i="63"/>
  <c r="BF37" i="63"/>
  <c r="AV75" i="128"/>
  <c r="BA75" i="128"/>
  <c r="BF75" i="128"/>
  <c r="AV29" i="63"/>
  <c r="H41" i="125"/>
  <c r="AB41" i="125"/>
  <c r="AV101" i="63"/>
  <c r="BA101" i="63"/>
  <c r="BF101" i="63"/>
  <c r="AV25" i="128"/>
  <c r="BA25" i="128"/>
  <c r="BF25" i="128"/>
  <c r="AV10" i="128"/>
  <c r="BA10" i="128"/>
  <c r="BF10" i="128"/>
  <c r="G54" i="125"/>
  <c r="AA54" i="125"/>
  <c r="G21" i="125"/>
  <c r="AA21" i="125"/>
  <c r="G82" i="125"/>
  <c r="AA82" i="125"/>
  <c r="G87" i="125"/>
  <c r="AA87" i="125"/>
  <c r="G34" i="125"/>
  <c r="AA34" i="125"/>
  <c r="G109" i="125"/>
  <c r="AA109" i="125"/>
  <c r="G60" i="125"/>
  <c r="AA60" i="125"/>
  <c r="G64" i="125"/>
  <c r="AA64" i="125"/>
  <c r="G108" i="125"/>
  <c r="AA108" i="125"/>
  <c r="G72" i="125"/>
  <c r="AA72" i="125"/>
  <c r="G35" i="125"/>
  <c r="AA35" i="125"/>
  <c r="G44" i="125"/>
  <c r="AA44" i="125"/>
  <c r="G116" i="125"/>
  <c r="AA116" i="125"/>
  <c r="G110" i="125"/>
  <c r="AA110" i="125"/>
  <c r="G57" i="125"/>
  <c r="AA57" i="125"/>
  <c r="G106" i="125"/>
  <c r="AA106" i="125"/>
  <c r="G117" i="125"/>
  <c r="AA117" i="125"/>
  <c r="G20" i="125"/>
  <c r="AA20" i="125"/>
  <c r="G101" i="125"/>
  <c r="AA101" i="125"/>
  <c r="G52" i="125"/>
  <c r="AA52" i="125"/>
  <c r="G100" i="125"/>
  <c r="AA100" i="125"/>
  <c r="G55" i="125"/>
  <c r="AA55" i="125"/>
  <c r="G48" i="125"/>
  <c r="AA48" i="125"/>
  <c r="G43" i="125"/>
  <c r="AA43" i="125"/>
  <c r="G24" i="125"/>
  <c r="AA24" i="125"/>
  <c r="G107" i="125"/>
  <c r="AA107" i="125"/>
  <c r="G91" i="125"/>
  <c r="AA91" i="125"/>
  <c r="G102" i="125"/>
  <c r="AA102" i="125"/>
  <c r="G45" i="125"/>
  <c r="AA45" i="125"/>
  <c r="G47" i="125"/>
  <c r="AA47" i="125"/>
  <c r="G28" i="125"/>
  <c r="AA28" i="125"/>
  <c r="G78" i="125"/>
  <c r="AA78" i="125"/>
  <c r="G85" i="125"/>
  <c r="AA85" i="125"/>
  <c r="G50" i="125"/>
  <c r="AA50" i="125"/>
  <c r="G111" i="125"/>
  <c r="AA111" i="125"/>
  <c r="G66" i="125"/>
  <c r="AA66" i="125"/>
  <c r="G80" i="125"/>
  <c r="AA80" i="125"/>
  <c r="G58" i="125"/>
  <c r="AA58" i="125"/>
  <c r="G46" i="125"/>
  <c r="AA46" i="125"/>
  <c r="G41" i="125"/>
  <c r="AA41" i="125"/>
  <c r="G30" i="125"/>
  <c r="AA30" i="125"/>
  <c r="G114" i="125"/>
  <c r="AA114" i="125"/>
  <c r="G25" i="125"/>
  <c r="AA25" i="125"/>
  <c r="G59" i="125"/>
  <c r="AA59" i="125"/>
  <c r="G70" i="125"/>
  <c r="AA70" i="125"/>
  <c r="G99" i="125"/>
  <c r="AA99" i="125"/>
  <c r="G84" i="125"/>
  <c r="AA84" i="125"/>
  <c r="G83" i="125"/>
  <c r="AA83" i="125"/>
  <c r="G26" i="125"/>
  <c r="AA26" i="125"/>
  <c r="G97" i="125"/>
  <c r="AA97" i="125"/>
  <c r="G88" i="125"/>
  <c r="AA88" i="125"/>
  <c r="G19" i="125"/>
  <c r="AA19" i="125"/>
  <c r="G40" i="125"/>
  <c r="AA40" i="125"/>
  <c r="G94" i="125"/>
  <c r="AA94" i="125"/>
  <c r="G38" i="125"/>
  <c r="AA38" i="125"/>
  <c r="G49" i="125"/>
  <c r="AA49" i="125"/>
  <c r="G68" i="125"/>
  <c r="AA68" i="125"/>
  <c r="G51" i="125"/>
  <c r="AA51" i="125"/>
  <c r="G76" i="125"/>
  <c r="AA76" i="125"/>
  <c r="G77" i="125"/>
  <c r="AA77" i="125"/>
  <c r="G73" i="125"/>
  <c r="AA73" i="125"/>
  <c r="G53" i="125"/>
  <c r="AA53" i="125"/>
  <c r="G104" i="125"/>
  <c r="AA104" i="125"/>
  <c r="G112" i="125"/>
  <c r="AA112" i="125"/>
  <c r="G92" i="125"/>
  <c r="AA92" i="125"/>
  <c r="G115" i="125"/>
  <c r="AA115" i="125"/>
  <c r="G18" i="125"/>
  <c r="AA18" i="125"/>
  <c r="G79" i="125"/>
  <c r="AA79" i="125"/>
  <c r="G67" i="125"/>
  <c r="AA67" i="125"/>
  <c r="G113" i="125"/>
  <c r="AA113" i="125"/>
  <c r="G69" i="125"/>
  <c r="AA69" i="125"/>
  <c r="G22" i="125"/>
  <c r="AA22" i="125"/>
  <c r="G32" i="125"/>
  <c r="AA32" i="125"/>
  <c r="G103" i="125"/>
  <c r="AA103" i="125"/>
  <c r="G65" i="125"/>
  <c r="AA65" i="125"/>
  <c r="G39" i="125"/>
  <c r="AA39" i="125"/>
  <c r="G90" i="125"/>
  <c r="AA90" i="125"/>
  <c r="G89" i="125"/>
  <c r="AA89" i="125"/>
  <c r="G61" i="125"/>
  <c r="AA61" i="125"/>
  <c r="G33" i="125"/>
  <c r="AA33" i="125"/>
  <c r="G31" i="125"/>
  <c r="AA31" i="125"/>
  <c r="G42" i="125"/>
  <c r="AA42" i="125"/>
  <c r="G96" i="125"/>
  <c r="AA96" i="125"/>
  <c r="G74" i="125"/>
  <c r="AA74" i="125"/>
  <c r="G63" i="125"/>
  <c r="AA63" i="125"/>
  <c r="G36" i="125"/>
  <c r="AA36" i="125"/>
  <c r="G23" i="125"/>
  <c r="AA23" i="125"/>
  <c r="G95" i="125"/>
  <c r="AA95" i="125"/>
  <c r="G27" i="125"/>
  <c r="AA27" i="125"/>
  <c r="G62" i="125"/>
  <c r="AA62" i="125"/>
  <c r="G93" i="125"/>
  <c r="AA93" i="125"/>
  <c r="G86" i="125"/>
  <c r="AA86" i="125"/>
  <c r="G81" i="125"/>
  <c r="AA81" i="125"/>
  <c r="G56" i="125"/>
  <c r="AA56" i="125"/>
  <c r="G37" i="125"/>
  <c r="AA37" i="125"/>
  <c r="G29" i="125"/>
  <c r="AA29" i="125"/>
  <c r="G71" i="125"/>
  <c r="AA71" i="125"/>
  <c r="G75" i="125"/>
  <c r="AA75" i="125"/>
  <c r="G105" i="125"/>
  <c r="AA105" i="125"/>
  <c r="G98" i="125"/>
  <c r="AA98" i="125"/>
  <c r="C2" i="127"/>
  <c r="O116" i="125"/>
  <c r="AS104" i="63"/>
  <c r="O46" i="125"/>
  <c r="AS34" i="63"/>
  <c r="O87" i="125"/>
  <c r="AS75" i="63"/>
  <c r="O28" i="125"/>
  <c r="AS16" i="63"/>
  <c r="O65" i="125"/>
  <c r="AS53" i="63"/>
  <c r="O61" i="125"/>
  <c r="AS49" i="63"/>
  <c r="O91" i="125"/>
  <c r="AS79" i="63"/>
  <c r="O20" i="125"/>
  <c r="AS8" i="63"/>
  <c r="O19" i="125"/>
  <c r="AS7" i="63"/>
  <c r="O37" i="125"/>
  <c r="AS25" i="63"/>
  <c r="O97" i="125"/>
  <c r="AS85" i="63"/>
  <c r="O90" i="125"/>
  <c r="AS78" i="63"/>
  <c r="AV104" i="63"/>
  <c r="AV77" i="63"/>
  <c r="AV16" i="63"/>
  <c r="AV93" i="128"/>
  <c r="BA93" i="128"/>
  <c r="BF93" i="128"/>
  <c r="AV86" i="128"/>
  <c r="BA86" i="128"/>
  <c r="BF86" i="128"/>
  <c r="O96" i="125"/>
  <c r="AS84" i="63"/>
  <c r="O68" i="125"/>
  <c r="AS56" i="63"/>
  <c r="O57" i="125"/>
  <c r="AS45" i="63"/>
  <c r="O35" i="125"/>
  <c r="AS23" i="63"/>
  <c r="O72" i="125"/>
  <c r="AS60" i="63"/>
  <c r="O48" i="125"/>
  <c r="AS36" i="63"/>
  <c r="O89" i="125"/>
  <c r="AS77" i="63"/>
  <c r="O70" i="125"/>
  <c r="AS58" i="63"/>
  <c r="O42" i="125"/>
  <c r="AS30" i="63"/>
  <c r="O117" i="125"/>
  <c r="AS105" i="63"/>
  <c r="O66" i="125"/>
  <c r="AS54" i="63"/>
  <c r="O64" i="125"/>
  <c r="AS52" i="63"/>
  <c r="AV100" i="128"/>
  <c r="BA100" i="128"/>
  <c r="BF100" i="128"/>
  <c r="AV83" i="128"/>
  <c r="BA83" i="128"/>
  <c r="BF83" i="128"/>
  <c r="AV79" i="63"/>
  <c r="AQ107" i="128"/>
  <c r="AS107" i="128"/>
  <c r="AS6" i="128"/>
  <c r="I59" i="61"/>
  <c r="K69" i="61"/>
  <c r="G59" i="61"/>
  <c r="O18" i="125"/>
  <c r="R18" i="125"/>
  <c r="AQ107" i="63"/>
  <c r="AS107" i="63"/>
  <c r="CQ48" i="128"/>
  <c r="R60" i="125"/>
  <c r="X51" i="126"/>
  <c r="O36" i="125"/>
  <c r="AS24" i="63"/>
  <c r="O75" i="125"/>
  <c r="AS63" i="63"/>
  <c r="O41" i="125"/>
  <c r="AS29" i="63"/>
  <c r="O102" i="125"/>
  <c r="AS90" i="63"/>
  <c r="O33" i="125"/>
  <c r="AS21" i="63"/>
  <c r="O47" i="125"/>
  <c r="AS35" i="63"/>
  <c r="O31" i="125"/>
  <c r="AS19" i="63"/>
  <c r="O52" i="125"/>
  <c r="AS40" i="63"/>
  <c r="O100" i="125"/>
  <c r="AS88" i="63"/>
  <c r="O69" i="125"/>
  <c r="AS57" i="63"/>
  <c r="O59" i="125"/>
  <c r="AS47" i="63"/>
  <c r="AV52" i="63"/>
  <c r="AV64" i="128"/>
  <c r="BA64" i="128"/>
  <c r="BF64" i="128"/>
  <c r="AV21" i="128"/>
  <c r="BA21" i="128"/>
  <c r="BF21" i="128"/>
  <c r="AV54" i="63"/>
  <c r="AV60" i="63"/>
  <c r="AV37" i="128"/>
  <c r="BA37" i="128"/>
  <c r="BF37" i="128"/>
  <c r="AV75" i="63"/>
  <c r="AV17" i="63"/>
  <c r="AV84" i="63"/>
  <c r="AV14" i="128"/>
  <c r="BA14" i="128"/>
  <c r="BF14" i="128"/>
  <c r="AV42" i="128"/>
  <c r="BA42" i="128"/>
  <c r="BF42" i="128"/>
  <c r="AV49" i="63"/>
  <c r="AV82" i="63"/>
  <c r="AV59" i="63"/>
  <c r="AV61" i="128"/>
  <c r="BA61" i="128"/>
  <c r="BF61" i="128"/>
  <c r="AV68" i="63"/>
  <c r="AV53" i="63"/>
  <c r="BA48" i="63"/>
  <c r="BF48" i="63"/>
  <c r="H60" i="125"/>
  <c r="AB60" i="125"/>
  <c r="AV11" i="63"/>
  <c r="AV56" i="63"/>
  <c r="AV35" i="63"/>
  <c r="AV18" i="63"/>
  <c r="O104" i="125"/>
  <c r="AS92" i="63"/>
  <c r="O95" i="125"/>
  <c r="AS83" i="63"/>
  <c r="O84" i="125"/>
  <c r="AS72" i="63"/>
  <c r="O39" i="125"/>
  <c r="AS27" i="63"/>
  <c r="E71" i="60"/>
  <c r="O88" i="125"/>
  <c r="AS76" i="63"/>
  <c r="O34" i="125"/>
  <c r="AS22" i="63"/>
  <c r="O51" i="125"/>
  <c r="AS39" i="63"/>
  <c r="O29" i="125"/>
  <c r="AS17" i="63"/>
  <c r="O24" i="125"/>
  <c r="AS12" i="63"/>
  <c r="O103" i="125"/>
  <c r="AS91" i="63"/>
  <c r="O108" i="125"/>
  <c r="AS96" i="63"/>
  <c r="AV79" i="128"/>
  <c r="BA79" i="128"/>
  <c r="BF79" i="128"/>
  <c r="AV12" i="63"/>
  <c r="AV76" i="63"/>
  <c r="AV105" i="128"/>
  <c r="BA105" i="128"/>
  <c r="BF105" i="128"/>
  <c r="AV60" i="128"/>
  <c r="BA60" i="128"/>
  <c r="BF60" i="128"/>
  <c r="AV78" i="128"/>
  <c r="BA78" i="128"/>
  <c r="BF78" i="128"/>
  <c r="AV58" i="63"/>
  <c r="AV13" i="128"/>
  <c r="BA13" i="128"/>
  <c r="BF13" i="128"/>
  <c r="AV18" i="128"/>
  <c r="BA18" i="128"/>
  <c r="BF18" i="128"/>
  <c r="AV95" i="63"/>
  <c r="AV64" i="63"/>
  <c r="AV34" i="128"/>
  <c r="BA34" i="128"/>
  <c r="BF34" i="128"/>
  <c r="AV30" i="63"/>
  <c r="AV41" i="128"/>
  <c r="BA41" i="128"/>
  <c r="BF41" i="128"/>
  <c r="AV12" i="128"/>
  <c r="BA12" i="128"/>
  <c r="BF12" i="128"/>
  <c r="AV54" i="128"/>
  <c r="BA54" i="128"/>
  <c r="BF54" i="128"/>
  <c r="AV31" i="63"/>
  <c r="AV26" i="63"/>
  <c r="AV83" i="63"/>
  <c r="AV59" i="128"/>
  <c r="BA59" i="128"/>
  <c r="BF59" i="128"/>
  <c r="O23" i="125"/>
  <c r="AS11" i="63"/>
  <c r="AZ98" i="63"/>
  <c r="BE98" i="63"/>
  <c r="AZ72" i="63"/>
  <c r="BE72" i="63"/>
  <c r="AZ7" i="63"/>
  <c r="BE7" i="63"/>
  <c r="AZ58" i="63"/>
  <c r="BE58" i="63"/>
  <c r="AZ38" i="63"/>
  <c r="BE38" i="63"/>
  <c r="AZ68" i="63"/>
  <c r="BE68" i="63"/>
  <c r="AZ25" i="63"/>
  <c r="BE25" i="63"/>
  <c r="AZ47" i="63"/>
  <c r="BE47" i="63"/>
  <c r="AZ31" i="63"/>
  <c r="BE31" i="63"/>
  <c r="AZ83" i="63"/>
  <c r="BE83" i="63"/>
  <c r="AZ13" i="63"/>
  <c r="BE13" i="63"/>
  <c r="AZ62" i="63"/>
  <c r="BE62" i="63"/>
  <c r="AZ97" i="63"/>
  <c r="BE97" i="63"/>
  <c r="AZ30" i="63"/>
  <c r="BE30" i="63"/>
  <c r="AZ34" i="63"/>
  <c r="BE34" i="63"/>
  <c r="AZ86" i="63"/>
  <c r="BE86" i="63"/>
  <c r="AZ77" i="63"/>
  <c r="BE77" i="63"/>
  <c r="AZ80" i="63"/>
  <c r="BE80" i="63"/>
  <c r="AZ10" i="63"/>
  <c r="BE10" i="63"/>
  <c r="AZ42" i="63"/>
  <c r="BE42" i="63"/>
  <c r="AZ63" i="63"/>
  <c r="BE63" i="63"/>
  <c r="AZ102" i="63"/>
  <c r="BE102" i="63"/>
  <c r="AZ88" i="63"/>
  <c r="BE88" i="63"/>
  <c r="AZ96" i="63"/>
  <c r="BE96" i="63"/>
  <c r="AZ46" i="63"/>
  <c r="BE46" i="63"/>
  <c r="AZ41" i="63"/>
  <c r="BE41" i="63"/>
  <c r="AZ87" i="63"/>
  <c r="BE87" i="63"/>
  <c r="AZ73" i="63"/>
  <c r="BE73" i="63"/>
  <c r="AZ101" i="63"/>
  <c r="BE101" i="63"/>
  <c r="AZ27" i="63"/>
  <c r="BE27" i="63"/>
  <c r="AZ79" i="63"/>
  <c r="BE79" i="63"/>
  <c r="AZ52" i="63"/>
  <c r="BE52" i="63"/>
  <c r="AZ15" i="63"/>
  <c r="BE15" i="63"/>
  <c r="AZ50" i="63"/>
  <c r="BE50" i="63"/>
  <c r="AZ8" i="63"/>
  <c r="BE8" i="63"/>
  <c r="AZ54" i="63"/>
  <c r="BE54" i="63"/>
  <c r="AZ69" i="63"/>
  <c r="BE69" i="63"/>
  <c r="AZ33" i="63"/>
  <c r="BE33" i="63"/>
  <c r="AZ18" i="63"/>
  <c r="BE18" i="63"/>
  <c r="AZ22" i="63"/>
  <c r="BE22" i="63"/>
  <c r="AZ75" i="63"/>
  <c r="BE75" i="63"/>
  <c r="AZ57" i="63"/>
  <c r="BE57" i="63"/>
  <c r="AZ32" i="63"/>
  <c r="BE32" i="63"/>
  <c r="AZ14" i="63"/>
  <c r="BE14" i="63"/>
  <c r="AZ29" i="63"/>
  <c r="BE29" i="63"/>
  <c r="AZ56" i="63"/>
  <c r="BE56" i="63"/>
  <c r="AZ76" i="63"/>
  <c r="BE76" i="63"/>
  <c r="AZ95" i="63"/>
  <c r="BE95" i="63"/>
  <c r="AZ65" i="63"/>
  <c r="BE65" i="63"/>
  <c r="AZ84" i="63"/>
  <c r="BE84" i="63"/>
  <c r="AZ51" i="63"/>
  <c r="BE51" i="63"/>
  <c r="AZ16" i="63"/>
  <c r="BE16" i="63"/>
  <c r="AZ103" i="63"/>
  <c r="BE103" i="63"/>
  <c r="AZ48" i="63"/>
  <c r="BE48" i="63"/>
  <c r="AZ43" i="63"/>
  <c r="BE43" i="63"/>
  <c r="AZ70" i="63"/>
  <c r="BE70" i="63"/>
  <c r="AZ66" i="63"/>
  <c r="BE66" i="63"/>
  <c r="AZ11" i="63"/>
  <c r="BE11" i="63"/>
  <c r="AZ24" i="63"/>
  <c r="BE24" i="63"/>
  <c r="AZ104" i="63"/>
  <c r="BE104" i="63"/>
  <c r="AZ61" i="63"/>
  <c r="BE61" i="63"/>
  <c r="AZ60" i="63"/>
  <c r="BE60" i="63"/>
  <c r="AZ36" i="63"/>
  <c r="BE36" i="63"/>
  <c r="AZ6" i="63"/>
  <c r="AZ23" i="63"/>
  <c r="BE23" i="63"/>
  <c r="AZ64" i="63"/>
  <c r="BE64" i="63"/>
  <c r="AZ67" i="63"/>
  <c r="BE67" i="63"/>
  <c r="AZ90" i="63"/>
  <c r="BE90" i="63"/>
  <c r="AZ40" i="63"/>
  <c r="BE40" i="63"/>
  <c r="AZ39" i="63"/>
  <c r="BE39" i="63"/>
  <c r="AZ35" i="63"/>
  <c r="BE35" i="63"/>
  <c r="AZ92" i="63"/>
  <c r="BE92" i="63"/>
  <c r="AZ45" i="63"/>
  <c r="BE45" i="63"/>
  <c r="AZ59" i="63"/>
  <c r="BE59" i="63"/>
  <c r="AZ99" i="63"/>
  <c r="BE99" i="63"/>
  <c r="AZ53" i="63"/>
  <c r="BE53" i="63"/>
  <c r="AZ105" i="63"/>
  <c r="BE105" i="63"/>
  <c r="AZ37" i="63"/>
  <c r="BE37" i="63"/>
  <c r="AZ89" i="63"/>
  <c r="BE89" i="63"/>
  <c r="AZ26" i="63"/>
  <c r="BE26" i="63"/>
  <c r="AZ93" i="63"/>
  <c r="BE93" i="63"/>
  <c r="AZ17" i="63"/>
  <c r="BE17" i="63"/>
  <c r="AZ12" i="63"/>
  <c r="BE12" i="63"/>
  <c r="AZ20" i="63"/>
  <c r="BE20" i="63"/>
  <c r="AZ55" i="63"/>
  <c r="BE55" i="63"/>
  <c r="AZ28" i="63"/>
  <c r="BE28" i="63"/>
  <c r="AZ78" i="63"/>
  <c r="BE78" i="63"/>
  <c r="AZ74" i="63"/>
  <c r="BE74" i="63"/>
  <c r="AZ19" i="63"/>
  <c r="BE19" i="63"/>
  <c r="AZ82" i="63"/>
  <c r="BE82" i="63"/>
  <c r="AZ9" i="63"/>
  <c r="BE9" i="63"/>
  <c r="AZ85" i="63"/>
  <c r="BE85" i="63"/>
  <c r="AZ94" i="63"/>
  <c r="BE94" i="63"/>
  <c r="AZ71" i="63"/>
  <c r="BE71" i="63"/>
  <c r="AZ81" i="63"/>
  <c r="BE81" i="63"/>
  <c r="AZ100" i="63"/>
  <c r="BE100" i="63"/>
  <c r="AZ49" i="63"/>
  <c r="BE49" i="63"/>
  <c r="AZ44" i="63"/>
  <c r="BE44" i="63"/>
  <c r="AZ91" i="63"/>
  <c r="BE91" i="63"/>
  <c r="AZ21" i="63"/>
  <c r="BE21" i="63"/>
  <c r="O105" i="125"/>
  <c r="AS93" i="63"/>
  <c r="O25" i="125"/>
  <c r="AS13" i="63"/>
  <c r="O38" i="125"/>
  <c r="AS26" i="63"/>
  <c r="O43" i="125"/>
  <c r="AS31" i="63"/>
  <c r="O114" i="125"/>
  <c r="AS102" i="63"/>
  <c r="O21" i="125"/>
  <c r="AS9" i="63"/>
  <c r="O83" i="125"/>
  <c r="AS71" i="63"/>
  <c r="O82" i="125"/>
  <c r="AS70" i="63"/>
  <c r="O22" i="125"/>
  <c r="AS10" i="63"/>
  <c r="O110" i="125"/>
  <c r="AS98" i="63"/>
  <c r="AV34" i="63"/>
  <c r="AV48" i="128"/>
  <c r="BA48" i="128"/>
  <c r="BF48" i="128"/>
  <c r="AL107" i="128"/>
  <c r="AV6" i="128"/>
  <c r="AV81" i="63"/>
  <c r="AV80" i="128"/>
  <c r="BA80" i="128"/>
  <c r="BF80" i="128"/>
  <c r="AV96" i="63"/>
  <c r="AV67" i="128"/>
  <c r="BA67" i="128"/>
  <c r="BF67" i="128"/>
  <c r="AV45" i="128"/>
  <c r="BA45" i="128"/>
  <c r="BF45" i="128"/>
  <c r="AV90" i="63"/>
  <c r="AV49" i="128"/>
  <c r="BA49" i="128"/>
  <c r="BF49" i="128"/>
  <c r="AV46" i="128"/>
  <c r="BA46" i="128"/>
  <c r="BF46" i="128"/>
  <c r="AV70" i="63"/>
  <c r="AV99" i="63"/>
  <c r="AV84" i="128"/>
  <c r="BA84" i="128"/>
  <c r="BF84" i="128"/>
  <c r="AV86" i="63"/>
  <c r="AV35" i="128"/>
  <c r="BA35" i="128"/>
  <c r="BF35" i="128"/>
  <c r="AV85" i="128"/>
  <c r="BA85" i="128"/>
  <c r="BF85" i="128"/>
  <c r="AV22" i="128"/>
  <c r="BA22" i="128"/>
  <c r="BF22" i="128"/>
  <c r="AV88" i="63"/>
  <c r="AV32" i="128"/>
  <c r="BA32" i="128"/>
  <c r="BF32" i="128"/>
  <c r="AV20" i="128"/>
  <c r="BA20" i="128"/>
  <c r="BF20" i="128"/>
  <c r="AV91" i="128"/>
  <c r="BA91" i="128"/>
  <c r="BF91" i="128"/>
  <c r="AV23" i="128"/>
  <c r="BA23" i="128"/>
  <c r="BF23" i="128"/>
  <c r="O55" i="125"/>
  <c r="AS43" i="63"/>
  <c r="O86" i="125"/>
  <c r="AS74" i="63"/>
  <c r="AZ103" i="128"/>
  <c r="BE103" i="128"/>
  <c r="AZ32" i="128"/>
  <c r="BE32" i="128"/>
  <c r="AZ7" i="128"/>
  <c r="BE7" i="128"/>
  <c r="AZ55" i="128"/>
  <c r="BE55" i="128"/>
  <c r="AZ86" i="128"/>
  <c r="BE86" i="128"/>
  <c r="AZ41" i="128"/>
  <c r="BE41" i="128"/>
  <c r="AZ10" i="128"/>
  <c r="BE10" i="128"/>
  <c r="AZ92" i="128"/>
  <c r="BE92" i="128"/>
  <c r="AZ46" i="128"/>
  <c r="BE46" i="128"/>
  <c r="AZ15" i="128"/>
  <c r="BE15" i="128"/>
  <c r="AZ25" i="128"/>
  <c r="BE25" i="128"/>
  <c r="AZ54" i="128"/>
  <c r="BE54" i="128"/>
  <c r="AZ21" i="128"/>
  <c r="BE21" i="128"/>
  <c r="AZ60" i="128"/>
  <c r="BE60" i="128"/>
  <c r="AZ90" i="128"/>
  <c r="BE90" i="128"/>
  <c r="AZ96" i="128"/>
  <c r="BE96" i="128"/>
  <c r="AZ50" i="128"/>
  <c r="BE50" i="128"/>
  <c r="AZ75" i="128"/>
  <c r="BE75" i="128"/>
  <c r="AZ63" i="128"/>
  <c r="BE63" i="128"/>
  <c r="AZ23" i="128"/>
  <c r="BE23" i="128"/>
  <c r="AZ104" i="128"/>
  <c r="BE104" i="128"/>
  <c r="AZ87" i="128"/>
  <c r="BE87" i="128"/>
  <c r="AZ70" i="128"/>
  <c r="BE70" i="128"/>
  <c r="AZ95" i="128"/>
  <c r="BE95" i="128"/>
  <c r="AZ85" i="128"/>
  <c r="BE85" i="128"/>
  <c r="AZ16" i="128"/>
  <c r="BE16" i="128"/>
  <c r="AZ62" i="128"/>
  <c r="BE62" i="128"/>
  <c r="AZ82" i="128"/>
  <c r="BE82" i="128"/>
  <c r="AZ58" i="128"/>
  <c r="BE58" i="128"/>
  <c r="AZ99" i="128"/>
  <c r="BE99" i="128"/>
  <c r="AZ49" i="128"/>
  <c r="BE49" i="128"/>
  <c r="AZ31" i="128"/>
  <c r="BE31" i="128"/>
  <c r="AZ100" i="128"/>
  <c r="BE100" i="128"/>
  <c r="AZ97" i="128"/>
  <c r="BE97" i="128"/>
  <c r="AZ89" i="128"/>
  <c r="BE89" i="128"/>
  <c r="AZ42" i="128"/>
  <c r="BE42" i="128"/>
  <c r="AZ88" i="128"/>
  <c r="BE88" i="128"/>
  <c r="AZ44" i="128"/>
  <c r="BE44" i="128"/>
  <c r="AZ35" i="128"/>
  <c r="BE35" i="128"/>
  <c r="AZ66" i="128"/>
  <c r="BE66" i="128"/>
  <c r="AZ28" i="128"/>
  <c r="BE28" i="128"/>
  <c r="AZ43" i="128"/>
  <c r="BE43" i="128"/>
  <c r="AZ71" i="128"/>
  <c r="BE71" i="128"/>
  <c r="AZ53" i="128"/>
  <c r="BE53" i="128"/>
  <c r="AZ20" i="128"/>
  <c r="BE20" i="128"/>
  <c r="AZ30" i="128"/>
  <c r="BE30" i="128"/>
  <c r="AZ26" i="128"/>
  <c r="BE26" i="128"/>
  <c r="AZ78" i="128"/>
  <c r="BE78" i="128"/>
  <c r="AZ61" i="128"/>
  <c r="BE61" i="128"/>
  <c r="AZ72" i="128"/>
  <c r="BE72" i="128"/>
  <c r="AZ80" i="128"/>
  <c r="BE80" i="128"/>
  <c r="AZ84" i="128"/>
  <c r="BE84" i="128"/>
  <c r="AZ79" i="128"/>
  <c r="BE79" i="128"/>
  <c r="AZ73" i="128"/>
  <c r="BE73" i="128"/>
  <c r="AZ34" i="128"/>
  <c r="BE34" i="128"/>
  <c r="AZ93" i="128"/>
  <c r="BE93" i="128"/>
  <c r="AZ13" i="128"/>
  <c r="BE13" i="128"/>
  <c r="AZ9" i="128"/>
  <c r="BE9" i="128"/>
  <c r="AZ8" i="128"/>
  <c r="BE8" i="128"/>
  <c r="AZ48" i="128"/>
  <c r="BE48" i="128"/>
  <c r="AZ17" i="128"/>
  <c r="BE17" i="128"/>
  <c r="AZ24" i="128"/>
  <c r="BE24" i="128"/>
  <c r="AZ65" i="128"/>
  <c r="BE65" i="128"/>
  <c r="AZ18" i="128"/>
  <c r="BE18" i="128"/>
  <c r="AZ91" i="128"/>
  <c r="BE91" i="128"/>
  <c r="AZ45" i="128"/>
  <c r="BE45" i="128"/>
  <c r="AZ22" i="128"/>
  <c r="BE22" i="128"/>
  <c r="AZ29" i="128"/>
  <c r="BE29" i="128"/>
  <c r="AZ38" i="128"/>
  <c r="BE38" i="128"/>
  <c r="AZ77" i="128"/>
  <c r="BE77" i="128"/>
  <c r="AZ105" i="128"/>
  <c r="BE105" i="128"/>
  <c r="AZ56" i="128"/>
  <c r="BE56" i="128"/>
  <c r="AZ14" i="128"/>
  <c r="BE14" i="128"/>
  <c r="AZ33" i="128"/>
  <c r="BE33" i="128"/>
  <c r="AZ11" i="128"/>
  <c r="BE11" i="128"/>
  <c r="AZ101" i="128"/>
  <c r="BE101" i="128"/>
  <c r="AZ59" i="128"/>
  <c r="BE59" i="128"/>
  <c r="AZ51" i="128"/>
  <c r="BE51" i="128"/>
  <c r="AZ83" i="128"/>
  <c r="BE83" i="128"/>
  <c r="AZ81" i="128"/>
  <c r="BE81" i="128"/>
  <c r="AZ47" i="128"/>
  <c r="BE47" i="128"/>
  <c r="AZ52" i="128"/>
  <c r="BE52" i="128"/>
  <c r="AZ27" i="128"/>
  <c r="BE27" i="128"/>
  <c r="AZ12" i="128"/>
  <c r="BE12" i="128"/>
  <c r="AZ40" i="128"/>
  <c r="BE40" i="128"/>
  <c r="AZ39" i="128"/>
  <c r="BE39" i="128"/>
  <c r="AZ94" i="128"/>
  <c r="BE94" i="128"/>
  <c r="AZ69" i="128"/>
  <c r="BE69" i="128"/>
  <c r="AZ36" i="128"/>
  <c r="BE36" i="128"/>
  <c r="AZ57" i="128"/>
  <c r="BE57" i="128"/>
  <c r="AZ74" i="128"/>
  <c r="BE74" i="128"/>
  <c r="AZ76" i="128"/>
  <c r="BE76" i="128"/>
  <c r="AZ67" i="128"/>
  <c r="BE67" i="128"/>
  <c r="AZ98" i="128"/>
  <c r="BE98" i="128"/>
  <c r="AZ19" i="128"/>
  <c r="BE19" i="128"/>
  <c r="AZ102" i="128"/>
  <c r="BE102" i="128"/>
  <c r="AZ37" i="128"/>
  <c r="BE37" i="128"/>
  <c r="AZ64" i="128"/>
  <c r="BE64" i="128"/>
  <c r="AZ6" i="128"/>
  <c r="AZ68" i="128"/>
  <c r="BE68" i="128"/>
  <c r="O76" i="125"/>
  <c r="AS64" i="63"/>
  <c r="O93" i="125"/>
  <c r="AS81" i="63"/>
  <c r="O73" i="125"/>
  <c r="AS61" i="63"/>
  <c r="O107" i="125"/>
  <c r="AS95" i="63"/>
  <c r="O58" i="125"/>
  <c r="AS46" i="63"/>
  <c r="O56" i="125"/>
  <c r="AS44" i="63"/>
  <c r="O50" i="125"/>
  <c r="AS38" i="63"/>
  <c r="O40" i="125"/>
  <c r="AS28" i="63"/>
  <c r="O74" i="125"/>
  <c r="AS62" i="63"/>
  <c r="O115" i="125"/>
  <c r="AS103" i="63"/>
  <c r="O62" i="125"/>
  <c r="AS50" i="63"/>
  <c r="O54" i="125"/>
  <c r="AS42" i="63"/>
  <c r="AV73" i="128"/>
  <c r="BA73" i="128"/>
  <c r="BF73" i="128"/>
  <c r="AV68" i="128"/>
  <c r="BA68" i="128"/>
  <c r="BF68" i="128"/>
  <c r="AV27" i="128"/>
  <c r="BA27" i="128"/>
  <c r="BF27" i="128"/>
  <c r="AV7" i="63"/>
  <c r="AV45" i="63"/>
  <c r="AV36" i="128"/>
  <c r="BA36" i="128"/>
  <c r="BF36" i="128"/>
  <c r="AV69" i="128"/>
  <c r="BA69" i="128"/>
  <c r="BF69" i="128"/>
  <c r="AV91" i="63"/>
  <c r="AV15" i="128"/>
  <c r="BA15" i="128"/>
  <c r="BF15" i="128"/>
  <c r="AV46" i="63"/>
  <c r="AV103" i="128"/>
  <c r="BA103" i="128"/>
  <c r="BF103" i="128"/>
  <c r="AV39" i="63"/>
  <c r="AV40" i="63"/>
  <c r="AV97" i="63"/>
  <c r="AV17" i="128"/>
  <c r="BA17" i="128"/>
  <c r="BF17" i="128"/>
  <c r="AV8" i="63"/>
  <c r="AV105" i="63"/>
  <c r="AV93" i="63"/>
  <c r="AV44" i="128"/>
  <c r="BA44" i="128"/>
  <c r="BF44" i="128"/>
  <c r="AV9" i="63"/>
  <c r="AV47" i="128"/>
  <c r="BA47" i="128"/>
  <c r="BF47" i="128"/>
  <c r="AV9" i="128"/>
  <c r="BA9" i="128"/>
  <c r="BF9" i="128"/>
  <c r="AV94" i="128"/>
  <c r="BA94" i="128"/>
  <c r="BF94" i="128"/>
  <c r="AL107" i="63"/>
  <c r="AV6" i="63"/>
  <c r="AV56" i="128"/>
  <c r="BA56" i="128"/>
  <c r="BF56" i="128"/>
  <c r="AV31" i="128"/>
  <c r="BA31" i="128"/>
  <c r="BF31" i="128"/>
  <c r="I60" i="60"/>
  <c r="G60" i="60"/>
  <c r="CP6" i="128"/>
  <c r="N118" i="125"/>
  <c r="O30" i="125"/>
  <c r="AS18" i="63"/>
  <c r="O109" i="125"/>
  <c r="AS97" i="63"/>
  <c r="O44" i="125"/>
  <c r="AS32" i="63"/>
  <c r="O113" i="125"/>
  <c r="AS101" i="63"/>
  <c r="O32" i="125"/>
  <c r="AS20" i="63"/>
  <c r="O111" i="125"/>
  <c r="AS99" i="63"/>
  <c r="O49" i="125"/>
  <c r="AS37" i="63"/>
  <c r="O80" i="125"/>
  <c r="AS68" i="63"/>
  <c r="O98" i="125"/>
  <c r="AS86" i="63"/>
  <c r="O101" i="125"/>
  <c r="AS89" i="63"/>
  <c r="O79" i="125"/>
  <c r="AS67" i="63"/>
  <c r="O81" i="125"/>
  <c r="AS69" i="63"/>
  <c r="AV20" i="63"/>
  <c r="AV71" i="63"/>
  <c r="AV27" i="63"/>
  <c r="AV82" i="128"/>
  <c r="BA82" i="128"/>
  <c r="BF82" i="128"/>
  <c r="AV52" i="128"/>
  <c r="BA52" i="128"/>
  <c r="BF52" i="128"/>
  <c r="AV16" i="128"/>
  <c r="BA16" i="128"/>
  <c r="BF16" i="128"/>
  <c r="AV22" i="63"/>
  <c r="AV58" i="128"/>
  <c r="BA58" i="128"/>
  <c r="BF58" i="128"/>
  <c r="AV57" i="63"/>
  <c r="AV73" i="63"/>
  <c r="AV24" i="63"/>
  <c r="AV10" i="63"/>
  <c r="AV42" i="63"/>
  <c r="AV33" i="63"/>
  <c r="AV29" i="128"/>
  <c r="BA29" i="128"/>
  <c r="BF29" i="128"/>
  <c r="AV19" i="128"/>
  <c r="BA19" i="128"/>
  <c r="BF19" i="128"/>
  <c r="AV40" i="128"/>
  <c r="BA40" i="128"/>
  <c r="BF40" i="128"/>
  <c r="AV51" i="63"/>
  <c r="AV101" i="128"/>
  <c r="BA101" i="128"/>
  <c r="BF101" i="128"/>
  <c r="AV50" i="128"/>
  <c r="BA50" i="128"/>
  <c r="BF50" i="128"/>
  <c r="AV72" i="128"/>
  <c r="BA72" i="128"/>
  <c r="BF72" i="128"/>
  <c r="AV25" i="63"/>
  <c r="AV36" i="63"/>
  <c r="AV104" i="128"/>
  <c r="BA104" i="128"/>
  <c r="BF104" i="128"/>
  <c r="AV30" i="128"/>
  <c r="BA30" i="128"/>
  <c r="BF30" i="128"/>
  <c r="O78" i="125"/>
  <c r="AS66" i="63"/>
  <c r="O63" i="125"/>
  <c r="AS51" i="63"/>
  <c r="O53" i="125"/>
  <c r="AS41" i="63"/>
  <c r="O94" i="125"/>
  <c r="AS82" i="63"/>
  <c r="O99" i="125"/>
  <c r="AS87" i="63"/>
  <c r="O77" i="125"/>
  <c r="AS65" i="63"/>
  <c r="O45" i="125"/>
  <c r="AS33" i="63"/>
  <c r="O71" i="125"/>
  <c r="AS59" i="63"/>
  <c r="O85" i="125"/>
  <c r="AS73" i="63"/>
  <c r="O92" i="125"/>
  <c r="AS80" i="63"/>
  <c r="AV85" i="63"/>
  <c r="AV87" i="128"/>
  <c r="BA87" i="128"/>
  <c r="BF87" i="128"/>
  <c r="AV53" i="128"/>
  <c r="BA53" i="128"/>
  <c r="BF53" i="128"/>
  <c r="AV28" i="63"/>
  <c r="AV88" i="128"/>
  <c r="BA88" i="128"/>
  <c r="BF88" i="128"/>
  <c r="AV28" i="128"/>
  <c r="BA28" i="128"/>
  <c r="BF28" i="128"/>
  <c r="AV103" i="63"/>
  <c r="AV78" i="63"/>
  <c r="AV74" i="128"/>
  <c r="BA74" i="128"/>
  <c r="BF74" i="128"/>
  <c r="AV76" i="128"/>
  <c r="BA76" i="128"/>
  <c r="BF76" i="128"/>
  <c r="AV77" i="128"/>
  <c r="BA77" i="128"/>
  <c r="BF77" i="128"/>
  <c r="AV21" i="63"/>
  <c r="AV71" i="128"/>
  <c r="BA71" i="128"/>
  <c r="BF71" i="128"/>
  <c r="AV90" i="128"/>
  <c r="BA90" i="128"/>
  <c r="BF90" i="128"/>
  <c r="AV23" i="63"/>
  <c r="AV43" i="128"/>
  <c r="BA43" i="128"/>
  <c r="BF43" i="128"/>
  <c r="AV67" i="63"/>
  <c r="AV92" i="128"/>
  <c r="BA92" i="128"/>
  <c r="BF92" i="128"/>
  <c r="AV72" i="63"/>
  <c r="AV44" i="63"/>
  <c r="AV95" i="128"/>
  <c r="BA95" i="128"/>
  <c r="BF95" i="128"/>
  <c r="O112" i="125"/>
  <c r="AS100" i="63"/>
  <c r="I47" i="71"/>
  <c r="I43" i="71"/>
  <c r="I60" i="71"/>
  <c r="I51" i="71"/>
  <c r="I24" i="71"/>
  <c r="I59" i="71"/>
  <c r="I33" i="71"/>
  <c r="I5" i="71"/>
  <c r="I62" i="71"/>
  <c r="I49" i="71"/>
  <c r="I29" i="71"/>
  <c r="I42" i="71"/>
  <c r="I50" i="71"/>
  <c r="I40" i="71"/>
  <c r="I45" i="71"/>
  <c r="I53" i="71"/>
  <c r="I8" i="71"/>
  <c r="I61" i="71"/>
  <c r="I36" i="71"/>
  <c r="I6" i="71"/>
  <c r="I55" i="71"/>
  <c r="I64" i="71"/>
  <c r="I44" i="71"/>
  <c r="I11" i="71"/>
  <c r="I22" i="71"/>
  <c r="I57" i="71"/>
  <c r="I38" i="71"/>
  <c r="I46" i="71"/>
  <c r="I18" i="71"/>
  <c r="I54" i="71"/>
  <c r="I52" i="71"/>
  <c r="I58" i="71"/>
  <c r="I63" i="71"/>
  <c r="I9" i="71"/>
  <c r="I32" i="71"/>
  <c r="I10" i="71"/>
  <c r="I17" i="71"/>
  <c r="I20" i="71"/>
  <c r="I12" i="71"/>
  <c r="I48" i="71"/>
  <c r="I56" i="71"/>
  <c r="I25" i="71"/>
  <c r="I26" i="71"/>
  <c r="I19" i="71"/>
  <c r="I14" i="71"/>
  <c r="I15" i="71"/>
  <c r="I41" i="71"/>
  <c r="I7" i="71"/>
  <c r="I27" i="71"/>
  <c r="I35" i="71"/>
  <c r="I28" i="71"/>
  <c r="I65" i="71"/>
  <c r="I4" i="71"/>
  <c r="I13" i="71"/>
  <c r="I34" i="71"/>
  <c r="I31" i="71"/>
  <c r="I39" i="71"/>
  <c r="I37" i="71"/>
  <c r="I23" i="71"/>
  <c r="I16" i="71"/>
  <c r="I30" i="71"/>
  <c r="I21" i="71"/>
  <c r="AN81" i="63"/>
  <c r="AT81" i="63"/>
  <c r="AT100" i="128"/>
  <c r="AN100" i="128"/>
  <c r="AT95" i="63"/>
  <c r="AN95" i="63"/>
  <c r="AT73" i="63"/>
  <c r="AN73" i="63"/>
  <c r="AT94" i="63"/>
  <c r="AN94" i="63"/>
  <c r="AT42" i="63"/>
  <c r="AN42" i="63"/>
  <c r="AT47" i="128"/>
  <c r="AN47" i="128"/>
  <c r="AN89" i="128"/>
  <c r="AT89" i="128"/>
  <c r="AT105" i="128"/>
  <c r="AN105" i="128"/>
  <c r="AT102" i="63"/>
  <c r="AN102" i="63"/>
  <c r="AT80" i="63"/>
  <c r="AN80" i="63"/>
  <c r="AT90" i="128"/>
  <c r="AN90" i="128"/>
  <c r="AT40" i="63"/>
  <c r="AN40" i="63"/>
  <c r="AT75" i="128"/>
  <c r="AN75" i="128"/>
  <c r="AT84" i="63"/>
  <c r="AN84" i="63"/>
  <c r="AT88" i="63"/>
  <c r="AN88" i="63"/>
  <c r="AT41" i="128"/>
  <c r="AN41" i="128"/>
  <c r="AT93" i="63"/>
  <c r="AN93" i="63"/>
  <c r="AT25" i="63"/>
  <c r="AN25" i="63"/>
  <c r="AN28" i="128"/>
  <c r="AT28" i="128"/>
  <c r="AT100" i="63"/>
  <c r="AN100" i="63"/>
  <c r="AT50" i="128"/>
  <c r="AN50" i="128"/>
  <c r="AT50" i="63"/>
  <c r="AN50" i="63"/>
  <c r="AT41" i="63"/>
  <c r="AN41" i="63"/>
  <c r="AN64" i="128"/>
  <c r="AT64" i="128"/>
  <c r="AT52" i="63"/>
  <c r="AN52" i="63"/>
  <c r="AT84" i="128"/>
  <c r="AN84" i="128"/>
  <c r="AT85" i="63"/>
  <c r="AN85" i="63"/>
  <c r="AT17" i="128"/>
  <c r="AN17" i="128"/>
  <c r="AT54" i="128"/>
  <c r="AN54" i="128"/>
  <c r="AN86" i="128"/>
  <c r="AT86" i="128"/>
  <c r="AN14" i="128"/>
  <c r="AT14" i="128"/>
  <c r="AT23" i="128"/>
  <c r="AN23" i="128"/>
  <c r="AT49" i="128"/>
  <c r="AN49" i="128"/>
  <c r="AT90" i="63"/>
  <c r="AN90" i="63"/>
  <c r="AT95" i="128"/>
  <c r="AN95" i="128"/>
  <c r="AT87" i="63"/>
  <c r="AN87" i="63"/>
  <c r="AT59" i="128"/>
  <c r="AN59" i="128"/>
  <c r="AT78" i="63"/>
  <c r="AN78" i="63"/>
  <c r="AN37" i="128"/>
  <c r="AT37" i="128"/>
  <c r="AT73" i="128"/>
  <c r="AN73" i="128"/>
  <c r="AN29" i="63"/>
  <c r="AT29" i="63"/>
  <c r="AT22" i="63"/>
  <c r="AN22" i="63"/>
  <c r="AN79" i="128"/>
  <c r="AT79" i="128"/>
  <c r="AT59" i="63"/>
  <c r="AN59" i="63"/>
  <c r="AN40" i="128"/>
  <c r="AT40" i="128"/>
  <c r="AT67" i="63"/>
  <c r="AN67" i="63"/>
  <c r="AT19" i="63"/>
  <c r="AN19" i="63"/>
  <c r="AT22" i="128"/>
  <c r="AN22" i="128"/>
  <c r="AT11" i="63"/>
  <c r="AN11" i="63"/>
  <c r="AN24" i="128"/>
  <c r="AT24" i="128"/>
  <c r="AT62" i="63"/>
  <c r="AN62" i="63"/>
  <c r="AT15" i="63"/>
  <c r="AN15" i="63"/>
  <c r="AN101" i="128"/>
  <c r="AT101" i="128"/>
  <c r="AT20" i="63"/>
  <c r="AN20" i="63"/>
  <c r="AT103" i="63"/>
  <c r="AN103" i="63"/>
  <c r="AT35" i="63"/>
  <c r="AN35" i="63"/>
  <c r="AT104" i="63"/>
  <c r="AN104" i="63"/>
  <c r="AT76" i="128"/>
  <c r="AN76" i="128"/>
  <c r="AN66" i="63"/>
  <c r="AT66" i="63"/>
  <c r="AT65" i="128"/>
  <c r="AN65" i="128"/>
  <c r="AN35" i="128"/>
  <c r="AT35" i="128"/>
  <c r="AN10" i="128"/>
  <c r="AT10" i="128"/>
  <c r="AN63" i="128"/>
  <c r="AT63" i="128"/>
  <c r="AT53" i="128"/>
  <c r="AN53" i="128"/>
  <c r="AN103" i="128"/>
  <c r="AT103" i="128"/>
  <c r="AT31" i="63"/>
  <c r="AN31" i="63"/>
  <c r="AT25" i="128"/>
  <c r="AN25" i="128"/>
  <c r="AT12" i="63"/>
  <c r="AN12" i="63"/>
  <c r="AT18" i="128"/>
  <c r="AN18" i="128"/>
  <c r="AT13" i="128"/>
  <c r="AN13" i="128"/>
  <c r="AT17" i="63"/>
  <c r="AN17" i="63"/>
  <c r="AN8" i="128"/>
  <c r="AT8" i="128"/>
  <c r="AT44" i="63"/>
  <c r="AN44" i="63"/>
  <c r="AT55" i="128"/>
  <c r="AN55" i="128"/>
  <c r="AN64" i="63"/>
  <c r="AT64" i="63"/>
  <c r="AN60" i="63"/>
  <c r="AT60" i="63"/>
  <c r="AT69" i="128"/>
  <c r="AN69" i="128"/>
  <c r="AT71" i="63"/>
  <c r="AN71" i="63"/>
  <c r="AT29" i="128"/>
  <c r="AN29" i="128"/>
  <c r="AT83" i="128"/>
  <c r="AN83" i="128"/>
  <c r="AT74" i="128"/>
  <c r="AN74" i="128"/>
  <c r="AN19" i="128"/>
  <c r="AT19" i="128"/>
  <c r="AN102" i="128"/>
  <c r="AT102" i="128"/>
  <c r="AT7" i="128"/>
  <c r="AN7" i="128"/>
  <c r="AN85" i="128"/>
  <c r="AT85" i="128"/>
  <c r="AT68" i="63"/>
  <c r="AN68" i="63"/>
  <c r="AT94" i="128"/>
  <c r="AN94" i="128"/>
  <c r="AN66" i="128"/>
  <c r="AT66" i="128"/>
  <c r="AT79" i="63"/>
  <c r="AN79" i="63"/>
  <c r="AT99" i="63"/>
  <c r="AN99" i="63"/>
  <c r="AT56" i="63"/>
  <c r="AN56" i="63"/>
  <c r="AT105" i="63"/>
  <c r="AN105" i="63"/>
  <c r="AT24" i="63"/>
  <c r="AN24" i="63"/>
  <c r="AN80" i="128"/>
  <c r="AT80" i="128"/>
  <c r="AT53" i="63"/>
  <c r="AN53" i="63"/>
  <c r="AT49" i="63"/>
  <c r="AN49" i="63"/>
  <c r="AN36" i="128"/>
  <c r="AT36" i="128"/>
  <c r="AT16" i="63"/>
  <c r="AN16" i="63"/>
  <c r="AT7" i="63"/>
  <c r="AN7" i="63"/>
  <c r="AT93" i="128"/>
  <c r="AN93" i="128"/>
  <c r="AT27" i="63"/>
  <c r="AN27" i="63"/>
  <c r="AT45" i="128"/>
  <c r="AN45" i="128"/>
  <c r="AT82" i="63"/>
  <c r="AN82" i="63"/>
  <c r="AT69" i="63"/>
  <c r="AN69" i="63"/>
  <c r="AN46" i="128"/>
  <c r="AT46" i="128"/>
  <c r="AN86" i="63"/>
  <c r="AT86" i="63"/>
  <c r="AN21" i="128"/>
  <c r="AT21" i="128"/>
  <c r="AT37" i="63"/>
  <c r="AN37" i="63"/>
  <c r="AT9" i="63"/>
  <c r="AN9" i="63"/>
  <c r="AT9" i="128"/>
  <c r="AN9" i="128"/>
  <c r="AT91" i="63"/>
  <c r="AN91" i="63"/>
  <c r="AT81" i="128"/>
  <c r="AN81" i="128"/>
  <c r="AN96" i="128"/>
  <c r="AT96" i="128"/>
  <c r="AN92" i="128"/>
  <c r="AT92" i="128"/>
  <c r="AN51" i="128"/>
  <c r="AT51" i="128"/>
  <c r="AT44" i="128"/>
  <c r="AN44" i="128"/>
  <c r="AT32" i="128"/>
  <c r="AN32" i="128"/>
  <c r="AT6" i="63"/>
  <c r="AN6" i="63"/>
  <c r="AJ107" i="63"/>
  <c r="AT45" i="63"/>
  <c r="AN45" i="63"/>
  <c r="AT26" i="63"/>
  <c r="AN26" i="63"/>
  <c r="AT77" i="63"/>
  <c r="AN77" i="63"/>
  <c r="AT54" i="63"/>
  <c r="AN54" i="63"/>
  <c r="AN91" i="128"/>
  <c r="AT91" i="128"/>
  <c r="AN88" i="128"/>
  <c r="AT88" i="128"/>
  <c r="AT33" i="63"/>
  <c r="AN33" i="63"/>
  <c r="AN57" i="128"/>
  <c r="AT57" i="128"/>
  <c r="AN32" i="63"/>
  <c r="AT32" i="63"/>
  <c r="AT8" i="63"/>
  <c r="AN8" i="63"/>
  <c r="AT68" i="128"/>
  <c r="AN68" i="128"/>
  <c r="AN46" i="63"/>
  <c r="AT46" i="63"/>
  <c r="AN21" i="63"/>
  <c r="AT21" i="63"/>
  <c r="AT16" i="128"/>
  <c r="AN16" i="128"/>
  <c r="AN61" i="63"/>
  <c r="AT61" i="63"/>
  <c r="AN15" i="128"/>
  <c r="AT15" i="128"/>
  <c r="AN34" i="63"/>
  <c r="AT34" i="63"/>
  <c r="AN43" i="63"/>
  <c r="AT43" i="63"/>
  <c r="AN97" i="128"/>
  <c r="AT97" i="128"/>
  <c r="AN72" i="63"/>
  <c r="AT72" i="63"/>
  <c r="AN75" i="63"/>
  <c r="AT75" i="63"/>
  <c r="AN98" i="128"/>
  <c r="AT98" i="128"/>
  <c r="AT58" i="63"/>
  <c r="AN58" i="63"/>
  <c r="AT56" i="128"/>
  <c r="AN56" i="128"/>
  <c r="AT70" i="63"/>
  <c r="AN70" i="63"/>
  <c r="AT13" i="63"/>
  <c r="AN13" i="63"/>
  <c r="AT47" i="63"/>
  <c r="AN47" i="63"/>
  <c r="AT97" i="63"/>
  <c r="AN97" i="63"/>
  <c r="AT11" i="128"/>
  <c r="AN11" i="128"/>
  <c r="AN67" i="128"/>
  <c r="AT67" i="128"/>
  <c r="AT31" i="128"/>
  <c r="AN31" i="128"/>
  <c r="AN99" i="128"/>
  <c r="AT99" i="128"/>
  <c r="AT77" i="128"/>
  <c r="AN77" i="128"/>
  <c r="AT70" i="128"/>
  <c r="AN70" i="128"/>
  <c r="AN10" i="63"/>
  <c r="AT10" i="63"/>
  <c r="AN34" i="128"/>
  <c r="AT34" i="128"/>
  <c r="AT28" i="63"/>
  <c r="AN28" i="63"/>
  <c r="AT83" i="63"/>
  <c r="AN83" i="63"/>
  <c r="AN82" i="128"/>
  <c r="AT82" i="128"/>
  <c r="AT36" i="63"/>
  <c r="AN36" i="63"/>
  <c r="AN78" i="128"/>
  <c r="AT78" i="128"/>
  <c r="AT48" i="63"/>
  <c r="AN48" i="63"/>
  <c r="AT96" i="63"/>
  <c r="AN96" i="63"/>
  <c r="AT52" i="128"/>
  <c r="AN52" i="128"/>
  <c r="AT57" i="63"/>
  <c r="AN57" i="63"/>
  <c r="AT38" i="63"/>
  <c r="AN38" i="63"/>
  <c r="AT65" i="63"/>
  <c r="AN65" i="63"/>
  <c r="AT55" i="63"/>
  <c r="AN55" i="63"/>
  <c r="AN38" i="128"/>
  <c r="AT38" i="128"/>
  <c r="AT92" i="63"/>
  <c r="AN92" i="63"/>
  <c r="AN61" i="128"/>
  <c r="AT61" i="128"/>
  <c r="AT98" i="63"/>
  <c r="AN98" i="63"/>
  <c r="AT18" i="63"/>
  <c r="AN18" i="63"/>
  <c r="AT20" i="128"/>
  <c r="AN20" i="128"/>
  <c r="AT12" i="128"/>
  <c r="AN12" i="128"/>
  <c r="AJ107" i="128"/>
  <c r="AN6" i="128"/>
  <c r="AT6" i="128"/>
  <c r="AN33" i="128"/>
  <c r="AT33" i="128"/>
  <c r="AT26" i="128"/>
  <c r="AN26" i="128"/>
  <c r="AT71" i="128"/>
  <c r="AN71" i="128"/>
  <c r="AT76" i="63"/>
  <c r="AN76" i="63"/>
  <c r="AN48" i="128"/>
  <c r="AT48" i="128"/>
  <c r="AT51" i="63"/>
  <c r="AN51" i="63"/>
  <c r="AT43" i="128"/>
  <c r="AN43" i="128"/>
  <c r="AT101" i="63"/>
  <c r="AN101" i="63"/>
  <c r="AT89" i="63"/>
  <c r="AN89" i="63"/>
  <c r="AT30" i="128"/>
  <c r="AN30" i="128"/>
  <c r="AT63" i="63"/>
  <c r="AN63" i="63"/>
  <c r="AT39" i="128"/>
  <c r="AN39" i="128"/>
  <c r="AT23" i="63"/>
  <c r="AN23" i="63"/>
  <c r="AT14" i="63"/>
  <c r="AN14" i="63"/>
  <c r="AT62" i="128"/>
  <c r="AN62" i="128"/>
  <c r="AT30" i="63"/>
  <c r="AN30" i="63"/>
  <c r="AN27" i="128"/>
  <c r="AT27" i="128"/>
  <c r="AT74" i="63"/>
  <c r="AN74" i="63"/>
  <c r="AT39" i="63"/>
  <c r="AN39" i="63"/>
  <c r="AT72" i="128"/>
  <c r="AN72" i="128"/>
  <c r="AN87" i="128"/>
  <c r="AT87" i="128"/>
  <c r="AT42" i="128"/>
  <c r="AN42" i="128"/>
  <c r="AN104" i="128"/>
  <c r="AT104" i="128"/>
  <c r="AN58" i="128"/>
  <c r="AT58" i="128"/>
  <c r="AT60" i="128"/>
  <c r="AN60" i="128"/>
  <c r="A21" i="126"/>
  <c r="AF21" i="126"/>
  <c r="A31" i="125"/>
  <c r="BA94" i="63"/>
  <c r="BF94" i="63"/>
  <c r="DH94" i="63"/>
  <c r="R27" i="125"/>
  <c r="X18" i="126"/>
  <c r="BA74" i="63"/>
  <c r="BF74" i="63"/>
  <c r="DB74" i="63"/>
  <c r="BA15" i="63"/>
  <c r="BF15" i="63"/>
  <c r="DB15" i="63"/>
  <c r="BA29" i="63"/>
  <c r="BF29" i="63"/>
  <c r="DB29" i="63"/>
  <c r="H59" i="125"/>
  <c r="AB59" i="125"/>
  <c r="BA43" i="63"/>
  <c r="BF43" i="63"/>
  <c r="DB43" i="63"/>
  <c r="BA62" i="63"/>
  <c r="BF62" i="63"/>
  <c r="DH62" i="63"/>
  <c r="BA102" i="63"/>
  <c r="BF102" i="63"/>
  <c r="DH102" i="63"/>
  <c r="BA63" i="63"/>
  <c r="BF63" i="63"/>
  <c r="DB63" i="63"/>
  <c r="BA89" i="63"/>
  <c r="BF89" i="63"/>
  <c r="DB89" i="63"/>
  <c r="H113" i="125"/>
  <c r="AB113" i="125"/>
  <c r="H104" i="125"/>
  <c r="AB104" i="125"/>
  <c r="H67" i="125"/>
  <c r="AB67" i="125"/>
  <c r="BA80" i="63"/>
  <c r="BF80" i="63"/>
  <c r="DB80" i="63"/>
  <c r="H49" i="125"/>
  <c r="AB49" i="125"/>
  <c r="BA66" i="63"/>
  <c r="BF66" i="63"/>
  <c r="DH66" i="63"/>
  <c r="BA38" i="63"/>
  <c r="BF38" i="63"/>
  <c r="DH38" i="63"/>
  <c r="BA14" i="63"/>
  <c r="BF14" i="63"/>
  <c r="DB14" i="63"/>
  <c r="H110" i="125"/>
  <c r="AB110" i="125"/>
  <c r="H25" i="125"/>
  <c r="AB25" i="125"/>
  <c r="BA87" i="63"/>
  <c r="BF87" i="63"/>
  <c r="DB87" i="63"/>
  <c r="H112" i="125"/>
  <c r="AB112" i="125"/>
  <c r="H61" i="60"/>
  <c r="U49" i="125"/>
  <c r="H53" i="125"/>
  <c r="AB53" i="125"/>
  <c r="H31" i="125"/>
  <c r="AB31" i="125"/>
  <c r="AN107" i="63"/>
  <c r="BA69" i="63"/>
  <c r="BF69" i="63"/>
  <c r="DB69" i="63"/>
  <c r="I4" i="125"/>
  <c r="H77" i="125"/>
  <c r="AB77" i="125"/>
  <c r="CQ14" i="128"/>
  <c r="R26" i="125"/>
  <c r="X17" i="126"/>
  <c r="BA61" i="63"/>
  <c r="BF61" i="63"/>
  <c r="DB61" i="63"/>
  <c r="H62" i="125"/>
  <c r="AB62" i="125"/>
  <c r="BA32" i="63"/>
  <c r="BF32" i="63"/>
  <c r="DB32" i="63"/>
  <c r="CQ100" i="128"/>
  <c r="R112" i="125"/>
  <c r="X103" i="126"/>
  <c r="BA78" i="63"/>
  <c r="BF78" i="63"/>
  <c r="H90" i="125"/>
  <c r="AB90" i="125"/>
  <c r="H37" i="125"/>
  <c r="AB37" i="125"/>
  <c r="BA25" i="63"/>
  <c r="BF25" i="63"/>
  <c r="H45" i="125"/>
  <c r="AB45" i="125"/>
  <c r="BA33" i="63"/>
  <c r="BF33" i="63"/>
  <c r="H105" i="125"/>
  <c r="AB105" i="125"/>
  <c r="BA93" i="63"/>
  <c r="BF93" i="63"/>
  <c r="H58" i="125"/>
  <c r="AB58" i="125"/>
  <c r="BA46" i="63"/>
  <c r="BF46" i="63"/>
  <c r="BA88" i="63"/>
  <c r="BF88" i="63"/>
  <c r="H100" i="125"/>
  <c r="AB100" i="125"/>
  <c r="H111" i="125"/>
  <c r="AB111" i="125"/>
  <c r="BA99" i="63"/>
  <c r="BF99" i="63"/>
  <c r="DG100" i="63"/>
  <c r="DA100" i="63"/>
  <c r="DG74" i="63"/>
  <c r="DA74" i="63"/>
  <c r="DG26" i="63"/>
  <c r="DA26" i="63"/>
  <c r="DG92" i="63"/>
  <c r="DA92" i="63"/>
  <c r="AZ107" i="63"/>
  <c r="BE6" i="63"/>
  <c r="DA70" i="63"/>
  <c r="DG70" i="63"/>
  <c r="DG95" i="63"/>
  <c r="DA95" i="63"/>
  <c r="DA22" i="63"/>
  <c r="DG22" i="63"/>
  <c r="DA52" i="63"/>
  <c r="DG52" i="63"/>
  <c r="DA96" i="63"/>
  <c r="DG96" i="63"/>
  <c r="DA86" i="63"/>
  <c r="DG86" i="63"/>
  <c r="DG47" i="63"/>
  <c r="DA47" i="63"/>
  <c r="CQ57" i="128"/>
  <c r="R69" i="125"/>
  <c r="X60" i="126"/>
  <c r="CQ35" i="128"/>
  <c r="R47" i="125"/>
  <c r="X38" i="126"/>
  <c r="CQ63" i="128"/>
  <c r="R75" i="125"/>
  <c r="X66" i="126"/>
  <c r="O118" i="125"/>
  <c r="CQ6" i="128"/>
  <c r="H91" i="125"/>
  <c r="AB91" i="125"/>
  <c r="BA79" i="63"/>
  <c r="BF79" i="63"/>
  <c r="CQ105" i="128"/>
  <c r="R117" i="125"/>
  <c r="CQ36" i="128"/>
  <c r="R48" i="125"/>
  <c r="X39" i="126"/>
  <c r="CQ56" i="128"/>
  <c r="R68" i="125"/>
  <c r="X59" i="126"/>
  <c r="CQ25" i="128"/>
  <c r="R37" i="125"/>
  <c r="X28" i="126"/>
  <c r="CQ49" i="128"/>
  <c r="R61" i="125"/>
  <c r="X52" i="126"/>
  <c r="CQ34" i="128"/>
  <c r="R46" i="125"/>
  <c r="X37" i="126"/>
  <c r="H115" i="125"/>
  <c r="AB115" i="125"/>
  <c r="BA103" i="63"/>
  <c r="BF103" i="63"/>
  <c r="CQ80" i="128"/>
  <c r="R92" i="125"/>
  <c r="X83" i="126"/>
  <c r="CQ65" i="128"/>
  <c r="R77" i="125"/>
  <c r="X68" i="126"/>
  <c r="CQ51" i="128"/>
  <c r="R63" i="125"/>
  <c r="X54" i="126"/>
  <c r="H54" i="125"/>
  <c r="AB54" i="125"/>
  <c r="BA42" i="63"/>
  <c r="BF42" i="63"/>
  <c r="CQ67" i="128"/>
  <c r="R79" i="125"/>
  <c r="X70" i="126"/>
  <c r="CQ37" i="128"/>
  <c r="R49" i="125"/>
  <c r="X40" i="126"/>
  <c r="CQ32" i="128"/>
  <c r="R44" i="125"/>
  <c r="X35" i="126"/>
  <c r="BA6" i="63"/>
  <c r="AV107" i="63"/>
  <c r="H18" i="125"/>
  <c r="AB18" i="125"/>
  <c r="BA105" i="63"/>
  <c r="BF105" i="63"/>
  <c r="H117" i="125"/>
  <c r="AB117" i="125"/>
  <c r="CQ62" i="128"/>
  <c r="R74" i="125"/>
  <c r="X65" i="126"/>
  <c r="CQ46" i="128"/>
  <c r="R58" i="125"/>
  <c r="X49" i="126"/>
  <c r="CQ64" i="128"/>
  <c r="R76" i="125"/>
  <c r="X67" i="126"/>
  <c r="CQ43" i="128"/>
  <c r="R55" i="125"/>
  <c r="X46" i="126"/>
  <c r="BA70" i="63"/>
  <c r="BF70" i="63"/>
  <c r="H82" i="125"/>
  <c r="AB82" i="125"/>
  <c r="BA96" i="63"/>
  <c r="BF96" i="63"/>
  <c r="H108" i="125"/>
  <c r="AB108" i="125"/>
  <c r="CQ98" i="128"/>
  <c r="R110" i="125"/>
  <c r="X101" i="126"/>
  <c r="CQ9" i="128"/>
  <c r="R21" i="125"/>
  <c r="X12" i="126"/>
  <c r="CQ13" i="128"/>
  <c r="R25" i="125"/>
  <c r="X16" i="126"/>
  <c r="DG81" i="63"/>
  <c r="DA81" i="63"/>
  <c r="DA78" i="63"/>
  <c r="DG78" i="63"/>
  <c r="DA89" i="63"/>
  <c r="DG89" i="63"/>
  <c r="DA35" i="63"/>
  <c r="DG35" i="63"/>
  <c r="DG36" i="63"/>
  <c r="DA36" i="63"/>
  <c r="DG43" i="63"/>
  <c r="DA43" i="63"/>
  <c r="DA76" i="63"/>
  <c r="DG76" i="63"/>
  <c r="DG18" i="63"/>
  <c r="DA18" i="63"/>
  <c r="DA79" i="63"/>
  <c r="DG79" i="63"/>
  <c r="DA88" i="63"/>
  <c r="DG88" i="63"/>
  <c r="DG34" i="63"/>
  <c r="DA34" i="63"/>
  <c r="DG25" i="63"/>
  <c r="DA25" i="63"/>
  <c r="CQ11" i="128"/>
  <c r="R23" i="125"/>
  <c r="X14" i="126"/>
  <c r="H42" i="125"/>
  <c r="AB42" i="125"/>
  <c r="BA30" i="63"/>
  <c r="BF30" i="63"/>
  <c r="H70" i="125"/>
  <c r="AB70" i="125"/>
  <c r="BA58" i="63"/>
  <c r="BF58" i="63"/>
  <c r="BA76" i="63"/>
  <c r="BF76" i="63"/>
  <c r="H88" i="125"/>
  <c r="AB88" i="125"/>
  <c r="CQ12" i="128"/>
  <c r="R24" i="125"/>
  <c r="X15" i="126"/>
  <c r="CQ76" i="128"/>
  <c r="R88" i="125"/>
  <c r="X79" i="126"/>
  <c r="CQ83" i="128"/>
  <c r="R95" i="125"/>
  <c r="X86" i="126"/>
  <c r="DH48" i="63"/>
  <c r="DB48" i="63"/>
  <c r="BA44" i="63"/>
  <c r="BF44" i="63"/>
  <c r="H56" i="125"/>
  <c r="AB56" i="125"/>
  <c r="BA21" i="63"/>
  <c r="BF21" i="63"/>
  <c r="H33" i="125"/>
  <c r="AB33" i="125"/>
  <c r="BA10" i="63"/>
  <c r="BF10" i="63"/>
  <c r="H22" i="125"/>
  <c r="AB22" i="125"/>
  <c r="H20" i="125"/>
  <c r="AB20" i="125"/>
  <c r="BA8" i="63"/>
  <c r="BF8" i="63"/>
  <c r="BA91" i="63"/>
  <c r="BF91" i="63"/>
  <c r="H103" i="125"/>
  <c r="AB103" i="125"/>
  <c r="DG71" i="63"/>
  <c r="DA71" i="63"/>
  <c r="DG28" i="63"/>
  <c r="DA28" i="63"/>
  <c r="DG37" i="63"/>
  <c r="DA37" i="63"/>
  <c r="DG39" i="63"/>
  <c r="DA39" i="63"/>
  <c r="DG60" i="63"/>
  <c r="DA60" i="63"/>
  <c r="DA48" i="63"/>
  <c r="DG48" i="63"/>
  <c r="DG56" i="63"/>
  <c r="DA56" i="63"/>
  <c r="DG33" i="63"/>
  <c r="DA33" i="63"/>
  <c r="DG27" i="63"/>
  <c r="DA27" i="63"/>
  <c r="DG102" i="63"/>
  <c r="DA102" i="63"/>
  <c r="DG30" i="63"/>
  <c r="DA30" i="63"/>
  <c r="DG68" i="63"/>
  <c r="DA68" i="63"/>
  <c r="H24" i="125"/>
  <c r="AB24" i="125"/>
  <c r="BA12" i="63"/>
  <c r="BF12" i="63"/>
  <c r="H65" i="125"/>
  <c r="AB65" i="125"/>
  <c r="BA53" i="63"/>
  <c r="BF53" i="63"/>
  <c r="H96" i="125"/>
  <c r="AB96" i="125"/>
  <c r="BA84" i="63"/>
  <c r="BF84" i="63"/>
  <c r="BA52" i="63"/>
  <c r="BF52" i="63"/>
  <c r="H64" i="125"/>
  <c r="AB64" i="125"/>
  <c r="CQ88" i="128"/>
  <c r="R100" i="125"/>
  <c r="X91" i="126"/>
  <c r="CQ21" i="128"/>
  <c r="R33" i="125"/>
  <c r="X24" i="126"/>
  <c r="CQ24" i="128"/>
  <c r="R36" i="125"/>
  <c r="X27" i="126"/>
  <c r="DH98" i="63"/>
  <c r="DB98" i="63"/>
  <c r="CQ30" i="128"/>
  <c r="R42" i="125"/>
  <c r="X33" i="126"/>
  <c r="CQ60" i="128"/>
  <c r="R72" i="125"/>
  <c r="X63" i="126"/>
  <c r="CQ84" i="128"/>
  <c r="R96" i="125"/>
  <c r="X87" i="126"/>
  <c r="CQ7" i="128"/>
  <c r="R19" i="125"/>
  <c r="X10" i="126"/>
  <c r="CQ53" i="128"/>
  <c r="R65" i="125"/>
  <c r="X56" i="126"/>
  <c r="CQ104" i="128"/>
  <c r="R116" i="125"/>
  <c r="H84" i="125"/>
  <c r="AB84" i="125"/>
  <c r="BA72" i="63"/>
  <c r="BF72" i="63"/>
  <c r="CQ73" i="128"/>
  <c r="R85" i="125"/>
  <c r="X76" i="126"/>
  <c r="CQ87" i="128"/>
  <c r="R99" i="125"/>
  <c r="X90" i="126"/>
  <c r="H36" i="125"/>
  <c r="AB36" i="125"/>
  <c r="BA24" i="63"/>
  <c r="BF24" i="63"/>
  <c r="H39" i="125"/>
  <c r="AB39" i="125"/>
  <c r="BA27" i="63"/>
  <c r="BF27" i="63"/>
  <c r="CQ89" i="128"/>
  <c r="R101" i="125"/>
  <c r="X92" i="126"/>
  <c r="CQ99" i="128"/>
  <c r="R111" i="125"/>
  <c r="X102" i="126"/>
  <c r="CQ97" i="128"/>
  <c r="R109" i="125"/>
  <c r="X100" i="126"/>
  <c r="CQ42" i="128"/>
  <c r="R54" i="125"/>
  <c r="X45" i="126"/>
  <c r="CQ28" i="128"/>
  <c r="R40" i="125"/>
  <c r="X31" i="126"/>
  <c r="CQ95" i="128"/>
  <c r="R107" i="125"/>
  <c r="X98" i="126"/>
  <c r="AZ107" i="128"/>
  <c r="BE6" i="128"/>
  <c r="BE107" i="128"/>
  <c r="H93" i="125"/>
  <c r="AB93" i="125"/>
  <c r="BA81" i="63"/>
  <c r="BF81" i="63"/>
  <c r="CQ10" i="128"/>
  <c r="R22" i="125"/>
  <c r="X13" i="126"/>
  <c r="CQ102" i="128"/>
  <c r="R114" i="125"/>
  <c r="CQ93" i="128"/>
  <c r="R105" i="125"/>
  <c r="X96" i="126"/>
  <c r="DG94" i="63"/>
  <c r="DA94" i="63"/>
  <c r="DG55" i="63"/>
  <c r="DA55" i="63"/>
  <c r="DA105" i="63"/>
  <c r="DG105" i="63"/>
  <c r="DA40" i="63"/>
  <c r="DG40" i="63"/>
  <c r="DG61" i="63"/>
  <c r="DA61" i="63"/>
  <c r="DA103" i="63"/>
  <c r="DG103" i="63"/>
  <c r="DG29" i="63"/>
  <c r="DA29" i="63"/>
  <c r="DA69" i="63"/>
  <c r="DG69" i="63"/>
  <c r="DA101" i="63"/>
  <c r="DG101" i="63"/>
  <c r="DA63" i="63"/>
  <c r="DG63" i="63"/>
  <c r="DG97" i="63"/>
  <c r="DA97" i="63"/>
  <c r="DA38" i="63"/>
  <c r="DG38" i="63"/>
  <c r="H95" i="125"/>
  <c r="AB95" i="125"/>
  <c r="BA83" i="63"/>
  <c r="BF83" i="63"/>
  <c r="DH101" i="63"/>
  <c r="DB101" i="63"/>
  <c r="CQ17" i="128"/>
  <c r="R29" i="125"/>
  <c r="X20" i="126"/>
  <c r="CQ92" i="128"/>
  <c r="R104" i="125"/>
  <c r="X95" i="126"/>
  <c r="H80" i="125"/>
  <c r="AB80" i="125"/>
  <c r="BA68" i="63"/>
  <c r="BF68" i="63"/>
  <c r="BA17" i="63"/>
  <c r="BF17" i="63"/>
  <c r="H29" i="125"/>
  <c r="AB29" i="125"/>
  <c r="H40" i="125"/>
  <c r="AB40" i="125"/>
  <c r="BA28" i="63"/>
  <c r="BF28" i="63"/>
  <c r="CQ66" i="128"/>
  <c r="R78" i="125"/>
  <c r="X69" i="126"/>
  <c r="BA51" i="63"/>
  <c r="BF51" i="63"/>
  <c r="H63" i="125"/>
  <c r="AB63" i="125"/>
  <c r="BA73" i="63"/>
  <c r="BF73" i="63"/>
  <c r="H85" i="125"/>
  <c r="AB85" i="125"/>
  <c r="BA71" i="63"/>
  <c r="BF71" i="63"/>
  <c r="H83" i="125"/>
  <c r="AB83" i="125"/>
  <c r="BA97" i="63"/>
  <c r="BF97" i="63"/>
  <c r="H109" i="125"/>
  <c r="AB109" i="125"/>
  <c r="H98" i="125"/>
  <c r="AB98" i="125"/>
  <c r="BA86" i="63"/>
  <c r="BF86" i="63"/>
  <c r="AV107" i="128"/>
  <c r="BA6" i="128"/>
  <c r="DG21" i="63"/>
  <c r="DA21" i="63"/>
  <c r="DG85" i="63"/>
  <c r="DA85" i="63"/>
  <c r="DG20" i="63"/>
  <c r="DA20" i="63"/>
  <c r="DG53" i="63"/>
  <c r="DA53" i="63"/>
  <c r="DG90" i="63"/>
  <c r="DA90" i="63"/>
  <c r="DA104" i="63"/>
  <c r="DG104" i="63"/>
  <c r="DA16" i="63"/>
  <c r="DG16" i="63"/>
  <c r="DG14" i="63"/>
  <c r="DA14" i="63"/>
  <c r="DA54" i="63"/>
  <c r="DG54" i="63"/>
  <c r="DA73" i="63"/>
  <c r="DG73" i="63"/>
  <c r="DA42" i="63"/>
  <c r="DG42" i="63"/>
  <c r="DA62" i="63"/>
  <c r="DG62" i="63"/>
  <c r="DA58" i="63"/>
  <c r="DG58" i="63"/>
  <c r="BA26" i="63"/>
  <c r="BF26" i="63"/>
  <c r="H38" i="125"/>
  <c r="AB38" i="125"/>
  <c r="BA18" i="63"/>
  <c r="BF18" i="63"/>
  <c r="H30" i="125"/>
  <c r="AB30" i="125"/>
  <c r="H87" i="125"/>
  <c r="AB87" i="125"/>
  <c r="BA75" i="63"/>
  <c r="BF75" i="63"/>
  <c r="DB55" i="63"/>
  <c r="DH55" i="63"/>
  <c r="CQ40" i="128"/>
  <c r="R52" i="125"/>
  <c r="X43" i="126"/>
  <c r="CQ90" i="128"/>
  <c r="R102" i="125"/>
  <c r="X93" i="126"/>
  <c r="DH50" i="63"/>
  <c r="DB50" i="63"/>
  <c r="CQ52" i="128"/>
  <c r="R64" i="125"/>
  <c r="X55" i="126"/>
  <c r="CQ58" i="128"/>
  <c r="R70" i="125"/>
  <c r="X61" i="126"/>
  <c r="CQ23" i="128"/>
  <c r="R35" i="125"/>
  <c r="X26" i="126"/>
  <c r="BA77" i="63"/>
  <c r="BF77" i="63"/>
  <c r="H89" i="125"/>
  <c r="AB89" i="125"/>
  <c r="H116" i="125"/>
  <c r="AB116" i="125"/>
  <c r="BA104" i="63"/>
  <c r="BF104" i="63"/>
  <c r="CQ78" i="128"/>
  <c r="R90" i="125"/>
  <c r="X81" i="126"/>
  <c r="CQ8" i="128"/>
  <c r="R20" i="125"/>
  <c r="X11" i="126"/>
  <c r="CQ16" i="128"/>
  <c r="R28" i="125"/>
  <c r="X19" i="126"/>
  <c r="BA67" i="63"/>
  <c r="BF67" i="63"/>
  <c r="H79" i="125"/>
  <c r="AB79" i="125"/>
  <c r="CQ59" i="128"/>
  <c r="R71" i="125"/>
  <c r="X62" i="126"/>
  <c r="CQ82" i="128"/>
  <c r="R94" i="125"/>
  <c r="X85" i="126"/>
  <c r="BA57" i="63"/>
  <c r="BF57" i="63"/>
  <c r="H69" i="125"/>
  <c r="AB69" i="125"/>
  <c r="H32" i="125"/>
  <c r="AB32" i="125"/>
  <c r="BA20" i="63"/>
  <c r="BF20" i="63"/>
  <c r="CQ86" i="128"/>
  <c r="R98" i="125"/>
  <c r="X89" i="126"/>
  <c r="CQ20" i="128"/>
  <c r="R32" i="125"/>
  <c r="X23" i="126"/>
  <c r="CQ18" i="128"/>
  <c r="R30" i="125"/>
  <c r="X21" i="126"/>
  <c r="BA40" i="63"/>
  <c r="BF40" i="63"/>
  <c r="H52" i="125"/>
  <c r="AB52" i="125"/>
  <c r="BA45" i="63"/>
  <c r="BF45" i="63"/>
  <c r="H57" i="125"/>
  <c r="AB57" i="125"/>
  <c r="CQ50" i="128"/>
  <c r="R62" i="125"/>
  <c r="X53" i="126"/>
  <c r="CQ38" i="128"/>
  <c r="R50" i="125"/>
  <c r="X41" i="126"/>
  <c r="CQ61" i="128"/>
  <c r="R73" i="125"/>
  <c r="X64" i="126"/>
  <c r="CQ70" i="128"/>
  <c r="R82" i="125"/>
  <c r="X73" i="126"/>
  <c r="CQ31" i="128"/>
  <c r="R43" i="125"/>
  <c r="X34" i="126"/>
  <c r="DA91" i="63"/>
  <c r="DG91" i="63"/>
  <c r="DA9" i="63"/>
  <c r="DG9" i="63"/>
  <c r="DG12" i="63"/>
  <c r="DA12" i="63"/>
  <c r="DG99" i="63"/>
  <c r="DA99" i="63"/>
  <c r="DG67" i="63"/>
  <c r="DA67" i="63"/>
  <c r="DA24" i="63"/>
  <c r="DG24" i="63"/>
  <c r="DG51" i="63"/>
  <c r="DA51" i="63"/>
  <c r="DG32" i="63"/>
  <c r="DA32" i="63"/>
  <c r="DA8" i="63"/>
  <c r="DG8" i="63"/>
  <c r="DG87" i="63"/>
  <c r="DA87" i="63"/>
  <c r="DG10" i="63"/>
  <c r="DA10" i="63"/>
  <c r="DG13" i="63"/>
  <c r="DA13" i="63"/>
  <c r="DA7" i="63"/>
  <c r="DG7" i="63"/>
  <c r="BA31" i="63"/>
  <c r="BF31" i="63"/>
  <c r="H43" i="125"/>
  <c r="AB43" i="125"/>
  <c r="H76" i="125"/>
  <c r="AB76" i="125"/>
  <c r="BA64" i="63"/>
  <c r="BF64" i="63"/>
  <c r="DH100" i="63"/>
  <c r="DB100" i="63"/>
  <c r="CQ96" i="128"/>
  <c r="R108" i="125"/>
  <c r="X99" i="126"/>
  <c r="CQ39" i="128"/>
  <c r="R51" i="125"/>
  <c r="X42" i="126"/>
  <c r="CQ27" i="128"/>
  <c r="R39" i="125"/>
  <c r="X30" i="126"/>
  <c r="H47" i="125"/>
  <c r="AB47" i="125"/>
  <c r="BA35" i="63"/>
  <c r="BF35" i="63"/>
  <c r="BA59" i="63"/>
  <c r="BF59" i="63"/>
  <c r="H71" i="125"/>
  <c r="AB71" i="125"/>
  <c r="DB13" i="63"/>
  <c r="DH13" i="63"/>
  <c r="DB19" i="63"/>
  <c r="DH19" i="63"/>
  <c r="AA118" i="125"/>
  <c r="X9" i="126"/>
  <c r="BA9" i="63"/>
  <c r="BF9" i="63"/>
  <c r="H21" i="125"/>
  <c r="AB21" i="125"/>
  <c r="H51" i="125"/>
  <c r="AB51" i="125"/>
  <c r="BA39" i="63"/>
  <c r="BF39" i="63"/>
  <c r="H19" i="125"/>
  <c r="AB19" i="125"/>
  <c r="BA7" i="63"/>
  <c r="BF7" i="63"/>
  <c r="DH92" i="63"/>
  <c r="DB92" i="63"/>
  <c r="BA90" i="63"/>
  <c r="BF90" i="63"/>
  <c r="H102" i="125"/>
  <c r="AB102" i="125"/>
  <c r="DA44" i="63"/>
  <c r="DG44" i="63"/>
  <c r="DA82" i="63"/>
  <c r="DG82" i="63"/>
  <c r="DA17" i="63"/>
  <c r="DG17" i="63"/>
  <c r="DG59" i="63"/>
  <c r="DA59" i="63"/>
  <c r="DA64" i="63"/>
  <c r="DG64" i="63"/>
  <c r="DG11" i="63"/>
  <c r="DA11" i="63"/>
  <c r="DG84" i="63"/>
  <c r="DA84" i="63"/>
  <c r="DA57" i="63"/>
  <c r="DG57" i="63"/>
  <c r="DG50" i="63"/>
  <c r="DA50" i="63"/>
  <c r="DG41" i="63"/>
  <c r="DA41" i="63"/>
  <c r="DG80" i="63"/>
  <c r="DA80" i="63"/>
  <c r="DG83" i="63"/>
  <c r="DA83" i="63"/>
  <c r="DA72" i="63"/>
  <c r="DG72" i="63"/>
  <c r="H107" i="125"/>
  <c r="AB107" i="125"/>
  <c r="BA95" i="63"/>
  <c r="BF95" i="63"/>
  <c r="BA56" i="63"/>
  <c r="BF56" i="63"/>
  <c r="H68" i="125"/>
  <c r="AB68" i="125"/>
  <c r="BA82" i="63"/>
  <c r="BF82" i="63"/>
  <c r="H94" i="125"/>
  <c r="AB94" i="125"/>
  <c r="H72" i="125"/>
  <c r="AB72" i="125"/>
  <c r="BA60" i="63"/>
  <c r="BF60" i="63"/>
  <c r="CQ47" i="128"/>
  <c r="R59" i="125"/>
  <c r="X50" i="126"/>
  <c r="CQ19" i="128"/>
  <c r="R31" i="125"/>
  <c r="X22" i="126"/>
  <c r="CQ29" i="128"/>
  <c r="R41" i="125"/>
  <c r="X32" i="126"/>
  <c r="DH37" i="63"/>
  <c r="DB37" i="63"/>
  <c r="DH47" i="63"/>
  <c r="DB47" i="63"/>
  <c r="CQ54" i="128"/>
  <c r="R66" i="125"/>
  <c r="X57" i="126"/>
  <c r="CQ77" i="128"/>
  <c r="R89" i="125"/>
  <c r="X80" i="126"/>
  <c r="CQ45" i="128"/>
  <c r="R57" i="125"/>
  <c r="X48" i="126"/>
  <c r="CQ85" i="128"/>
  <c r="R97" i="125"/>
  <c r="X88" i="126"/>
  <c r="CQ79" i="128"/>
  <c r="R91" i="125"/>
  <c r="X82" i="126"/>
  <c r="CQ75" i="128"/>
  <c r="R87" i="125"/>
  <c r="X78" i="126"/>
  <c r="BA23" i="63"/>
  <c r="BF23" i="63"/>
  <c r="H35" i="125"/>
  <c r="AB35" i="125"/>
  <c r="BA85" i="63"/>
  <c r="BF85" i="63"/>
  <c r="H97" i="125"/>
  <c r="AB97" i="125"/>
  <c r="CQ33" i="128"/>
  <c r="R45" i="125"/>
  <c r="X36" i="126"/>
  <c r="CQ41" i="128"/>
  <c r="R53" i="125"/>
  <c r="X44" i="126"/>
  <c r="BA36" i="63"/>
  <c r="BF36" i="63"/>
  <c r="H48" i="125"/>
  <c r="AB48" i="125"/>
  <c r="BA22" i="63"/>
  <c r="BF22" i="63"/>
  <c r="H34" i="125"/>
  <c r="AB34" i="125"/>
  <c r="CQ69" i="128"/>
  <c r="R81" i="125"/>
  <c r="X72" i="126"/>
  <c r="CQ68" i="128"/>
  <c r="R80" i="125"/>
  <c r="X71" i="126"/>
  <c r="CQ101" i="128"/>
  <c r="R113" i="125"/>
  <c r="CQ103" i="128"/>
  <c r="R115" i="125"/>
  <c r="CQ44" i="128"/>
  <c r="R56" i="125"/>
  <c r="X47" i="126"/>
  <c r="CQ81" i="128"/>
  <c r="R93" i="125"/>
  <c r="X84" i="126"/>
  <c r="CQ74" i="128"/>
  <c r="R86" i="125"/>
  <c r="X77" i="126"/>
  <c r="H46" i="125"/>
  <c r="AB46" i="125"/>
  <c r="BA34" i="63"/>
  <c r="BF34" i="63"/>
  <c r="CQ71" i="128"/>
  <c r="R83" i="125"/>
  <c r="X74" i="126"/>
  <c r="CQ26" i="128"/>
  <c r="R38" i="125"/>
  <c r="X29" i="126"/>
  <c r="DG49" i="63"/>
  <c r="DA49" i="63"/>
  <c r="DA19" i="63"/>
  <c r="DG19" i="63"/>
  <c r="DG93" i="63"/>
  <c r="DA93" i="63"/>
  <c r="DA45" i="63"/>
  <c r="DG45" i="63"/>
  <c r="DA23" i="63"/>
  <c r="DG23" i="63"/>
  <c r="DG66" i="63"/>
  <c r="DA66" i="63"/>
  <c r="DA65" i="63"/>
  <c r="DG65" i="63"/>
  <c r="DA75" i="63"/>
  <c r="DG75" i="63"/>
  <c r="DA15" i="63"/>
  <c r="DG15" i="63"/>
  <c r="DG46" i="63"/>
  <c r="DA46" i="63"/>
  <c r="DG77" i="63"/>
  <c r="DA77" i="63"/>
  <c r="DG31" i="63"/>
  <c r="DA31" i="63"/>
  <c r="DA98" i="63"/>
  <c r="DG98" i="63"/>
  <c r="CQ91" i="128"/>
  <c r="R103" i="125"/>
  <c r="X94" i="126"/>
  <c r="CQ22" i="128"/>
  <c r="R34" i="125"/>
  <c r="X25" i="126"/>
  <c r="CQ72" i="128"/>
  <c r="R84" i="125"/>
  <c r="X75" i="126"/>
  <c r="BA11" i="63"/>
  <c r="BF11" i="63"/>
  <c r="H23" i="125"/>
  <c r="AB23" i="125"/>
  <c r="BA49" i="63"/>
  <c r="BF49" i="63"/>
  <c r="H61" i="125"/>
  <c r="AB61" i="125"/>
  <c r="BA54" i="63"/>
  <c r="BF54" i="63"/>
  <c r="H66" i="125"/>
  <c r="AB66" i="125"/>
  <c r="DB41" i="63"/>
  <c r="DH41" i="63"/>
  <c r="BA16" i="63"/>
  <c r="BF16" i="63"/>
  <c r="H28" i="125"/>
  <c r="AB28" i="125"/>
  <c r="DH65" i="63"/>
  <c r="DB65" i="63"/>
  <c r="I67" i="71"/>
  <c r="I74" i="71"/>
  <c r="AY62" i="128"/>
  <c r="AX62" i="128"/>
  <c r="AY55" i="63"/>
  <c r="AX55" i="63"/>
  <c r="J67" i="125"/>
  <c r="AY11" i="128"/>
  <c r="AX11" i="128"/>
  <c r="J57" i="125"/>
  <c r="AY45" i="63"/>
  <c r="AX45" i="63"/>
  <c r="AY102" i="128"/>
  <c r="AX102" i="128"/>
  <c r="AY66" i="63"/>
  <c r="AX66" i="63"/>
  <c r="J78" i="125"/>
  <c r="AY79" i="128"/>
  <c r="AX79" i="128"/>
  <c r="AY42" i="128"/>
  <c r="AX42" i="128"/>
  <c r="J86" i="125"/>
  <c r="AY74" i="63"/>
  <c r="AX74" i="63"/>
  <c r="J26" i="125"/>
  <c r="AY14" i="63"/>
  <c r="AX14" i="63"/>
  <c r="AY30" i="128"/>
  <c r="AX30" i="128"/>
  <c r="AY51" i="63"/>
  <c r="J63" i="125"/>
  <c r="AX51" i="63"/>
  <c r="AY71" i="128"/>
  <c r="AX71" i="128"/>
  <c r="AY61" i="128"/>
  <c r="AX61" i="128"/>
  <c r="AY82" i="128"/>
  <c r="AX82" i="128"/>
  <c r="AY10" i="63"/>
  <c r="J22" i="125"/>
  <c r="AX10" i="63"/>
  <c r="AY99" i="128"/>
  <c r="AX99" i="128"/>
  <c r="AY72" i="63"/>
  <c r="J84" i="125"/>
  <c r="AX72" i="63"/>
  <c r="AY15" i="128"/>
  <c r="AX15" i="128"/>
  <c r="AY46" i="63"/>
  <c r="J58" i="125"/>
  <c r="AX46" i="63"/>
  <c r="AY57" i="128"/>
  <c r="AX57" i="128"/>
  <c r="AY91" i="63"/>
  <c r="J103" i="125"/>
  <c r="AX91" i="63"/>
  <c r="AY82" i="63"/>
  <c r="J94" i="125"/>
  <c r="AX82" i="63"/>
  <c r="J19" i="125"/>
  <c r="AY7" i="63"/>
  <c r="AX7" i="63"/>
  <c r="AY53" i="63"/>
  <c r="AX53" i="63"/>
  <c r="J65" i="125"/>
  <c r="J68" i="125"/>
  <c r="AY56" i="63"/>
  <c r="AX56" i="63"/>
  <c r="AY94" i="128"/>
  <c r="AX94" i="128"/>
  <c r="AY29" i="128"/>
  <c r="AX29" i="128"/>
  <c r="J29" i="125"/>
  <c r="AY17" i="63"/>
  <c r="AX17" i="63"/>
  <c r="AY25" i="128"/>
  <c r="AX25" i="128"/>
  <c r="AY103" i="63"/>
  <c r="AX103" i="63"/>
  <c r="J115" i="125"/>
  <c r="AY62" i="63"/>
  <c r="J74" i="125"/>
  <c r="AX62" i="63"/>
  <c r="J31" i="125"/>
  <c r="AY19" i="63"/>
  <c r="AX19" i="63"/>
  <c r="AY95" i="128"/>
  <c r="AX95" i="128"/>
  <c r="AX85" i="63"/>
  <c r="J97" i="125"/>
  <c r="AY85" i="63"/>
  <c r="AY41" i="63"/>
  <c r="AX41" i="63"/>
  <c r="J53" i="125"/>
  <c r="J100" i="125"/>
  <c r="AY88" i="63"/>
  <c r="AX88" i="63"/>
  <c r="AX90" i="128"/>
  <c r="AY90" i="128"/>
  <c r="AY73" i="63"/>
  <c r="J85" i="125"/>
  <c r="AX73" i="63"/>
  <c r="AN107" i="128"/>
  <c r="AJ109" i="128"/>
  <c r="AY77" i="128"/>
  <c r="AX77" i="128"/>
  <c r="AY51" i="128"/>
  <c r="AX51" i="128"/>
  <c r="J76" i="125"/>
  <c r="AY64" i="63"/>
  <c r="AX64" i="63"/>
  <c r="AY63" i="128"/>
  <c r="AX63" i="128"/>
  <c r="AY37" i="128"/>
  <c r="AX37" i="128"/>
  <c r="AY14" i="128"/>
  <c r="AX14" i="128"/>
  <c r="AY28" i="128"/>
  <c r="AX28" i="128"/>
  <c r="AY89" i="128"/>
  <c r="AX89" i="128"/>
  <c r="AX87" i="128"/>
  <c r="AY87" i="128"/>
  <c r="AY27" i="128"/>
  <c r="AX27" i="128"/>
  <c r="AY48" i="128"/>
  <c r="AX48" i="128"/>
  <c r="AY12" i="128"/>
  <c r="AX12" i="128"/>
  <c r="AY65" i="63"/>
  <c r="J77" i="125"/>
  <c r="AX65" i="63"/>
  <c r="AY96" i="63"/>
  <c r="AX96" i="63"/>
  <c r="J108" i="125"/>
  <c r="J109" i="125"/>
  <c r="AY97" i="63"/>
  <c r="AX97" i="63"/>
  <c r="AY56" i="128"/>
  <c r="AX56" i="128"/>
  <c r="J66" i="125"/>
  <c r="AY54" i="63"/>
  <c r="AX54" i="63"/>
  <c r="AY92" i="128"/>
  <c r="AX92" i="128"/>
  <c r="AY86" i="63"/>
  <c r="AX86" i="63"/>
  <c r="J98" i="125"/>
  <c r="AY80" i="128"/>
  <c r="AX80" i="128"/>
  <c r="AY19" i="128"/>
  <c r="AX19" i="128"/>
  <c r="AY10" i="128"/>
  <c r="AX10" i="128"/>
  <c r="AY24" i="128"/>
  <c r="AX24" i="128"/>
  <c r="AX86" i="128"/>
  <c r="AY86" i="128"/>
  <c r="J51" i="125"/>
  <c r="AY39" i="63"/>
  <c r="AX39" i="63"/>
  <c r="AY36" i="63"/>
  <c r="J48" i="125"/>
  <c r="AX36" i="63"/>
  <c r="AX61" i="63"/>
  <c r="J73" i="125"/>
  <c r="AY61" i="63"/>
  <c r="AX9" i="128"/>
  <c r="AY9" i="128"/>
  <c r="AY55" i="128"/>
  <c r="AX55" i="128"/>
  <c r="AY13" i="128"/>
  <c r="AX13" i="128"/>
  <c r="J43" i="125"/>
  <c r="AY31" i="63"/>
  <c r="AX31" i="63"/>
  <c r="AY76" i="128"/>
  <c r="AX76" i="128"/>
  <c r="J32" i="125"/>
  <c r="AY20" i="63"/>
  <c r="AX20" i="63"/>
  <c r="AY22" i="63"/>
  <c r="J34" i="125"/>
  <c r="AX22" i="63"/>
  <c r="J90" i="125"/>
  <c r="AY78" i="63"/>
  <c r="AX78" i="63"/>
  <c r="AY84" i="128"/>
  <c r="AX84" i="128"/>
  <c r="J62" i="125"/>
  <c r="AY50" i="63"/>
  <c r="AX50" i="63"/>
  <c r="J37" i="125"/>
  <c r="AY25" i="63"/>
  <c r="AX25" i="63"/>
  <c r="AY84" i="63"/>
  <c r="AX84" i="63"/>
  <c r="J96" i="125"/>
  <c r="AY80" i="63"/>
  <c r="AX80" i="63"/>
  <c r="J92" i="125"/>
  <c r="AY47" i="128"/>
  <c r="AX47" i="128"/>
  <c r="J107" i="125"/>
  <c r="AY95" i="63"/>
  <c r="AX95" i="63"/>
  <c r="AY63" i="63"/>
  <c r="AX63" i="63"/>
  <c r="J75" i="125"/>
  <c r="AY52" i="128"/>
  <c r="AX52" i="128"/>
  <c r="AY21" i="128"/>
  <c r="AX21" i="128"/>
  <c r="AY89" i="63"/>
  <c r="J101" i="125"/>
  <c r="AX89" i="63"/>
  <c r="AY97" i="128"/>
  <c r="AX97" i="128"/>
  <c r="J111" i="125"/>
  <c r="AX99" i="63"/>
  <c r="AY99" i="63"/>
  <c r="AY67" i="63"/>
  <c r="J79" i="125"/>
  <c r="AX67" i="63"/>
  <c r="AY20" i="128"/>
  <c r="AX20" i="128"/>
  <c r="J50" i="125"/>
  <c r="AY38" i="63"/>
  <c r="AX38" i="63"/>
  <c r="J95" i="125"/>
  <c r="AY83" i="63"/>
  <c r="AX83" i="63"/>
  <c r="AY31" i="128"/>
  <c r="AX31" i="128"/>
  <c r="AY47" i="63"/>
  <c r="J59" i="125"/>
  <c r="AX47" i="63"/>
  <c r="AY58" i="63"/>
  <c r="J70" i="125"/>
  <c r="AX58" i="63"/>
  <c r="AY68" i="128"/>
  <c r="AX68" i="128"/>
  <c r="J45" i="125"/>
  <c r="AY33" i="63"/>
  <c r="AX33" i="63"/>
  <c r="AY77" i="63"/>
  <c r="J89" i="125"/>
  <c r="AX77" i="63"/>
  <c r="AX96" i="128"/>
  <c r="AY96" i="128"/>
  <c r="AY46" i="128"/>
  <c r="AX46" i="128"/>
  <c r="AY36" i="128"/>
  <c r="AX36" i="128"/>
  <c r="AY85" i="128"/>
  <c r="AX85" i="128"/>
  <c r="AY103" i="128"/>
  <c r="AX103" i="128"/>
  <c r="AY35" i="128"/>
  <c r="AX35" i="128"/>
  <c r="AX101" i="128"/>
  <c r="AY101" i="128"/>
  <c r="AY40" i="128"/>
  <c r="AX40" i="128"/>
  <c r="AY29" i="63"/>
  <c r="J41" i="125"/>
  <c r="AX29" i="63"/>
  <c r="AY16" i="63"/>
  <c r="J28" i="125"/>
  <c r="AX16" i="63"/>
  <c r="AY71" i="63"/>
  <c r="J83" i="125"/>
  <c r="AX71" i="63"/>
  <c r="AY90" i="63"/>
  <c r="AX90" i="63"/>
  <c r="J102" i="125"/>
  <c r="AY58" i="128"/>
  <c r="AX58" i="128"/>
  <c r="AY33" i="128"/>
  <c r="AX33" i="128"/>
  <c r="J104" i="125"/>
  <c r="AY92" i="63"/>
  <c r="AX92" i="63"/>
  <c r="J60" i="125"/>
  <c r="AY48" i="63"/>
  <c r="AX48" i="63"/>
  <c r="AY72" i="128"/>
  <c r="AX72" i="128"/>
  <c r="J42" i="125"/>
  <c r="AY30" i="63"/>
  <c r="AX30" i="63"/>
  <c r="AY39" i="128"/>
  <c r="AX39" i="128"/>
  <c r="J113" i="125"/>
  <c r="AY101" i="63"/>
  <c r="AX101" i="63"/>
  <c r="AY76" i="63"/>
  <c r="J88" i="125"/>
  <c r="AX76" i="63"/>
  <c r="AX38" i="128"/>
  <c r="AY38" i="128"/>
  <c r="AY78" i="128"/>
  <c r="AX78" i="128"/>
  <c r="AY67" i="128"/>
  <c r="AX67" i="128"/>
  <c r="AY98" i="128"/>
  <c r="AX98" i="128"/>
  <c r="J55" i="125"/>
  <c r="AY43" i="63"/>
  <c r="AX43" i="63"/>
  <c r="AX88" i="128"/>
  <c r="AY88" i="128"/>
  <c r="AY32" i="128"/>
  <c r="AX32" i="128"/>
  <c r="J21" i="125"/>
  <c r="AY9" i="63"/>
  <c r="AX9" i="63"/>
  <c r="AY27" i="63"/>
  <c r="J39" i="125"/>
  <c r="AX27" i="63"/>
  <c r="J36" i="125"/>
  <c r="AY24" i="63"/>
  <c r="AX24" i="63"/>
  <c r="AY79" i="63"/>
  <c r="AX79" i="63"/>
  <c r="J91" i="125"/>
  <c r="AY74" i="128"/>
  <c r="AX74" i="128"/>
  <c r="AY69" i="128"/>
  <c r="AX69" i="128"/>
  <c r="J56" i="125"/>
  <c r="AY44" i="63"/>
  <c r="AX44" i="63"/>
  <c r="AX18" i="128"/>
  <c r="AY18" i="128"/>
  <c r="AY104" i="63"/>
  <c r="AX104" i="63"/>
  <c r="J116" i="125"/>
  <c r="AY11" i="63"/>
  <c r="AX11" i="63"/>
  <c r="J23" i="125"/>
  <c r="AY59" i="128"/>
  <c r="AX59" i="128"/>
  <c r="AX49" i="128"/>
  <c r="AY49" i="128"/>
  <c r="AY54" i="128"/>
  <c r="AX54" i="128"/>
  <c r="J64" i="125"/>
  <c r="AX52" i="63"/>
  <c r="AY52" i="63"/>
  <c r="AX50" i="128"/>
  <c r="AY50" i="128"/>
  <c r="AY93" i="63"/>
  <c r="J105" i="125"/>
  <c r="AX93" i="63"/>
  <c r="AY75" i="128"/>
  <c r="AX75" i="128"/>
  <c r="J114" i="125"/>
  <c r="AY102" i="63"/>
  <c r="AX102" i="63"/>
  <c r="J54" i="125"/>
  <c r="AY42" i="63"/>
  <c r="AX42" i="63"/>
  <c r="AY100" i="128"/>
  <c r="AX100" i="128"/>
  <c r="AY98" i="63"/>
  <c r="AX98" i="63"/>
  <c r="J110" i="125"/>
  <c r="AY70" i="63"/>
  <c r="J82" i="125"/>
  <c r="AX70" i="63"/>
  <c r="AY60" i="128"/>
  <c r="AX60" i="128"/>
  <c r="AX23" i="63"/>
  <c r="J35" i="125"/>
  <c r="AY23" i="63"/>
  <c r="AY26" i="128"/>
  <c r="AX26" i="128"/>
  <c r="AY6" i="63"/>
  <c r="AT107" i="63"/>
  <c r="AX6" i="63"/>
  <c r="J18" i="125"/>
  <c r="AX45" i="128"/>
  <c r="AY45" i="128"/>
  <c r="J80" i="125"/>
  <c r="AY68" i="63"/>
  <c r="AX68" i="63"/>
  <c r="AY104" i="128"/>
  <c r="AX104" i="128"/>
  <c r="AY6" i="128"/>
  <c r="AT107" i="128"/>
  <c r="AX6" i="128"/>
  <c r="AY18" i="63"/>
  <c r="J30" i="125"/>
  <c r="AX18" i="63"/>
  <c r="AX57" i="63"/>
  <c r="J69" i="125"/>
  <c r="AY57" i="63"/>
  <c r="J40" i="125"/>
  <c r="AY28" i="63"/>
  <c r="AX28" i="63"/>
  <c r="AY70" i="128"/>
  <c r="AX70" i="128"/>
  <c r="AY13" i="63"/>
  <c r="J25" i="125"/>
  <c r="AX13" i="63"/>
  <c r="AY16" i="128"/>
  <c r="AX16" i="128"/>
  <c r="J20" i="125"/>
  <c r="AY8" i="63"/>
  <c r="AX8" i="63"/>
  <c r="J38" i="125"/>
  <c r="AY26" i="63"/>
  <c r="AX26" i="63"/>
  <c r="AY66" i="128"/>
  <c r="AX66" i="128"/>
  <c r="J72" i="125"/>
  <c r="AY60" i="63"/>
  <c r="AX60" i="63"/>
  <c r="AX8" i="128"/>
  <c r="AY8" i="128"/>
  <c r="AX64" i="128"/>
  <c r="AY64" i="128"/>
  <c r="J93" i="125"/>
  <c r="AY81" i="63"/>
  <c r="AX81" i="63"/>
  <c r="AY43" i="128"/>
  <c r="AX43" i="128"/>
  <c r="AX34" i="128"/>
  <c r="AY34" i="128"/>
  <c r="AY75" i="63"/>
  <c r="AX75" i="63"/>
  <c r="J87" i="125"/>
  <c r="J46" i="125"/>
  <c r="AY34" i="63"/>
  <c r="AX34" i="63"/>
  <c r="AY21" i="63"/>
  <c r="AX21" i="63"/>
  <c r="J33" i="125"/>
  <c r="J44" i="125"/>
  <c r="AY32" i="63"/>
  <c r="AX32" i="63"/>
  <c r="AY91" i="128"/>
  <c r="AX91" i="128"/>
  <c r="AY44" i="128"/>
  <c r="AX44" i="128"/>
  <c r="AY81" i="128"/>
  <c r="AX81" i="128"/>
  <c r="J49" i="125"/>
  <c r="AY37" i="63"/>
  <c r="AX37" i="63"/>
  <c r="AY69" i="63"/>
  <c r="AX69" i="63"/>
  <c r="J81" i="125"/>
  <c r="AY93" i="128"/>
  <c r="AX93" i="128"/>
  <c r="J61" i="125"/>
  <c r="AY49" i="63"/>
  <c r="AX49" i="63"/>
  <c r="J117" i="125"/>
  <c r="AY105" i="63"/>
  <c r="AX105" i="63"/>
  <c r="AY7" i="128"/>
  <c r="AX7" i="128"/>
  <c r="AY83" i="128"/>
  <c r="AX83" i="128"/>
  <c r="AY12" i="63"/>
  <c r="AX12" i="63"/>
  <c r="J24" i="125"/>
  <c r="AY53" i="128"/>
  <c r="AX53" i="128"/>
  <c r="AY65" i="128"/>
  <c r="AX65" i="128"/>
  <c r="J47" i="125"/>
  <c r="AY35" i="63"/>
  <c r="AX35" i="63"/>
  <c r="AY15" i="63"/>
  <c r="J27" i="125"/>
  <c r="AX15" i="63"/>
  <c r="AY22" i="128"/>
  <c r="AX22" i="128"/>
  <c r="AY59" i="63"/>
  <c r="J71" i="125"/>
  <c r="AX59" i="63"/>
  <c r="AX73" i="128"/>
  <c r="AY73" i="128"/>
  <c r="J99" i="125"/>
  <c r="AY87" i="63"/>
  <c r="AX87" i="63"/>
  <c r="AY23" i="128"/>
  <c r="AX23" i="128"/>
  <c r="AY17" i="128"/>
  <c r="AX17" i="128"/>
  <c r="AY100" i="63"/>
  <c r="AX100" i="63"/>
  <c r="J112" i="125"/>
  <c r="AY41" i="128"/>
  <c r="AX41" i="128"/>
  <c r="J52" i="125"/>
  <c r="AY40" i="63"/>
  <c r="AX40" i="63"/>
  <c r="AY105" i="128"/>
  <c r="AX105" i="128"/>
  <c r="AY94" i="63"/>
  <c r="J106" i="125"/>
  <c r="AX94" i="63"/>
  <c r="A32" i="125"/>
  <c r="A22" i="126"/>
  <c r="AF22" i="126"/>
  <c r="DH89" i="63"/>
  <c r="DB94" i="63"/>
  <c r="DH29" i="63"/>
  <c r="DH43" i="63"/>
  <c r="DH15" i="63"/>
  <c r="DB62" i="63"/>
  <c r="DB66" i="63"/>
  <c r="DH74" i="63"/>
  <c r="DH63" i="63"/>
  <c r="DB102" i="63"/>
  <c r="AX107" i="63"/>
  <c r="DH87" i="63"/>
  <c r="DH14" i="63"/>
  <c r="DB38" i="63"/>
  <c r="DH80" i="63"/>
  <c r="DH69" i="63"/>
  <c r="U70" i="125"/>
  <c r="DH32" i="63"/>
  <c r="G61" i="60"/>
  <c r="U24" i="125"/>
  <c r="U90" i="125"/>
  <c r="U43" i="125"/>
  <c r="U113" i="125"/>
  <c r="U62" i="125"/>
  <c r="U31" i="125"/>
  <c r="U41" i="125"/>
  <c r="U114" i="125"/>
  <c r="U57" i="125"/>
  <c r="U111" i="125"/>
  <c r="U86" i="125"/>
  <c r="U100" i="125"/>
  <c r="U78" i="125"/>
  <c r="DD66" i="128"/>
  <c r="DJ66" i="128"/>
  <c r="U39" i="125"/>
  <c r="AJ39" i="125"/>
  <c r="AQ39" i="125"/>
  <c r="U83" i="125"/>
  <c r="U22" i="125"/>
  <c r="U112" i="125"/>
  <c r="U89" i="125"/>
  <c r="U87" i="125"/>
  <c r="U91" i="125"/>
  <c r="U46" i="125"/>
  <c r="DD34" i="128"/>
  <c r="DJ34" i="128"/>
  <c r="U61" i="125"/>
  <c r="U40" i="125"/>
  <c r="U116" i="125"/>
  <c r="U50" i="125"/>
  <c r="U54" i="125"/>
  <c r="U60" i="125"/>
  <c r="U97" i="125"/>
  <c r="U85" i="125"/>
  <c r="U102" i="125"/>
  <c r="U99" i="125"/>
  <c r="AJ99" i="125"/>
  <c r="AQ99" i="125"/>
  <c r="U44" i="125"/>
  <c r="U58" i="125"/>
  <c r="U64" i="125"/>
  <c r="U88" i="125"/>
  <c r="AJ49" i="125"/>
  <c r="AQ49" i="125"/>
  <c r="DD37" i="128"/>
  <c r="DJ37" i="128"/>
  <c r="U77" i="125"/>
  <c r="U47" i="125"/>
  <c r="U81" i="125"/>
  <c r="U18" i="125"/>
  <c r="U45" i="125"/>
  <c r="U109" i="125"/>
  <c r="U82" i="125"/>
  <c r="U25" i="125"/>
  <c r="U38" i="125"/>
  <c r="U101" i="125"/>
  <c r="U110" i="125"/>
  <c r="U37" i="125"/>
  <c r="U79" i="125"/>
  <c r="I61" i="60"/>
  <c r="U66" i="125"/>
  <c r="U75" i="125"/>
  <c r="U68" i="125"/>
  <c r="U71" i="125"/>
  <c r="U103" i="125"/>
  <c r="U92" i="125"/>
  <c r="U106" i="125"/>
  <c r="U63" i="125"/>
  <c r="U35" i="125"/>
  <c r="U29" i="125"/>
  <c r="U34" i="125"/>
  <c r="U72" i="125"/>
  <c r="U30" i="125"/>
  <c r="U108" i="125"/>
  <c r="U48" i="125"/>
  <c r="U27" i="125"/>
  <c r="U67" i="125"/>
  <c r="U51" i="125"/>
  <c r="U28" i="125"/>
  <c r="U95" i="125"/>
  <c r="U42" i="125"/>
  <c r="U94" i="125"/>
  <c r="U23" i="125"/>
  <c r="U19" i="125"/>
  <c r="U59" i="125"/>
  <c r="U104" i="125"/>
  <c r="U117" i="125"/>
  <c r="U32" i="125"/>
  <c r="U73" i="125"/>
  <c r="U107" i="125"/>
  <c r="U115" i="125"/>
  <c r="U96" i="125"/>
  <c r="U65" i="125"/>
  <c r="U53" i="125"/>
  <c r="U55" i="125"/>
  <c r="U76" i="125"/>
  <c r="U26" i="125"/>
  <c r="U98" i="125"/>
  <c r="U52" i="125"/>
  <c r="U20" i="125"/>
  <c r="U56" i="125"/>
  <c r="U105" i="125"/>
  <c r="U21" i="125"/>
  <c r="U93" i="125"/>
  <c r="U69" i="125"/>
  <c r="U36" i="125"/>
  <c r="U74" i="125"/>
  <c r="U33" i="125"/>
  <c r="U80" i="125"/>
  <c r="U84" i="125"/>
  <c r="DH61" i="63"/>
  <c r="AX107" i="128"/>
  <c r="DH11" i="63"/>
  <c r="DB11" i="63"/>
  <c r="DB39" i="63"/>
  <c r="DH39" i="63"/>
  <c r="DH45" i="63"/>
  <c r="DB45" i="63"/>
  <c r="DH18" i="63"/>
  <c r="DB18" i="63"/>
  <c r="DH73" i="63"/>
  <c r="DB73" i="63"/>
  <c r="DH105" i="63"/>
  <c r="DB105" i="63"/>
  <c r="DB99" i="63"/>
  <c r="DH99" i="63"/>
  <c r="DH33" i="63"/>
  <c r="DB33" i="63"/>
  <c r="DH82" i="63"/>
  <c r="DB82" i="63"/>
  <c r="DH90" i="63"/>
  <c r="DB90" i="63"/>
  <c r="DH27" i="63"/>
  <c r="DB27" i="63"/>
  <c r="DH72" i="63"/>
  <c r="DB72" i="63"/>
  <c r="DB30" i="63"/>
  <c r="DH30" i="63"/>
  <c r="AB118" i="125"/>
  <c r="DH31" i="63"/>
  <c r="DB31" i="63"/>
  <c r="DH40" i="63"/>
  <c r="DB40" i="63"/>
  <c r="DB26" i="63"/>
  <c r="DH26" i="63"/>
  <c r="DB97" i="63"/>
  <c r="DH97" i="63"/>
  <c r="DH51" i="63"/>
  <c r="DB51" i="63"/>
  <c r="DH52" i="63"/>
  <c r="DB52" i="63"/>
  <c r="DH25" i="63"/>
  <c r="DB25" i="63"/>
  <c r="DB56" i="63"/>
  <c r="DH56" i="63"/>
  <c r="DH9" i="63"/>
  <c r="DB9" i="63"/>
  <c r="DH20" i="63"/>
  <c r="DB20" i="63"/>
  <c r="DH104" i="63"/>
  <c r="DB104" i="63"/>
  <c r="X105" i="126"/>
  <c r="BS110" i="128"/>
  <c r="BR110" i="128"/>
  <c r="DH24" i="63"/>
  <c r="DB24" i="63"/>
  <c r="BR112" i="128"/>
  <c r="X107" i="126"/>
  <c r="BS112" i="128"/>
  <c r="DH84" i="63"/>
  <c r="DB84" i="63"/>
  <c r="DH10" i="63"/>
  <c r="DB10" i="63"/>
  <c r="BA107" i="63"/>
  <c r="BF6" i="63"/>
  <c r="DB88" i="63"/>
  <c r="DH88" i="63"/>
  <c r="DH54" i="63"/>
  <c r="DB54" i="63"/>
  <c r="DB95" i="63"/>
  <c r="DH95" i="63"/>
  <c r="DB59" i="63"/>
  <c r="DH59" i="63"/>
  <c r="DH67" i="63"/>
  <c r="DB67" i="63"/>
  <c r="DH96" i="63"/>
  <c r="DB96" i="63"/>
  <c r="DH42" i="63"/>
  <c r="DB42" i="63"/>
  <c r="DH103" i="63"/>
  <c r="DB103" i="63"/>
  <c r="BS113" i="128"/>
  <c r="X108" i="126"/>
  <c r="BR113" i="128"/>
  <c r="DB46" i="63"/>
  <c r="DH46" i="63"/>
  <c r="DH34" i="63"/>
  <c r="DB34" i="63"/>
  <c r="BR111" i="128"/>
  <c r="X106" i="126"/>
  <c r="BS111" i="128"/>
  <c r="DH22" i="63"/>
  <c r="DB22" i="63"/>
  <c r="DH85" i="63"/>
  <c r="DB85" i="63"/>
  <c r="DB35" i="63"/>
  <c r="DH35" i="63"/>
  <c r="DH75" i="63"/>
  <c r="DB75" i="63"/>
  <c r="BA107" i="128"/>
  <c r="BF6" i="128"/>
  <c r="BF107" i="128"/>
  <c r="DH28" i="63"/>
  <c r="DB28" i="63"/>
  <c r="DH53" i="63"/>
  <c r="DB53" i="63"/>
  <c r="DH21" i="63"/>
  <c r="DB21" i="63"/>
  <c r="DH78" i="63"/>
  <c r="DB78" i="63"/>
  <c r="DH16" i="63"/>
  <c r="DB16" i="63"/>
  <c r="DH49" i="63"/>
  <c r="DB49" i="63"/>
  <c r="BS109" i="128"/>
  <c r="X104" i="126"/>
  <c r="BR109" i="128"/>
  <c r="DB60" i="63"/>
  <c r="DH60" i="63"/>
  <c r="DH7" i="63"/>
  <c r="DB7" i="63"/>
  <c r="DB57" i="63"/>
  <c r="DH57" i="63"/>
  <c r="DH77" i="63"/>
  <c r="DB77" i="63"/>
  <c r="DH71" i="63"/>
  <c r="DB71" i="63"/>
  <c r="DH17" i="63"/>
  <c r="DB17" i="63"/>
  <c r="DH91" i="63"/>
  <c r="DB91" i="63"/>
  <c r="DB76" i="63"/>
  <c r="DH76" i="63"/>
  <c r="DH70" i="63"/>
  <c r="DB70" i="63"/>
  <c r="DB79" i="63"/>
  <c r="DH79" i="63"/>
  <c r="DG6" i="63"/>
  <c r="BE107" i="63"/>
  <c r="DA6" i="63"/>
  <c r="DH93" i="63"/>
  <c r="DB93" i="63"/>
  <c r="DB36" i="63"/>
  <c r="DH36" i="63"/>
  <c r="DH23" i="63"/>
  <c r="DB23" i="63"/>
  <c r="R118" i="125"/>
  <c r="C7" i="127"/>
  <c r="DH64" i="63"/>
  <c r="DB64" i="63"/>
  <c r="DB86" i="63"/>
  <c r="DH86" i="63"/>
  <c r="DH68" i="63"/>
  <c r="DB68" i="63"/>
  <c r="DH83" i="63"/>
  <c r="DB83" i="63"/>
  <c r="DB81" i="63"/>
  <c r="DH81" i="63"/>
  <c r="DH12" i="63"/>
  <c r="DB12" i="63"/>
  <c r="DH8" i="63"/>
  <c r="DB8" i="63"/>
  <c r="DH44" i="63"/>
  <c r="DB44" i="63"/>
  <c r="DB58" i="63"/>
  <c r="DH58" i="63"/>
  <c r="D63" i="60"/>
  <c r="D61" i="61"/>
  <c r="I68" i="71"/>
  <c r="I72" i="71"/>
  <c r="I73" i="71"/>
  <c r="BC30" i="63"/>
  <c r="BD30" i="63"/>
  <c r="AD59" i="125"/>
  <c r="AF59" i="125"/>
  <c r="K59" i="125"/>
  <c r="L59" i="125"/>
  <c r="AD75" i="125"/>
  <c r="AF75" i="125"/>
  <c r="K75" i="125"/>
  <c r="L75" i="125"/>
  <c r="BC47" i="128"/>
  <c r="BD47" i="128"/>
  <c r="BH47" i="128"/>
  <c r="BC84" i="63"/>
  <c r="BD84" i="63"/>
  <c r="K62" i="125"/>
  <c r="L62" i="125"/>
  <c r="AD62" i="125"/>
  <c r="AF62" i="125"/>
  <c r="BC76" i="128"/>
  <c r="BD76" i="128"/>
  <c r="BH76" i="128"/>
  <c r="BD55" i="128"/>
  <c r="BH55" i="128"/>
  <c r="BC55" i="128"/>
  <c r="BD80" i="128"/>
  <c r="BH80" i="128"/>
  <c r="BC80" i="128"/>
  <c r="AD109" i="125"/>
  <c r="AF109" i="125"/>
  <c r="K109" i="125"/>
  <c r="L109" i="125"/>
  <c r="BC65" i="63"/>
  <c r="BD65" i="63"/>
  <c r="BD37" i="128"/>
  <c r="BH37" i="128"/>
  <c r="BC37" i="128"/>
  <c r="BC51" i="128"/>
  <c r="BD51" i="128"/>
  <c r="BH51" i="128"/>
  <c r="BC73" i="63"/>
  <c r="BD73" i="63"/>
  <c r="AD53" i="125"/>
  <c r="AF53" i="125"/>
  <c r="K53" i="125"/>
  <c r="L53" i="125"/>
  <c r="BC95" i="128"/>
  <c r="BD95" i="128"/>
  <c r="BH95" i="128"/>
  <c r="BD62" i="63"/>
  <c r="BC62" i="63"/>
  <c r="BD46" i="63"/>
  <c r="BC46" i="63"/>
  <c r="BC99" i="128"/>
  <c r="BD99" i="128"/>
  <c r="BH99" i="128"/>
  <c r="BD61" i="128"/>
  <c r="BH61" i="128"/>
  <c r="BC61" i="128"/>
  <c r="BC30" i="128"/>
  <c r="BD30" i="128"/>
  <c r="BH30" i="128"/>
  <c r="AD86" i="125"/>
  <c r="AF86" i="125"/>
  <c r="K86" i="125"/>
  <c r="L86" i="125"/>
  <c r="BD66" i="63"/>
  <c r="BC66" i="63"/>
  <c r="BD11" i="128"/>
  <c r="BH11" i="128"/>
  <c r="BC11" i="128"/>
  <c r="BC64" i="128"/>
  <c r="BD64" i="128"/>
  <c r="BH64" i="128"/>
  <c r="AD69" i="125"/>
  <c r="AF69" i="125"/>
  <c r="K69" i="125"/>
  <c r="L69" i="125"/>
  <c r="K82" i="125"/>
  <c r="L82" i="125"/>
  <c r="AD82" i="125"/>
  <c r="AF82" i="125"/>
  <c r="AD24" i="125"/>
  <c r="AF24" i="125"/>
  <c r="K24" i="125"/>
  <c r="L24" i="125"/>
  <c r="BC66" i="128"/>
  <c r="BD66" i="128"/>
  <c r="BH66" i="128"/>
  <c r="BD70" i="63"/>
  <c r="BC70" i="63"/>
  <c r="BD104" i="63"/>
  <c r="BC104" i="63"/>
  <c r="BC78" i="128"/>
  <c r="BD78" i="128"/>
  <c r="BH78" i="128"/>
  <c r="AD102" i="125"/>
  <c r="AF102" i="125"/>
  <c r="K102" i="125"/>
  <c r="L102" i="125"/>
  <c r="BD68" i="128"/>
  <c r="BH68" i="128"/>
  <c r="BC68" i="128"/>
  <c r="AD111" i="125"/>
  <c r="AF111" i="125"/>
  <c r="K111" i="125"/>
  <c r="L111" i="125"/>
  <c r="BD9" i="128"/>
  <c r="BH9" i="128"/>
  <c r="BC9" i="128"/>
  <c r="BC54" i="63"/>
  <c r="BD54" i="63"/>
  <c r="BD90" i="128"/>
  <c r="BH90" i="128"/>
  <c r="BC90" i="128"/>
  <c r="BD17" i="63"/>
  <c r="BC17" i="63"/>
  <c r="BC56" i="63"/>
  <c r="BD56" i="63"/>
  <c r="BD7" i="63"/>
  <c r="BC7" i="63"/>
  <c r="AD103" i="125"/>
  <c r="AF103" i="125"/>
  <c r="K103" i="125"/>
  <c r="L103" i="125"/>
  <c r="BC23" i="128"/>
  <c r="BD23" i="128"/>
  <c r="BH23" i="128"/>
  <c r="BC7" i="128"/>
  <c r="BD7" i="128"/>
  <c r="BH7" i="128"/>
  <c r="BC21" i="63"/>
  <c r="BD21" i="63"/>
  <c r="AD93" i="125"/>
  <c r="AF93" i="125"/>
  <c r="K93" i="125"/>
  <c r="L93" i="125"/>
  <c r="BD57" i="63"/>
  <c r="BC57" i="63"/>
  <c r="BC45" i="128"/>
  <c r="BD45" i="128"/>
  <c r="BH45" i="128"/>
  <c r="AD114" i="125"/>
  <c r="AF114" i="125"/>
  <c r="K114" i="125"/>
  <c r="L114" i="125"/>
  <c r="AD116" i="125"/>
  <c r="AF116" i="125"/>
  <c r="K116" i="125"/>
  <c r="L116" i="125"/>
  <c r="BC27" i="63"/>
  <c r="BD27" i="63"/>
  <c r="BD76" i="63"/>
  <c r="BC76" i="63"/>
  <c r="BC71" i="63"/>
  <c r="BD71" i="63"/>
  <c r="BD87" i="128"/>
  <c r="BH87" i="128"/>
  <c r="BC87" i="128"/>
  <c r="K74" i="125"/>
  <c r="L74" i="125"/>
  <c r="AD74" i="125"/>
  <c r="AF74" i="125"/>
  <c r="AD58" i="125"/>
  <c r="AF58" i="125"/>
  <c r="K58" i="125"/>
  <c r="L58" i="125"/>
  <c r="BD8" i="63"/>
  <c r="BC8" i="63"/>
  <c r="BD105" i="128"/>
  <c r="BH105" i="128"/>
  <c r="BC105" i="128"/>
  <c r="BC70" i="128"/>
  <c r="BD70" i="128"/>
  <c r="BH70" i="128"/>
  <c r="BD75" i="128"/>
  <c r="BH75" i="128"/>
  <c r="BC75" i="128"/>
  <c r="BC59" i="128"/>
  <c r="BD59" i="128"/>
  <c r="BH59" i="128"/>
  <c r="K42" i="125"/>
  <c r="L42" i="125"/>
  <c r="AD42" i="125"/>
  <c r="AF42" i="125"/>
  <c r="BC85" i="128"/>
  <c r="BD85" i="128"/>
  <c r="BH85" i="128"/>
  <c r="BC47" i="63"/>
  <c r="BD47" i="63"/>
  <c r="BC20" i="128"/>
  <c r="BD20" i="128"/>
  <c r="BH20" i="128"/>
  <c r="K101" i="125"/>
  <c r="L101" i="125"/>
  <c r="AD101" i="125"/>
  <c r="AF101" i="125"/>
  <c r="K48" i="125"/>
  <c r="L48" i="125"/>
  <c r="AD48" i="125"/>
  <c r="AF48" i="125"/>
  <c r="BD87" i="63"/>
  <c r="BC87" i="63"/>
  <c r="BC35" i="63"/>
  <c r="BD35" i="63"/>
  <c r="BD105" i="63"/>
  <c r="BC105" i="63"/>
  <c r="BC32" i="63"/>
  <c r="BD32" i="63"/>
  <c r="BD34" i="63"/>
  <c r="BC34" i="63"/>
  <c r="BC8" i="128"/>
  <c r="BD8" i="128"/>
  <c r="BH8" i="128"/>
  <c r="BD104" i="128"/>
  <c r="BH104" i="128"/>
  <c r="BC104" i="128"/>
  <c r="AD18" i="125"/>
  <c r="K18" i="125"/>
  <c r="AD35" i="125"/>
  <c r="AF35" i="125"/>
  <c r="K35" i="125"/>
  <c r="L35" i="125"/>
  <c r="BD42" i="63"/>
  <c r="BC42" i="63"/>
  <c r="BD18" i="128"/>
  <c r="BH18" i="128"/>
  <c r="BC18" i="128"/>
  <c r="BD24" i="63"/>
  <c r="BC24" i="63"/>
  <c r="BC9" i="63"/>
  <c r="BD9" i="63"/>
  <c r="BC43" i="63"/>
  <c r="BD43" i="63"/>
  <c r="BD38" i="128"/>
  <c r="BH38" i="128"/>
  <c r="BC38" i="128"/>
  <c r="BC101" i="63"/>
  <c r="BD101" i="63"/>
  <c r="BD92" i="63"/>
  <c r="BC92" i="63"/>
  <c r="AD28" i="125"/>
  <c r="AF28" i="125"/>
  <c r="K28" i="125"/>
  <c r="L28" i="125"/>
  <c r="BC101" i="128"/>
  <c r="BD101" i="128"/>
  <c r="BH101" i="128"/>
  <c r="AD89" i="125"/>
  <c r="AF89" i="125"/>
  <c r="K89" i="125"/>
  <c r="L89" i="125"/>
  <c r="BD83" i="63"/>
  <c r="BC83" i="63"/>
  <c r="BD89" i="63"/>
  <c r="BC89" i="63"/>
  <c r="BC63" i="63"/>
  <c r="BD63" i="63"/>
  <c r="AD92" i="125"/>
  <c r="AF92" i="125"/>
  <c r="K92" i="125"/>
  <c r="L92" i="125"/>
  <c r="BD84" i="128"/>
  <c r="BH84" i="128"/>
  <c r="BC84" i="128"/>
  <c r="BD22" i="63"/>
  <c r="BC22" i="63"/>
  <c r="BD36" i="63"/>
  <c r="BC36" i="63"/>
  <c r="BD24" i="128"/>
  <c r="BH24" i="128"/>
  <c r="BC24" i="128"/>
  <c r="AD98" i="125"/>
  <c r="AF98" i="125"/>
  <c r="K98" i="125"/>
  <c r="L98" i="125"/>
  <c r="AD66" i="125"/>
  <c r="AF66" i="125"/>
  <c r="K66" i="125"/>
  <c r="L66" i="125"/>
  <c r="K108" i="125"/>
  <c r="L108" i="125"/>
  <c r="AD108" i="125"/>
  <c r="AF108" i="125"/>
  <c r="BC12" i="128"/>
  <c r="BD12" i="128"/>
  <c r="BH12" i="128"/>
  <c r="BD89" i="128"/>
  <c r="BH89" i="128"/>
  <c r="BC89" i="128"/>
  <c r="BD63" i="128"/>
  <c r="BH63" i="128"/>
  <c r="BC63" i="128"/>
  <c r="BD77" i="128"/>
  <c r="BH77" i="128"/>
  <c r="BC77" i="128"/>
  <c r="BC41" i="63"/>
  <c r="BD41" i="63"/>
  <c r="K115" i="125"/>
  <c r="L115" i="125"/>
  <c r="AD115" i="125"/>
  <c r="AF115" i="125"/>
  <c r="AD29" i="125"/>
  <c r="AF29" i="125"/>
  <c r="K29" i="125"/>
  <c r="L29" i="125"/>
  <c r="AD68" i="125"/>
  <c r="AF68" i="125"/>
  <c r="K68" i="125"/>
  <c r="L68" i="125"/>
  <c r="AD19" i="125"/>
  <c r="AF19" i="125"/>
  <c r="K19" i="125"/>
  <c r="L19" i="125"/>
  <c r="BD91" i="63"/>
  <c r="BC91" i="63"/>
  <c r="BC15" i="128"/>
  <c r="BD15" i="128"/>
  <c r="BH15" i="128"/>
  <c r="BD71" i="128"/>
  <c r="BH71" i="128"/>
  <c r="BC71" i="128"/>
  <c r="BC42" i="128"/>
  <c r="BD42" i="128"/>
  <c r="BH42" i="128"/>
  <c r="BC102" i="128"/>
  <c r="BD102" i="128"/>
  <c r="BH102" i="128"/>
  <c r="AD67" i="125"/>
  <c r="AF67" i="125"/>
  <c r="K67" i="125"/>
  <c r="L67" i="125"/>
  <c r="BD41" i="128"/>
  <c r="BH41" i="128"/>
  <c r="BC41" i="128"/>
  <c r="BC53" i="128"/>
  <c r="BD53" i="128"/>
  <c r="BH53" i="128"/>
  <c r="BD91" i="128"/>
  <c r="BH91" i="128"/>
  <c r="BC91" i="128"/>
  <c r="AD72" i="125"/>
  <c r="AF72" i="125"/>
  <c r="K72" i="125"/>
  <c r="L72" i="125"/>
  <c r="BD13" i="63"/>
  <c r="BC13" i="63"/>
  <c r="BC26" i="128"/>
  <c r="BD26" i="128"/>
  <c r="BH26" i="128"/>
  <c r="K56" i="125"/>
  <c r="L56" i="125"/>
  <c r="AD56" i="125"/>
  <c r="AF56" i="125"/>
  <c r="K60" i="125"/>
  <c r="L60" i="125"/>
  <c r="AD60" i="125"/>
  <c r="AF60" i="125"/>
  <c r="BD103" i="128"/>
  <c r="BH103" i="128"/>
  <c r="BC103" i="128"/>
  <c r="BC50" i="63"/>
  <c r="BD50" i="63"/>
  <c r="AD77" i="125"/>
  <c r="AF77" i="125"/>
  <c r="K77" i="125"/>
  <c r="L77" i="125"/>
  <c r="AD85" i="125"/>
  <c r="AF85" i="125"/>
  <c r="K85" i="125"/>
  <c r="L85" i="125"/>
  <c r="BD74" i="63"/>
  <c r="BC74" i="63"/>
  <c r="AD71" i="125"/>
  <c r="AF71" i="125"/>
  <c r="K71" i="125"/>
  <c r="L71" i="125"/>
  <c r="AY107" i="128"/>
  <c r="BD6" i="128"/>
  <c r="BC6" i="128"/>
  <c r="BC59" i="63"/>
  <c r="BD59" i="63"/>
  <c r="BD93" i="128"/>
  <c r="BH93" i="128"/>
  <c r="BC93" i="128"/>
  <c r="K20" i="125"/>
  <c r="L20" i="125"/>
  <c r="AD20" i="125"/>
  <c r="AF20" i="125"/>
  <c r="BC23" i="63"/>
  <c r="BD23" i="63"/>
  <c r="BD52" i="63"/>
  <c r="BC52" i="63"/>
  <c r="BC69" i="128"/>
  <c r="BD69" i="128"/>
  <c r="BH69" i="128"/>
  <c r="BC40" i="128"/>
  <c r="BD40" i="128"/>
  <c r="BH40" i="128"/>
  <c r="AD34" i="125"/>
  <c r="AF34" i="125"/>
  <c r="K34" i="125"/>
  <c r="L34" i="125"/>
  <c r="BC100" i="63"/>
  <c r="BD100" i="63"/>
  <c r="AD99" i="125"/>
  <c r="AF99" i="125"/>
  <c r="K99" i="125"/>
  <c r="L99" i="125"/>
  <c r="BD22" i="128"/>
  <c r="BH22" i="128"/>
  <c r="BC22" i="128"/>
  <c r="AD47" i="125"/>
  <c r="AF47" i="125"/>
  <c r="K47" i="125"/>
  <c r="L47" i="125"/>
  <c r="BC12" i="63"/>
  <c r="BD12" i="63"/>
  <c r="K117" i="125"/>
  <c r="L117" i="125"/>
  <c r="AD117" i="125"/>
  <c r="AF117" i="125"/>
  <c r="C3" i="127"/>
  <c r="K81" i="125"/>
  <c r="L81" i="125"/>
  <c r="AD81" i="125"/>
  <c r="AF81" i="125"/>
  <c r="BC81" i="128"/>
  <c r="BD81" i="128"/>
  <c r="BH81" i="128"/>
  <c r="AD44" i="125"/>
  <c r="AF44" i="125"/>
  <c r="K44" i="125"/>
  <c r="L44" i="125"/>
  <c r="AD46" i="125"/>
  <c r="AF46" i="125"/>
  <c r="K46" i="125"/>
  <c r="L46" i="125"/>
  <c r="BD43" i="128"/>
  <c r="BH43" i="128"/>
  <c r="BC43" i="128"/>
  <c r="BD16" i="128"/>
  <c r="BH16" i="128"/>
  <c r="BC16" i="128"/>
  <c r="AD110" i="125"/>
  <c r="AF110" i="125"/>
  <c r="K110" i="125"/>
  <c r="L110" i="125"/>
  <c r="AD54" i="125"/>
  <c r="AF54" i="125"/>
  <c r="K54" i="125"/>
  <c r="L54" i="125"/>
  <c r="AD64" i="125"/>
  <c r="AF64" i="125"/>
  <c r="K64" i="125"/>
  <c r="L64" i="125"/>
  <c r="AD23" i="125"/>
  <c r="AF23" i="125"/>
  <c r="K23" i="125"/>
  <c r="L23" i="125"/>
  <c r="BC74" i="128"/>
  <c r="BD74" i="128"/>
  <c r="BH74" i="128"/>
  <c r="K36" i="125"/>
  <c r="L36" i="125"/>
  <c r="AD36" i="125"/>
  <c r="AF36" i="125"/>
  <c r="AD21" i="125"/>
  <c r="AF21" i="125"/>
  <c r="K21" i="125"/>
  <c r="L21" i="125"/>
  <c r="AD55" i="125"/>
  <c r="AF55" i="125"/>
  <c r="K55" i="125"/>
  <c r="L55" i="125"/>
  <c r="K113" i="125"/>
  <c r="L113" i="125"/>
  <c r="AD113" i="125"/>
  <c r="AF113" i="125"/>
  <c r="BD72" i="128"/>
  <c r="BH72" i="128"/>
  <c r="BC72" i="128"/>
  <c r="AD104" i="125"/>
  <c r="AF104" i="125"/>
  <c r="K104" i="125"/>
  <c r="L104" i="125"/>
  <c r="BD90" i="63"/>
  <c r="BC90" i="63"/>
  <c r="BD16" i="63"/>
  <c r="BC16" i="63"/>
  <c r="BD36" i="128"/>
  <c r="BH36" i="128"/>
  <c r="BC36" i="128"/>
  <c r="BD77" i="63"/>
  <c r="BC77" i="63"/>
  <c r="BD31" i="128"/>
  <c r="BH31" i="128"/>
  <c r="BC31" i="128"/>
  <c r="AD95" i="125"/>
  <c r="AF95" i="125"/>
  <c r="K95" i="125"/>
  <c r="L95" i="125"/>
  <c r="BC97" i="128"/>
  <c r="BD97" i="128"/>
  <c r="BH97" i="128"/>
  <c r="BD25" i="63"/>
  <c r="BC25" i="63"/>
  <c r="BC31" i="63"/>
  <c r="BD31" i="63"/>
  <c r="BC19" i="63"/>
  <c r="BD19" i="63"/>
  <c r="AD22" i="125"/>
  <c r="AF22" i="125"/>
  <c r="K22" i="125"/>
  <c r="L22" i="125"/>
  <c r="BD14" i="63"/>
  <c r="BC14" i="63"/>
  <c r="BD94" i="63"/>
  <c r="BC94" i="63"/>
  <c r="BD100" i="128"/>
  <c r="BH100" i="128"/>
  <c r="BC100" i="128"/>
  <c r="BD79" i="63"/>
  <c r="BC79" i="63"/>
  <c r="BD67" i="128"/>
  <c r="BH67" i="128"/>
  <c r="BC67" i="128"/>
  <c r="BC58" i="128"/>
  <c r="BD58" i="128"/>
  <c r="BH58" i="128"/>
  <c r="BD29" i="63"/>
  <c r="BC29" i="63"/>
  <c r="AD45" i="125"/>
  <c r="AF45" i="125"/>
  <c r="K45" i="125"/>
  <c r="L45" i="125"/>
  <c r="AD50" i="125"/>
  <c r="AF50" i="125"/>
  <c r="K50" i="125"/>
  <c r="L50" i="125"/>
  <c r="BD99" i="63"/>
  <c r="BC99" i="63"/>
  <c r="BD86" i="128"/>
  <c r="BH86" i="128"/>
  <c r="BC86" i="128"/>
  <c r="BD97" i="63"/>
  <c r="BC97" i="63"/>
  <c r="BD37" i="63"/>
  <c r="BC37" i="63"/>
  <c r="BD34" i="128"/>
  <c r="BH34" i="128"/>
  <c r="BC34" i="128"/>
  <c r="AD112" i="125"/>
  <c r="AF112" i="125"/>
  <c r="K112" i="125"/>
  <c r="L112" i="125"/>
  <c r="AD49" i="125"/>
  <c r="AF49" i="125"/>
  <c r="K49" i="125"/>
  <c r="L49" i="125"/>
  <c r="BD40" i="63"/>
  <c r="BC40" i="63"/>
  <c r="BC73" i="128"/>
  <c r="BD73" i="128"/>
  <c r="BH73" i="128"/>
  <c r="BC26" i="63"/>
  <c r="BD26" i="63"/>
  <c r="BD28" i="63"/>
  <c r="BC28" i="63"/>
  <c r="K30" i="125"/>
  <c r="L30" i="125"/>
  <c r="AD30" i="125"/>
  <c r="AF30" i="125"/>
  <c r="K105" i="125"/>
  <c r="L105" i="125"/>
  <c r="AD105" i="125"/>
  <c r="AF105" i="125"/>
  <c r="AD70" i="125"/>
  <c r="AF70" i="125"/>
  <c r="K70" i="125"/>
  <c r="L70" i="125"/>
  <c r="AD79" i="125"/>
  <c r="AF79" i="125"/>
  <c r="K79" i="125"/>
  <c r="L79" i="125"/>
  <c r="BD21" i="128"/>
  <c r="BH21" i="128"/>
  <c r="BC21" i="128"/>
  <c r="BC80" i="63"/>
  <c r="BD80" i="63"/>
  <c r="AD37" i="125"/>
  <c r="AF37" i="125"/>
  <c r="K37" i="125"/>
  <c r="L37" i="125"/>
  <c r="AD43" i="125"/>
  <c r="AF43" i="125"/>
  <c r="K43" i="125"/>
  <c r="L43" i="125"/>
  <c r="BC61" i="63"/>
  <c r="BD61" i="63"/>
  <c r="BD10" i="128"/>
  <c r="BH10" i="128"/>
  <c r="BC10" i="128"/>
  <c r="BC86" i="63"/>
  <c r="BD86" i="63"/>
  <c r="BC56" i="128"/>
  <c r="BD56" i="128"/>
  <c r="BH56" i="128"/>
  <c r="BD96" i="63"/>
  <c r="BC96" i="63"/>
  <c r="BC48" i="128"/>
  <c r="BD48" i="128"/>
  <c r="BH48" i="128"/>
  <c r="BD28" i="128"/>
  <c r="BH28" i="128"/>
  <c r="BC28" i="128"/>
  <c r="AK109" i="128"/>
  <c r="AN109" i="128"/>
  <c r="AM109" i="128"/>
  <c r="AL109" i="128"/>
  <c r="BC85" i="63"/>
  <c r="BD85" i="63"/>
  <c r="K31" i="125"/>
  <c r="L31" i="125"/>
  <c r="AD31" i="125"/>
  <c r="AF31" i="125"/>
  <c r="BD103" i="63"/>
  <c r="BC103" i="63"/>
  <c r="BD29" i="128"/>
  <c r="BH29" i="128"/>
  <c r="BC29" i="128"/>
  <c r="AD65" i="125"/>
  <c r="AF65" i="125"/>
  <c r="K65" i="125"/>
  <c r="L65" i="125"/>
  <c r="BD57" i="128"/>
  <c r="BH57" i="128"/>
  <c r="BC57" i="128"/>
  <c r="BC10" i="63"/>
  <c r="BD10" i="63"/>
  <c r="K26" i="125"/>
  <c r="L26" i="125"/>
  <c r="AD26" i="125"/>
  <c r="AF26" i="125"/>
  <c r="BD79" i="128"/>
  <c r="BH79" i="128"/>
  <c r="BC79" i="128"/>
  <c r="BC55" i="63"/>
  <c r="BD55" i="63"/>
  <c r="BD88" i="63"/>
  <c r="BC88" i="63"/>
  <c r="AD97" i="125"/>
  <c r="AF97" i="125"/>
  <c r="K97" i="125"/>
  <c r="L97" i="125"/>
  <c r="K94" i="125"/>
  <c r="L94" i="125"/>
  <c r="AD94" i="125"/>
  <c r="AF94" i="125"/>
  <c r="AD84" i="125"/>
  <c r="AF84" i="125"/>
  <c r="K84" i="125"/>
  <c r="L84" i="125"/>
  <c r="AD63" i="125"/>
  <c r="AF63" i="125"/>
  <c r="K63" i="125"/>
  <c r="L63" i="125"/>
  <c r="BC45" i="63"/>
  <c r="BD45" i="63"/>
  <c r="BD15" i="63"/>
  <c r="BC15" i="63"/>
  <c r="AD61" i="125"/>
  <c r="AF61" i="125"/>
  <c r="K61" i="125"/>
  <c r="L61" i="125"/>
  <c r="BC75" i="63"/>
  <c r="BD75" i="63"/>
  <c r="AD52" i="125"/>
  <c r="AF52" i="125"/>
  <c r="K52" i="125"/>
  <c r="L52" i="125"/>
  <c r="BD17" i="128"/>
  <c r="BH17" i="128"/>
  <c r="BC17" i="128"/>
  <c r="BD65" i="128"/>
  <c r="BH65" i="128"/>
  <c r="BC65" i="128"/>
  <c r="BC83" i="128"/>
  <c r="BD83" i="128"/>
  <c r="BH83" i="128"/>
  <c r="BC69" i="63"/>
  <c r="BD69" i="63"/>
  <c r="BC44" i="128"/>
  <c r="BD44" i="128"/>
  <c r="BH44" i="128"/>
  <c r="K33" i="125"/>
  <c r="L33" i="125"/>
  <c r="AD33" i="125"/>
  <c r="AF33" i="125"/>
  <c r="AD87" i="125"/>
  <c r="AF87" i="125"/>
  <c r="K87" i="125"/>
  <c r="L87" i="125"/>
  <c r="AD38" i="125"/>
  <c r="AF38" i="125"/>
  <c r="K38" i="125"/>
  <c r="L38" i="125"/>
  <c r="AD40" i="125"/>
  <c r="AF40" i="125"/>
  <c r="K40" i="125"/>
  <c r="L40" i="125"/>
  <c r="BD18" i="63"/>
  <c r="BC18" i="63"/>
  <c r="BC68" i="63"/>
  <c r="BD68" i="63"/>
  <c r="BC6" i="63"/>
  <c r="BD6" i="63"/>
  <c r="AY107" i="63"/>
  <c r="X80" i="125"/>
  <c r="BC60" i="128"/>
  <c r="BD60" i="128"/>
  <c r="BH60" i="128"/>
  <c r="BC98" i="63"/>
  <c r="BD98" i="63"/>
  <c r="BD93" i="63"/>
  <c r="BC93" i="63"/>
  <c r="BD54" i="128"/>
  <c r="BH54" i="128"/>
  <c r="BC54" i="128"/>
  <c r="BC11" i="63"/>
  <c r="BD11" i="63"/>
  <c r="K91" i="125"/>
  <c r="L91" i="125"/>
  <c r="AD91" i="125"/>
  <c r="AF91" i="125"/>
  <c r="BC32" i="128"/>
  <c r="BD32" i="128"/>
  <c r="BH32" i="128"/>
  <c r="BC98" i="128"/>
  <c r="BD98" i="128"/>
  <c r="BH98" i="128"/>
  <c r="BC39" i="128"/>
  <c r="BD39" i="128"/>
  <c r="BH39" i="128"/>
  <c r="BD33" i="128"/>
  <c r="BH33" i="128"/>
  <c r="BC33" i="128"/>
  <c r="BD35" i="128"/>
  <c r="BH35" i="128"/>
  <c r="BC35" i="128"/>
  <c r="BC46" i="128"/>
  <c r="BD46" i="128"/>
  <c r="BH46" i="128"/>
  <c r="BC58" i="63"/>
  <c r="BD58" i="63"/>
  <c r="BD67" i="63"/>
  <c r="BC67" i="63"/>
  <c r="BD95" i="63"/>
  <c r="BC95" i="63"/>
  <c r="BC78" i="63"/>
  <c r="BD78" i="63"/>
  <c r="BC20" i="63"/>
  <c r="BD20" i="63"/>
  <c r="K73" i="125"/>
  <c r="L73" i="125"/>
  <c r="AD73" i="125"/>
  <c r="AF73" i="125"/>
  <c r="BC39" i="63"/>
  <c r="BD39" i="63"/>
  <c r="BD64" i="63"/>
  <c r="BC64" i="63"/>
  <c r="K106" i="125"/>
  <c r="L106" i="125"/>
  <c r="AD106" i="125"/>
  <c r="AF106" i="125"/>
  <c r="AD27" i="125"/>
  <c r="AF27" i="125"/>
  <c r="K27" i="125"/>
  <c r="L27" i="125"/>
  <c r="BD49" i="63"/>
  <c r="BC49" i="63"/>
  <c r="BC81" i="63"/>
  <c r="BD81" i="63"/>
  <c r="BC60" i="63"/>
  <c r="BD60" i="63"/>
  <c r="K25" i="125"/>
  <c r="L25" i="125"/>
  <c r="AD25" i="125"/>
  <c r="AF25" i="125"/>
  <c r="AD80" i="125"/>
  <c r="AF80" i="125"/>
  <c r="K80" i="125"/>
  <c r="L80" i="125"/>
  <c r="BD102" i="63"/>
  <c r="BC102" i="63"/>
  <c r="BC50" i="128"/>
  <c r="BD50" i="128"/>
  <c r="BH50" i="128"/>
  <c r="BD49" i="128"/>
  <c r="BH49" i="128"/>
  <c r="BC49" i="128"/>
  <c r="BD44" i="63"/>
  <c r="BC44" i="63"/>
  <c r="AD39" i="125"/>
  <c r="AF39" i="125"/>
  <c r="K39" i="125"/>
  <c r="L39" i="125"/>
  <c r="BC88" i="128"/>
  <c r="BD88" i="128"/>
  <c r="BH88" i="128"/>
  <c r="AD88" i="125"/>
  <c r="AF88" i="125"/>
  <c r="K88" i="125"/>
  <c r="L88" i="125"/>
  <c r="BC48" i="63"/>
  <c r="BD48" i="63"/>
  <c r="AD83" i="125"/>
  <c r="AF83" i="125"/>
  <c r="K83" i="125"/>
  <c r="L83" i="125"/>
  <c r="AD41" i="125"/>
  <c r="AF41" i="125"/>
  <c r="K41" i="125"/>
  <c r="L41" i="125"/>
  <c r="BC96" i="128"/>
  <c r="BD96" i="128"/>
  <c r="BH96" i="128"/>
  <c r="BD33" i="63"/>
  <c r="BC33" i="63"/>
  <c r="BD38" i="63"/>
  <c r="BC38" i="63"/>
  <c r="BC52" i="128"/>
  <c r="BD52" i="128"/>
  <c r="BH52" i="128"/>
  <c r="AD107" i="125"/>
  <c r="AF107" i="125"/>
  <c r="K107" i="125"/>
  <c r="L107" i="125"/>
  <c r="AD96" i="125"/>
  <c r="AF96" i="125"/>
  <c r="K96" i="125"/>
  <c r="L96" i="125"/>
  <c r="K90" i="125"/>
  <c r="L90" i="125"/>
  <c r="AD90" i="125"/>
  <c r="AF90" i="125"/>
  <c r="AD32" i="125"/>
  <c r="AF32" i="125"/>
  <c r="K32" i="125"/>
  <c r="L32" i="125"/>
  <c r="BD13" i="128"/>
  <c r="BH13" i="128"/>
  <c r="BC13" i="128"/>
  <c r="AD51" i="125"/>
  <c r="AF51" i="125"/>
  <c r="K51" i="125"/>
  <c r="L51" i="125"/>
  <c r="BC19" i="128"/>
  <c r="BD19" i="128"/>
  <c r="BH19" i="128"/>
  <c r="BD92" i="128"/>
  <c r="BH92" i="128"/>
  <c r="BC92" i="128"/>
  <c r="BC27" i="128"/>
  <c r="BD27" i="128"/>
  <c r="BH27" i="128"/>
  <c r="BC14" i="128"/>
  <c r="BD14" i="128"/>
  <c r="BH14" i="128"/>
  <c r="AD76" i="125"/>
  <c r="AF76" i="125"/>
  <c r="K76" i="125"/>
  <c r="L76" i="125"/>
  <c r="AD100" i="125"/>
  <c r="AF100" i="125"/>
  <c r="K100" i="125"/>
  <c r="L100" i="125"/>
  <c r="BC25" i="128"/>
  <c r="BD25" i="128"/>
  <c r="BH25" i="128"/>
  <c r="BC94" i="128"/>
  <c r="BD94" i="128"/>
  <c r="BH94" i="128"/>
  <c r="BC53" i="63"/>
  <c r="BD53" i="63"/>
  <c r="BD82" i="63"/>
  <c r="BC82" i="63"/>
  <c r="BC72" i="63"/>
  <c r="BD72" i="63"/>
  <c r="BD82" i="128"/>
  <c r="BH82" i="128"/>
  <c r="BC82" i="128"/>
  <c r="BC51" i="63"/>
  <c r="BD51" i="63"/>
  <c r="K78" i="125"/>
  <c r="L78" i="125"/>
  <c r="AD78" i="125"/>
  <c r="AF78" i="125"/>
  <c r="AD57" i="125"/>
  <c r="AF57" i="125"/>
  <c r="K57" i="125"/>
  <c r="L57" i="125"/>
  <c r="BD62" i="128"/>
  <c r="BH62" i="128"/>
  <c r="BC62" i="128"/>
  <c r="A33" i="125"/>
  <c r="A23" i="126"/>
  <c r="AF23" i="126"/>
  <c r="DD87" i="128"/>
  <c r="DJ87" i="128"/>
  <c r="AJ78" i="125"/>
  <c r="AQ78" i="125"/>
  <c r="DD58" i="128"/>
  <c r="DJ58" i="128"/>
  <c r="AJ70" i="125"/>
  <c r="AQ70" i="125"/>
  <c r="DD27" i="128"/>
  <c r="DJ27" i="128"/>
  <c r="AJ46" i="125"/>
  <c r="AQ46" i="125"/>
  <c r="AJ24" i="125"/>
  <c r="AQ24" i="125"/>
  <c r="DD12" i="128"/>
  <c r="DJ12" i="128"/>
  <c r="DD31" i="128"/>
  <c r="DJ31" i="128"/>
  <c r="AJ43" i="125"/>
  <c r="AQ43" i="125"/>
  <c r="AJ90" i="125"/>
  <c r="AQ90" i="125"/>
  <c r="DD78" i="128"/>
  <c r="DJ78" i="128"/>
  <c r="DD29" i="128"/>
  <c r="DJ29" i="128"/>
  <c r="AJ41" i="125"/>
  <c r="AQ41" i="125"/>
  <c r="DD19" i="128"/>
  <c r="DJ19" i="128"/>
  <c r="AJ31" i="125"/>
  <c r="AQ31" i="125"/>
  <c r="DD50" i="128"/>
  <c r="DJ50" i="128"/>
  <c r="AJ62" i="125"/>
  <c r="AQ62" i="125"/>
  <c r="AJ113" i="125"/>
  <c r="AQ113" i="125"/>
  <c r="DD101" i="128"/>
  <c r="DJ101" i="128"/>
  <c r="AJ83" i="125"/>
  <c r="AQ83" i="125"/>
  <c r="DD71" i="128"/>
  <c r="DJ71" i="128"/>
  <c r="AJ100" i="125"/>
  <c r="AQ100" i="125"/>
  <c r="DD88" i="128"/>
  <c r="DJ88" i="128"/>
  <c r="DD74" i="128"/>
  <c r="DJ74" i="128"/>
  <c r="AJ86" i="125"/>
  <c r="AQ86" i="125"/>
  <c r="AJ111" i="125"/>
  <c r="AQ111" i="125"/>
  <c r="DD99" i="128"/>
  <c r="DJ99" i="128"/>
  <c r="DD45" i="128"/>
  <c r="DJ45" i="128"/>
  <c r="AJ57" i="125"/>
  <c r="AQ57" i="125"/>
  <c r="DD10" i="128"/>
  <c r="DJ10" i="128"/>
  <c r="AJ22" i="125"/>
  <c r="AQ22" i="125"/>
  <c r="AJ114" i="125"/>
  <c r="AQ114" i="125"/>
  <c r="DD102" i="128"/>
  <c r="DJ102" i="128"/>
  <c r="DD104" i="128"/>
  <c r="DJ104" i="128"/>
  <c r="AJ116" i="125"/>
  <c r="AQ116" i="125"/>
  <c r="AJ40" i="125"/>
  <c r="AQ40" i="125"/>
  <c r="DD28" i="128"/>
  <c r="DJ28" i="128"/>
  <c r="AJ61" i="125"/>
  <c r="AQ61" i="125"/>
  <c r="DD49" i="128"/>
  <c r="DJ49" i="128"/>
  <c r="DD79" i="128"/>
  <c r="DJ79" i="128"/>
  <c r="AJ91" i="125"/>
  <c r="AQ91" i="125"/>
  <c r="DD75" i="128"/>
  <c r="DJ75" i="128"/>
  <c r="AJ87" i="125"/>
  <c r="AQ87" i="125"/>
  <c r="DD77" i="128"/>
  <c r="DJ77" i="128"/>
  <c r="AJ89" i="125"/>
  <c r="AQ89" i="125"/>
  <c r="DD100" i="128"/>
  <c r="DJ100" i="128"/>
  <c r="AJ112" i="125"/>
  <c r="AQ112" i="125"/>
  <c r="AJ44" i="125"/>
  <c r="AQ44" i="125"/>
  <c r="DD32" i="128"/>
  <c r="DJ32" i="128"/>
  <c r="AJ102" i="125"/>
  <c r="AQ102" i="125"/>
  <c r="DD90" i="128"/>
  <c r="DJ90" i="128"/>
  <c r="DD73" i="128"/>
  <c r="DJ73" i="128"/>
  <c r="AJ85" i="125"/>
  <c r="AQ85" i="125"/>
  <c r="AJ97" i="125"/>
  <c r="AQ97" i="125"/>
  <c r="DD85" i="128"/>
  <c r="DJ85" i="128"/>
  <c r="AJ88" i="125"/>
  <c r="AQ88" i="125"/>
  <c r="DD76" i="128"/>
  <c r="DJ76" i="128"/>
  <c r="DD48" i="128"/>
  <c r="DJ48" i="128"/>
  <c r="AJ60" i="125"/>
  <c r="AQ60" i="125"/>
  <c r="DD52" i="128"/>
  <c r="DJ52" i="128"/>
  <c r="AJ64" i="125"/>
  <c r="AQ64" i="125"/>
  <c r="AJ54" i="125"/>
  <c r="AQ54" i="125"/>
  <c r="DD42" i="128"/>
  <c r="DJ42" i="128"/>
  <c r="DD46" i="128"/>
  <c r="DJ46" i="128"/>
  <c r="AJ58" i="125"/>
  <c r="AQ58" i="125"/>
  <c r="DD38" i="128"/>
  <c r="DJ38" i="128"/>
  <c r="AJ50" i="125"/>
  <c r="AQ50" i="125"/>
  <c r="AJ109" i="125"/>
  <c r="AQ109" i="125"/>
  <c r="DD97" i="128"/>
  <c r="DJ97" i="128"/>
  <c r="DD67" i="128"/>
  <c r="DJ67" i="128"/>
  <c r="AJ79" i="125"/>
  <c r="AQ79" i="125"/>
  <c r="DD33" i="128"/>
  <c r="DJ33" i="128"/>
  <c r="AJ45" i="125"/>
  <c r="AQ45" i="125"/>
  <c r="DD25" i="128"/>
  <c r="DJ25" i="128"/>
  <c r="AJ37" i="125"/>
  <c r="AQ37" i="125"/>
  <c r="DD6" i="128"/>
  <c r="DJ6" i="128"/>
  <c r="AJ18" i="125"/>
  <c r="AQ18" i="125"/>
  <c r="DD98" i="128"/>
  <c r="DJ98" i="128"/>
  <c r="AJ110" i="125"/>
  <c r="AQ110" i="125"/>
  <c r="DD69" i="128"/>
  <c r="DJ69" i="128"/>
  <c r="AJ81" i="125"/>
  <c r="AQ81" i="125"/>
  <c r="AJ101" i="125"/>
  <c r="AQ101" i="125"/>
  <c r="DD89" i="128"/>
  <c r="DJ89" i="128"/>
  <c r="AJ47" i="125"/>
  <c r="AQ47" i="125"/>
  <c r="DD35" i="128"/>
  <c r="DJ35" i="128"/>
  <c r="DD26" i="128"/>
  <c r="DJ26" i="128"/>
  <c r="AJ38" i="125"/>
  <c r="AQ38" i="125"/>
  <c r="AJ77" i="125"/>
  <c r="AQ77" i="125"/>
  <c r="DD65" i="128"/>
  <c r="DJ65" i="128"/>
  <c r="AJ25" i="125"/>
  <c r="AQ25" i="125"/>
  <c r="DD13" i="128"/>
  <c r="DJ13" i="128"/>
  <c r="U118" i="125"/>
  <c r="I1" i="125"/>
  <c r="C5" i="127"/>
  <c r="AJ82" i="125"/>
  <c r="AQ82" i="125"/>
  <c r="DD70" i="128"/>
  <c r="DJ70" i="128"/>
  <c r="DD24" i="128"/>
  <c r="DJ24" i="128"/>
  <c r="AJ36" i="125"/>
  <c r="AQ36" i="125"/>
  <c r="AJ98" i="125"/>
  <c r="AQ98" i="125"/>
  <c r="DD86" i="128"/>
  <c r="DJ86" i="128"/>
  <c r="AJ107" i="125"/>
  <c r="AQ107" i="125"/>
  <c r="DD95" i="128"/>
  <c r="DJ95" i="128"/>
  <c r="DD82" i="128"/>
  <c r="DJ82" i="128"/>
  <c r="AJ94" i="125"/>
  <c r="AQ94" i="125"/>
  <c r="AJ108" i="125"/>
  <c r="AQ108" i="125"/>
  <c r="DD96" i="128"/>
  <c r="DJ96" i="128"/>
  <c r="DD80" i="128"/>
  <c r="DJ80" i="128"/>
  <c r="AJ92" i="125"/>
  <c r="AQ92" i="125"/>
  <c r="DD57" i="128"/>
  <c r="DJ57" i="128"/>
  <c r="AJ69" i="125"/>
  <c r="AQ69" i="125"/>
  <c r="AJ26" i="125"/>
  <c r="AQ26" i="125"/>
  <c r="DD14" i="128"/>
  <c r="DJ14" i="128"/>
  <c r="DD61" i="128"/>
  <c r="DJ61" i="128"/>
  <c r="AJ73" i="125"/>
  <c r="AQ73" i="125"/>
  <c r="DD30" i="128"/>
  <c r="DJ30" i="128"/>
  <c r="AJ42" i="125"/>
  <c r="AQ42" i="125"/>
  <c r="DD18" i="128"/>
  <c r="DJ18" i="128"/>
  <c r="AJ30" i="125"/>
  <c r="AQ30" i="125"/>
  <c r="AJ103" i="125"/>
  <c r="AQ103" i="125"/>
  <c r="DD91" i="128"/>
  <c r="DJ91" i="128"/>
  <c r="AJ93" i="125"/>
  <c r="AQ93" i="125"/>
  <c r="DD81" i="128"/>
  <c r="DJ81" i="128"/>
  <c r="DD64" i="128"/>
  <c r="DJ64" i="128"/>
  <c r="AJ76" i="125"/>
  <c r="AQ76" i="125"/>
  <c r="AJ32" i="125"/>
  <c r="AQ32" i="125"/>
  <c r="DD20" i="128"/>
  <c r="DJ20" i="128"/>
  <c r="AJ95" i="125"/>
  <c r="AQ95" i="125"/>
  <c r="DD83" i="128"/>
  <c r="DJ83" i="128"/>
  <c r="DD60" i="128"/>
  <c r="DJ60" i="128"/>
  <c r="AJ72" i="125"/>
  <c r="AQ72" i="125"/>
  <c r="AJ71" i="125"/>
  <c r="AQ71" i="125"/>
  <c r="DD59" i="128"/>
  <c r="DJ59" i="128"/>
  <c r="DD9" i="128"/>
  <c r="DJ9" i="128"/>
  <c r="AJ21" i="125"/>
  <c r="AQ21" i="125"/>
  <c r="DD43" i="128"/>
  <c r="DJ43" i="128"/>
  <c r="AJ55" i="125"/>
  <c r="AQ55" i="125"/>
  <c r="DD105" i="128"/>
  <c r="DJ105" i="128"/>
  <c r="Y1" i="125"/>
  <c r="AJ117" i="125"/>
  <c r="AQ117" i="125"/>
  <c r="DD16" i="128"/>
  <c r="DJ16" i="128"/>
  <c r="AJ28" i="125"/>
  <c r="AQ28" i="125"/>
  <c r="AJ34" i="125"/>
  <c r="AQ34" i="125"/>
  <c r="DD22" i="128"/>
  <c r="DJ22" i="128"/>
  <c r="DD56" i="128"/>
  <c r="DJ56" i="128"/>
  <c r="AJ68" i="125"/>
  <c r="AQ68" i="125"/>
  <c r="AJ84" i="125"/>
  <c r="AQ84" i="125"/>
  <c r="DD72" i="128"/>
  <c r="DJ72" i="128"/>
  <c r="DD93" i="128"/>
  <c r="DJ93" i="128"/>
  <c r="AJ105" i="125"/>
  <c r="AQ105" i="125"/>
  <c r="AJ53" i="125"/>
  <c r="AQ53" i="125"/>
  <c r="DD41" i="128"/>
  <c r="DJ41" i="128"/>
  <c r="DD92" i="128"/>
  <c r="DJ92" i="128"/>
  <c r="AJ104" i="125"/>
  <c r="AQ104" i="125"/>
  <c r="DD39" i="128"/>
  <c r="DJ39" i="128"/>
  <c r="AJ51" i="125"/>
  <c r="AQ51" i="125"/>
  <c r="DD17" i="128"/>
  <c r="DJ17" i="128"/>
  <c r="AJ29" i="125"/>
  <c r="AQ29" i="125"/>
  <c r="AJ75" i="125"/>
  <c r="AQ75" i="125"/>
  <c r="DD63" i="128"/>
  <c r="DJ63" i="128"/>
  <c r="DD68" i="128"/>
  <c r="DJ68" i="128"/>
  <c r="AJ80" i="125"/>
  <c r="AQ80" i="125"/>
  <c r="AJ56" i="125"/>
  <c r="AQ56" i="125"/>
  <c r="DD44" i="128"/>
  <c r="DJ44" i="128"/>
  <c r="AJ65" i="125"/>
  <c r="AQ65" i="125"/>
  <c r="DD53" i="128"/>
  <c r="DJ53" i="128"/>
  <c r="DD47" i="128"/>
  <c r="DJ47" i="128"/>
  <c r="AJ59" i="125"/>
  <c r="AQ59" i="125"/>
  <c r="AJ67" i="125"/>
  <c r="AQ67" i="125"/>
  <c r="DD55" i="128"/>
  <c r="DJ55" i="128"/>
  <c r="DD23" i="128"/>
  <c r="DJ23" i="128"/>
  <c r="AJ35" i="125"/>
  <c r="AQ35" i="125"/>
  <c r="DD54" i="128"/>
  <c r="DJ54" i="128"/>
  <c r="AJ66" i="125"/>
  <c r="AQ66" i="125"/>
  <c r="AJ33" i="125"/>
  <c r="AQ33" i="125"/>
  <c r="DD21" i="128"/>
  <c r="DJ21" i="128"/>
  <c r="DD8" i="128"/>
  <c r="DJ8" i="128"/>
  <c r="AJ20" i="125"/>
  <c r="AQ20" i="125"/>
  <c r="DD84" i="128"/>
  <c r="DJ84" i="128"/>
  <c r="AJ96" i="125"/>
  <c r="AQ96" i="125"/>
  <c r="DD7" i="128"/>
  <c r="DJ7" i="128"/>
  <c r="AJ19" i="125"/>
  <c r="DD15" i="128"/>
  <c r="DJ15" i="128"/>
  <c r="AJ27" i="125"/>
  <c r="AQ27" i="125"/>
  <c r="DD51" i="128"/>
  <c r="DJ51" i="128"/>
  <c r="AJ63" i="125"/>
  <c r="AQ63" i="125"/>
  <c r="AJ74" i="125"/>
  <c r="AQ74" i="125"/>
  <c r="DD62" i="128"/>
  <c r="DJ62" i="128"/>
  <c r="DD40" i="128"/>
  <c r="DJ40" i="128"/>
  <c r="AJ52" i="125"/>
  <c r="AQ52" i="125"/>
  <c r="DD103" i="128"/>
  <c r="DJ103" i="128"/>
  <c r="AJ115" i="125"/>
  <c r="AQ115" i="125"/>
  <c r="AJ23" i="125"/>
  <c r="AQ23" i="125"/>
  <c r="DD11" i="128"/>
  <c r="DJ11" i="128"/>
  <c r="AJ48" i="125"/>
  <c r="AQ48" i="125"/>
  <c r="DD36" i="128"/>
  <c r="DJ36" i="128"/>
  <c r="DD94" i="128"/>
  <c r="DJ94" i="128"/>
  <c r="AJ106" i="125"/>
  <c r="AQ106" i="125"/>
  <c r="X109" i="126"/>
  <c r="BC107" i="128"/>
  <c r="DB6" i="63"/>
  <c r="DH6" i="63"/>
  <c r="BF107" i="63"/>
  <c r="W63" i="125"/>
  <c r="DF51" i="128"/>
  <c r="DL51" i="128"/>
  <c r="V63" i="125"/>
  <c r="AK63" i="125"/>
  <c r="V60" i="125"/>
  <c r="C51" i="126"/>
  <c r="W90" i="125"/>
  <c r="DF78" i="128"/>
  <c r="DL78" i="128"/>
  <c r="V45" i="125"/>
  <c r="C36" i="126"/>
  <c r="F61" i="61"/>
  <c r="I4" i="65"/>
  <c r="D63" i="61"/>
  <c r="D65" i="60"/>
  <c r="F63" i="60"/>
  <c r="D3" i="121"/>
  <c r="X49" i="125"/>
  <c r="E40" i="126"/>
  <c r="X20" i="125"/>
  <c r="E11" i="126"/>
  <c r="X59" i="125"/>
  <c r="DC47" i="128"/>
  <c r="X116" i="125"/>
  <c r="DC104" i="128"/>
  <c r="V93" i="125"/>
  <c r="AK93" i="125"/>
  <c r="X71" i="125"/>
  <c r="DC59" i="128"/>
  <c r="W32" i="125"/>
  <c r="D23" i="126"/>
  <c r="R23" i="126"/>
  <c r="W56" i="125"/>
  <c r="DF44" i="128"/>
  <c r="DL44" i="128"/>
  <c r="V72" i="125"/>
  <c r="W51" i="125"/>
  <c r="AL51" i="125"/>
  <c r="AS51" i="125"/>
  <c r="X69" i="125"/>
  <c r="DC57" i="128"/>
  <c r="V56" i="125"/>
  <c r="AK56" i="125"/>
  <c r="V114" i="125"/>
  <c r="C105" i="126"/>
  <c r="V51" i="125"/>
  <c r="C42" i="126"/>
  <c r="V94" i="125"/>
  <c r="C85" i="126"/>
  <c r="X111" i="125"/>
  <c r="AM111" i="125"/>
  <c r="AT111" i="125"/>
  <c r="W45" i="125"/>
  <c r="AL45" i="125"/>
  <c r="AS45" i="125"/>
  <c r="W72" i="125"/>
  <c r="DF60" i="128"/>
  <c r="DL60" i="128"/>
  <c r="V61" i="125"/>
  <c r="AK61" i="125"/>
  <c r="W76" i="125"/>
  <c r="DF64" i="128"/>
  <c r="DL64" i="128"/>
  <c r="V90" i="125"/>
  <c r="DE78" i="128"/>
  <c r="DK78" i="128"/>
  <c r="V92" i="125"/>
  <c r="AK92" i="125"/>
  <c r="X91" i="125"/>
  <c r="E82" i="126"/>
  <c r="V50" i="125"/>
  <c r="C41" i="126"/>
  <c r="W60" i="125"/>
  <c r="D51" i="126"/>
  <c r="R51" i="126"/>
  <c r="W61" i="125"/>
  <c r="AL61" i="125"/>
  <c r="AS61" i="125"/>
  <c r="V76" i="125"/>
  <c r="C67" i="126"/>
  <c r="W73" i="125"/>
  <c r="AL73" i="125"/>
  <c r="AS73" i="125"/>
  <c r="V84" i="125"/>
  <c r="C75" i="126"/>
  <c r="W50" i="125"/>
  <c r="DF38" i="128"/>
  <c r="DL38" i="128"/>
  <c r="W114" i="125"/>
  <c r="DF102" i="128"/>
  <c r="DL102" i="128"/>
  <c r="W93" i="125"/>
  <c r="DF81" i="128"/>
  <c r="DL81" i="128"/>
  <c r="V107" i="125"/>
  <c r="AK107" i="125"/>
  <c r="W65" i="125"/>
  <c r="D56" i="126"/>
  <c r="R56" i="126"/>
  <c r="W84" i="125"/>
  <c r="DF72" i="128"/>
  <c r="DL72" i="128"/>
  <c r="V65" i="125"/>
  <c r="AK65" i="125"/>
  <c r="X109" i="125"/>
  <c r="DC97" i="128"/>
  <c r="V32" i="125"/>
  <c r="W107" i="125"/>
  <c r="DF95" i="128"/>
  <c r="DL95" i="128"/>
  <c r="W79" i="125"/>
  <c r="D70" i="126"/>
  <c r="R70" i="126"/>
  <c r="V70" i="125"/>
  <c r="DE58" i="128"/>
  <c r="DK58" i="128"/>
  <c r="V105" i="125"/>
  <c r="C96" i="126"/>
  <c r="V57" i="125"/>
  <c r="DE45" i="128"/>
  <c r="DK45" i="128"/>
  <c r="W97" i="125"/>
  <c r="AL97" i="125"/>
  <c r="AS97" i="125"/>
  <c r="W49" i="125"/>
  <c r="DF37" i="128"/>
  <c r="DL37" i="128"/>
  <c r="V41" i="125"/>
  <c r="V23" i="125"/>
  <c r="DE11" i="128"/>
  <c r="DK11" i="128"/>
  <c r="W110" i="125"/>
  <c r="DF98" i="128"/>
  <c r="DL98" i="128"/>
  <c r="W98" i="125"/>
  <c r="AL98" i="125"/>
  <c r="AS98" i="125"/>
  <c r="W106" i="125"/>
  <c r="DF94" i="128"/>
  <c r="DL94" i="128"/>
  <c r="W94" i="125"/>
  <c r="AL94" i="125"/>
  <c r="AS94" i="125"/>
  <c r="X82" i="125"/>
  <c r="AM82" i="125"/>
  <c r="AT82" i="125"/>
  <c r="W30" i="125"/>
  <c r="AL30" i="125"/>
  <c r="AS30" i="125"/>
  <c r="V100" i="125"/>
  <c r="DE88" i="128"/>
  <c r="DK88" i="128"/>
  <c r="V108" i="125"/>
  <c r="C99" i="126"/>
  <c r="X41" i="125"/>
  <c r="DC29" i="128"/>
  <c r="V40" i="125"/>
  <c r="AK40" i="125"/>
  <c r="V109" i="125"/>
  <c r="C100" i="126"/>
  <c r="E71" i="126"/>
  <c r="DC68" i="128"/>
  <c r="AM80" i="125"/>
  <c r="AT80" i="125"/>
  <c r="G64" i="126"/>
  <c r="Z64" i="126"/>
  <c r="AY73" i="125"/>
  <c r="B64" i="126"/>
  <c r="CO61" i="128"/>
  <c r="CS61" i="128"/>
  <c r="CK61" i="128"/>
  <c r="CL61" i="128"/>
  <c r="BH72" i="63"/>
  <c r="CK72" i="63"/>
  <c r="CL72" i="63"/>
  <c r="DF72" i="63"/>
  <c r="DJ72" i="63"/>
  <c r="CZ72" i="63"/>
  <c r="DD72" i="63"/>
  <c r="BH53" i="63"/>
  <c r="CK53" i="63"/>
  <c r="CL53" i="63"/>
  <c r="DF53" i="63"/>
  <c r="DJ53" i="63"/>
  <c r="CZ53" i="63"/>
  <c r="DD53" i="63"/>
  <c r="CO64" i="128"/>
  <c r="CS64" i="128"/>
  <c r="CK64" i="128"/>
  <c r="CL64" i="128"/>
  <c r="B67" i="126"/>
  <c r="AY76" i="125"/>
  <c r="G67" i="126"/>
  <c r="Z67" i="126"/>
  <c r="BH102" i="63"/>
  <c r="CK102" i="63"/>
  <c r="CL102" i="63"/>
  <c r="DF102" i="63"/>
  <c r="DJ102" i="63"/>
  <c r="CZ102" i="63"/>
  <c r="DD102" i="63"/>
  <c r="CZ67" i="63"/>
  <c r="DD67" i="63"/>
  <c r="BH67" i="63"/>
  <c r="CK67" i="63"/>
  <c r="CL67" i="63"/>
  <c r="DF67" i="63"/>
  <c r="DJ67" i="63"/>
  <c r="V80" i="125"/>
  <c r="B31" i="126"/>
  <c r="AY40" i="125"/>
  <c r="CO28" i="128"/>
  <c r="CS28" i="128"/>
  <c r="CK28" i="128"/>
  <c r="CL28" i="128"/>
  <c r="G31" i="126"/>
  <c r="Z31" i="126"/>
  <c r="W87" i="125"/>
  <c r="W57" i="125"/>
  <c r="CZ88" i="63"/>
  <c r="DD88" i="63"/>
  <c r="DF88" i="63"/>
  <c r="DJ88" i="63"/>
  <c r="BH88" i="63"/>
  <c r="CK88" i="63"/>
  <c r="CL88" i="63"/>
  <c r="AY26" i="125"/>
  <c r="CO14" i="128"/>
  <c r="CS14" i="128"/>
  <c r="CK14" i="128"/>
  <c r="CL14" i="128"/>
  <c r="G17" i="126"/>
  <c r="Z17" i="126"/>
  <c r="B17" i="126"/>
  <c r="AY31" i="125"/>
  <c r="CO19" i="128"/>
  <c r="CS19" i="128"/>
  <c r="CK19" i="128"/>
  <c r="CL19" i="128"/>
  <c r="G22" i="126"/>
  <c r="Z22" i="126"/>
  <c r="B22" i="126"/>
  <c r="W108" i="125"/>
  <c r="W38" i="125"/>
  <c r="CZ97" i="63"/>
  <c r="DD97" i="63"/>
  <c r="DF97" i="63"/>
  <c r="DJ97" i="63"/>
  <c r="BH97" i="63"/>
  <c r="CK97" i="63"/>
  <c r="CL97" i="63"/>
  <c r="V26" i="125"/>
  <c r="V43" i="125"/>
  <c r="BH77" i="63"/>
  <c r="CK77" i="63"/>
  <c r="CL77" i="63"/>
  <c r="DF77" i="63"/>
  <c r="DJ77" i="63"/>
  <c r="CZ77" i="63"/>
  <c r="DD77" i="63"/>
  <c r="V102" i="125"/>
  <c r="AY113" i="125"/>
  <c r="CO101" i="128"/>
  <c r="CS101" i="128"/>
  <c r="CK101" i="128"/>
  <c r="CL101" i="128"/>
  <c r="B104" i="126"/>
  <c r="G104" i="126"/>
  <c r="Z104" i="126"/>
  <c r="W24" i="125"/>
  <c r="G90" i="126"/>
  <c r="Z90" i="126"/>
  <c r="CO87" i="128"/>
  <c r="CS87" i="128"/>
  <c r="CK87" i="128"/>
  <c r="CL87" i="128"/>
  <c r="AY99" i="125"/>
  <c r="B90" i="126"/>
  <c r="V35" i="125"/>
  <c r="V71" i="125"/>
  <c r="AY60" i="125"/>
  <c r="B51" i="126"/>
  <c r="CO48" i="128"/>
  <c r="CS48" i="128"/>
  <c r="CK48" i="128"/>
  <c r="CL48" i="128"/>
  <c r="G51" i="126"/>
  <c r="Z51" i="126"/>
  <c r="DF13" i="63"/>
  <c r="DJ13" i="63"/>
  <c r="BH13" i="63"/>
  <c r="CK13" i="63"/>
  <c r="CL13" i="63"/>
  <c r="CZ13" i="63"/>
  <c r="DD13" i="63"/>
  <c r="W53" i="125"/>
  <c r="W34" i="125"/>
  <c r="V75" i="125"/>
  <c r="CZ83" i="63"/>
  <c r="DD83" i="63"/>
  <c r="DF83" i="63"/>
  <c r="DJ83" i="63"/>
  <c r="BH83" i="63"/>
  <c r="CK83" i="63"/>
  <c r="CL83" i="63"/>
  <c r="DF9" i="63"/>
  <c r="DJ9" i="63"/>
  <c r="CZ9" i="63"/>
  <c r="DD9" i="63"/>
  <c r="BH9" i="63"/>
  <c r="CK9" i="63"/>
  <c r="CL9" i="63"/>
  <c r="AF18" i="125"/>
  <c r="AD118" i="125"/>
  <c r="BH34" i="63"/>
  <c r="CK34" i="63"/>
  <c r="CL34" i="63"/>
  <c r="DF34" i="63"/>
  <c r="DJ34" i="63"/>
  <c r="CZ34" i="63"/>
  <c r="DD34" i="63"/>
  <c r="DF105" i="63"/>
  <c r="DJ105" i="63"/>
  <c r="CZ105" i="63"/>
  <c r="DD105" i="63"/>
  <c r="BH105" i="63"/>
  <c r="CK105" i="63"/>
  <c r="CL105" i="63"/>
  <c r="W99" i="125"/>
  <c r="DF47" i="63"/>
  <c r="DJ47" i="63"/>
  <c r="CZ47" i="63"/>
  <c r="DD47" i="63"/>
  <c r="BH47" i="63"/>
  <c r="CK47" i="63"/>
  <c r="CL47" i="63"/>
  <c r="V20" i="125"/>
  <c r="W88" i="125"/>
  <c r="W68" i="125"/>
  <c r="V58" i="125"/>
  <c r="B53" i="126"/>
  <c r="CO50" i="128"/>
  <c r="CS50" i="128"/>
  <c r="CK50" i="128"/>
  <c r="CL50" i="128"/>
  <c r="G53" i="126"/>
  <c r="Z53" i="126"/>
  <c r="AY62" i="125"/>
  <c r="X45" i="125"/>
  <c r="X114" i="125"/>
  <c r="X90" i="125"/>
  <c r="X79" i="125"/>
  <c r="CZ68" i="63"/>
  <c r="DD68" i="63"/>
  <c r="DF68" i="63"/>
  <c r="DJ68" i="63"/>
  <c r="BH68" i="63"/>
  <c r="CK68" i="63"/>
  <c r="CL68" i="63"/>
  <c r="DF55" i="63"/>
  <c r="DJ55" i="63"/>
  <c r="BH55" i="63"/>
  <c r="CK55" i="63"/>
  <c r="CL55" i="63"/>
  <c r="CZ55" i="63"/>
  <c r="DD55" i="63"/>
  <c r="CZ10" i="63"/>
  <c r="DD10" i="63"/>
  <c r="DF10" i="63"/>
  <c r="DJ10" i="63"/>
  <c r="BH10" i="63"/>
  <c r="CK10" i="63"/>
  <c r="CL10" i="63"/>
  <c r="AY30" i="125"/>
  <c r="CO18" i="128"/>
  <c r="CS18" i="128"/>
  <c r="CK18" i="128"/>
  <c r="CL18" i="128"/>
  <c r="B21" i="126"/>
  <c r="G21" i="126"/>
  <c r="Z21" i="126"/>
  <c r="DF26" i="63"/>
  <c r="DJ26" i="63"/>
  <c r="CZ26" i="63"/>
  <c r="DD26" i="63"/>
  <c r="BH26" i="63"/>
  <c r="CK26" i="63"/>
  <c r="CL26" i="63"/>
  <c r="DF40" i="63"/>
  <c r="DJ40" i="63"/>
  <c r="BH40" i="63"/>
  <c r="CK40" i="63"/>
  <c r="CL40" i="63"/>
  <c r="CZ40" i="63"/>
  <c r="DD40" i="63"/>
  <c r="AY45" i="125"/>
  <c r="B36" i="126"/>
  <c r="G36" i="126"/>
  <c r="Z36" i="126"/>
  <c r="CO33" i="128"/>
  <c r="CS33" i="128"/>
  <c r="CK33" i="128"/>
  <c r="CL33" i="128"/>
  <c r="G13" i="126"/>
  <c r="Z13" i="126"/>
  <c r="AY22" i="125"/>
  <c r="B13" i="126"/>
  <c r="CO10" i="128"/>
  <c r="CS10" i="128"/>
  <c r="CK10" i="128"/>
  <c r="CL10" i="128"/>
  <c r="W43" i="125"/>
  <c r="CO83" i="128"/>
  <c r="CS83" i="128"/>
  <c r="CK83" i="128"/>
  <c r="CL83" i="128"/>
  <c r="B86" i="126"/>
  <c r="G86" i="126"/>
  <c r="Z86" i="126"/>
  <c r="AY95" i="125"/>
  <c r="G46" i="126"/>
  <c r="Z46" i="126"/>
  <c r="B46" i="126"/>
  <c r="AY55" i="125"/>
  <c r="CO43" i="128"/>
  <c r="CS43" i="128"/>
  <c r="CK43" i="128"/>
  <c r="CL43" i="128"/>
  <c r="G14" i="126"/>
  <c r="Z14" i="126"/>
  <c r="CO11" i="128"/>
  <c r="CS11" i="128"/>
  <c r="CK11" i="128"/>
  <c r="CL11" i="128"/>
  <c r="B14" i="126"/>
  <c r="AY23" i="125"/>
  <c r="CZ12" i="63"/>
  <c r="DD12" i="63"/>
  <c r="BH12" i="63"/>
  <c r="CK12" i="63"/>
  <c r="CL12" i="63"/>
  <c r="DF12" i="63"/>
  <c r="DJ12" i="63"/>
  <c r="W35" i="125"/>
  <c r="DF59" i="63"/>
  <c r="DJ59" i="63"/>
  <c r="CZ59" i="63"/>
  <c r="DD59" i="63"/>
  <c r="BH59" i="63"/>
  <c r="CK59" i="63"/>
  <c r="CL59" i="63"/>
  <c r="W86" i="125"/>
  <c r="CZ50" i="63"/>
  <c r="DD50" i="63"/>
  <c r="DF50" i="63"/>
  <c r="DJ50" i="63"/>
  <c r="BH50" i="63"/>
  <c r="CK50" i="63"/>
  <c r="CL50" i="63"/>
  <c r="AY72" i="125"/>
  <c r="B63" i="126"/>
  <c r="CO60" i="128"/>
  <c r="CS60" i="128"/>
  <c r="CK60" i="128"/>
  <c r="CL60" i="128"/>
  <c r="G63" i="126"/>
  <c r="Z63" i="126"/>
  <c r="B58" i="126"/>
  <c r="CO55" i="128"/>
  <c r="CS55" i="128"/>
  <c r="CK55" i="128"/>
  <c r="CL55" i="128"/>
  <c r="G58" i="126"/>
  <c r="Z58" i="126"/>
  <c r="AY67" i="125"/>
  <c r="B59" i="126"/>
  <c r="G59" i="126"/>
  <c r="Z59" i="126"/>
  <c r="CO56" i="128"/>
  <c r="CS56" i="128"/>
  <c r="CK56" i="128"/>
  <c r="CL56" i="128"/>
  <c r="AY68" i="125"/>
  <c r="DF41" i="63"/>
  <c r="DJ41" i="63"/>
  <c r="CZ41" i="63"/>
  <c r="DD41" i="63"/>
  <c r="BH41" i="63"/>
  <c r="CK41" i="63"/>
  <c r="CL41" i="63"/>
  <c r="W75" i="125"/>
  <c r="W95" i="125"/>
  <c r="W104" i="125"/>
  <c r="W21" i="125"/>
  <c r="W54" i="125"/>
  <c r="W44" i="125"/>
  <c r="W47" i="125"/>
  <c r="W59" i="125"/>
  <c r="W83" i="125"/>
  <c r="W39" i="125"/>
  <c r="W33" i="125"/>
  <c r="B94" i="126"/>
  <c r="AY103" i="125"/>
  <c r="G94" i="126"/>
  <c r="Z94" i="126"/>
  <c r="CO91" i="128"/>
  <c r="CS91" i="128"/>
  <c r="CK91" i="128"/>
  <c r="CL91" i="128"/>
  <c r="DF56" i="63"/>
  <c r="DJ56" i="63"/>
  <c r="BH56" i="63"/>
  <c r="CK56" i="63"/>
  <c r="CL56" i="63"/>
  <c r="CZ56" i="63"/>
  <c r="DD56" i="63"/>
  <c r="W66" i="125"/>
  <c r="W116" i="125"/>
  <c r="B15" i="126"/>
  <c r="AY24" i="125"/>
  <c r="G15" i="126"/>
  <c r="Z15" i="126"/>
  <c r="CO12" i="128"/>
  <c r="CS12" i="128"/>
  <c r="CK12" i="128"/>
  <c r="CL12" i="128"/>
  <c r="AY53" i="125"/>
  <c r="B44" i="126"/>
  <c r="CO41" i="128"/>
  <c r="CS41" i="128"/>
  <c r="CK41" i="128"/>
  <c r="CL41" i="128"/>
  <c r="G44" i="126"/>
  <c r="Z44" i="126"/>
  <c r="V96" i="125"/>
  <c r="B50" i="126"/>
  <c r="G50" i="126"/>
  <c r="Z50" i="126"/>
  <c r="AY59" i="125"/>
  <c r="CO47" i="128"/>
  <c r="CS47" i="128"/>
  <c r="CK47" i="128"/>
  <c r="CL47" i="128"/>
  <c r="X32" i="125"/>
  <c r="X56" i="125"/>
  <c r="X18" i="125"/>
  <c r="X102" i="125"/>
  <c r="B81" i="126"/>
  <c r="CO78" i="128"/>
  <c r="CS78" i="128"/>
  <c r="CK78" i="128"/>
  <c r="CL78" i="128"/>
  <c r="G81" i="126"/>
  <c r="Z81" i="126"/>
  <c r="AY90" i="125"/>
  <c r="BH58" i="63"/>
  <c r="CK58" i="63"/>
  <c r="CL58" i="63"/>
  <c r="DF58" i="63"/>
  <c r="DJ58" i="63"/>
  <c r="CZ58" i="63"/>
  <c r="DD58" i="63"/>
  <c r="G82" i="126"/>
  <c r="Z82" i="126"/>
  <c r="AY91" i="125"/>
  <c r="CO79" i="128"/>
  <c r="CS79" i="128"/>
  <c r="CK79" i="128"/>
  <c r="CL79" i="128"/>
  <c r="B82" i="126"/>
  <c r="BH93" i="63"/>
  <c r="CK93" i="63"/>
  <c r="CL93" i="63"/>
  <c r="DF93" i="63"/>
  <c r="DJ93" i="63"/>
  <c r="CZ93" i="63"/>
  <c r="DD93" i="63"/>
  <c r="W80" i="125"/>
  <c r="AY38" i="125"/>
  <c r="CO26" i="128"/>
  <c r="CS26" i="128"/>
  <c r="CK26" i="128"/>
  <c r="CL26" i="128"/>
  <c r="G29" i="126"/>
  <c r="Z29" i="126"/>
  <c r="B29" i="126"/>
  <c r="CZ69" i="63"/>
  <c r="DD69" i="63"/>
  <c r="BH69" i="63"/>
  <c r="CK69" i="63"/>
  <c r="CL69" i="63"/>
  <c r="DF69" i="63"/>
  <c r="DJ69" i="63"/>
  <c r="CO49" i="128"/>
  <c r="CS49" i="128"/>
  <c r="CK49" i="128"/>
  <c r="CL49" i="128"/>
  <c r="AY61" i="125"/>
  <c r="G52" i="126"/>
  <c r="Z52" i="126"/>
  <c r="B52" i="126"/>
  <c r="DF45" i="63"/>
  <c r="DJ45" i="63"/>
  <c r="CZ45" i="63"/>
  <c r="DD45" i="63"/>
  <c r="BH45" i="63"/>
  <c r="CK45" i="63"/>
  <c r="CL45" i="63"/>
  <c r="AY94" i="125"/>
  <c r="B85" i="126"/>
  <c r="G85" i="126"/>
  <c r="Z85" i="126"/>
  <c r="CO82" i="128"/>
  <c r="CS82" i="128"/>
  <c r="CK82" i="128"/>
  <c r="CL82" i="128"/>
  <c r="V67" i="125"/>
  <c r="W22" i="125"/>
  <c r="V97" i="125"/>
  <c r="V73" i="125"/>
  <c r="W92" i="125"/>
  <c r="CO67" i="128"/>
  <c r="CS67" i="128"/>
  <c r="CK67" i="128"/>
  <c r="CL67" i="128"/>
  <c r="G70" i="126"/>
  <c r="Z70" i="126"/>
  <c r="B70" i="126"/>
  <c r="AY79" i="125"/>
  <c r="X83" i="125"/>
  <c r="W40" i="125"/>
  <c r="X106" i="125"/>
  <c r="BH90" i="63"/>
  <c r="CK90" i="63"/>
  <c r="CL90" i="63"/>
  <c r="DF90" i="63"/>
  <c r="DJ90" i="63"/>
  <c r="CZ90" i="63"/>
  <c r="DD90" i="63"/>
  <c r="V24" i="125"/>
  <c r="V112" i="125"/>
  <c r="DF23" i="63"/>
  <c r="DJ23" i="63"/>
  <c r="CZ23" i="63"/>
  <c r="DD23" i="63"/>
  <c r="BH23" i="63"/>
  <c r="CK23" i="63"/>
  <c r="CL23" i="63"/>
  <c r="V86" i="125"/>
  <c r="W62" i="125"/>
  <c r="AY56" i="125"/>
  <c r="CO44" i="128"/>
  <c r="CS44" i="128"/>
  <c r="CK44" i="128"/>
  <c r="CL44" i="128"/>
  <c r="B47" i="126"/>
  <c r="G47" i="126"/>
  <c r="Z47" i="126"/>
  <c r="DF22" i="63"/>
  <c r="DJ22" i="63"/>
  <c r="CZ22" i="63"/>
  <c r="DD22" i="63"/>
  <c r="BH22" i="63"/>
  <c r="CK22" i="63"/>
  <c r="CL22" i="63"/>
  <c r="V95" i="125"/>
  <c r="BH32" i="63"/>
  <c r="CK32" i="63"/>
  <c r="CL32" i="63"/>
  <c r="DF32" i="63"/>
  <c r="DJ32" i="63"/>
  <c r="CZ32" i="63"/>
  <c r="DD32" i="63"/>
  <c r="CZ35" i="63"/>
  <c r="DD35" i="63"/>
  <c r="BH35" i="63"/>
  <c r="CK35" i="63"/>
  <c r="CL35" i="63"/>
  <c r="DF35" i="63"/>
  <c r="DJ35" i="63"/>
  <c r="AY48" i="125"/>
  <c r="G39" i="126"/>
  <c r="Z39" i="126"/>
  <c r="CO36" i="128"/>
  <c r="CS36" i="128"/>
  <c r="CK36" i="128"/>
  <c r="CL36" i="128"/>
  <c r="B39" i="126"/>
  <c r="CZ8" i="63"/>
  <c r="DD8" i="63"/>
  <c r="DF8" i="63"/>
  <c r="DJ8" i="63"/>
  <c r="BH8" i="63"/>
  <c r="CK8" i="63"/>
  <c r="CL8" i="63"/>
  <c r="V83" i="125"/>
  <c r="BH27" i="63"/>
  <c r="CK27" i="63"/>
  <c r="CL27" i="63"/>
  <c r="DF27" i="63"/>
  <c r="DJ27" i="63"/>
  <c r="CZ27" i="63"/>
  <c r="DD27" i="63"/>
  <c r="DF21" i="63"/>
  <c r="DJ21" i="63"/>
  <c r="CZ21" i="63"/>
  <c r="DD21" i="63"/>
  <c r="BH21" i="63"/>
  <c r="CK21" i="63"/>
  <c r="CL21" i="63"/>
  <c r="V66" i="125"/>
  <c r="DF104" i="63"/>
  <c r="DJ104" i="63"/>
  <c r="BH104" i="63"/>
  <c r="CK104" i="63"/>
  <c r="CL104" i="63"/>
  <c r="CZ104" i="63"/>
  <c r="DD104" i="63"/>
  <c r="CZ46" i="63"/>
  <c r="DD46" i="63"/>
  <c r="BH46" i="63"/>
  <c r="CK46" i="63"/>
  <c r="CL46" i="63"/>
  <c r="DF46" i="63"/>
  <c r="DJ46" i="63"/>
  <c r="W96" i="125"/>
  <c r="X60" i="125"/>
  <c r="X52" i="125"/>
  <c r="X81" i="125"/>
  <c r="X104" i="125"/>
  <c r="G42" i="126"/>
  <c r="Z42" i="126"/>
  <c r="B42" i="126"/>
  <c r="AY51" i="125"/>
  <c r="CO39" i="128"/>
  <c r="CS39" i="128"/>
  <c r="CK39" i="128"/>
  <c r="CL39" i="128"/>
  <c r="E73" i="126"/>
  <c r="BH60" i="63"/>
  <c r="CK60" i="63"/>
  <c r="CL60" i="63"/>
  <c r="DF60" i="63"/>
  <c r="DJ60" i="63"/>
  <c r="CZ60" i="63"/>
  <c r="DD60" i="63"/>
  <c r="G97" i="126"/>
  <c r="Z97" i="126"/>
  <c r="B97" i="126"/>
  <c r="CO94" i="128"/>
  <c r="CS94" i="128"/>
  <c r="CK94" i="128"/>
  <c r="CL94" i="128"/>
  <c r="AY106" i="125"/>
  <c r="CZ39" i="63"/>
  <c r="DD39" i="63"/>
  <c r="DF39" i="63"/>
  <c r="DJ39" i="63"/>
  <c r="BH39" i="63"/>
  <c r="CK39" i="63"/>
  <c r="CL39" i="63"/>
  <c r="BH78" i="63"/>
  <c r="CK78" i="63"/>
  <c r="CL78" i="63"/>
  <c r="DF78" i="63"/>
  <c r="DJ78" i="63"/>
  <c r="CZ78" i="63"/>
  <c r="DD78" i="63"/>
  <c r="DF95" i="63"/>
  <c r="DJ95" i="63"/>
  <c r="CZ95" i="63"/>
  <c r="DD95" i="63"/>
  <c r="BH95" i="63"/>
  <c r="CK95" i="63"/>
  <c r="CL95" i="63"/>
  <c r="CZ48" i="63"/>
  <c r="DD48" i="63"/>
  <c r="DF48" i="63"/>
  <c r="DJ48" i="63"/>
  <c r="BH48" i="63"/>
  <c r="CK48" i="63"/>
  <c r="CL48" i="63"/>
  <c r="G30" i="126"/>
  <c r="Z30" i="126"/>
  <c r="B30" i="126"/>
  <c r="AY39" i="125"/>
  <c r="CO27" i="128"/>
  <c r="CS27" i="128"/>
  <c r="CK27" i="128"/>
  <c r="CL27" i="128"/>
  <c r="AY80" i="125"/>
  <c r="B71" i="126"/>
  <c r="CO68" i="128"/>
  <c r="CS68" i="128"/>
  <c r="CK68" i="128"/>
  <c r="CL68" i="128"/>
  <c r="G71" i="126"/>
  <c r="Z71" i="126"/>
  <c r="W70" i="125"/>
  <c r="W23" i="125"/>
  <c r="W105" i="125"/>
  <c r="W18" i="125"/>
  <c r="W81" i="125"/>
  <c r="G88" i="126"/>
  <c r="Z88" i="126"/>
  <c r="CO85" i="128"/>
  <c r="CS85" i="128"/>
  <c r="CK85" i="128"/>
  <c r="CL85" i="128"/>
  <c r="AY97" i="125"/>
  <c r="B88" i="126"/>
  <c r="W67" i="125"/>
  <c r="V22" i="125"/>
  <c r="V115" i="125"/>
  <c r="BH85" i="63"/>
  <c r="CK85" i="63"/>
  <c r="CL85" i="63"/>
  <c r="DF85" i="63"/>
  <c r="DJ85" i="63"/>
  <c r="CZ85" i="63"/>
  <c r="DD85" i="63"/>
  <c r="DF86" i="63"/>
  <c r="DJ86" i="63"/>
  <c r="CZ86" i="63"/>
  <c r="DD86" i="63"/>
  <c r="BH86" i="63"/>
  <c r="CK86" i="63"/>
  <c r="CL86" i="63"/>
  <c r="BH61" i="63"/>
  <c r="CK61" i="63"/>
  <c r="CL61" i="63"/>
  <c r="DF61" i="63"/>
  <c r="DJ61" i="63"/>
  <c r="CZ61" i="63"/>
  <c r="DD61" i="63"/>
  <c r="DF80" i="63"/>
  <c r="DJ80" i="63"/>
  <c r="CZ80" i="63"/>
  <c r="DD80" i="63"/>
  <c r="BH80" i="63"/>
  <c r="CK80" i="63"/>
  <c r="CL80" i="63"/>
  <c r="X88" i="125"/>
  <c r="X33" i="125"/>
  <c r="B40" i="126"/>
  <c r="CO37" i="128"/>
  <c r="CS37" i="128"/>
  <c r="CK37" i="128"/>
  <c r="CL37" i="128"/>
  <c r="G40" i="126"/>
  <c r="Z40" i="126"/>
  <c r="AY49" i="125"/>
  <c r="CZ37" i="63"/>
  <c r="DD37" i="63"/>
  <c r="DF37" i="63"/>
  <c r="DJ37" i="63"/>
  <c r="BH37" i="63"/>
  <c r="CK37" i="63"/>
  <c r="CL37" i="63"/>
  <c r="W111" i="125"/>
  <c r="W91" i="125"/>
  <c r="DF94" i="63"/>
  <c r="DJ94" i="63"/>
  <c r="BH94" i="63"/>
  <c r="CK94" i="63"/>
  <c r="CL94" i="63"/>
  <c r="CZ94" i="63"/>
  <c r="DD94" i="63"/>
  <c r="W31" i="125"/>
  <c r="W37" i="125"/>
  <c r="W28" i="125"/>
  <c r="AY104" i="125"/>
  <c r="CO92" i="128"/>
  <c r="CS92" i="128"/>
  <c r="CK92" i="128"/>
  <c r="CL92" i="128"/>
  <c r="B95" i="126"/>
  <c r="G95" i="126"/>
  <c r="Z95" i="126"/>
  <c r="B12" i="126"/>
  <c r="AY21" i="125"/>
  <c r="CO9" i="128"/>
  <c r="CS9" i="128"/>
  <c r="CK9" i="128"/>
  <c r="CL9" i="128"/>
  <c r="G12" i="126"/>
  <c r="Z12" i="126"/>
  <c r="AY64" i="125"/>
  <c r="B55" i="126"/>
  <c r="G55" i="126"/>
  <c r="Z55" i="126"/>
  <c r="CO52" i="128"/>
  <c r="CS52" i="128"/>
  <c r="CK52" i="128"/>
  <c r="CL52" i="128"/>
  <c r="CZ100" i="63"/>
  <c r="DD100" i="63"/>
  <c r="BH100" i="63"/>
  <c r="CK100" i="63"/>
  <c r="CL100" i="63"/>
  <c r="DF100" i="63"/>
  <c r="DJ100" i="63"/>
  <c r="W71" i="125"/>
  <c r="V62" i="125"/>
  <c r="V103" i="125"/>
  <c r="AY29" i="125"/>
  <c r="B20" i="126"/>
  <c r="G20" i="126"/>
  <c r="Z20" i="126"/>
  <c r="CO17" i="128"/>
  <c r="CS17" i="128"/>
  <c r="CK17" i="128"/>
  <c r="CL17" i="128"/>
  <c r="V48" i="125"/>
  <c r="G80" i="126"/>
  <c r="Z80" i="126"/>
  <c r="CO77" i="128"/>
  <c r="CS77" i="128"/>
  <c r="CK77" i="128"/>
  <c r="CL77" i="128"/>
  <c r="B80" i="126"/>
  <c r="AY89" i="125"/>
  <c r="CZ92" i="63"/>
  <c r="DD92" i="63"/>
  <c r="BH92" i="63"/>
  <c r="CK92" i="63"/>
  <c r="CL92" i="63"/>
  <c r="DF92" i="63"/>
  <c r="DJ92" i="63"/>
  <c r="W55" i="125"/>
  <c r="W36" i="125"/>
  <c r="CZ42" i="63"/>
  <c r="DD42" i="63"/>
  <c r="DF42" i="63"/>
  <c r="DJ42" i="63"/>
  <c r="BH42" i="63"/>
  <c r="CK42" i="63"/>
  <c r="CL42" i="63"/>
  <c r="V44" i="125"/>
  <c r="V47" i="125"/>
  <c r="B49" i="126"/>
  <c r="G49" i="126"/>
  <c r="Z49" i="126"/>
  <c r="AY58" i="125"/>
  <c r="CO46" i="128"/>
  <c r="CS46" i="128"/>
  <c r="CK46" i="128"/>
  <c r="CL46" i="128"/>
  <c r="CZ71" i="63"/>
  <c r="DD71" i="63"/>
  <c r="DF71" i="63"/>
  <c r="DJ71" i="63"/>
  <c r="BH71" i="63"/>
  <c r="CK71" i="63"/>
  <c r="CL71" i="63"/>
  <c r="V39" i="125"/>
  <c r="V69" i="125"/>
  <c r="V33" i="125"/>
  <c r="W19" i="125"/>
  <c r="W29" i="125"/>
  <c r="CZ54" i="63"/>
  <c r="DD54" i="63"/>
  <c r="BH54" i="63"/>
  <c r="CK54" i="63"/>
  <c r="CL54" i="63"/>
  <c r="DF54" i="63"/>
  <c r="DJ54" i="63"/>
  <c r="B93" i="126"/>
  <c r="G93" i="126"/>
  <c r="Z93" i="126"/>
  <c r="AY102" i="125"/>
  <c r="CO90" i="128"/>
  <c r="CS90" i="128"/>
  <c r="CK90" i="128"/>
  <c r="CL90" i="128"/>
  <c r="W85" i="125"/>
  <c r="V77" i="125"/>
  <c r="BH84" i="63"/>
  <c r="CK84" i="63"/>
  <c r="CL84" i="63"/>
  <c r="DF84" i="63"/>
  <c r="DJ84" i="63"/>
  <c r="CZ84" i="63"/>
  <c r="DD84" i="63"/>
  <c r="V42" i="125"/>
  <c r="X27" i="125"/>
  <c r="X107" i="125"/>
  <c r="X100" i="125"/>
  <c r="CZ51" i="63"/>
  <c r="DD51" i="63"/>
  <c r="BH51" i="63"/>
  <c r="CK51" i="63"/>
  <c r="CL51" i="63"/>
  <c r="DF51" i="63"/>
  <c r="DJ51" i="63"/>
  <c r="B87" i="126"/>
  <c r="AY96" i="125"/>
  <c r="CO84" i="128"/>
  <c r="CS84" i="128"/>
  <c r="CK84" i="128"/>
  <c r="CL84" i="128"/>
  <c r="G87" i="126"/>
  <c r="Z87" i="126"/>
  <c r="G48" i="126"/>
  <c r="Z48" i="126"/>
  <c r="AY57" i="125"/>
  <c r="B48" i="126"/>
  <c r="CO45" i="128"/>
  <c r="CS45" i="128"/>
  <c r="CK45" i="128"/>
  <c r="CL45" i="128"/>
  <c r="CO95" i="128"/>
  <c r="CS95" i="128"/>
  <c r="CK95" i="128"/>
  <c r="CL95" i="128"/>
  <c r="G98" i="126"/>
  <c r="Z98" i="126"/>
  <c r="B98" i="126"/>
  <c r="AY107" i="125"/>
  <c r="DF33" i="63"/>
  <c r="DJ33" i="63"/>
  <c r="BH33" i="63"/>
  <c r="CK33" i="63"/>
  <c r="CL33" i="63"/>
  <c r="CZ33" i="63"/>
  <c r="DD33" i="63"/>
  <c r="BC107" i="63"/>
  <c r="X42" i="125"/>
  <c r="X85" i="125"/>
  <c r="X77" i="125"/>
  <c r="X96" i="125"/>
  <c r="X78" i="125"/>
  <c r="X58" i="125"/>
  <c r="X74" i="125"/>
  <c r="X35" i="125"/>
  <c r="X24" i="125"/>
  <c r="X112" i="125"/>
  <c r="X63" i="125"/>
  <c r="X84" i="125"/>
  <c r="X94" i="125"/>
  <c r="X65" i="125"/>
  <c r="X97" i="125"/>
  <c r="X73" i="125"/>
  <c r="X55" i="125"/>
  <c r="X54" i="125"/>
  <c r="X46" i="125"/>
  <c r="X103" i="125"/>
  <c r="X29" i="125"/>
  <c r="X66" i="125"/>
  <c r="X48" i="125"/>
  <c r="X101" i="125"/>
  <c r="X40" i="125"/>
  <c r="X38" i="125"/>
  <c r="X21" i="125"/>
  <c r="X64" i="125"/>
  <c r="X44" i="125"/>
  <c r="X47" i="125"/>
  <c r="X68" i="125"/>
  <c r="X53" i="125"/>
  <c r="X34" i="125"/>
  <c r="X75" i="125"/>
  <c r="X67" i="125"/>
  <c r="X26" i="125"/>
  <c r="X22" i="125"/>
  <c r="X115" i="125"/>
  <c r="X31" i="125"/>
  <c r="X108" i="125"/>
  <c r="X98" i="125"/>
  <c r="X43" i="125"/>
  <c r="X37" i="125"/>
  <c r="X92" i="125"/>
  <c r="X36" i="125"/>
  <c r="X117" i="125"/>
  <c r="X99" i="125"/>
  <c r="X19" i="125"/>
  <c r="V30" i="125"/>
  <c r="CO75" i="128"/>
  <c r="CS75" i="128"/>
  <c r="CK75" i="128"/>
  <c r="CL75" i="128"/>
  <c r="AY87" i="125"/>
  <c r="B78" i="126"/>
  <c r="G78" i="126"/>
  <c r="Z78" i="126"/>
  <c r="V81" i="125"/>
  <c r="CO40" i="128"/>
  <c r="CS40" i="128"/>
  <c r="CK40" i="128"/>
  <c r="CL40" i="128"/>
  <c r="G43" i="126"/>
  <c r="Z43" i="126"/>
  <c r="AY52" i="125"/>
  <c r="B43" i="126"/>
  <c r="V27" i="125"/>
  <c r="X86" i="125"/>
  <c r="V98" i="125"/>
  <c r="X39" i="125"/>
  <c r="BH28" i="63"/>
  <c r="CK28" i="63"/>
  <c r="CL28" i="63"/>
  <c r="DF28" i="63"/>
  <c r="DJ28" i="63"/>
  <c r="CZ28" i="63"/>
  <c r="DD28" i="63"/>
  <c r="V49" i="125"/>
  <c r="CZ29" i="63"/>
  <c r="DD29" i="63"/>
  <c r="DF29" i="63"/>
  <c r="DJ29" i="63"/>
  <c r="BH29" i="63"/>
  <c r="CK29" i="63"/>
  <c r="CL29" i="63"/>
  <c r="V91" i="125"/>
  <c r="V106" i="125"/>
  <c r="V31" i="125"/>
  <c r="V28" i="125"/>
  <c r="AY81" i="125"/>
  <c r="B72" i="126"/>
  <c r="G72" i="126"/>
  <c r="Z72" i="126"/>
  <c r="CO69" i="128"/>
  <c r="CS69" i="128"/>
  <c r="CK69" i="128"/>
  <c r="CL69" i="128"/>
  <c r="B38" i="126"/>
  <c r="AY47" i="125"/>
  <c r="CO35" i="128"/>
  <c r="CS35" i="128"/>
  <c r="CK35" i="128"/>
  <c r="CL35" i="128"/>
  <c r="G38" i="126"/>
  <c r="Z38" i="126"/>
  <c r="W112" i="125"/>
  <c r="V64" i="125"/>
  <c r="CZ74" i="63"/>
  <c r="DD74" i="63"/>
  <c r="BH74" i="63"/>
  <c r="CK74" i="63"/>
  <c r="CL74" i="63"/>
  <c r="DF74" i="63"/>
  <c r="DJ74" i="63"/>
  <c r="G99" i="126"/>
  <c r="Z99" i="126"/>
  <c r="B99" i="126"/>
  <c r="CO96" i="128"/>
  <c r="CS96" i="128"/>
  <c r="CK96" i="128"/>
  <c r="CL96" i="128"/>
  <c r="AY108" i="125"/>
  <c r="W48" i="125"/>
  <c r="CZ89" i="63"/>
  <c r="DD89" i="63"/>
  <c r="DF89" i="63"/>
  <c r="DJ89" i="63"/>
  <c r="BH89" i="63"/>
  <c r="CK89" i="63"/>
  <c r="CL89" i="63"/>
  <c r="V104" i="125"/>
  <c r="V55" i="125"/>
  <c r="V54" i="125"/>
  <c r="CO89" i="128"/>
  <c r="CS89" i="128"/>
  <c r="CK89" i="128"/>
  <c r="CL89" i="128"/>
  <c r="B92" i="126"/>
  <c r="G92" i="126"/>
  <c r="Z92" i="126"/>
  <c r="AY101" i="125"/>
  <c r="V19" i="125"/>
  <c r="DF70" i="63"/>
  <c r="DJ70" i="63"/>
  <c r="CZ70" i="63"/>
  <c r="DD70" i="63"/>
  <c r="BH70" i="63"/>
  <c r="CK70" i="63"/>
  <c r="CL70" i="63"/>
  <c r="G73" i="126"/>
  <c r="Z73" i="126"/>
  <c r="AY82" i="125"/>
  <c r="B73" i="126"/>
  <c r="CO70" i="128"/>
  <c r="CS70" i="128"/>
  <c r="CK70" i="128"/>
  <c r="CL70" i="128"/>
  <c r="W78" i="125"/>
  <c r="V74" i="125"/>
  <c r="BH73" i="63"/>
  <c r="CK73" i="63"/>
  <c r="CL73" i="63"/>
  <c r="DF73" i="63"/>
  <c r="DJ73" i="63"/>
  <c r="CZ73" i="63"/>
  <c r="DD73" i="63"/>
  <c r="CZ65" i="63"/>
  <c r="DD65" i="63"/>
  <c r="BH65" i="63"/>
  <c r="CK65" i="63"/>
  <c r="CL65" i="63"/>
  <c r="DF65" i="63"/>
  <c r="DJ65" i="63"/>
  <c r="W42" i="125"/>
  <c r="X89" i="125"/>
  <c r="X70" i="125"/>
  <c r="X51" i="125"/>
  <c r="X72" i="125"/>
  <c r="CO71" i="128"/>
  <c r="CS71" i="128"/>
  <c r="CK71" i="128"/>
  <c r="CL71" i="128"/>
  <c r="B74" i="126"/>
  <c r="G74" i="126"/>
  <c r="Z74" i="126"/>
  <c r="AY83" i="125"/>
  <c r="DF49" i="63"/>
  <c r="DJ49" i="63"/>
  <c r="CZ49" i="63"/>
  <c r="DD49" i="63"/>
  <c r="BH49" i="63"/>
  <c r="CK49" i="63"/>
  <c r="CL49" i="63"/>
  <c r="CZ11" i="63"/>
  <c r="DD11" i="63"/>
  <c r="DF11" i="63"/>
  <c r="DJ11" i="63"/>
  <c r="BH11" i="63"/>
  <c r="CK11" i="63"/>
  <c r="CL11" i="63"/>
  <c r="AY63" i="125"/>
  <c r="G54" i="126"/>
  <c r="Z54" i="126"/>
  <c r="CO51" i="128"/>
  <c r="CS51" i="128"/>
  <c r="CK51" i="128"/>
  <c r="CL51" i="128"/>
  <c r="B54" i="126"/>
  <c r="BH103" i="63"/>
  <c r="CK103" i="63"/>
  <c r="CL103" i="63"/>
  <c r="DF103" i="63"/>
  <c r="DJ103" i="63"/>
  <c r="CZ103" i="63"/>
  <c r="DD103" i="63"/>
  <c r="AY43" i="125"/>
  <c r="CO31" i="128"/>
  <c r="CS31" i="128"/>
  <c r="CK31" i="128"/>
  <c r="CL31" i="128"/>
  <c r="G34" i="126"/>
  <c r="Z34" i="126"/>
  <c r="B34" i="126"/>
  <c r="B103" i="126"/>
  <c r="CO100" i="128"/>
  <c r="CS100" i="128"/>
  <c r="CK100" i="128"/>
  <c r="CL100" i="128"/>
  <c r="G103" i="126"/>
  <c r="Z103" i="126"/>
  <c r="AY112" i="125"/>
  <c r="BH99" i="63"/>
  <c r="CK99" i="63"/>
  <c r="CL99" i="63"/>
  <c r="CZ99" i="63"/>
  <c r="DD99" i="63"/>
  <c r="DF99" i="63"/>
  <c r="DJ99" i="63"/>
  <c r="DF19" i="63"/>
  <c r="DJ19" i="63"/>
  <c r="CZ19" i="63"/>
  <c r="DD19" i="63"/>
  <c r="BH19" i="63"/>
  <c r="CK19" i="63"/>
  <c r="CL19" i="63"/>
  <c r="CZ25" i="63"/>
  <c r="DD25" i="63"/>
  <c r="BH25" i="63"/>
  <c r="CK25" i="63"/>
  <c r="CL25" i="63"/>
  <c r="DF25" i="63"/>
  <c r="DJ25" i="63"/>
  <c r="V89" i="125"/>
  <c r="B45" i="126"/>
  <c r="G45" i="126"/>
  <c r="Z45" i="126"/>
  <c r="AY54" i="125"/>
  <c r="CO42" i="128"/>
  <c r="CS42" i="128"/>
  <c r="CK42" i="128"/>
  <c r="CL42" i="128"/>
  <c r="B37" i="126"/>
  <c r="G37" i="126"/>
  <c r="Z37" i="126"/>
  <c r="CO34" i="128"/>
  <c r="CS34" i="128"/>
  <c r="CK34" i="128"/>
  <c r="CL34" i="128"/>
  <c r="AY46" i="125"/>
  <c r="C12" i="127"/>
  <c r="D12" i="127"/>
  <c r="AY20" i="125"/>
  <c r="B11" i="126"/>
  <c r="G11" i="126"/>
  <c r="Z11" i="126"/>
  <c r="CO8" i="128"/>
  <c r="CS8" i="128"/>
  <c r="CK8" i="128"/>
  <c r="CL8" i="128"/>
  <c r="BD107" i="128"/>
  <c r="BH107" i="128"/>
  <c r="BH6" i="128"/>
  <c r="G76" i="126"/>
  <c r="Z76" i="126"/>
  <c r="CO73" i="128"/>
  <c r="CS73" i="128"/>
  <c r="CK73" i="128"/>
  <c r="CL73" i="128"/>
  <c r="AY85" i="125"/>
  <c r="B76" i="126"/>
  <c r="V25" i="125"/>
  <c r="W103" i="125"/>
  <c r="AY66" i="125"/>
  <c r="CO54" i="128"/>
  <c r="CS54" i="128"/>
  <c r="CK54" i="128"/>
  <c r="CL54" i="128"/>
  <c r="G57" i="126"/>
  <c r="Z57" i="126"/>
  <c r="B57" i="126"/>
  <c r="G83" i="126"/>
  <c r="Z83" i="126"/>
  <c r="B83" i="126"/>
  <c r="AY92" i="125"/>
  <c r="CO80" i="128"/>
  <c r="CS80" i="128"/>
  <c r="CK80" i="128"/>
  <c r="CL80" i="128"/>
  <c r="V101" i="125"/>
  <c r="V113" i="125"/>
  <c r="CZ43" i="63"/>
  <c r="DD43" i="63"/>
  <c r="BH43" i="63"/>
  <c r="CK43" i="63"/>
  <c r="CL43" i="63"/>
  <c r="DF43" i="63"/>
  <c r="DJ43" i="63"/>
  <c r="CZ24" i="63"/>
  <c r="DD24" i="63"/>
  <c r="BH24" i="63"/>
  <c r="CK24" i="63"/>
  <c r="CL24" i="63"/>
  <c r="DF24" i="63"/>
  <c r="DJ24" i="63"/>
  <c r="AY35" i="125"/>
  <c r="CO23" i="128"/>
  <c r="CS23" i="128"/>
  <c r="CK23" i="128"/>
  <c r="CL23" i="128"/>
  <c r="B26" i="126"/>
  <c r="G26" i="126"/>
  <c r="Z26" i="126"/>
  <c r="W46" i="125"/>
  <c r="W117" i="125"/>
  <c r="V88" i="125"/>
  <c r="B107" i="126"/>
  <c r="CO104" i="128"/>
  <c r="CS104" i="128"/>
  <c r="CK104" i="128"/>
  <c r="CL104" i="128"/>
  <c r="AY116" i="125"/>
  <c r="G107" i="126"/>
  <c r="Z107" i="126"/>
  <c r="W69" i="125"/>
  <c r="V29" i="125"/>
  <c r="V82" i="125"/>
  <c r="B60" i="126"/>
  <c r="AY69" i="125"/>
  <c r="G60" i="126"/>
  <c r="Z60" i="126"/>
  <c r="CO57" i="128"/>
  <c r="CS57" i="128"/>
  <c r="CK57" i="128"/>
  <c r="CL57" i="128"/>
  <c r="V78" i="125"/>
  <c r="W74" i="125"/>
  <c r="V85" i="125"/>
  <c r="W77" i="125"/>
  <c r="CZ30" i="63"/>
  <c r="DD30" i="63"/>
  <c r="DF30" i="63"/>
  <c r="DJ30" i="63"/>
  <c r="BH30" i="63"/>
  <c r="CK30" i="63"/>
  <c r="CL30" i="63"/>
  <c r="X110" i="125"/>
  <c r="X87" i="125"/>
  <c r="X105" i="125"/>
  <c r="X61" i="125"/>
  <c r="B91" i="126"/>
  <c r="G91" i="126"/>
  <c r="Z91" i="126"/>
  <c r="CO88" i="128"/>
  <c r="CS88" i="128"/>
  <c r="CK88" i="128"/>
  <c r="CL88" i="128"/>
  <c r="AY100" i="125"/>
  <c r="G23" i="126"/>
  <c r="Z23" i="126"/>
  <c r="CO20" i="128"/>
  <c r="CS20" i="128"/>
  <c r="CK20" i="128"/>
  <c r="CL20" i="128"/>
  <c r="AY32" i="125"/>
  <c r="B23" i="126"/>
  <c r="B18" i="126"/>
  <c r="CO15" i="128"/>
  <c r="CS15" i="128"/>
  <c r="CK15" i="128"/>
  <c r="CL15" i="128"/>
  <c r="G18" i="126"/>
  <c r="Z18" i="126"/>
  <c r="AY27" i="125"/>
  <c r="DF64" i="63"/>
  <c r="DJ64" i="63"/>
  <c r="BH64" i="63"/>
  <c r="CK64" i="63"/>
  <c r="CL64" i="63"/>
  <c r="CZ64" i="63"/>
  <c r="DD64" i="63"/>
  <c r="DF20" i="63"/>
  <c r="DJ20" i="63"/>
  <c r="BH20" i="63"/>
  <c r="CK20" i="63"/>
  <c r="CL20" i="63"/>
  <c r="CZ20" i="63"/>
  <c r="DD20" i="63"/>
  <c r="X62" i="125"/>
  <c r="V79" i="125"/>
  <c r="V110" i="125"/>
  <c r="V18" i="125"/>
  <c r="V87" i="125"/>
  <c r="W27" i="125"/>
  <c r="W115" i="125"/>
  <c r="X25" i="125"/>
  <c r="W52" i="125"/>
  <c r="V111" i="125"/>
  <c r="W41" i="125"/>
  <c r="DF79" i="63"/>
  <c r="DJ79" i="63"/>
  <c r="CZ79" i="63"/>
  <c r="DD79" i="63"/>
  <c r="BH79" i="63"/>
  <c r="CK79" i="63"/>
  <c r="CL79" i="63"/>
  <c r="BH14" i="63"/>
  <c r="CK14" i="63"/>
  <c r="CL14" i="63"/>
  <c r="DF14" i="63"/>
  <c r="DJ14" i="63"/>
  <c r="CZ14" i="63"/>
  <c r="DD14" i="63"/>
  <c r="V37" i="125"/>
  <c r="CZ16" i="63"/>
  <c r="DD16" i="63"/>
  <c r="DF16" i="63"/>
  <c r="DJ16" i="63"/>
  <c r="BH16" i="63"/>
  <c r="CK16" i="63"/>
  <c r="CL16" i="63"/>
  <c r="B27" i="126"/>
  <c r="AY36" i="125"/>
  <c r="CO24" i="128"/>
  <c r="CS24" i="128"/>
  <c r="CK24" i="128"/>
  <c r="CL24" i="128"/>
  <c r="G27" i="126"/>
  <c r="Z27" i="126"/>
  <c r="B25" i="126"/>
  <c r="G25" i="126"/>
  <c r="Z25" i="126"/>
  <c r="AY34" i="125"/>
  <c r="CO22" i="128"/>
  <c r="CS22" i="128"/>
  <c r="CK22" i="128"/>
  <c r="CL22" i="128"/>
  <c r="W64" i="125"/>
  <c r="W25" i="125"/>
  <c r="DF91" i="63"/>
  <c r="DJ91" i="63"/>
  <c r="BH91" i="63"/>
  <c r="CK91" i="63"/>
  <c r="CL91" i="63"/>
  <c r="CZ91" i="63"/>
  <c r="DD91" i="63"/>
  <c r="G106" i="126"/>
  <c r="Z106" i="126"/>
  <c r="AY115" i="125"/>
  <c r="CO103" i="128"/>
  <c r="CS103" i="128"/>
  <c r="CK103" i="128"/>
  <c r="CL103" i="128"/>
  <c r="B106" i="126"/>
  <c r="BH36" i="63"/>
  <c r="CK36" i="63"/>
  <c r="CL36" i="63"/>
  <c r="DF36" i="63"/>
  <c r="DJ36" i="63"/>
  <c r="CZ36" i="63"/>
  <c r="DD36" i="63"/>
  <c r="W101" i="125"/>
  <c r="W113" i="125"/>
  <c r="V36" i="125"/>
  <c r="V46" i="125"/>
  <c r="V117" i="125"/>
  <c r="V99" i="125"/>
  <c r="AY42" i="125"/>
  <c r="CO30" i="128"/>
  <c r="CS30" i="128"/>
  <c r="CK30" i="128"/>
  <c r="CL30" i="128"/>
  <c r="B33" i="126"/>
  <c r="G33" i="126"/>
  <c r="Z33" i="126"/>
  <c r="G65" i="126"/>
  <c r="Z65" i="126"/>
  <c r="AY74" i="125"/>
  <c r="CO62" i="128"/>
  <c r="CS62" i="128"/>
  <c r="CK62" i="128"/>
  <c r="CL62" i="128"/>
  <c r="B65" i="126"/>
  <c r="CZ57" i="63"/>
  <c r="DD57" i="63"/>
  <c r="DF57" i="63"/>
  <c r="DJ57" i="63"/>
  <c r="BH57" i="63"/>
  <c r="CK57" i="63"/>
  <c r="CL57" i="63"/>
  <c r="DF7" i="63"/>
  <c r="DJ7" i="63"/>
  <c r="BH7" i="63"/>
  <c r="CK7" i="63"/>
  <c r="CL7" i="63"/>
  <c r="CZ7" i="63"/>
  <c r="DD7" i="63"/>
  <c r="BH17" i="63"/>
  <c r="CK17" i="63"/>
  <c r="CL17" i="63"/>
  <c r="DF17" i="63"/>
  <c r="DJ17" i="63"/>
  <c r="CZ17" i="63"/>
  <c r="DD17" i="63"/>
  <c r="W82" i="125"/>
  <c r="CZ66" i="63"/>
  <c r="DD66" i="63"/>
  <c r="DF66" i="63"/>
  <c r="DJ66" i="63"/>
  <c r="BH66" i="63"/>
  <c r="CK66" i="63"/>
  <c r="CL66" i="63"/>
  <c r="CZ62" i="63"/>
  <c r="DD62" i="63"/>
  <c r="BH62" i="63"/>
  <c r="CK62" i="63"/>
  <c r="CL62" i="63"/>
  <c r="DF62" i="63"/>
  <c r="DJ62" i="63"/>
  <c r="X76" i="125"/>
  <c r="X28" i="125"/>
  <c r="X30" i="125"/>
  <c r="X95" i="125"/>
  <c r="DF82" i="63"/>
  <c r="DJ82" i="63"/>
  <c r="BH82" i="63"/>
  <c r="CK82" i="63"/>
  <c r="CL82" i="63"/>
  <c r="CZ82" i="63"/>
  <c r="DD82" i="63"/>
  <c r="BD107" i="63"/>
  <c r="BH6" i="63"/>
  <c r="CK6" i="63"/>
  <c r="DF6" i="63"/>
  <c r="CZ6" i="63"/>
  <c r="CO66" i="128"/>
  <c r="CS66" i="128"/>
  <c r="CK66" i="128"/>
  <c r="CL66" i="128"/>
  <c r="G69" i="126"/>
  <c r="Z69" i="126"/>
  <c r="B69" i="126"/>
  <c r="AY78" i="125"/>
  <c r="DF38" i="63"/>
  <c r="DJ38" i="63"/>
  <c r="BH38" i="63"/>
  <c r="CK38" i="63"/>
  <c r="CL38" i="63"/>
  <c r="CZ38" i="63"/>
  <c r="DD38" i="63"/>
  <c r="AY41" i="125"/>
  <c r="CO29" i="128"/>
  <c r="CS29" i="128"/>
  <c r="CK29" i="128"/>
  <c r="CL29" i="128"/>
  <c r="B32" i="126"/>
  <c r="G32" i="126"/>
  <c r="Z32" i="126"/>
  <c r="AY88" i="125"/>
  <c r="G79" i="126"/>
  <c r="Z79" i="126"/>
  <c r="B79" i="126"/>
  <c r="CO76" i="128"/>
  <c r="CS76" i="128"/>
  <c r="CK76" i="128"/>
  <c r="CL76" i="128"/>
  <c r="CZ44" i="63"/>
  <c r="DD44" i="63"/>
  <c r="DF44" i="63"/>
  <c r="DJ44" i="63"/>
  <c r="BH44" i="63"/>
  <c r="CK44" i="63"/>
  <c r="CL44" i="63"/>
  <c r="CO13" i="128"/>
  <c r="CS13" i="128"/>
  <c r="CK13" i="128"/>
  <c r="CL13" i="128"/>
  <c r="B16" i="126"/>
  <c r="AY25" i="125"/>
  <c r="G16" i="126"/>
  <c r="Z16" i="126"/>
  <c r="CZ81" i="63"/>
  <c r="DD81" i="63"/>
  <c r="DF81" i="63"/>
  <c r="DJ81" i="63"/>
  <c r="BH81" i="63"/>
  <c r="CK81" i="63"/>
  <c r="CL81" i="63"/>
  <c r="DF98" i="63"/>
  <c r="DJ98" i="63"/>
  <c r="CZ98" i="63"/>
  <c r="DD98" i="63"/>
  <c r="BH98" i="63"/>
  <c r="CK98" i="63"/>
  <c r="CL98" i="63"/>
  <c r="CZ18" i="63"/>
  <c r="DD18" i="63"/>
  <c r="DF18" i="63"/>
  <c r="DJ18" i="63"/>
  <c r="BH18" i="63"/>
  <c r="CK18" i="63"/>
  <c r="CL18" i="63"/>
  <c r="G24" i="126"/>
  <c r="Z24" i="126"/>
  <c r="AY33" i="125"/>
  <c r="B24" i="126"/>
  <c r="CO21" i="128"/>
  <c r="CS21" i="128"/>
  <c r="CK21" i="128"/>
  <c r="CL21" i="128"/>
  <c r="DF75" i="63"/>
  <c r="DJ75" i="63"/>
  <c r="CZ75" i="63"/>
  <c r="DD75" i="63"/>
  <c r="BH75" i="63"/>
  <c r="CK75" i="63"/>
  <c r="CL75" i="63"/>
  <c r="CZ15" i="63"/>
  <c r="DD15" i="63"/>
  <c r="DF15" i="63"/>
  <c r="DJ15" i="63"/>
  <c r="BH15" i="63"/>
  <c r="CK15" i="63"/>
  <c r="CL15" i="63"/>
  <c r="B75" i="126"/>
  <c r="AY84" i="125"/>
  <c r="CO72" i="128"/>
  <c r="CS72" i="128"/>
  <c r="CK72" i="128"/>
  <c r="CL72" i="128"/>
  <c r="G75" i="126"/>
  <c r="Z75" i="126"/>
  <c r="W100" i="125"/>
  <c r="AY65" i="125"/>
  <c r="B56" i="126"/>
  <c r="CO53" i="128"/>
  <c r="CS53" i="128"/>
  <c r="CK53" i="128"/>
  <c r="CL53" i="128"/>
  <c r="G56" i="126"/>
  <c r="Z56" i="126"/>
  <c r="CZ96" i="63"/>
  <c r="DD96" i="63"/>
  <c r="DF96" i="63"/>
  <c r="DJ96" i="63"/>
  <c r="BH96" i="63"/>
  <c r="CK96" i="63"/>
  <c r="CL96" i="63"/>
  <c r="CO25" i="128"/>
  <c r="CS25" i="128"/>
  <c r="CK25" i="128"/>
  <c r="CL25" i="128"/>
  <c r="G28" i="126"/>
  <c r="Z28" i="126"/>
  <c r="B28" i="126"/>
  <c r="AY37" i="125"/>
  <c r="AY70" i="125"/>
  <c r="B61" i="126"/>
  <c r="CO58" i="128"/>
  <c r="CS58" i="128"/>
  <c r="CK58" i="128"/>
  <c r="CL58" i="128"/>
  <c r="G61" i="126"/>
  <c r="Z61" i="126"/>
  <c r="AY105" i="125"/>
  <c r="CO93" i="128"/>
  <c r="CS93" i="128"/>
  <c r="CK93" i="128"/>
  <c r="CL93" i="128"/>
  <c r="G96" i="126"/>
  <c r="Z96" i="126"/>
  <c r="B96" i="126"/>
  <c r="V38" i="125"/>
  <c r="V52" i="125"/>
  <c r="W109" i="125"/>
  <c r="B41" i="126"/>
  <c r="G41" i="126"/>
  <c r="Z41" i="126"/>
  <c r="AY50" i="125"/>
  <c r="CO38" i="128"/>
  <c r="CS38" i="128"/>
  <c r="CK38" i="128"/>
  <c r="CL38" i="128"/>
  <c r="W26" i="125"/>
  <c r="BH31" i="63"/>
  <c r="CK31" i="63"/>
  <c r="CL31" i="63"/>
  <c r="DF31" i="63"/>
  <c r="DJ31" i="63"/>
  <c r="CZ31" i="63"/>
  <c r="DD31" i="63"/>
  <c r="W89" i="125"/>
  <c r="W102" i="125"/>
  <c r="B101" i="126"/>
  <c r="CO98" i="128"/>
  <c r="CS98" i="128"/>
  <c r="CK98" i="128"/>
  <c r="CL98" i="128"/>
  <c r="G101" i="126"/>
  <c r="Z101" i="126"/>
  <c r="AY110" i="125"/>
  <c r="CO32" i="128"/>
  <c r="CS32" i="128"/>
  <c r="CK32" i="128"/>
  <c r="CL32" i="128"/>
  <c r="B35" i="126"/>
  <c r="AY44" i="125"/>
  <c r="G35" i="126"/>
  <c r="Z35" i="126"/>
  <c r="AY117" i="125"/>
  <c r="B108" i="126"/>
  <c r="G108" i="126"/>
  <c r="Z108" i="126"/>
  <c r="CO105" i="128"/>
  <c r="CS105" i="128"/>
  <c r="CK105" i="128"/>
  <c r="CL105" i="128"/>
  <c r="DF52" i="63"/>
  <c r="DJ52" i="63"/>
  <c r="BH52" i="63"/>
  <c r="CK52" i="63"/>
  <c r="CL52" i="63"/>
  <c r="CZ52" i="63"/>
  <c r="DD52" i="63"/>
  <c r="B62" i="126"/>
  <c r="AY71" i="125"/>
  <c r="CO59" i="128"/>
  <c r="CS59" i="128"/>
  <c r="CK59" i="128"/>
  <c r="CL59" i="128"/>
  <c r="G62" i="126"/>
  <c r="Z62" i="126"/>
  <c r="AY77" i="125"/>
  <c r="G68" i="126"/>
  <c r="Z68" i="126"/>
  <c r="B68" i="126"/>
  <c r="CO65" i="128"/>
  <c r="CS65" i="128"/>
  <c r="CK65" i="128"/>
  <c r="CL65" i="128"/>
  <c r="CO7" i="128"/>
  <c r="CS7" i="128"/>
  <c r="CK7" i="128"/>
  <c r="CL7" i="128"/>
  <c r="G10" i="126"/>
  <c r="Z10" i="126"/>
  <c r="AY19" i="125"/>
  <c r="B10" i="126"/>
  <c r="V53" i="125"/>
  <c r="CO86" i="128"/>
  <c r="CS86" i="128"/>
  <c r="CK86" i="128"/>
  <c r="CL86" i="128"/>
  <c r="B89" i="126"/>
  <c r="AY98" i="125"/>
  <c r="G89" i="126"/>
  <c r="Z89" i="126"/>
  <c r="V34" i="125"/>
  <c r="DF63" i="63"/>
  <c r="DJ63" i="63"/>
  <c r="BH63" i="63"/>
  <c r="CK63" i="63"/>
  <c r="CL63" i="63"/>
  <c r="CZ63" i="63"/>
  <c r="DD63" i="63"/>
  <c r="G19" i="126"/>
  <c r="Z19" i="126"/>
  <c r="B19" i="126"/>
  <c r="CO16" i="128"/>
  <c r="CS16" i="128"/>
  <c r="CK16" i="128"/>
  <c r="CL16" i="128"/>
  <c r="AY28" i="125"/>
  <c r="DF101" i="63"/>
  <c r="DJ101" i="63"/>
  <c r="BH101" i="63"/>
  <c r="CK101" i="63"/>
  <c r="CL101" i="63"/>
  <c r="CZ101" i="63"/>
  <c r="DD101" i="63"/>
  <c r="V21" i="125"/>
  <c r="K118" i="125"/>
  <c r="L18" i="125"/>
  <c r="CZ87" i="63"/>
  <c r="DD87" i="63"/>
  <c r="DF87" i="63"/>
  <c r="DJ87" i="63"/>
  <c r="BH87" i="63"/>
  <c r="CK87" i="63"/>
  <c r="CL87" i="63"/>
  <c r="V59" i="125"/>
  <c r="W20" i="125"/>
  <c r="DF76" i="63"/>
  <c r="DJ76" i="63"/>
  <c r="CZ76" i="63"/>
  <c r="DD76" i="63"/>
  <c r="BH76" i="63"/>
  <c r="CK76" i="63"/>
  <c r="CL76" i="63"/>
  <c r="B105" i="126"/>
  <c r="AY114" i="125"/>
  <c r="CO102" i="128"/>
  <c r="CS102" i="128"/>
  <c r="CK102" i="128"/>
  <c r="CL102" i="128"/>
  <c r="G105" i="126"/>
  <c r="Z105" i="126"/>
  <c r="B84" i="126"/>
  <c r="CO81" i="128"/>
  <c r="CS81" i="128"/>
  <c r="CK81" i="128"/>
  <c r="CL81" i="128"/>
  <c r="G84" i="126"/>
  <c r="Z84" i="126"/>
  <c r="AY93" i="125"/>
  <c r="V68" i="125"/>
  <c r="AY111" i="125"/>
  <c r="B102" i="126"/>
  <c r="G102" i="126"/>
  <c r="Z102" i="126"/>
  <c r="CO99" i="128"/>
  <c r="CS99" i="128"/>
  <c r="CK99" i="128"/>
  <c r="CL99" i="128"/>
  <c r="V116" i="125"/>
  <c r="AY86" i="125"/>
  <c r="B77" i="126"/>
  <c r="CO74" i="128"/>
  <c r="CS74" i="128"/>
  <c r="CK74" i="128"/>
  <c r="CL74" i="128"/>
  <c r="G77" i="126"/>
  <c r="Z77" i="126"/>
  <c r="W58" i="125"/>
  <c r="CO97" i="128"/>
  <c r="CS97" i="128"/>
  <c r="CK97" i="128"/>
  <c r="CL97" i="128"/>
  <c r="G100" i="126"/>
  <c r="Z100" i="126"/>
  <c r="AY109" i="125"/>
  <c r="B100" i="126"/>
  <c r="CO63" i="128"/>
  <c r="CS63" i="128"/>
  <c r="CK63" i="128"/>
  <c r="CL63" i="128"/>
  <c r="G66" i="126"/>
  <c r="Z66" i="126"/>
  <c r="AY75" i="125"/>
  <c r="B66" i="126"/>
  <c r="X57" i="125"/>
  <c r="X113" i="125"/>
  <c r="X50" i="125"/>
  <c r="X93" i="125"/>
  <c r="X23" i="125"/>
  <c r="A24" i="126"/>
  <c r="AF24" i="126"/>
  <c r="A34" i="125"/>
  <c r="AM91" i="125"/>
  <c r="AT91" i="125"/>
  <c r="D105" i="126"/>
  <c r="R105" i="126"/>
  <c r="AK109" i="125"/>
  <c r="AR109" i="125"/>
  <c r="DD6" i="63"/>
  <c r="AK51" i="125"/>
  <c r="AR51" i="125"/>
  <c r="D81" i="126"/>
  <c r="R81" i="126"/>
  <c r="DJ6" i="63"/>
  <c r="AL65" i="125"/>
  <c r="AS65" i="125"/>
  <c r="BH107" i="63"/>
  <c r="DE48" i="128"/>
  <c r="DK48" i="128"/>
  <c r="AQ19" i="125"/>
  <c r="AQ118" i="125"/>
  <c r="AJ118" i="125"/>
  <c r="AK23" i="125"/>
  <c r="AR23" i="125"/>
  <c r="AL90" i="125"/>
  <c r="AS90" i="125"/>
  <c r="AK60" i="125"/>
  <c r="AR60" i="125"/>
  <c r="AK45" i="125"/>
  <c r="AR45" i="125"/>
  <c r="D52" i="126"/>
  <c r="R52" i="126"/>
  <c r="DE33" i="128"/>
  <c r="DK33" i="128"/>
  <c r="DE96" i="128"/>
  <c r="DK96" i="128"/>
  <c r="DC79" i="128"/>
  <c r="DI79" i="128"/>
  <c r="DF49" i="128"/>
  <c r="DL49" i="128"/>
  <c r="AK105" i="125"/>
  <c r="AR105" i="125"/>
  <c r="C14" i="126"/>
  <c r="Q14" i="126"/>
  <c r="C56" i="126"/>
  <c r="AD56" i="126"/>
  <c r="DE53" i="128"/>
  <c r="DK53" i="128"/>
  <c r="CN51" i="128"/>
  <c r="CV51" i="128"/>
  <c r="CU51" i="128"/>
  <c r="DC70" i="128"/>
  <c r="DI70" i="128"/>
  <c r="Y65" i="125"/>
  <c r="M65" i="125"/>
  <c r="AN65" i="125"/>
  <c r="AU65" i="125"/>
  <c r="D67" i="126"/>
  <c r="R67" i="126"/>
  <c r="S63" i="125"/>
  <c r="T63" i="125"/>
  <c r="H54" i="126"/>
  <c r="AM109" i="125"/>
  <c r="AT109" i="125"/>
  <c r="DE49" i="128"/>
  <c r="DK49" i="128"/>
  <c r="E100" i="126"/>
  <c r="S100" i="126"/>
  <c r="DE81" i="128"/>
  <c r="DK81" i="128"/>
  <c r="DE72" i="128"/>
  <c r="DK72" i="128"/>
  <c r="C84" i="126"/>
  <c r="AD84" i="126"/>
  <c r="AK84" i="125"/>
  <c r="AR84" i="125"/>
  <c r="D21" i="126"/>
  <c r="R21" i="126"/>
  <c r="AL76" i="125"/>
  <c r="AS76" i="125"/>
  <c r="D54" i="126"/>
  <c r="R54" i="126"/>
  <c r="E107" i="126"/>
  <c r="AE107" i="126"/>
  <c r="C54" i="126"/>
  <c r="AD54" i="126"/>
  <c r="AL63" i="125"/>
  <c r="AS63" i="125"/>
  <c r="C52" i="126"/>
  <c r="AD52" i="126"/>
  <c r="S61" i="125"/>
  <c r="I52" i="126"/>
  <c r="AL84" i="125"/>
  <c r="AS84" i="125"/>
  <c r="Y84" i="125"/>
  <c r="W75" i="126"/>
  <c r="Y75" i="126"/>
  <c r="AA75" i="126"/>
  <c r="AK76" i="125"/>
  <c r="AR76" i="125"/>
  <c r="E50" i="126"/>
  <c r="S50" i="126"/>
  <c r="D75" i="126"/>
  <c r="R75" i="126"/>
  <c r="E60" i="126"/>
  <c r="S60" i="126"/>
  <c r="DE64" i="128"/>
  <c r="DK64" i="128"/>
  <c r="AM69" i="125"/>
  <c r="AT69" i="125"/>
  <c r="DF82" i="128"/>
  <c r="DL82" i="128"/>
  <c r="D85" i="126"/>
  <c r="R85" i="126"/>
  <c r="C81" i="126"/>
  <c r="Q81" i="126"/>
  <c r="AK90" i="125"/>
  <c r="AR90" i="125"/>
  <c r="DF18" i="128"/>
  <c r="DL18" i="128"/>
  <c r="AK114" i="125"/>
  <c r="AR114" i="125"/>
  <c r="DE51" i="128"/>
  <c r="DK51" i="128"/>
  <c r="DF61" i="128"/>
  <c r="DL61" i="128"/>
  <c r="AK57" i="125"/>
  <c r="AR57" i="125"/>
  <c r="E62" i="126"/>
  <c r="S62" i="126"/>
  <c r="DE39" i="128"/>
  <c r="DK39" i="128"/>
  <c r="D64" i="126"/>
  <c r="R64" i="126"/>
  <c r="AM71" i="125"/>
  <c r="AT71" i="125"/>
  <c r="S71" i="125"/>
  <c r="T71" i="125"/>
  <c r="H62" i="126"/>
  <c r="Y108" i="125"/>
  <c r="W99" i="126"/>
  <c r="Y99" i="126"/>
  <c r="AA99" i="126"/>
  <c r="S90" i="125"/>
  <c r="I81" i="126"/>
  <c r="S88" i="125"/>
  <c r="T88" i="125"/>
  <c r="H79" i="126"/>
  <c r="D40" i="126"/>
  <c r="R40" i="126"/>
  <c r="AK70" i="125"/>
  <c r="AR70" i="125"/>
  <c r="DC8" i="128"/>
  <c r="DI8" i="128"/>
  <c r="AK94" i="125"/>
  <c r="AR94" i="125"/>
  <c r="AK108" i="125"/>
  <c r="AR108" i="125"/>
  <c r="DE82" i="128"/>
  <c r="DK82" i="128"/>
  <c r="AL114" i="125"/>
  <c r="AS114" i="125"/>
  <c r="C48" i="126"/>
  <c r="AD48" i="126"/>
  <c r="AM59" i="125"/>
  <c r="AT59" i="125"/>
  <c r="D98" i="126"/>
  <c r="R98" i="126"/>
  <c r="DE93" i="128"/>
  <c r="DK93" i="128"/>
  <c r="AL79" i="125"/>
  <c r="AS79" i="125"/>
  <c r="CN53" i="128"/>
  <c r="CV53" i="128"/>
  <c r="CU53" i="128"/>
  <c r="DF53" i="128"/>
  <c r="DL53" i="128"/>
  <c r="CN93" i="128"/>
  <c r="CV93" i="128"/>
  <c r="CU93" i="128"/>
  <c r="AL72" i="125"/>
  <c r="AS72" i="125"/>
  <c r="D97" i="126"/>
  <c r="R97" i="126"/>
  <c r="DE102" i="128"/>
  <c r="DK102" i="128"/>
  <c r="D63" i="126"/>
  <c r="R63" i="126"/>
  <c r="CN72" i="128"/>
  <c r="CV72" i="128"/>
  <c r="CU72" i="128"/>
  <c r="S109" i="125"/>
  <c r="I100" i="126"/>
  <c r="DE97" i="128"/>
  <c r="DK97" i="128"/>
  <c r="CN102" i="128"/>
  <c r="CV102" i="128"/>
  <c r="CU102" i="128"/>
  <c r="S84" i="125"/>
  <c r="I75" i="126"/>
  <c r="F65" i="60"/>
  <c r="H63" i="60"/>
  <c r="A63" i="60"/>
  <c r="A62" i="60"/>
  <c r="A61" i="60"/>
  <c r="E73" i="60"/>
  <c r="A60" i="60"/>
  <c r="D71" i="60"/>
  <c r="D2" i="121"/>
  <c r="D69" i="61"/>
  <c r="E71" i="61"/>
  <c r="I12" i="65"/>
  <c r="L4" i="65"/>
  <c r="L8" i="65"/>
  <c r="I8" i="65"/>
  <c r="F63" i="61"/>
  <c r="H61" i="61"/>
  <c r="D88" i="126"/>
  <c r="R88" i="126"/>
  <c r="DE44" i="128"/>
  <c r="DK44" i="128"/>
  <c r="S47" i="125"/>
  <c r="T47" i="125"/>
  <c r="H38" i="126"/>
  <c r="AK50" i="125"/>
  <c r="AR50" i="125"/>
  <c r="AL106" i="125"/>
  <c r="AS106" i="125"/>
  <c r="DF85" i="128"/>
  <c r="DL85" i="128"/>
  <c r="S80" i="125"/>
  <c r="I71" i="126"/>
  <c r="AM20" i="125"/>
  <c r="AT20" i="125"/>
  <c r="S112" i="125"/>
  <c r="T112" i="125"/>
  <c r="H103" i="126"/>
  <c r="S56" i="125"/>
  <c r="I47" i="126"/>
  <c r="S35" i="125"/>
  <c r="I26" i="126"/>
  <c r="S110" i="125"/>
  <c r="T110" i="125"/>
  <c r="H101" i="126"/>
  <c r="S77" i="125"/>
  <c r="I68" i="126"/>
  <c r="S54" i="125"/>
  <c r="I45" i="126"/>
  <c r="S43" i="125"/>
  <c r="T43" i="125"/>
  <c r="H34" i="126"/>
  <c r="AM116" i="125"/>
  <c r="AT116" i="125"/>
  <c r="AL110" i="125"/>
  <c r="AS110" i="125"/>
  <c r="S37" i="125"/>
  <c r="T37" i="125"/>
  <c r="H28" i="126"/>
  <c r="D42" i="126"/>
  <c r="R42" i="126"/>
  <c r="CN60" i="128"/>
  <c r="CV60" i="128"/>
  <c r="CU60" i="128"/>
  <c r="DE38" i="128"/>
  <c r="DK38" i="128"/>
  <c r="AM41" i="125"/>
  <c r="AT41" i="125"/>
  <c r="DF67" i="128"/>
  <c r="DL67" i="128"/>
  <c r="C63" i="126"/>
  <c r="AD63" i="126"/>
  <c r="S114" i="125"/>
  <c r="T114" i="125"/>
  <c r="H105" i="126"/>
  <c r="S105" i="125"/>
  <c r="I96" i="126"/>
  <c r="DF33" i="128"/>
  <c r="DL33" i="128"/>
  <c r="E32" i="126"/>
  <c r="S32" i="126"/>
  <c r="AL32" i="125"/>
  <c r="AS32" i="125"/>
  <c r="S66" i="125"/>
  <c r="I57" i="126"/>
  <c r="S27" i="125"/>
  <c r="I18" i="126"/>
  <c r="AL93" i="125"/>
  <c r="AS93" i="125"/>
  <c r="S74" i="125"/>
  <c r="T74" i="125"/>
  <c r="H65" i="126"/>
  <c r="S69" i="125"/>
  <c r="I60" i="126"/>
  <c r="DC99" i="128"/>
  <c r="DI99" i="128"/>
  <c r="AM49" i="125"/>
  <c r="AT49" i="125"/>
  <c r="DF20" i="128"/>
  <c r="DL20" i="128"/>
  <c r="CN81" i="128"/>
  <c r="CV81" i="128"/>
  <c r="CU81" i="128"/>
  <c r="S65" i="125"/>
  <c r="I56" i="126"/>
  <c r="D84" i="126"/>
  <c r="R84" i="126"/>
  <c r="Y90" i="125"/>
  <c r="M90" i="125"/>
  <c r="AN90" i="125"/>
  <c r="AU90" i="125"/>
  <c r="E102" i="126"/>
  <c r="S102" i="126"/>
  <c r="DC37" i="128"/>
  <c r="DI37" i="128"/>
  <c r="AL49" i="125"/>
  <c r="AS49" i="125"/>
  <c r="AL56" i="125"/>
  <c r="AS56" i="125"/>
  <c r="C31" i="126"/>
  <c r="AD31" i="126"/>
  <c r="S111" i="125"/>
  <c r="I102" i="126"/>
  <c r="S33" i="125"/>
  <c r="I24" i="126"/>
  <c r="D101" i="126"/>
  <c r="R101" i="126"/>
  <c r="S25" i="125"/>
  <c r="T25" i="125"/>
  <c r="H16" i="126"/>
  <c r="S42" i="125"/>
  <c r="I33" i="126"/>
  <c r="Y23" i="125"/>
  <c r="W14" i="126"/>
  <c r="Y14" i="126"/>
  <c r="AA14" i="126"/>
  <c r="Y60" i="125"/>
  <c r="M60" i="125"/>
  <c r="AN60" i="125"/>
  <c r="AU60" i="125"/>
  <c r="Y72" i="125"/>
  <c r="M72" i="125"/>
  <c r="AN72" i="125"/>
  <c r="AU72" i="125"/>
  <c r="DF86" i="128"/>
  <c r="DL86" i="128"/>
  <c r="DF48" i="128"/>
  <c r="DL48" i="128"/>
  <c r="CN78" i="128"/>
  <c r="CV78" i="128"/>
  <c r="CU78" i="128"/>
  <c r="D36" i="126"/>
  <c r="R36" i="126"/>
  <c r="C61" i="126"/>
  <c r="Q61" i="126"/>
  <c r="AK72" i="125"/>
  <c r="AR72" i="125"/>
  <c r="DE28" i="128"/>
  <c r="DK28" i="128"/>
  <c r="D89" i="126"/>
  <c r="R89" i="126"/>
  <c r="AL60" i="125"/>
  <c r="AS60" i="125"/>
  <c r="DE60" i="128"/>
  <c r="DK60" i="128"/>
  <c r="Y40" i="125"/>
  <c r="M40" i="125"/>
  <c r="AN40" i="125"/>
  <c r="AU40" i="125"/>
  <c r="S107" i="125"/>
  <c r="T107" i="125"/>
  <c r="H98" i="126"/>
  <c r="Y57" i="125"/>
  <c r="M57" i="125"/>
  <c r="AN57" i="125"/>
  <c r="AU57" i="125"/>
  <c r="S115" i="125"/>
  <c r="T115" i="125"/>
  <c r="H106" i="126"/>
  <c r="S85" i="125"/>
  <c r="I76" i="126"/>
  <c r="CN33" i="128"/>
  <c r="CV33" i="128"/>
  <c r="CU33" i="128"/>
  <c r="DE95" i="128"/>
  <c r="DK95" i="128"/>
  <c r="S58" i="125"/>
  <c r="T58" i="125"/>
  <c r="H49" i="126"/>
  <c r="C98" i="126"/>
  <c r="AD98" i="126"/>
  <c r="CN48" i="128"/>
  <c r="CV48" i="128"/>
  <c r="CU48" i="128"/>
  <c r="CN28" i="128"/>
  <c r="CV28" i="128"/>
  <c r="CU28" i="128"/>
  <c r="C47" i="126"/>
  <c r="AD47" i="126"/>
  <c r="D47" i="126"/>
  <c r="R47" i="126"/>
  <c r="CN96" i="128"/>
  <c r="CV96" i="128"/>
  <c r="CU96" i="128"/>
  <c r="S108" i="125"/>
  <c r="I99" i="126"/>
  <c r="DF39" i="128"/>
  <c r="DL39" i="128"/>
  <c r="S86" i="125"/>
  <c r="T86" i="125"/>
  <c r="H77" i="126"/>
  <c r="S41" i="125"/>
  <c r="T41" i="125"/>
  <c r="H32" i="126"/>
  <c r="Y32" i="125"/>
  <c r="M32" i="125"/>
  <c r="AN32" i="125"/>
  <c r="AU32" i="125"/>
  <c r="S102" i="125"/>
  <c r="T102" i="125"/>
  <c r="H93" i="126"/>
  <c r="C83" i="126"/>
  <c r="Q83" i="126"/>
  <c r="AL107" i="125"/>
  <c r="AS107" i="125"/>
  <c r="S117" i="125"/>
  <c r="I108" i="126"/>
  <c r="S45" i="125"/>
  <c r="T45" i="125"/>
  <c r="H36" i="126"/>
  <c r="S21" i="125"/>
  <c r="T21" i="125"/>
  <c r="H12" i="126"/>
  <c r="S83" i="125"/>
  <c r="T83" i="125"/>
  <c r="H74" i="126"/>
  <c r="S75" i="125"/>
  <c r="T75" i="125"/>
  <c r="H66" i="126"/>
  <c r="S20" i="125"/>
  <c r="I11" i="126"/>
  <c r="Y45" i="125"/>
  <c r="M45" i="125"/>
  <c r="AN45" i="125"/>
  <c r="AU45" i="125"/>
  <c r="S98" i="125"/>
  <c r="I89" i="126"/>
  <c r="S44" i="125"/>
  <c r="T44" i="125"/>
  <c r="H35" i="126"/>
  <c r="S78" i="125"/>
  <c r="T78" i="125"/>
  <c r="H69" i="126"/>
  <c r="S19" i="125"/>
  <c r="I10" i="126"/>
  <c r="S28" i="125"/>
  <c r="T28" i="125"/>
  <c r="H19" i="126"/>
  <c r="S70" i="125"/>
  <c r="I61" i="126"/>
  <c r="C91" i="126"/>
  <c r="Q91" i="126"/>
  <c r="S34" i="125"/>
  <c r="I25" i="126"/>
  <c r="C23" i="126"/>
  <c r="AD23" i="126"/>
  <c r="DE20" i="128"/>
  <c r="DK20" i="128"/>
  <c r="AK100" i="125"/>
  <c r="AR100" i="125"/>
  <c r="S48" i="125"/>
  <c r="I39" i="126"/>
  <c r="CN95" i="128"/>
  <c r="CV95" i="128"/>
  <c r="CU95" i="128"/>
  <c r="S36" i="125"/>
  <c r="T36" i="125"/>
  <c r="H27" i="126"/>
  <c r="S101" i="125"/>
  <c r="T101" i="125"/>
  <c r="H92" i="126"/>
  <c r="C32" i="126"/>
  <c r="Q32" i="126"/>
  <c r="S24" i="125"/>
  <c r="I15" i="126"/>
  <c r="Y107" i="125"/>
  <c r="W98" i="126"/>
  <c r="Y98" i="126"/>
  <c r="AA98" i="126"/>
  <c r="D41" i="126"/>
  <c r="R41" i="126"/>
  <c r="S92" i="125"/>
  <c r="T92" i="125"/>
  <c r="H83" i="126"/>
  <c r="S89" i="125"/>
  <c r="I80" i="126"/>
  <c r="AK41" i="125"/>
  <c r="AR41" i="125"/>
  <c r="S39" i="125"/>
  <c r="I30" i="126"/>
  <c r="Y50" i="125"/>
  <c r="M50" i="125"/>
  <c r="AN50" i="125"/>
  <c r="AU50" i="125"/>
  <c r="CN29" i="128"/>
  <c r="CV29" i="128"/>
  <c r="CU29" i="128"/>
  <c r="AL50" i="125"/>
  <c r="AS50" i="125"/>
  <c r="DE29" i="128"/>
  <c r="DK29" i="128"/>
  <c r="S30" i="125"/>
  <c r="I21" i="126"/>
  <c r="CN20" i="128"/>
  <c r="CV20" i="128"/>
  <c r="CU20" i="128"/>
  <c r="S29" i="125"/>
  <c r="I20" i="126"/>
  <c r="CN80" i="128"/>
  <c r="CV80" i="128"/>
  <c r="CU80" i="128"/>
  <c r="AK32" i="125"/>
  <c r="AR32" i="125"/>
  <c r="S32" i="125"/>
  <c r="I23" i="126"/>
  <c r="S103" i="125"/>
  <c r="T103" i="125"/>
  <c r="H94" i="126"/>
  <c r="S22" i="125"/>
  <c r="T22" i="125"/>
  <c r="H13" i="126"/>
  <c r="S73" i="125"/>
  <c r="T73" i="125"/>
  <c r="H64" i="126"/>
  <c r="DE80" i="128"/>
  <c r="DK80" i="128"/>
  <c r="S64" i="125"/>
  <c r="T64" i="125"/>
  <c r="H55" i="126"/>
  <c r="S62" i="125"/>
  <c r="T62" i="125"/>
  <c r="H53" i="126"/>
  <c r="S40" i="125"/>
  <c r="I31" i="126"/>
  <c r="E104" i="126"/>
  <c r="AM113" i="125"/>
  <c r="AT113" i="125"/>
  <c r="DC101" i="128"/>
  <c r="BA111" i="125"/>
  <c r="AG111" i="125"/>
  <c r="CN47" i="128"/>
  <c r="CV47" i="128"/>
  <c r="CU47" i="128"/>
  <c r="Y59" i="125"/>
  <c r="AK59" i="125"/>
  <c r="C50" i="126"/>
  <c r="DE47" i="128"/>
  <c r="DK47" i="128"/>
  <c r="AK53" i="125"/>
  <c r="C44" i="126"/>
  <c r="DE41" i="128"/>
  <c r="DK41" i="128"/>
  <c r="Y53" i="125"/>
  <c r="CN41" i="128"/>
  <c r="CV41" i="128"/>
  <c r="CU41" i="128"/>
  <c r="P62" i="126"/>
  <c r="P108" i="126"/>
  <c r="BA110" i="125"/>
  <c r="AG110" i="125"/>
  <c r="D100" i="126"/>
  <c r="R100" i="126"/>
  <c r="DF97" i="128"/>
  <c r="DL97" i="128"/>
  <c r="AL109" i="125"/>
  <c r="AS109" i="125"/>
  <c r="AG84" i="125"/>
  <c r="BA84" i="125"/>
  <c r="AG88" i="125"/>
  <c r="BA88" i="125"/>
  <c r="Y93" i="125"/>
  <c r="P65" i="126"/>
  <c r="BA42" i="125"/>
  <c r="AG42" i="125"/>
  <c r="AG115" i="125"/>
  <c r="BA115" i="125"/>
  <c r="DE25" i="128"/>
  <c r="DK25" i="128"/>
  <c r="AK37" i="125"/>
  <c r="Y37" i="125"/>
  <c r="C28" i="126"/>
  <c r="CN25" i="128"/>
  <c r="CV25" i="128"/>
  <c r="CU25" i="128"/>
  <c r="C102" i="126"/>
  <c r="AK111" i="125"/>
  <c r="DE99" i="128"/>
  <c r="DK99" i="128"/>
  <c r="Y111" i="125"/>
  <c r="CN99" i="128"/>
  <c r="CV99" i="128"/>
  <c r="CU99" i="128"/>
  <c r="C101" i="126"/>
  <c r="DE98" i="128"/>
  <c r="DK98" i="128"/>
  <c r="CN98" i="128"/>
  <c r="CV98" i="128"/>
  <c r="CU98" i="128"/>
  <c r="Y110" i="125"/>
  <c r="AK110" i="125"/>
  <c r="AL46" i="125"/>
  <c r="AS46" i="125"/>
  <c r="DF34" i="128"/>
  <c r="DL34" i="128"/>
  <c r="D37" i="126"/>
  <c r="R37" i="126"/>
  <c r="BA92" i="125"/>
  <c r="AG92" i="125"/>
  <c r="AD100" i="126"/>
  <c r="Q100" i="126"/>
  <c r="DC60" i="128"/>
  <c r="E63" i="126"/>
  <c r="AM72" i="125"/>
  <c r="AT72" i="125"/>
  <c r="AG82" i="125"/>
  <c r="BA82" i="125"/>
  <c r="P99" i="126"/>
  <c r="D103" i="126"/>
  <c r="R103" i="126"/>
  <c r="DF100" i="128"/>
  <c r="DL100" i="128"/>
  <c r="AL112" i="125"/>
  <c r="AS112" i="125"/>
  <c r="DE94" i="128"/>
  <c r="DK94" i="128"/>
  <c r="C97" i="126"/>
  <c r="CN94" i="128"/>
  <c r="CV94" i="128"/>
  <c r="CU94" i="128"/>
  <c r="Y106" i="125"/>
  <c r="AK106" i="125"/>
  <c r="AK27" i="125"/>
  <c r="C18" i="126"/>
  <c r="DE15" i="128"/>
  <c r="DK15" i="128"/>
  <c r="Y27" i="125"/>
  <c r="CN15" i="128"/>
  <c r="CV15" i="128"/>
  <c r="CU15" i="128"/>
  <c r="E27" i="126"/>
  <c r="AM36" i="125"/>
  <c r="AT36" i="125"/>
  <c r="DC24" i="128"/>
  <c r="E13" i="126"/>
  <c r="AM22" i="125"/>
  <c r="AT22" i="125"/>
  <c r="DC10" i="128"/>
  <c r="AM44" i="125"/>
  <c r="AT44" i="125"/>
  <c r="DC32" i="128"/>
  <c r="E35" i="126"/>
  <c r="E20" i="126"/>
  <c r="AM29" i="125"/>
  <c r="AT29" i="125"/>
  <c r="DC17" i="128"/>
  <c r="E85" i="126"/>
  <c r="AM94" i="125"/>
  <c r="AT94" i="125"/>
  <c r="DC82" i="128"/>
  <c r="DC66" i="128"/>
  <c r="E69" i="126"/>
  <c r="AM78" i="125"/>
  <c r="AT78" i="125"/>
  <c r="AG57" i="125"/>
  <c r="BA57" i="125"/>
  <c r="AM100" i="125"/>
  <c r="AT100" i="125"/>
  <c r="E91" i="126"/>
  <c r="DC88" i="128"/>
  <c r="AL85" i="125"/>
  <c r="AS85" i="125"/>
  <c r="D76" i="126"/>
  <c r="R76" i="126"/>
  <c r="DF73" i="128"/>
  <c r="DL73" i="128"/>
  <c r="AK47" i="125"/>
  <c r="CN35" i="128"/>
  <c r="CV35" i="128"/>
  <c r="CU35" i="128"/>
  <c r="DE35" i="128"/>
  <c r="DK35" i="128"/>
  <c r="Y47" i="125"/>
  <c r="C38" i="126"/>
  <c r="D62" i="126"/>
  <c r="R62" i="126"/>
  <c r="DF59" i="128"/>
  <c r="DL59" i="128"/>
  <c r="AL71" i="125"/>
  <c r="AS71" i="125"/>
  <c r="P55" i="126"/>
  <c r="AG49" i="125"/>
  <c r="BA49" i="125"/>
  <c r="AG97" i="125"/>
  <c r="BA97" i="125"/>
  <c r="AL23" i="125"/>
  <c r="AS23" i="125"/>
  <c r="DF11" i="128"/>
  <c r="DL11" i="128"/>
  <c r="D14" i="126"/>
  <c r="R14" i="126"/>
  <c r="AR61" i="125"/>
  <c r="BA80" i="125"/>
  <c r="AG80" i="125"/>
  <c r="AG106" i="125"/>
  <c r="BA106" i="125"/>
  <c r="AM52" i="125"/>
  <c r="AT52" i="125"/>
  <c r="DC40" i="128"/>
  <c r="E43" i="126"/>
  <c r="P39" i="126"/>
  <c r="AK86" i="125"/>
  <c r="CN74" i="128"/>
  <c r="CV74" i="128"/>
  <c r="CU74" i="128"/>
  <c r="DE74" i="128"/>
  <c r="DK74" i="128"/>
  <c r="Y86" i="125"/>
  <c r="C77" i="126"/>
  <c r="DC71" i="128"/>
  <c r="AM83" i="125"/>
  <c r="AT83" i="125"/>
  <c r="E74" i="126"/>
  <c r="DE85" i="128"/>
  <c r="DK85" i="128"/>
  <c r="Y97" i="125"/>
  <c r="C88" i="126"/>
  <c r="AK97" i="125"/>
  <c r="CN85" i="128"/>
  <c r="CV85" i="128"/>
  <c r="CU85" i="128"/>
  <c r="DF68" i="128"/>
  <c r="DL68" i="128"/>
  <c r="AL80" i="125"/>
  <c r="AS80" i="125"/>
  <c r="D71" i="126"/>
  <c r="R71" i="126"/>
  <c r="P81" i="126"/>
  <c r="D30" i="126"/>
  <c r="R30" i="126"/>
  <c r="AL39" i="125"/>
  <c r="AS39" i="125"/>
  <c r="DF27" i="128"/>
  <c r="DL27" i="128"/>
  <c r="AL104" i="125"/>
  <c r="AS104" i="125"/>
  <c r="DF92" i="128"/>
  <c r="DL92" i="128"/>
  <c r="D95" i="126"/>
  <c r="R95" i="126"/>
  <c r="S72" i="125"/>
  <c r="Y114" i="125"/>
  <c r="D15" i="126"/>
  <c r="R15" i="126"/>
  <c r="AL24" i="125"/>
  <c r="AS24" i="125"/>
  <c r="DF12" i="128"/>
  <c r="DL12" i="128"/>
  <c r="C93" i="126"/>
  <c r="DE90" i="128"/>
  <c r="DK90" i="128"/>
  <c r="Y102" i="125"/>
  <c r="AK102" i="125"/>
  <c r="CN90" i="128"/>
  <c r="CV90" i="128"/>
  <c r="CU90" i="128"/>
  <c r="P22" i="126"/>
  <c r="BA76" i="125"/>
  <c r="AG76" i="125"/>
  <c r="P102" i="126"/>
  <c r="P77" i="126"/>
  <c r="P68" i="126"/>
  <c r="AG117" i="125"/>
  <c r="BA117" i="125"/>
  <c r="CN40" i="128"/>
  <c r="CV40" i="128"/>
  <c r="CU40" i="128"/>
  <c r="Y52" i="125"/>
  <c r="AK52" i="125"/>
  <c r="C43" i="126"/>
  <c r="DE40" i="128"/>
  <c r="DK40" i="128"/>
  <c r="AC56" i="126"/>
  <c r="P56" i="126"/>
  <c r="P75" i="126"/>
  <c r="E86" i="126"/>
  <c r="DC83" i="128"/>
  <c r="AM95" i="125"/>
  <c r="AT95" i="125"/>
  <c r="CN87" i="128"/>
  <c r="CV87" i="128"/>
  <c r="CU87" i="128"/>
  <c r="C90" i="126"/>
  <c r="DE87" i="128"/>
  <c r="DK87" i="128"/>
  <c r="AK99" i="125"/>
  <c r="Y99" i="125"/>
  <c r="DE67" i="128"/>
  <c r="DK67" i="128"/>
  <c r="CN67" i="128"/>
  <c r="CV67" i="128"/>
  <c r="CU67" i="128"/>
  <c r="C70" i="126"/>
  <c r="AK79" i="125"/>
  <c r="Y79" i="125"/>
  <c r="BA27" i="125"/>
  <c r="AG27" i="125"/>
  <c r="AC23" i="126"/>
  <c r="P23" i="126"/>
  <c r="P91" i="126"/>
  <c r="AD75" i="126"/>
  <c r="Q75" i="126"/>
  <c r="AD36" i="126"/>
  <c r="Q36" i="126"/>
  <c r="BA116" i="125"/>
  <c r="AG116" i="125"/>
  <c r="P83" i="126"/>
  <c r="DF91" i="128"/>
  <c r="DL91" i="128"/>
  <c r="D94" i="126"/>
  <c r="R94" i="126"/>
  <c r="AL103" i="125"/>
  <c r="AS103" i="125"/>
  <c r="P54" i="126"/>
  <c r="DC39" i="128"/>
  <c r="AM51" i="125"/>
  <c r="AT51" i="125"/>
  <c r="E42" i="126"/>
  <c r="BA101" i="125"/>
  <c r="AG101" i="125"/>
  <c r="P72" i="126"/>
  <c r="CN79" i="128"/>
  <c r="CV79" i="128"/>
  <c r="CU79" i="128"/>
  <c r="AK91" i="125"/>
  <c r="Y91" i="125"/>
  <c r="C82" i="126"/>
  <c r="DE79" i="128"/>
  <c r="DK79" i="128"/>
  <c r="S52" i="125"/>
  <c r="P78" i="126"/>
  <c r="DC80" i="128"/>
  <c r="AM92" i="125"/>
  <c r="AT92" i="125"/>
  <c r="E83" i="126"/>
  <c r="DC14" i="128"/>
  <c r="AM26" i="125"/>
  <c r="AT26" i="125"/>
  <c r="E17" i="126"/>
  <c r="E55" i="126"/>
  <c r="DC52" i="128"/>
  <c r="AM64" i="125"/>
  <c r="AT64" i="125"/>
  <c r="E94" i="126"/>
  <c r="AM103" i="125"/>
  <c r="AT103" i="125"/>
  <c r="DC91" i="128"/>
  <c r="AM84" i="125"/>
  <c r="AT84" i="125"/>
  <c r="E75" i="126"/>
  <c r="DC72" i="128"/>
  <c r="E87" i="126"/>
  <c r="DC84" i="128"/>
  <c r="AM96" i="125"/>
  <c r="AT96" i="125"/>
  <c r="AG107" i="125"/>
  <c r="BA107" i="125"/>
  <c r="AM107" i="125"/>
  <c r="AT107" i="125"/>
  <c r="E98" i="126"/>
  <c r="DC95" i="128"/>
  <c r="AK44" i="125"/>
  <c r="C35" i="126"/>
  <c r="DE32" i="128"/>
  <c r="DK32" i="128"/>
  <c r="Y44" i="125"/>
  <c r="CN32" i="128"/>
  <c r="CV32" i="128"/>
  <c r="CU32" i="128"/>
  <c r="BA64" i="125"/>
  <c r="AG64" i="125"/>
  <c r="P95" i="126"/>
  <c r="AL70" i="125"/>
  <c r="AS70" i="125"/>
  <c r="D61" i="126"/>
  <c r="R61" i="126"/>
  <c r="DF58" i="128"/>
  <c r="DL58" i="128"/>
  <c r="Q85" i="126"/>
  <c r="AD85" i="126"/>
  <c r="S73" i="126"/>
  <c r="AE73" i="126"/>
  <c r="AM60" i="125"/>
  <c r="AT60" i="125"/>
  <c r="E51" i="126"/>
  <c r="DC48" i="128"/>
  <c r="S79" i="125"/>
  <c r="DF10" i="128"/>
  <c r="DL10" i="128"/>
  <c r="AL22" i="125"/>
  <c r="AS22" i="125"/>
  <c r="D13" i="126"/>
  <c r="R13" i="126"/>
  <c r="E93" i="126"/>
  <c r="AM102" i="125"/>
  <c r="AT102" i="125"/>
  <c r="DC90" i="128"/>
  <c r="P50" i="126"/>
  <c r="D74" i="126"/>
  <c r="R74" i="126"/>
  <c r="DF71" i="128"/>
  <c r="DL71" i="128"/>
  <c r="AL83" i="125"/>
  <c r="AS83" i="125"/>
  <c r="D86" i="126"/>
  <c r="R86" i="126"/>
  <c r="DF83" i="128"/>
  <c r="DL83" i="128"/>
  <c r="AL95" i="125"/>
  <c r="AS95" i="125"/>
  <c r="AL86" i="125"/>
  <c r="AS86" i="125"/>
  <c r="DF74" i="128"/>
  <c r="DL74" i="128"/>
  <c r="D77" i="126"/>
  <c r="R77" i="126"/>
  <c r="BA55" i="125"/>
  <c r="AG55" i="125"/>
  <c r="DF31" i="128"/>
  <c r="DL31" i="128"/>
  <c r="AL43" i="125"/>
  <c r="AS43" i="125"/>
  <c r="D34" i="126"/>
  <c r="R34" i="126"/>
  <c r="DE59" i="128"/>
  <c r="DK59" i="128"/>
  <c r="Y71" i="125"/>
  <c r="AK71" i="125"/>
  <c r="CN59" i="128"/>
  <c r="CV59" i="128"/>
  <c r="CU59" i="128"/>
  <c r="C62" i="126"/>
  <c r="BA26" i="125"/>
  <c r="AG26" i="125"/>
  <c r="P67" i="126"/>
  <c r="AM93" i="125"/>
  <c r="AT93" i="125"/>
  <c r="DC81" i="128"/>
  <c r="E84" i="126"/>
  <c r="AK68" i="125"/>
  <c r="CN56" i="128"/>
  <c r="CV56" i="128"/>
  <c r="CU56" i="128"/>
  <c r="Y68" i="125"/>
  <c r="C59" i="126"/>
  <c r="DE56" i="128"/>
  <c r="DK56" i="128"/>
  <c r="BA86" i="125"/>
  <c r="AG86" i="125"/>
  <c r="S93" i="125"/>
  <c r="BA114" i="125"/>
  <c r="AG114" i="125"/>
  <c r="DE22" i="128"/>
  <c r="DK22" i="128"/>
  <c r="CN22" i="128"/>
  <c r="CV22" i="128"/>
  <c r="CU22" i="128"/>
  <c r="AK34" i="125"/>
  <c r="C25" i="126"/>
  <c r="Y34" i="125"/>
  <c r="P10" i="126"/>
  <c r="DF14" i="128"/>
  <c r="DL14" i="128"/>
  <c r="D17" i="126"/>
  <c r="R17" i="126"/>
  <c r="AL26" i="125"/>
  <c r="AS26" i="125"/>
  <c r="Y38" i="125"/>
  <c r="AK38" i="125"/>
  <c r="DE26" i="128"/>
  <c r="DK26" i="128"/>
  <c r="CN26" i="128"/>
  <c r="CV26" i="128"/>
  <c r="CU26" i="128"/>
  <c r="C29" i="126"/>
  <c r="AG65" i="125"/>
  <c r="BA65" i="125"/>
  <c r="P24" i="126"/>
  <c r="CK107" i="63"/>
  <c r="CL6" i="63"/>
  <c r="CL107" i="63"/>
  <c r="AM30" i="125"/>
  <c r="AT30" i="125"/>
  <c r="E21" i="126"/>
  <c r="DC18" i="128"/>
  <c r="BA74" i="125"/>
  <c r="AG74" i="125"/>
  <c r="AK117" i="125"/>
  <c r="DE105" i="128"/>
  <c r="DK105" i="128"/>
  <c r="C108" i="126"/>
  <c r="CN105" i="128"/>
  <c r="CV105" i="128"/>
  <c r="CU105" i="128"/>
  <c r="Y117" i="125"/>
  <c r="BA34" i="125"/>
  <c r="AG34" i="125"/>
  <c r="D43" i="126"/>
  <c r="R43" i="126"/>
  <c r="DF40" i="128"/>
  <c r="DL40" i="128"/>
  <c r="AL52" i="125"/>
  <c r="AS52" i="125"/>
  <c r="AL115" i="125"/>
  <c r="AS115" i="125"/>
  <c r="DF103" i="128"/>
  <c r="DL103" i="128"/>
  <c r="D106" i="126"/>
  <c r="R106" i="126"/>
  <c r="E53" i="126"/>
  <c r="AM62" i="125"/>
  <c r="AT62" i="125"/>
  <c r="DC50" i="128"/>
  <c r="AG32" i="125"/>
  <c r="BA32" i="125"/>
  <c r="BA69" i="125"/>
  <c r="AG69" i="125"/>
  <c r="Y25" i="125"/>
  <c r="CN13" i="128"/>
  <c r="CV13" i="128"/>
  <c r="CU13" i="128"/>
  <c r="C16" i="126"/>
  <c r="DE13" i="128"/>
  <c r="DK13" i="128"/>
  <c r="AK25" i="125"/>
  <c r="BA54" i="125"/>
  <c r="AG54" i="125"/>
  <c r="P34" i="126"/>
  <c r="AM70" i="125"/>
  <c r="AT70" i="125"/>
  <c r="E61" i="126"/>
  <c r="DC58" i="128"/>
  <c r="BA81" i="125"/>
  <c r="AG81" i="125"/>
  <c r="E30" i="126"/>
  <c r="AM39" i="125"/>
  <c r="AT39" i="125"/>
  <c r="DC27" i="128"/>
  <c r="P43" i="126"/>
  <c r="AG87" i="125"/>
  <c r="BA87" i="125"/>
  <c r="DC25" i="128"/>
  <c r="E28" i="126"/>
  <c r="AM37" i="125"/>
  <c r="AT37" i="125"/>
  <c r="AM67" i="125"/>
  <c r="AT67" i="125"/>
  <c r="DC55" i="128"/>
  <c r="E58" i="126"/>
  <c r="DC9" i="128"/>
  <c r="AM21" i="125"/>
  <c r="AT21" i="125"/>
  <c r="E12" i="126"/>
  <c r="AM46" i="125"/>
  <c r="AT46" i="125"/>
  <c r="E37" i="126"/>
  <c r="DC34" i="128"/>
  <c r="E54" i="126"/>
  <c r="DC51" i="128"/>
  <c r="AM63" i="125"/>
  <c r="AT63" i="125"/>
  <c r="AM77" i="125"/>
  <c r="AT77" i="125"/>
  <c r="E68" i="126"/>
  <c r="DC65" i="128"/>
  <c r="P98" i="126"/>
  <c r="E18" i="126"/>
  <c r="DC15" i="128"/>
  <c r="AM27" i="125"/>
  <c r="AT27" i="125"/>
  <c r="D20" i="126"/>
  <c r="R20" i="126"/>
  <c r="DF17" i="128"/>
  <c r="DL17" i="128"/>
  <c r="AL29" i="125"/>
  <c r="AS29" i="125"/>
  <c r="BA89" i="125"/>
  <c r="AG89" i="125"/>
  <c r="AL91" i="125"/>
  <c r="AS91" i="125"/>
  <c r="DF79" i="128"/>
  <c r="DL79" i="128"/>
  <c r="D82" i="126"/>
  <c r="R82" i="126"/>
  <c r="Y94" i="125"/>
  <c r="P97" i="126"/>
  <c r="S51" i="125"/>
  <c r="BA79" i="125"/>
  <c r="AG79" i="125"/>
  <c r="DE55" i="128"/>
  <c r="DK55" i="128"/>
  <c r="CN55" i="128"/>
  <c r="CV55" i="128"/>
  <c r="CU55" i="128"/>
  <c r="Y67" i="125"/>
  <c r="AK67" i="125"/>
  <c r="C58" i="126"/>
  <c r="X118" i="125"/>
  <c r="AM18" i="125"/>
  <c r="E9" i="126"/>
  <c r="DC6" i="128"/>
  <c r="DE84" i="128"/>
  <c r="DK84" i="128"/>
  <c r="AK96" i="125"/>
  <c r="Y96" i="125"/>
  <c r="CN84" i="128"/>
  <c r="CV84" i="128"/>
  <c r="CU84" i="128"/>
  <c r="C87" i="126"/>
  <c r="AL59" i="125"/>
  <c r="AS59" i="125"/>
  <c r="DF47" i="128"/>
  <c r="DL47" i="128"/>
  <c r="D50" i="126"/>
  <c r="R50" i="126"/>
  <c r="AL75" i="125"/>
  <c r="AS75" i="125"/>
  <c r="D66" i="126"/>
  <c r="R66" i="126"/>
  <c r="DF63" i="128"/>
  <c r="DL63" i="128"/>
  <c r="P59" i="126"/>
  <c r="S23" i="125"/>
  <c r="P46" i="126"/>
  <c r="P21" i="126"/>
  <c r="CN58" i="128"/>
  <c r="CV58" i="128"/>
  <c r="CU58" i="128"/>
  <c r="Q105" i="126"/>
  <c r="AD105" i="126"/>
  <c r="BA62" i="125"/>
  <c r="AG62" i="125"/>
  <c r="D59" i="126"/>
  <c r="R59" i="126"/>
  <c r="DF56" i="128"/>
  <c r="DL56" i="128"/>
  <c r="AL68" i="125"/>
  <c r="AS68" i="125"/>
  <c r="AL99" i="125"/>
  <c r="AS99" i="125"/>
  <c r="D90" i="126"/>
  <c r="R90" i="126"/>
  <c r="DF87" i="128"/>
  <c r="DL87" i="128"/>
  <c r="AF118" i="125"/>
  <c r="DE63" i="128"/>
  <c r="DK63" i="128"/>
  <c r="AK75" i="125"/>
  <c r="Y75" i="125"/>
  <c r="C66" i="126"/>
  <c r="CN63" i="128"/>
  <c r="CV63" i="128"/>
  <c r="CU63" i="128"/>
  <c r="S60" i="125"/>
  <c r="DE23" i="128"/>
  <c r="DK23" i="128"/>
  <c r="C26" i="126"/>
  <c r="AK35" i="125"/>
  <c r="CN23" i="128"/>
  <c r="CV23" i="128"/>
  <c r="CU23" i="128"/>
  <c r="Y35" i="125"/>
  <c r="D29" i="126"/>
  <c r="R29" i="126"/>
  <c r="AL38" i="125"/>
  <c r="AS38" i="125"/>
  <c r="DF26" i="128"/>
  <c r="DL26" i="128"/>
  <c r="P100" i="126"/>
  <c r="AG109" i="125"/>
  <c r="BA109" i="125"/>
  <c r="P66" i="126"/>
  <c r="Y116" i="125"/>
  <c r="DE104" i="128"/>
  <c r="DK104" i="128"/>
  <c r="AK116" i="125"/>
  <c r="CN104" i="128"/>
  <c r="CV104" i="128"/>
  <c r="CU104" i="128"/>
  <c r="C107" i="126"/>
  <c r="BA93" i="125"/>
  <c r="AG93" i="125"/>
  <c r="P105" i="126"/>
  <c r="BA28" i="125"/>
  <c r="AG28" i="125"/>
  <c r="AG19" i="125"/>
  <c r="BA19" i="125"/>
  <c r="AG77" i="125"/>
  <c r="BA77" i="125"/>
  <c r="BA44" i="125"/>
  <c r="AG44" i="125"/>
  <c r="P101" i="126"/>
  <c r="S50" i="125"/>
  <c r="P61" i="126"/>
  <c r="AG33" i="125"/>
  <c r="BA33" i="125"/>
  <c r="P32" i="126"/>
  <c r="AR93" i="125"/>
  <c r="DC16" i="128"/>
  <c r="E19" i="126"/>
  <c r="AM28" i="125"/>
  <c r="AT28" i="125"/>
  <c r="AK46" i="125"/>
  <c r="CN34" i="128"/>
  <c r="CV34" i="128"/>
  <c r="CU34" i="128"/>
  <c r="Y46" i="125"/>
  <c r="DE34" i="128"/>
  <c r="DK34" i="128"/>
  <c r="C37" i="126"/>
  <c r="AG36" i="125"/>
  <c r="BA36" i="125"/>
  <c r="AM25" i="125"/>
  <c r="AT25" i="125"/>
  <c r="DC13" i="128"/>
  <c r="E16" i="126"/>
  <c r="AL77" i="125"/>
  <c r="AS77" i="125"/>
  <c r="DF65" i="128"/>
  <c r="DL65" i="128"/>
  <c r="D68" i="126"/>
  <c r="R68" i="126"/>
  <c r="P60" i="126"/>
  <c r="P107" i="126"/>
  <c r="P26" i="126"/>
  <c r="S46" i="125"/>
  <c r="BA112" i="125"/>
  <c r="AG112" i="125"/>
  <c r="AR40" i="125"/>
  <c r="E80" i="126"/>
  <c r="DC77" i="128"/>
  <c r="AM89" i="125"/>
  <c r="AT89" i="125"/>
  <c r="DE62" i="128"/>
  <c r="DK62" i="128"/>
  <c r="AK74" i="125"/>
  <c r="CN62" i="128"/>
  <c r="CV62" i="128"/>
  <c r="CU62" i="128"/>
  <c r="Y74" i="125"/>
  <c r="C65" i="126"/>
  <c r="P92" i="126"/>
  <c r="BA52" i="125"/>
  <c r="AG52" i="125"/>
  <c r="AM43" i="125"/>
  <c r="AT43" i="125"/>
  <c r="E34" i="126"/>
  <c r="DC31" i="128"/>
  <c r="E66" i="126"/>
  <c r="DC63" i="128"/>
  <c r="AM75" i="125"/>
  <c r="AT75" i="125"/>
  <c r="E29" i="126"/>
  <c r="AM38" i="125"/>
  <c r="AT38" i="125"/>
  <c r="DC26" i="128"/>
  <c r="DC42" i="128"/>
  <c r="AM54" i="125"/>
  <c r="AT54" i="125"/>
  <c r="E45" i="126"/>
  <c r="AM112" i="125"/>
  <c r="AT112" i="125"/>
  <c r="DC100" i="128"/>
  <c r="E103" i="126"/>
  <c r="E76" i="126"/>
  <c r="AM85" i="125"/>
  <c r="AT85" i="125"/>
  <c r="DC73" i="128"/>
  <c r="S96" i="125"/>
  <c r="C33" i="126"/>
  <c r="Y42" i="125"/>
  <c r="DE30" i="128"/>
  <c r="DK30" i="128"/>
  <c r="AK42" i="125"/>
  <c r="CN30" i="128"/>
  <c r="CV30" i="128"/>
  <c r="CU30" i="128"/>
  <c r="AL19" i="125"/>
  <c r="AS19" i="125"/>
  <c r="D10" i="126"/>
  <c r="R10" i="126"/>
  <c r="DF7" i="128"/>
  <c r="DL7" i="128"/>
  <c r="BA104" i="125"/>
  <c r="AG104" i="125"/>
  <c r="AL111" i="125"/>
  <c r="AS111" i="125"/>
  <c r="DF99" i="128"/>
  <c r="DL99" i="128"/>
  <c r="D102" i="126"/>
  <c r="R102" i="126"/>
  <c r="P40" i="126"/>
  <c r="C106" i="126"/>
  <c r="CN103" i="128"/>
  <c r="CV103" i="128"/>
  <c r="CU103" i="128"/>
  <c r="Y115" i="125"/>
  <c r="AK115" i="125"/>
  <c r="DE103" i="128"/>
  <c r="DK103" i="128"/>
  <c r="AG39" i="125"/>
  <c r="BA39" i="125"/>
  <c r="CN82" i="128"/>
  <c r="CV82" i="128"/>
  <c r="CU82" i="128"/>
  <c r="AL96" i="125"/>
  <c r="AS96" i="125"/>
  <c r="DF84" i="128"/>
  <c r="DL84" i="128"/>
  <c r="D87" i="126"/>
  <c r="R87" i="126"/>
  <c r="DE83" i="128"/>
  <c r="DK83" i="128"/>
  <c r="AK95" i="125"/>
  <c r="C86" i="126"/>
  <c r="CN83" i="128"/>
  <c r="CV83" i="128"/>
  <c r="CU83" i="128"/>
  <c r="Y95" i="125"/>
  <c r="P70" i="126"/>
  <c r="AC70" i="126"/>
  <c r="S94" i="125"/>
  <c r="S38" i="125"/>
  <c r="AM56" i="125"/>
  <c r="AT56" i="125"/>
  <c r="DC44" i="128"/>
  <c r="E47" i="126"/>
  <c r="S53" i="125"/>
  <c r="AG24" i="125"/>
  <c r="BA24" i="125"/>
  <c r="S67" i="125"/>
  <c r="P63" i="126"/>
  <c r="AG23" i="125"/>
  <c r="BA23" i="125"/>
  <c r="D25" i="126"/>
  <c r="R25" i="126"/>
  <c r="DF22" i="128"/>
  <c r="DL22" i="128"/>
  <c r="AL34" i="125"/>
  <c r="AS34" i="125"/>
  <c r="S99" i="125"/>
  <c r="BA31" i="125"/>
  <c r="AG31" i="125"/>
  <c r="BA40" i="125"/>
  <c r="AG40" i="125"/>
  <c r="DI59" i="128"/>
  <c r="AR63" i="125"/>
  <c r="E41" i="126"/>
  <c r="AM50" i="125"/>
  <c r="AT50" i="125"/>
  <c r="DC38" i="128"/>
  <c r="AM57" i="125"/>
  <c r="AT57" i="125"/>
  <c r="DC45" i="128"/>
  <c r="E48" i="126"/>
  <c r="BA75" i="125"/>
  <c r="AG75" i="125"/>
  <c r="G9" i="126"/>
  <c r="Z9" i="126"/>
  <c r="Z109" i="126"/>
  <c r="B9" i="126"/>
  <c r="CO6" i="128"/>
  <c r="CS6" i="128"/>
  <c r="CK6" i="128"/>
  <c r="AY18" i="125"/>
  <c r="L118" i="125"/>
  <c r="L119" i="125"/>
  <c r="L120" i="125"/>
  <c r="S18" i="125"/>
  <c r="P96" i="126"/>
  <c r="AG70" i="125"/>
  <c r="BA70" i="125"/>
  <c r="D91" i="126"/>
  <c r="R91" i="126"/>
  <c r="DF88" i="128"/>
  <c r="DL88" i="128"/>
  <c r="AL100" i="125"/>
  <c r="AS100" i="125"/>
  <c r="BA78" i="125"/>
  <c r="AG78" i="125"/>
  <c r="AM76" i="125"/>
  <c r="AT76" i="125"/>
  <c r="DC64" i="128"/>
  <c r="E67" i="126"/>
  <c r="DF70" i="128"/>
  <c r="DL70" i="128"/>
  <c r="AL82" i="125"/>
  <c r="AS82" i="125"/>
  <c r="D73" i="126"/>
  <c r="R73" i="126"/>
  <c r="P25" i="126"/>
  <c r="P27" i="126"/>
  <c r="D18" i="126"/>
  <c r="R18" i="126"/>
  <c r="DF15" i="128"/>
  <c r="DL15" i="128"/>
  <c r="AL27" i="125"/>
  <c r="AS27" i="125"/>
  <c r="CN88" i="128"/>
  <c r="CV88" i="128"/>
  <c r="CU88" i="128"/>
  <c r="DC49" i="128"/>
  <c r="AM61" i="125"/>
  <c r="AT61" i="125"/>
  <c r="E52" i="126"/>
  <c r="AK85" i="125"/>
  <c r="DE73" i="128"/>
  <c r="DK73" i="128"/>
  <c r="C76" i="126"/>
  <c r="Y85" i="125"/>
  <c r="CN73" i="128"/>
  <c r="CV73" i="128"/>
  <c r="CU73" i="128"/>
  <c r="DE70" i="128"/>
  <c r="DK70" i="128"/>
  <c r="AK82" i="125"/>
  <c r="C73" i="126"/>
  <c r="CN70" i="128"/>
  <c r="CV70" i="128"/>
  <c r="CU70" i="128"/>
  <c r="Y82" i="125"/>
  <c r="DE76" i="128"/>
  <c r="DK76" i="128"/>
  <c r="CN76" i="128"/>
  <c r="CV76" i="128"/>
  <c r="CU76" i="128"/>
  <c r="C79" i="126"/>
  <c r="Y88" i="125"/>
  <c r="AK88" i="125"/>
  <c r="AK113" i="125"/>
  <c r="CN101" i="128"/>
  <c r="CV101" i="128"/>
  <c r="CU101" i="128"/>
  <c r="C104" i="126"/>
  <c r="DE101" i="128"/>
  <c r="DK101" i="128"/>
  <c r="Y113" i="125"/>
  <c r="P57" i="126"/>
  <c r="P76" i="126"/>
  <c r="AG46" i="125"/>
  <c r="BA46" i="125"/>
  <c r="P45" i="126"/>
  <c r="AE82" i="126"/>
  <c r="S82" i="126"/>
  <c r="Q99" i="126"/>
  <c r="AD99" i="126"/>
  <c r="BA83" i="125"/>
  <c r="AG83" i="125"/>
  <c r="AL42" i="125"/>
  <c r="AS42" i="125"/>
  <c r="D33" i="126"/>
  <c r="R33" i="126"/>
  <c r="DF30" i="128"/>
  <c r="DL30" i="128"/>
  <c r="D69" i="126"/>
  <c r="R69" i="126"/>
  <c r="AL78" i="125"/>
  <c r="AS78" i="125"/>
  <c r="DF66" i="128"/>
  <c r="DL66" i="128"/>
  <c r="AL48" i="125"/>
  <c r="AS48" i="125"/>
  <c r="D39" i="126"/>
  <c r="R39" i="126"/>
  <c r="DF36" i="128"/>
  <c r="DL36" i="128"/>
  <c r="BA47" i="125"/>
  <c r="AG47" i="125"/>
  <c r="AK30" i="125"/>
  <c r="Y30" i="125"/>
  <c r="DE18" i="128"/>
  <c r="DK18" i="128"/>
  <c r="CN18" i="128"/>
  <c r="CV18" i="128"/>
  <c r="CU18" i="128"/>
  <c r="C21" i="126"/>
  <c r="DC86" i="128"/>
  <c r="AM98" i="125"/>
  <c r="AT98" i="125"/>
  <c r="E89" i="126"/>
  <c r="AM34" i="125"/>
  <c r="AT34" i="125"/>
  <c r="E25" i="126"/>
  <c r="DC22" i="128"/>
  <c r="AM40" i="125"/>
  <c r="AT40" i="125"/>
  <c r="E31" i="126"/>
  <c r="DC28" i="128"/>
  <c r="AM55" i="125"/>
  <c r="AT55" i="125"/>
  <c r="E46" i="126"/>
  <c r="DC43" i="128"/>
  <c r="AM24" i="125"/>
  <c r="AT24" i="125"/>
  <c r="DC12" i="128"/>
  <c r="E15" i="126"/>
  <c r="AM42" i="125"/>
  <c r="AT42" i="125"/>
  <c r="DC30" i="128"/>
  <c r="E33" i="126"/>
  <c r="Y51" i="125"/>
  <c r="BA102" i="125"/>
  <c r="AG102" i="125"/>
  <c r="C24" i="126"/>
  <c r="AK33" i="125"/>
  <c r="DE21" i="128"/>
  <c r="DK21" i="128"/>
  <c r="CN21" i="128"/>
  <c r="CV21" i="128"/>
  <c r="CU21" i="128"/>
  <c r="Y33" i="125"/>
  <c r="AG58" i="125"/>
  <c r="BA58" i="125"/>
  <c r="P80" i="126"/>
  <c r="P20" i="126"/>
  <c r="DF16" i="128"/>
  <c r="DL16" i="128"/>
  <c r="D19" i="126"/>
  <c r="R19" i="126"/>
  <c r="AL28" i="125"/>
  <c r="AS28" i="125"/>
  <c r="E24" i="126"/>
  <c r="AM33" i="125"/>
  <c r="AT33" i="125"/>
  <c r="DC21" i="128"/>
  <c r="C13" i="126"/>
  <c r="AK22" i="125"/>
  <c r="DE10" i="128"/>
  <c r="DK10" i="128"/>
  <c r="CN10" i="128"/>
  <c r="CV10" i="128"/>
  <c r="CU10" i="128"/>
  <c r="Y22" i="125"/>
  <c r="D72" i="126"/>
  <c r="R72" i="126"/>
  <c r="DF69" i="128"/>
  <c r="DL69" i="128"/>
  <c r="AL81" i="125"/>
  <c r="AS81" i="125"/>
  <c r="P30" i="126"/>
  <c r="AG51" i="125"/>
  <c r="BA51" i="125"/>
  <c r="S40" i="126"/>
  <c r="AE40" i="126"/>
  <c r="Y66" i="125"/>
  <c r="AK66" i="125"/>
  <c r="CN54" i="128"/>
  <c r="CV54" i="128"/>
  <c r="CU54" i="128"/>
  <c r="C57" i="126"/>
  <c r="DE54" i="128"/>
  <c r="DK54" i="128"/>
  <c r="DE71" i="128"/>
  <c r="DK71" i="128"/>
  <c r="Y83" i="125"/>
  <c r="C74" i="126"/>
  <c r="CN71" i="128"/>
  <c r="CV71" i="128"/>
  <c r="CU71" i="128"/>
  <c r="AK83" i="125"/>
  <c r="BA48" i="125"/>
  <c r="AG48" i="125"/>
  <c r="P47" i="126"/>
  <c r="DE100" i="128"/>
  <c r="DK100" i="128"/>
  <c r="CN100" i="128"/>
  <c r="CV100" i="128"/>
  <c r="CU100" i="128"/>
  <c r="Y112" i="125"/>
  <c r="AK112" i="125"/>
  <c r="C103" i="126"/>
  <c r="P52" i="126"/>
  <c r="P29" i="126"/>
  <c r="S91" i="125"/>
  <c r="DC20" i="128"/>
  <c r="E23" i="126"/>
  <c r="AM32" i="125"/>
  <c r="AT32" i="125"/>
  <c r="P15" i="126"/>
  <c r="AL47" i="125"/>
  <c r="AS47" i="125"/>
  <c r="DF35" i="128"/>
  <c r="DL35" i="128"/>
  <c r="D38" i="126"/>
  <c r="R38" i="126"/>
  <c r="AG67" i="125"/>
  <c r="BA67" i="125"/>
  <c r="AG72" i="125"/>
  <c r="BA72" i="125"/>
  <c r="P14" i="126"/>
  <c r="S95" i="125"/>
  <c r="P13" i="126"/>
  <c r="AG30" i="125"/>
  <c r="BA30" i="125"/>
  <c r="AR92" i="125"/>
  <c r="DC67" i="128"/>
  <c r="E70" i="126"/>
  <c r="AM79" i="125"/>
  <c r="AT79" i="125"/>
  <c r="P90" i="126"/>
  <c r="S113" i="125"/>
  <c r="DE31" i="128"/>
  <c r="DK31" i="128"/>
  <c r="CN31" i="128"/>
  <c r="CV31" i="128"/>
  <c r="CU31" i="128"/>
  <c r="Y43" i="125"/>
  <c r="AK43" i="125"/>
  <c r="C34" i="126"/>
  <c r="P31" i="126"/>
  <c r="CN44" i="128"/>
  <c r="CV44" i="128"/>
  <c r="CU44" i="128"/>
  <c r="DI47" i="128"/>
  <c r="Y63" i="125"/>
  <c r="E14" i="126"/>
  <c r="AM23" i="125"/>
  <c r="AT23" i="125"/>
  <c r="DC11" i="128"/>
  <c r="D49" i="126"/>
  <c r="R49" i="126"/>
  <c r="DF46" i="128"/>
  <c r="DL46" i="128"/>
  <c r="AL58" i="125"/>
  <c r="AS58" i="125"/>
  <c r="P19" i="126"/>
  <c r="AG98" i="125"/>
  <c r="BA98" i="125"/>
  <c r="P35" i="126"/>
  <c r="DF90" i="128"/>
  <c r="DL90" i="128"/>
  <c r="AL102" i="125"/>
  <c r="AS102" i="125"/>
  <c r="D93" i="126"/>
  <c r="R93" i="126"/>
  <c r="BA50" i="125"/>
  <c r="AG50" i="125"/>
  <c r="DI97" i="128"/>
  <c r="AG41" i="125"/>
  <c r="BA41" i="125"/>
  <c r="P69" i="126"/>
  <c r="AK36" i="125"/>
  <c r="CN24" i="128"/>
  <c r="CV24" i="128"/>
  <c r="CU24" i="128"/>
  <c r="C27" i="126"/>
  <c r="Y36" i="125"/>
  <c r="DE24" i="128"/>
  <c r="DK24" i="128"/>
  <c r="AL25" i="125"/>
  <c r="AS25" i="125"/>
  <c r="DF13" i="128"/>
  <c r="DL13" i="128"/>
  <c r="D16" i="126"/>
  <c r="R16" i="126"/>
  <c r="DE75" i="128"/>
  <c r="DK75" i="128"/>
  <c r="AK87" i="125"/>
  <c r="C78" i="126"/>
  <c r="Y87" i="125"/>
  <c r="CN75" i="128"/>
  <c r="CV75" i="128"/>
  <c r="CU75" i="128"/>
  <c r="P18" i="126"/>
  <c r="S100" i="125"/>
  <c r="DI57" i="128"/>
  <c r="AM105" i="125"/>
  <c r="AT105" i="125"/>
  <c r="E96" i="126"/>
  <c r="DC93" i="128"/>
  <c r="D65" i="126"/>
  <c r="R65" i="126"/>
  <c r="DF62" i="128"/>
  <c r="DL62" i="128"/>
  <c r="AL74" i="125"/>
  <c r="AS74" i="125"/>
  <c r="Y29" i="125"/>
  <c r="CN17" i="128"/>
  <c r="CV17" i="128"/>
  <c r="CU17" i="128"/>
  <c r="AK29" i="125"/>
  <c r="C20" i="126"/>
  <c r="DE17" i="128"/>
  <c r="DK17" i="128"/>
  <c r="BA35" i="125"/>
  <c r="AG35" i="125"/>
  <c r="DE89" i="128"/>
  <c r="DK89" i="128"/>
  <c r="AK101" i="125"/>
  <c r="C92" i="126"/>
  <c r="CN89" i="128"/>
  <c r="CV89" i="128"/>
  <c r="CU89" i="128"/>
  <c r="Y101" i="125"/>
  <c r="BA85" i="125"/>
  <c r="AG85" i="125"/>
  <c r="P11" i="126"/>
  <c r="Y109" i="125"/>
  <c r="AG43" i="125"/>
  <c r="BA43" i="125"/>
  <c r="AG63" i="125"/>
  <c r="BA63" i="125"/>
  <c r="S82" i="125"/>
  <c r="CN42" i="128"/>
  <c r="CV42" i="128"/>
  <c r="CU42" i="128"/>
  <c r="C45" i="126"/>
  <c r="DE42" i="128"/>
  <c r="DK42" i="128"/>
  <c r="AK54" i="125"/>
  <c r="Y54" i="125"/>
  <c r="P38" i="126"/>
  <c r="CN37" i="128"/>
  <c r="CV37" i="128"/>
  <c r="CU37" i="128"/>
  <c r="DE37" i="128"/>
  <c r="DK37" i="128"/>
  <c r="Y49" i="125"/>
  <c r="AK49" i="125"/>
  <c r="C40" i="126"/>
  <c r="AK98" i="125"/>
  <c r="C89" i="126"/>
  <c r="DE86" i="128"/>
  <c r="DK86" i="128"/>
  <c r="CN86" i="128"/>
  <c r="CV86" i="128"/>
  <c r="CU86" i="128"/>
  <c r="Y98" i="125"/>
  <c r="DC7" i="128"/>
  <c r="AM19" i="125"/>
  <c r="AT19" i="125"/>
  <c r="E10" i="126"/>
  <c r="E99" i="126"/>
  <c r="AM108" i="125"/>
  <c r="AT108" i="125"/>
  <c r="DC96" i="128"/>
  <c r="DC41" i="128"/>
  <c r="AM53" i="125"/>
  <c r="AT53" i="125"/>
  <c r="E44" i="126"/>
  <c r="E92" i="126"/>
  <c r="AM101" i="125"/>
  <c r="AT101" i="125"/>
  <c r="DC89" i="128"/>
  <c r="AM73" i="125"/>
  <c r="AT73" i="125"/>
  <c r="DC61" i="128"/>
  <c r="E64" i="126"/>
  <c r="DC23" i="128"/>
  <c r="E26" i="126"/>
  <c r="AM35" i="125"/>
  <c r="AT35" i="125"/>
  <c r="CN11" i="128"/>
  <c r="CV11" i="128"/>
  <c r="CU11" i="128"/>
  <c r="AD67" i="126"/>
  <c r="Q67" i="126"/>
  <c r="S57" i="125"/>
  <c r="CN39" i="128"/>
  <c r="CV39" i="128"/>
  <c r="CU39" i="128"/>
  <c r="DE57" i="128"/>
  <c r="DK57" i="128"/>
  <c r="AK69" i="125"/>
  <c r="CN57" i="128"/>
  <c r="CV57" i="128"/>
  <c r="CU57" i="128"/>
  <c r="Y69" i="125"/>
  <c r="C60" i="126"/>
  <c r="AL36" i="125"/>
  <c r="AS36" i="125"/>
  <c r="DF24" i="128"/>
  <c r="DL24" i="128"/>
  <c r="D27" i="126"/>
  <c r="R27" i="126"/>
  <c r="BA29" i="125"/>
  <c r="AG29" i="125"/>
  <c r="AG21" i="125"/>
  <c r="BA21" i="125"/>
  <c r="AL37" i="125"/>
  <c r="AS37" i="125"/>
  <c r="DF25" i="128"/>
  <c r="DL25" i="128"/>
  <c r="D28" i="126"/>
  <c r="R28" i="126"/>
  <c r="DC76" i="128"/>
  <c r="E79" i="126"/>
  <c r="AM88" i="125"/>
  <c r="AT88" i="125"/>
  <c r="DF55" i="128"/>
  <c r="DL55" i="128"/>
  <c r="AL67" i="125"/>
  <c r="AS67" i="125"/>
  <c r="D58" i="126"/>
  <c r="R58" i="126"/>
  <c r="Y61" i="125"/>
  <c r="P42" i="126"/>
  <c r="DE12" i="128"/>
  <c r="DK12" i="128"/>
  <c r="AK24" i="125"/>
  <c r="C15" i="126"/>
  <c r="Y24" i="125"/>
  <c r="CN12" i="128"/>
  <c r="CV12" i="128"/>
  <c r="CU12" i="128"/>
  <c r="P82" i="126"/>
  <c r="AG90" i="125"/>
  <c r="BA90" i="125"/>
  <c r="D107" i="126"/>
  <c r="R107" i="126"/>
  <c r="AL116" i="125"/>
  <c r="AS116" i="125"/>
  <c r="DF104" i="128"/>
  <c r="DL104" i="128"/>
  <c r="AG103" i="125"/>
  <c r="BA103" i="125"/>
  <c r="D35" i="126"/>
  <c r="R35" i="126"/>
  <c r="DF32" i="128"/>
  <c r="DL32" i="128"/>
  <c r="AL44" i="125"/>
  <c r="AS44" i="125"/>
  <c r="AL35" i="125"/>
  <c r="AS35" i="125"/>
  <c r="DF23" i="128"/>
  <c r="DL23" i="128"/>
  <c r="D26" i="126"/>
  <c r="R26" i="126"/>
  <c r="BA95" i="125"/>
  <c r="AG95" i="125"/>
  <c r="AG22" i="125"/>
  <c r="BA22" i="125"/>
  <c r="P36" i="126"/>
  <c r="DC78" i="128"/>
  <c r="AM90" i="125"/>
  <c r="AT90" i="125"/>
  <c r="E81" i="126"/>
  <c r="P53" i="126"/>
  <c r="D79" i="126"/>
  <c r="R79" i="126"/>
  <c r="DF76" i="128"/>
  <c r="DL76" i="128"/>
  <c r="AL88" i="125"/>
  <c r="AS88" i="125"/>
  <c r="AL53" i="125"/>
  <c r="AS53" i="125"/>
  <c r="DF41" i="128"/>
  <c r="DL41" i="128"/>
  <c r="D44" i="126"/>
  <c r="R44" i="126"/>
  <c r="P51" i="126"/>
  <c r="AC51" i="126"/>
  <c r="AG99" i="125"/>
  <c r="BA99" i="125"/>
  <c r="P104" i="126"/>
  <c r="C17" i="126"/>
  <c r="DE14" i="128"/>
  <c r="DK14" i="128"/>
  <c r="CN14" i="128"/>
  <c r="CV14" i="128"/>
  <c r="CU14" i="128"/>
  <c r="AK26" i="125"/>
  <c r="Y26" i="125"/>
  <c r="S26" i="125"/>
  <c r="DE68" i="128"/>
  <c r="DK68" i="128"/>
  <c r="CN68" i="128"/>
  <c r="CV68" i="128"/>
  <c r="CU68" i="128"/>
  <c r="AK80" i="125"/>
  <c r="Y80" i="125"/>
  <c r="C71" i="126"/>
  <c r="P84" i="126"/>
  <c r="Y21" i="125"/>
  <c r="AK21" i="125"/>
  <c r="DE9" i="128"/>
  <c r="DK9" i="128"/>
  <c r="CN9" i="128"/>
  <c r="CV9" i="128"/>
  <c r="CU9" i="128"/>
  <c r="C12" i="126"/>
  <c r="P89" i="126"/>
  <c r="DF77" i="128"/>
  <c r="DL77" i="128"/>
  <c r="D80" i="126"/>
  <c r="R80" i="126"/>
  <c r="AL89" i="125"/>
  <c r="AS89" i="125"/>
  <c r="BA37" i="125"/>
  <c r="AG37" i="125"/>
  <c r="BA25" i="125"/>
  <c r="AG25" i="125"/>
  <c r="P79" i="126"/>
  <c r="P33" i="126"/>
  <c r="D104" i="126"/>
  <c r="R104" i="126"/>
  <c r="DF101" i="128"/>
  <c r="DL101" i="128"/>
  <c r="AL113" i="125"/>
  <c r="AS113" i="125"/>
  <c r="P106" i="126"/>
  <c r="BA100" i="125"/>
  <c r="AG100" i="125"/>
  <c r="Y100" i="125"/>
  <c r="E78" i="126"/>
  <c r="AM87" i="125"/>
  <c r="AT87" i="125"/>
  <c r="DC75" i="128"/>
  <c r="Y78" i="125"/>
  <c r="DE66" i="128"/>
  <c r="DK66" i="128"/>
  <c r="CN66" i="128"/>
  <c r="CV66" i="128"/>
  <c r="CU66" i="128"/>
  <c r="AK78" i="125"/>
  <c r="C69" i="126"/>
  <c r="AL69" i="125"/>
  <c r="AS69" i="125"/>
  <c r="D60" i="126"/>
  <c r="R60" i="126"/>
  <c r="DF57" i="128"/>
  <c r="DL57" i="128"/>
  <c r="AG20" i="125"/>
  <c r="BA20" i="125"/>
  <c r="DE77" i="128"/>
  <c r="DK77" i="128"/>
  <c r="CN77" i="128"/>
  <c r="CV77" i="128"/>
  <c r="CU77" i="128"/>
  <c r="Y89" i="125"/>
  <c r="AK89" i="125"/>
  <c r="C80" i="126"/>
  <c r="P103" i="126"/>
  <c r="P74" i="126"/>
  <c r="AK19" i="125"/>
  <c r="CN7" i="128"/>
  <c r="CV7" i="128"/>
  <c r="CU7" i="128"/>
  <c r="C10" i="126"/>
  <c r="DE7" i="128"/>
  <c r="DK7" i="128"/>
  <c r="Y19" i="125"/>
  <c r="C46" i="126"/>
  <c r="DE43" i="128"/>
  <c r="DK43" i="128"/>
  <c r="CN43" i="128"/>
  <c r="CV43" i="128"/>
  <c r="CU43" i="128"/>
  <c r="Y55" i="125"/>
  <c r="AK55" i="125"/>
  <c r="BA108" i="125"/>
  <c r="AG108" i="125"/>
  <c r="Y28" i="125"/>
  <c r="C19" i="126"/>
  <c r="DE16" i="128"/>
  <c r="DK16" i="128"/>
  <c r="CN16" i="128"/>
  <c r="CV16" i="128"/>
  <c r="CU16" i="128"/>
  <c r="AK28" i="125"/>
  <c r="Y81" i="125"/>
  <c r="C72" i="126"/>
  <c r="AK81" i="125"/>
  <c r="DE69" i="128"/>
  <c r="DK69" i="128"/>
  <c r="CN69" i="128"/>
  <c r="CV69" i="128"/>
  <c r="CU69" i="128"/>
  <c r="E90" i="126"/>
  <c r="AM99" i="125"/>
  <c r="AT99" i="125"/>
  <c r="DC87" i="128"/>
  <c r="E22" i="126"/>
  <c r="AM31" i="125"/>
  <c r="AT31" i="125"/>
  <c r="DC19" i="128"/>
  <c r="DC56" i="128"/>
  <c r="AM68" i="125"/>
  <c r="AT68" i="125"/>
  <c r="E59" i="126"/>
  <c r="AM48" i="125"/>
  <c r="AT48" i="125"/>
  <c r="E39" i="126"/>
  <c r="DC36" i="128"/>
  <c r="E88" i="126"/>
  <c r="DC85" i="128"/>
  <c r="AM97" i="125"/>
  <c r="AT97" i="125"/>
  <c r="DC62" i="128"/>
  <c r="E65" i="126"/>
  <c r="AM74" i="125"/>
  <c r="AT74" i="125"/>
  <c r="Y105" i="125"/>
  <c r="CN64" i="128"/>
  <c r="CV64" i="128"/>
  <c r="CU64" i="128"/>
  <c r="CN38" i="128"/>
  <c r="CV38" i="128"/>
  <c r="CU38" i="128"/>
  <c r="BA96" i="125"/>
  <c r="AG96" i="125"/>
  <c r="P93" i="126"/>
  <c r="Y39" i="125"/>
  <c r="AK39" i="125"/>
  <c r="DE27" i="128"/>
  <c r="DK27" i="128"/>
  <c r="CN27" i="128"/>
  <c r="CV27" i="128"/>
  <c r="CU27" i="128"/>
  <c r="C30" i="126"/>
  <c r="P49" i="126"/>
  <c r="DF43" i="128"/>
  <c r="DL43" i="128"/>
  <c r="AL55" i="125"/>
  <c r="AS55" i="125"/>
  <c r="D46" i="126"/>
  <c r="R46" i="126"/>
  <c r="Y103" i="125"/>
  <c r="C94" i="126"/>
  <c r="DE91" i="128"/>
  <c r="DK91" i="128"/>
  <c r="AK103" i="125"/>
  <c r="CN91" i="128"/>
  <c r="CV91" i="128"/>
  <c r="CU91" i="128"/>
  <c r="P12" i="126"/>
  <c r="DF19" i="128"/>
  <c r="DL19" i="128"/>
  <c r="D22" i="126"/>
  <c r="R22" i="126"/>
  <c r="AL31" i="125"/>
  <c r="AS31" i="125"/>
  <c r="S97" i="125"/>
  <c r="AL18" i="125"/>
  <c r="D9" i="126"/>
  <c r="R9" i="126"/>
  <c r="W118" i="125"/>
  <c r="DF6" i="128"/>
  <c r="DL6" i="128"/>
  <c r="CN49" i="128"/>
  <c r="CV49" i="128"/>
  <c r="CU49" i="128"/>
  <c r="DC92" i="128"/>
  <c r="E95" i="126"/>
  <c r="AM104" i="125"/>
  <c r="AT104" i="125"/>
  <c r="AG56" i="125"/>
  <c r="BA56" i="125"/>
  <c r="DC94" i="128"/>
  <c r="AM106" i="125"/>
  <c r="AT106" i="125"/>
  <c r="E97" i="126"/>
  <c r="AL92" i="125"/>
  <c r="AS92" i="125"/>
  <c r="DF80" i="128"/>
  <c r="DL80" i="128"/>
  <c r="D83" i="126"/>
  <c r="R83" i="126"/>
  <c r="P85" i="126"/>
  <c r="BA61" i="125"/>
  <c r="AG61" i="125"/>
  <c r="S59" i="125"/>
  <c r="P44" i="126"/>
  <c r="AL66" i="125"/>
  <c r="AS66" i="125"/>
  <c r="D57" i="126"/>
  <c r="R57" i="126"/>
  <c r="DF54" i="128"/>
  <c r="DL54" i="128"/>
  <c r="P94" i="126"/>
  <c r="AL54" i="125"/>
  <c r="AS54" i="125"/>
  <c r="DF42" i="128"/>
  <c r="DL42" i="128"/>
  <c r="D45" i="126"/>
  <c r="R45" i="126"/>
  <c r="S68" i="125"/>
  <c r="BA45" i="125"/>
  <c r="AG45" i="125"/>
  <c r="DI29" i="128"/>
  <c r="Y92" i="125"/>
  <c r="Y70" i="125"/>
  <c r="DC102" i="128"/>
  <c r="AM114" i="125"/>
  <c r="AT114" i="125"/>
  <c r="E105" i="126"/>
  <c r="AK20" i="125"/>
  <c r="CN8" i="128"/>
  <c r="CV8" i="128"/>
  <c r="CU8" i="128"/>
  <c r="Y20" i="125"/>
  <c r="C11" i="126"/>
  <c r="DE8" i="128"/>
  <c r="DK8" i="128"/>
  <c r="AG60" i="125"/>
  <c r="BA60" i="125"/>
  <c r="AL108" i="125"/>
  <c r="AS108" i="125"/>
  <c r="DF96" i="128"/>
  <c r="DL96" i="128"/>
  <c r="D99" i="126"/>
  <c r="R99" i="126"/>
  <c r="P17" i="126"/>
  <c r="DF45" i="128"/>
  <c r="DL45" i="128"/>
  <c r="AL57" i="125"/>
  <c r="AS57" i="125"/>
  <c r="D48" i="126"/>
  <c r="R48" i="126"/>
  <c r="Y56" i="125"/>
  <c r="S76" i="125"/>
  <c r="P64" i="126"/>
  <c r="DI68" i="128"/>
  <c r="DF8" i="128"/>
  <c r="DL8" i="128"/>
  <c r="AL20" i="125"/>
  <c r="AS20" i="125"/>
  <c r="D11" i="126"/>
  <c r="R11" i="126"/>
  <c r="AG71" i="125"/>
  <c r="BA71" i="125"/>
  <c r="P41" i="126"/>
  <c r="AG105" i="125"/>
  <c r="BA105" i="125"/>
  <c r="P28" i="126"/>
  <c r="AR107" i="125"/>
  <c r="P16" i="126"/>
  <c r="AR65" i="125"/>
  <c r="Q51" i="126"/>
  <c r="AD51" i="126"/>
  <c r="AL101" i="125"/>
  <c r="AS101" i="125"/>
  <c r="DF89" i="128"/>
  <c r="DL89" i="128"/>
  <c r="D92" i="126"/>
  <c r="R92" i="126"/>
  <c r="AL64" i="125"/>
  <c r="AS64" i="125"/>
  <c r="D55" i="126"/>
  <c r="R55" i="126"/>
  <c r="DF52" i="128"/>
  <c r="DL52" i="128"/>
  <c r="DF29" i="128"/>
  <c r="DL29" i="128"/>
  <c r="AL41" i="125"/>
  <c r="AS41" i="125"/>
  <c r="D32" i="126"/>
  <c r="R32" i="126"/>
  <c r="V118" i="125"/>
  <c r="DE6" i="128"/>
  <c r="DK6" i="128"/>
  <c r="AK18" i="125"/>
  <c r="C9" i="126"/>
  <c r="Y18" i="125"/>
  <c r="CN6" i="128"/>
  <c r="CV6" i="128"/>
  <c r="CU6" i="128"/>
  <c r="DC98" i="128"/>
  <c r="AM110" i="125"/>
  <c r="AT110" i="125"/>
  <c r="E101" i="126"/>
  <c r="S116" i="125"/>
  <c r="DF105" i="128"/>
  <c r="DL105" i="128"/>
  <c r="AL117" i="125"/>
  <c r="AS117" i="125"/>
  <c r="D108" i="126"/>
  <c r="R108" i="126"/>
  <c r="AG66" i="125"/>
  <c r="BA66" i="125"/>
  <c r="P37" i="126"/>
  <c r="Y41" i="125"/>
  <c r="CN97" i="128"/>
  <c r="CV97" i="128"/>
  <c r="CU97" i="128"/>
  <c r="P73" i="126"/>
  <c r="C95" i="126"/>
  <c r="CN92" i="128"/>
  <c r="CV92" i="128"/>
  <c r="CU92" i="128"/>
  <c r="AK104" i="125"/>
  <c r="Y104" i="125"/>
  <c r="DE92" i="128"/>
  <c r="DK92" i="128"/>
  <c r="AK64" i="125"/>
  <c r="CN52" i="128"/>
  <c r="CV52" i="128"/>
  <c r="CU52" i="128"/>
  <c r="Y64" i="125"/>
  <c r="C55" i="126"/>
  <c r="DE52" i="128"/>
  <c r="DK52" i="128"/>
  <c r="S81" i="125"/>
  <c r="Y31" i="125"/>
  <c r="C22" i="126"/>
  <c r="CN19" i="128"/>
  <c r="CV19" i="128"/>
  <c r="CU19" i="128"/>
  <c r="AK31" i="125"/>
  <c r="DE19" i="128"/>
  <c r="DK19" i="128"/>
  <c r="E77" i="126"/>
  <c r="AM86" i="125"/>
  <c r="AT86" i="125"/>
  <c r="DC74" i="128"/>
  <c r="S87" i="125"/>
  <c r="DC105" i="128"/>
  <c r="E108" i="126"/>
  <c r="AM117" i="125"/>
  <c r="AT117" i="125"/>
  <c r="AM115" i="125"/>
  <c r="AT115" i="125"/>
  <c r="E106" i="126"/>
  <c r="DC103" i="128"/>
  <c r="E38" i="126"/>
  <c r="AM47" i="125"/>
  <c r="AT47" i="125"/>
  <c r="DC35" i="128"/>
  <c r="AM66" i="125"/>
  <c r="AT66" i="125"/>
  <c r="DC54" i="128"/>
  <c r="E57" i="126"/>
  <c r="DC53" i="128"/>
  <c r="E56" i="126"/>
  <c r="AM65" i="125"/>
  <c r="AT65" i="125"/>
  <c r="E49" i="126"/>
  <c r="AM58" i="125"/>
  <c r="AT58" i="125"/>
  <c r="DC46" i="128"/>
  <c r="Q96" i="126"/>
  <c r="AD96" i="126"/>
  <c r="Y76" i="125"/>
  <c r="Q41" i="126"/>
  <c r="AD41" i="126"/>
  <c r="P48" i="126"/>
  <c r="P87" i="126"/>
  <c r="Q42" i="126"/>
  <c r="AD42" i="126"/>
  <c r="DE65" i="128"/>
  <c r="DK65" i="128"/>
  <c r="AK77" i="125"/>
  <c r="CN65" i="128"/>
  <c r="CV65" i="128"/>
  <c r="CU65" i="128"/>
  <c r="C68" i="126"/>
  <c r="Y77" i="125"/>
  <c r="C39" i="126"/>
  <c r="DE36" i="128"/>
  <c r="DK36" i="128"/>
  <c r="Y48" i="125"/>
  <c r="CN36" i="128"/>
  <c r="CV36" i="128"/>
  <c r="CU36" i="128"/>
  <c r="AK48" i="125"/>
  <c r="AK62" i="125"/>
  <c r="Y62" i="125"/>
  <c r="DE50" i="128"/>
  <c r="DK50" i="128"/>
  <c r="CN50" i="128"/>
  <c r="CV50" i="128"/>
  <c r="CU50" i="128"/>
  <c r="C53" i="126"/>
  <c r="S104" i="125"/>
  <c r="S49" i="125"/>
  <c r="P88" i="126"/>
  <c r="DF93" i="128"/>
  <c r="DL93" i="128"/>
  <c r="D96" i="126"/>
  <c r="R96" i="126"/>
  <c r="AL105" i="125"/>
  <c r="AS105" i="125"/>
  <c r="P71" i="126"/>
  <c r="S106" i="125"/>
  <c r="DC69" i="128"/>
  <c r="AM81" i="125"/>
  <c r="AT81" i="125"/>
  <c r="E72" i="126"/>
  <c r="D53" i="126"/>
  <c r="R53" i="126"/>
  <c r="DF50" i="128"/>
  <c r="DL50" i="128"/>
  <c r="AL62" i="125"/>
  <c r="AS62" i="125"/>
  <c r="AL40" i="125"/>
  <c r="AS40" i="125"/>
  <c r="DF28" i="128"/>
  <c r="DL28" i="128"/>
  <c r="D31" i="126"/>
  <c r="R31" i="126"/>
  <c r="C64" i="126"/>
  <c r="DE61" i="128"/>
  <c r="DK61" i="128"/>
  <c r="Y73" i="125"/>
  <c r="AK73" i="125"/>
  <c r="CN61" i="128"/>
  <c r="CV61" i="128"/>
  <c r="CU61" i="128"/>
  <c r="BA94" i="125"/>
  <c r="AG94" i="125"/>
  <c r="AG38" i="125"/>
  <c r="BA38" i="125"/>
  <c r="AG91" i="125"/>
  <c r="BA91" i="125"/>
  <c r="AG59" i="125"/>
  <c r="BA59" i="125"/>
  <c r="AG53" i="125"/>
  <c r="BA53" i="125"/>
  <c r="D24" i="126"/>
  <c r="R24" i="126"/>
  <c r="DF21" i="128"/>
  <c r="DL21" i="128"/>
  <c r="AL33" i="125"/>
  <c r="AS33" i="125"/>
  <c r="AL21" i="125"/>
  <c r="AS21" i="125"/>
  <c r="DF9" i="128"/>
  <c r="DL9" i="128"/>
  <c r="D12" i="126"/>
  <c r="R12" i="126"/>
  <c r="AG68" i="125"/>
  <c r="BA68" i="125"/>
  <c r="P58" i="126"/>
  <c r="S55" i="125"/>
  <c r="P86" i="126"/>
  <c r="CN45" i="128"/>
  <c r="CV45" i="128"/>
  <c r="CU45" i="128"/>
  <c r="DC33" i="128"/>
  <c r="AM45" i="125"/>
  <c r="AT45" i="125"/>
  <c r="E36" i="126"/>
  <c r="DE46" i="128"/>
  <c r="DK46" i="128"/>
  <c r="Y58" i="125"/>
  <c r="CN46" i="128"/>
  <c r="CV46" i="128"/>
  <c r="CU46" i="128"/>
  <c r="AK58" i="125"/>
  <c r="C49" i="126"/>
  <c r="BA113" i="125"/>
  <c r="AG113" i="125"/>
  <c r="S31" i="125"/>
  <c r="AL87" i="125"/>
  <c r="AS87" i="125"/>
  <c r="DF75" i="128"/>
  <c r="DL75" i="128"/>
  <c r="D78" i="126"/>
  <c r="R78" i="126"/>
  <c r="S11" i="126"/>
  <c r="AE11" i="126"/>
  <c r="AR56" i="125"/>
  <c r="AG73" i="125"/>
  <c r="BA73" i="125"/>
  <c r="DI104" i="128"/>
  <c r="AE71" i="126"/>
  <c r="S71" i="126"/>
  <c r="D4" i="121"/>
  <c r="E4" i="121"/>
  <c r="F4" i="121"/>
  <c r="A25" i="126"/>
  <c r="AF25" i="126"/>
  <c r="A35" i="125"/>
  <c r="AC105" i="126"/>
  <c r="AC81" i="126"/>
  <c r="Q56" i="126"/>
  <c r="AC52" i="126"/>
  <c r="W56" i="126"/>
  <c r="Y56" i="126"/>
  <c r="AA56" i="126"/>
  <c r="AD14" i="126"/>
  <c r="Q52" i="126"/>
  <c r="I54" i="126"/>
  <c r="Q84" i="126"/>
  <c r="AC67" i="126"/>
  <c r="AC85" i="126"/>
  <c r="AC40" i="126"/>
  <c r="I65" i="126"/>
  <c r="AC97" i="126"/>
  <c r="Q54" i="126"/>
  <c r="AC36" i="126"/>
  <c r="I28" i="126"/>
  <c r="AE102" i="126"/>
  <c r="I16" i="126"/>
  <c r="T56" i="125"/>
  <c r="H47" i="126"/>
  <c r="L47" i="126"/>
  <c r="T105" i="125"/>
  <c r="H96" i="126"/>
  <c r="N96" i="126"/>
  <c r="AC75" i="126"/>
  <c r="AE100" i="126"/>
  <c r="I77" i="126"/>
  <c r="AC63" i="126"/>
  <c r="AE50" i="126"/>
  <c r="I105" i="126"/>
  <c r="M105" i="126"/>
  <c r="I83" i="126"/>
  <c r="Q98" i="126"/>
  <c r="S107" i="126"/>
  <c r="AC101" i="126"/>
  <c r="I103" i="126"/>
  <c r="L103" i="126"/>
  <c r="AC88" i="126"/>
  <c r="AC64" i="126"/>
  <c r="AC54" i="126"/>
  <c r="AE60" i="126"/>
  <c r="M84" i="125"/>
  <c r="AN84" i="125"/>
  <c r="AU84" i="125"/>
  <c r="AV84" i="125"/>
  <c r="AC30" i="126"/>
  <c r="T90" i="125"/>
  <c r="H81" i="126"/>
  <c r="N81" i="126"/>
  <c r="AC15" i="126"/>
  <c r="I79" i="126"/>
  <c r="AC21" i="126"/>
  <c r="T61" i="125"/>
  <c r="H52" i="126"/>
  <c r="N52" i="126"/>
  <c r="T117" i="125"/>
  <c r="H108" i="126"/>
  <c r="N108" i="126"/>
  <c r="T69" i="125"/>
  <c r="H60" i="126"/>
  <c r="N60" i="126"/>
  <c r="I19" i="126"/>
  <c r="AC103" i="126"/>
  <c r="AC98" i="126"/>
  <c r="AD81" i="126"/>
  <c r="T35" i="125"/>
  <c r="H26" i="126"/>
  <c r="M26" i="126"/>
  <c r="T108" i="125"/>
  <c r="H99" i="126"/>
  <c r="K99" i="126"/>
  <c r="I35" i="126"/>
  <c r="T111" i="125"/>
  <c r="H102" i="126"/>
  <c r="N102" i="126"/>
  <c r="M107" i="125"/>
  <c r="AN107" i="125"/>
  <c r="AU107" i="125"/>
  <c r="AV107" i="125"/>
  <c r="T65" i="125"/>
  <c r="H56" i="126"/>
  <c r="L56" i="126"/>
  <c r="T80" i="125"/>
  <c r="H71" i="126"/>
  <c r="L71" i="126"/>
  <c r="AE62" i="126"/>
  <c r="I98" i="126"/>
  <c r="AC71" i="126"/>
  <c r="AC74" i="126"/>
  <c r="AC42" i="126"/>
  <c r="I38" i="126"/>
  <c r="T42" i="125"/>
  <c r="H33" i="126"/>
  <c r="L33" i="126"/>
  <c r="I62" i="126"/>
  <c r="AD61" i="126"/>
  <c r="I34" i="126"/>
  <c r="AC76" i="126"/>
  <c r="W31" i="126"/>
  <c r="Y31" i="126"/>
  <c r="AA31" i="126"/>
  <c r="I101" i="126"/>
  <c r="I106" i="126"/>
  <c r="K106" i="126"/>
  <c r="M108" i="125"/>
  <c r="AN108" i="125"/>
  <c r="AU108" i="125"/>
  <c r="AV108" i="125"/>
  <c r="W81" i="126"/>
  <c r="Y81" i="126"/>
  <c r="AA81" i="126"/>
  <c r="AD91" i="126"/>
  <c r="T33" i="125"/>
  <c r="H24" i="126"/>
  <c r="K24" i="126"/>
  <c r="T109" i="125"/>
  <c r="H100" i="126"/>
  <c r="K100" i="126"/>
  <c r="I66" i="126"/>
  <c r="AD32" i="126"/>
  <c r="W36" i="126"/>
  <c r="Y36" i="126"/>
  <c r="AA36" i="126"/>
  <c r="W41" i="126"/>
  <c r="Y41" i="126"/>
  <c r="AA41" i="126"/>
  <c r="AE32" i="126"/>
  <c r="Q48" i="126"/>
  <c r="AC89" i="126"/>
  <c r="DG97" i="128"/>
  <c r="DM97" i="128"/>
  <c r="Q47" i="126"/>
  <c r="T66" i="125"/>
  <c r="H57" i="126"/>
  <c r="M57" i="126"/>
  <c r="AC100" i="126"/>
  <c r="Q31" i="126"/>
  <c r="AC86" i="126"/>
  <c r="AC87" i="126"/>
  <c r="AD83" i="126"/>
  <c r="W63" i="126"/>
  <c r="Y63" i="126"/>
  <c r="AA63" i="126"/>
  <c r="T85" i="125"/>
  <c r="H76" i="126"/>
  <c r="L76" i="126"/>
  <c r="T54" i="125"/>
  <c r="H45" i="126"/>
  <c r="K45" i="126"/>
  <c r="AC29" i="126"/>
  <c r="AC47" i="126"/>
  <c r="AC94" i="126"/>
  <c r="T84" i="125"/>
  <c r="H75" i="126"/>
  <c r="M75" i="126"/>
  <c r="DG99" i="128"/>
  <c r="DM99" i="128"/>
  <c r="AC20" i="126"/>
  <c r="AC106" i="126"/>
  <c r="W51" i="126"/>
  <c r="Y51" i="126"/>
  <c r="AA51" i="126"/>
  <c r="AC13" i="126"/>
  <c r="Q23" i="126"/>
  <c r="T98" i="125"/>
  <c r="H89" i="126"/>
  <c r="L89" i="126"/>
  <c r="AC34" i="126"/>
  <c r="T77" i="125"/>
  <c r="H68" i="126"/>
  <c r="L68" i="126"/>
  <c r="T34" i="125"/>
  <c r="H25" i="126"/>
  <c r="K25" i="126"/>
  <c r="AC37" i="126"/>
  <c r="M23" i="125"/>
  <c r="AN23" i="125"/>
  <c r="T19" i="125"/>
  <c r="H10" i="126"/>
  <c r="N10" i="126"/>
  <c r="T20" i="125"/>
  <c r="H11" i="126"/>
  <c r="K11" i="126"/>
  <c r="DG70" i="128"/>
  <c r="DM70" i="128"/>
  <c r="I49" i="126"/>
  <c r="L12" i="65"/>
  <c r="I16" i="65"/>
  <c r="AC44" i="126"/>
  <c r="G61" i="61"/>
  <c r="G63" i="61"/>
  <c r="H63" i="61"/>
  <c r="I61" i="61"/>
  <c r="G63" i="60"/>
  <c r="H65" i="60"/>
  <c r="I63" i="60"/>
  <c r="I65" i="60"/>
  <c r="F69" i="61"/>
  <c r="F73" i="60"/>
  <c r="F71" i="60"/>
  <c r="D7" i="121"/>
  <c r="AC41" i="126"/>
  <c r="I69" i="126"/>
  <c r="I36" i="126"/>
  <c r="Q63" i="126"/>
  <c r="AC84" i="126"/>
  <c r="T27" i="125"/>
  <c r="H18" i="126"/>
  <c r="N18" i="126"/>
  <c r="AC14" i="126"/>
  <c r="I64" i="126"/>
  <c r="AC82" i="126"/>
  <c r="T70" i="125"/>
  <c r="H61" i="126"/>
  <c r="K61" i="126"/>
  <c r="AC17" i="126"/>
  <c r="DG79" i="128"/>
  <c r="DM79" i="128"/>
  <c r="I74" i="126"/>
  <c r="W48" i="126"/>
  <c r="Y48" i="126"/>
  <c r="AA48" i="126"/>
  <c r="W23" i="126"/>
  <c r="Y23" i="126"/>
  <c r="AA23" i="126"/>
  <c r="AC73" i="126"/>
  <c r="AC66" i="126"/>
  <c r="AC58" i="126"/>
  <c r="AV72" i="125"/>
  <c r="AC25" i="126"/>
  <c r="AO72" i="125"/>
  <c r="AC90" i="126"/>
  <c r="T40" i="125"/>
  <c r="H31" i="126"/>
  <c r="L31" i="126"/>
  <c r="I12" i="126"/>
  <c r="T48" i="125"/>
  <c r="H39" i="126"/>
  <c r="M39" i="126"/>
  <c r="T30" i="125"/>
  <c r="H21" i="126"/>
  <c r="L21" i="126"/>
  <c r="AC28" i="126"/>
  <c r="AC18" i="126"/>
  <c r="AC19" i="126"/>
  <c r="AC79" i="126"/>
  <c r="AC33" i="126"/>
  <c r="AO50" i="125"/>
  <c r="I32" i="126"/>
  <c r="T89" i="125"/>
  <c r="H80" i="126"/>
  <c r="N80" i="126"/>
  <c r="I55" i="126"/>
  <c r="I27" i="126"/>
  <c r="AV50" i="125"/>
  <c r="I94" i="126"/>
  <c r="AC49" i="126"/>
  <c r="I53" i="126"/>
  <c r="DG59" i="128"/>
  <c r="DM59" i="128"/>
  <c r="T39" i="125"/>
  <c r="H30" i="126"/>
  <c r="M30" i="126"/>
  <c r="AC77" i="126"/>
  <c r="AV65" i="125"/>
  <c r="I92" i="126"/>
  <c r="I13" i="126"/>
  <c r="I93" i="126"/>
  <c r="AC43" i="126"/>
  <c r="AC16" i="126"/>
  <c r="AC95" i="126"/>
  <c r="T29" i="125"/>
  <c r="H20" i="126"/>
  <c r="L20" i="126"/>
  <c r="AO60" i="125"/>
  <c r="DG57" i="128"/>
  <c r="DM57" i="128"/>
  <c r="AC59" i="126"/>
  <c r="AC93" i="126"/>
  <c r="AV60" i="125"/>
  <c r="DG47" i="128"/>
  <c r="DM47" i="128"/>
  <c r="T32" i="125"/>
  <c r="H23" i="126"/>
  <c r="N23" i="126"/>
  <c r="T24" i="125"/>
  <c r="H15" i="126"/>
  <c r="K15" i="126"/>
  <c r="DG29" i="128"/>
  <c r="DM29" i="128"/>
  <c r="AC38" i="126"/>
  <c r="AC69" i="126"/>
  <c r="AC61" i="126"/>
  <c r="AV90" i="125"/>
  <c r="AC62" i="126"/>
  <c r="AO65" i="125"/>
  <c r="AR48" i="125"/>
  <c r="AW105" i="125"/>
  <c r="AH105" i="125"/>
  <c r="Q49" i="126"/>
  <c r="AD49" i="126"/>
  <c r="W64" i="126"/>
  <c r="Y64" i="126"/>
  <c r="AA64" i="126"/>
  <c r="M73" i="125"/>
  <c r="AN73" i="125"/>
  <c r="AU73" i="125"/>
  <c r="Q53" i="126"/>
  <c r="AD53" i="126"/>
  <c r="AE56" i="126"/>
  <c r="S56" i="126"/>
  <c r="DI103" i="128"/>
  <c r="DG103" i="128"/>
  <c r="DM103" i="128"/>
  <c r="AE101" i="126"/>
  <c r="S101" i="126"/>
  <c r="DG68" i="128"/>
  <c r="DM68" i="128"/>
  <c r="DG8" i="128"/>
  <c r="DM8" i="128"/>
  <c r="S105" i="126"/>
  <c r="U105" i="126"/>
  <c r="AE105" i="126"/>
  <c r="DG94" i="128"/>
  <c r="DM94" i="128"/>
  <c r="DI94" i="128"/>
  <c r="W96" i="126"/>
  <c r="Y96" i="126"/>
  <c r="AA96" i="126"/>
  <c r="M105" i="125"/>
  <c r="AN105" i="125"/>
  <c r="AU105" i="125"/>
  <c r="AV105" i="125"/>
  <c r="AE39" i="126"/>
  <c r="S39" i="126"/>
  <c r="DG87" i="128"/>
  <c r="DM87" i="128"/>
  <c r="DI87" i="128"/>
  <c r="AR28" i="125"/>
  <c r="W46" i="126"/>
  <c r="Y46" i="126"/>
  <c r="AA46" i="126"/>
  <c r="M55" i="125"/>
  <c r="AN55" i="125"/>
  <c r="AU55" i="125"/>
  <c r="AR19" i="125"/>
  <c r="AR26" i="125"/>
  <c r="AC53" i="126"/>
  <c r="Q60" i="126"/>
  <c r="U60" i="126"/>
  <c r="AD60" i="126"/>
  <c r="DI89" i="128"/>
  <c r="DG89" i="128"/>
  <c r="DM89" i="128"/>
  <c r="AE99" i="126"/>
  <c r="S99" i="126"/>
  <c r="U99" i="126"/>
  <c r="AR98" i="125"/>
  <c r="AW35" i="125"/>
  <c r="AH35" i="125"/>
  <c r="Q27" i="126"/>
  <c r="AD27" i="126"/>
  <c r="M28" i="126"/>
  <c r="N28" i="126"/>
  <c r="L28" i="126"/>
  <c r="K28" i="126"/>
  <c r="AV57" i="125"/>
  <c r="I82" i="126"/>
  <c r="T91" i="125"/>
  <c r="H82" i="126"/>
  <c r="AD74" i="126"/>
  <c r="Q74" i="126"/>
  <c r="DG21" i="128"/>
  <c r="DM21" i="128"/>
  <c r="DI21" i="128"/>
  <c r="AC80" i="126"/>
  <c r="AD24" i="126"/>
  <c r="Q24" i="126"/>
  <c r="AE31" i="126"/>
  <c r="S31" i="126"/>
  <c r="Q21" i="126"/>
  <c r="AD21" i="126"/>
  <c r="AC57" i="126"/>
  <c r="M88" i="125"/>
  <c r="AN88" i="125"/>
  <c r="AU88" i="125"/>
  <c r="W79" i="126"/>
  <c r="Y79" i="126"/>
  <c r="AA79" i="126"/>
  <c r="DG49" i="128"/>
  <c r="DM49" i="128"/>
  <c r="DI49" i="128"/>
  <c r="P9" i="126"/>
  <c r="AC9" i="126"/>
  <c r="T99" i="125"/>
  <c r="H90" i="126"/>
  <c r="I90" i="126"/>
  <c r="T67" i="125"/>
  <c r="H58" i="126"/>
  <c r="I58" i="126"/>
  <c r="I85" i="126"/>
  <c r="T94" i="125"/>
  <c r="H85" i="126"/>
  <c r="DG100" i="128"/>
  <c r="DM100" i="128"/>
  <c r="DI100" i="128"/>
  <c r="AR74" i="125"/>
  <c r="AC26" i="126"/>
  <c r="Q37" i="126"/>
  <c r="AD37" i="126"/>
  <c r="T50" i="125"/>
  <c r="H41" i="126"/>
  <c r="I41" i="126"/>
  <c r="AW19" i="125"/>
  <c r="AH19" i="125"/>
  <c r="AD26" i="126"/>
  <c r="Q26" i="126"/>
  <c r="AW62" i="125"/>
  <c r="AH62" i="125"/>
  <c r="N36" i="126"/>
  <c r="M36" i="126"/>
  <c r="L36" i="126"/>
  <c r="K36" i="126"/>
  <c r="AE37" i="126"/>
  <c r="S37" i="126"/>
  <c r="N54" i="126"/>
  <c r="K54" i="126"/>
  <c r="L54" i="126"/>
  <c r="M54" i="126"/>
  <c r="AW65" i="125"/>
  <c r="AH65" i="125"/>
  <c r="M71" i="125"/>
  <c r="AN71" i="125"/>
  <c r="AU71" i="125"/>
  <c r="W62" i="126"/>
  <c r="Y62" i="126"/>
  <c r="AA62" i="126"/>
  <c r="AE93" i="126"/>
  <c r="S93" i="126"/>
  <c r="DI95" i="128"/>
  <c r="DG95" i="128"/>
  <c r="DM95" i="128"/>
  <c r="DI84" i="128"/>
  <c r="DG84" i="128"/>
  <c r="DM84" i="128"/>
  <c r="DI80" i="128"/>
  <c r="DG80" i="128"/>
  <c r="DM80" i="128"/>
  <c r="AR79" i="125"/>
  <c r="AR52" i="125"/>
  <c r="Q88" i="126"/>
  <c r="AD88" i="126"/>
  <c r="AR47" i="125"/>
  <c r="AW57" i="125"/>
  <c r="AH57" i="125"/>
  <c r="DG24" i="128"/>
  <c r="DM24" i="128"/>
  <c r="DI24" i="128"/>
  <c r="AR106" i="125"/>
  <c r="AC99" i="126"/>
  <c r="W102" i="126"/>
  <c r="Y102" i="126"/>
  <c r="AA102" i="126"/>
  <c r="M111" i="125"/>
  <c r="AN111" i="125"/>
  <c r="AU111" i="125"/>
  <c r="M53" i="125"/>
  <c r="AN53" i="125"/>
  <c r="AU53" i="125"/>
  <c r="W44" i="126"/>
  <c r="Y44" i="126"/>
  <c r="AA44" i="126"/>
  <c r="L94" i="126"/>
  <c r="M94" i="126"/>
  <c r="K94" i="126"/>
  <c r="N94" i="126"/>
  <c r="S106" i="126"/>
  <c r="AE106" i="126"/>
  <c r="AD95" i="126"/>
  <c r="Q95" i="126"/>
  <c r="M101" i="126"/>
  <c r="L101" i="126"/>
  <c r="K101" i="126"/>
  <c r="N101" i="126"/>
  <c r="AD80" i="126"/>
  <c r="Q80" i="126"/>
  <c r="L83" i="126"/>
  <c r="N83" i="126"/>
  <c r="M83" i="126"/>
  <c r="K83" i="126"/>
  <c r="M78" i="125"/>
  <c r="AN78" i="125"/>
  <c r="AU78" i="125"/>
  <c r="W69" i="126"/>
  <c r="Y69" i="126"/>
  <c r="AA69" i="126"/>
  <c r="Q71" i="126"/>
  <c r="U71" i="126"/>
  <c r="AD71" i="126"/>
  <c r="AW90" i="125"/>
  <c r="AH90" i="125"/>
  <c r="W60" i="126"/>
  <c r="Y60" i="126"/>
  <c r="AA60" i="126"/>
  <c r="M69" i="125"/>
  <c r="AN69" i="125"/>
  <c r="AU69" i="125"/>
  <c r="AE10" i="126"/>
  <c r="S10" i="126"/>
  <c r="AD40" i="126"/>
  <c r="Q40" i="126"/>
  <c r="U40" i="126"/>
  <c r="AW63" i="125"/>
  <c r="AH63" i="125"/>
  <c r="AW85" i="125"/>
  <c r="AH85" i="125"/>
  <c r="I91" i="126"/>
  <c r="T100" i="125"/>
  <c r="H91" i="126"/>
  <c r="AW50" i="125"/>
  <c r="AH50" i="125"/>
  <c r="DG11" i="128"/>
  <c r="DM11" i="128"/>
  <c r="DI11" i="128"/>
  <c r="I104" i="126"/>
  <c r="T113" i="125"/>
  <c r="H104" i="126"/>
  <c r="M83" i="125"/>
  <c r="AN83" i="125"/>
  <c r="AU83" i="125"/>
  <c r="W74" i="126"/>
  <c r="Y74" i="126"/>
  <c r="AA74" i="126"/>
  <c r="AW102" i="125"/>
  <c r="AH102" i="125"/>
  <c r="AE15" i="126"/>
  <c r="S15" i="126"/>
  <c r="AW47" i="125"/>
  <c r="AH47" i="125"/>
  <c r="AD79" i="126"/>
  <c r="Q79" i="126"/>
  <c r="AW78" i="125"/>
  <c r="AH78" i="125"/>
  <c r="L35" i="126"/>
  <c r="M35" i="126"/>
  <c r="N35" i="126"/>
  <c r="K35" i="126"/>
  <c r="DI38" i="128"/>
  <c r="DG38" i="128"/>
  <c r="DM38" i="128"/>
  <c r="DG63" i="128"/>
  <c r="DM63" i="128"/>
  <c r="DI63" i="128"/>
  <c r="AO40" i="125"/>
  <c r="Q107" i="126"/>
  <c r="AD107" i="126"/>
  <c r="AW109" i="125"/>
  <c r="AH109" i="125"/>
  <c r="AC46" i="126"/>
  <c r="DI6" i="128"/>
  <c r="DG6" i="128"/>
  <c r="DM6" i="128"/>
  <c r="M94" i="125"/>
  <c r="AN94" i="125"/>
  <c r="W85" i="126"/>
  <c r="Y85" i="126"/>
  <c r="AA85" i="126"/>
  <c r="DG65" i="128"/>
  <c r="DM65" i="128"/>
  <c r="DI65" i="128"/>
  <c r="AE28" i="126"/>
  <c r="S28" i="126"/>
  <c r="AE30" i="126"/>
  <c r="S30" i="126"/>
  <c r="AD16" i="126"/>
  <c r="Q16" i="126"/>
  <c r="AW32" i="125"/>
  <c r="AH32" i="125"/>
  <c r="AR117" i="125"/>
  <c r="AD29" i="126"/>
  <c r="Q29" i="126"/>
  <c r="L19" i="126"/>
  <c r="M19" i="126"/>
  <c r="K19" i="126"/>
  <c r="N19" i="126"/>
  <c r="AW55" i="125"/>
  <c r="AH55" i="125"/>
  <c r="AW64" i="125"/>
  <c r="AH64" i="125"/>
  <c r="S98" i="126"/>
  <c r="AE98" i="126"/>
  <c r="AE87" i="126"/>
  <c r="S87" i="126"/>
  <c r="DG52" i="128"/>
  <c r="DM52" i="128"/>
  <c r="DI52" i="128"/>
  <c r="AC78" i="126"/>
  <c r="AC72" i="126"/>
  <c r="DI39" i="128"/>
  <c r="DG39" i="128"/>
  <c r="DM39" i="128"/>
  <c r="AC91" i="126"/>
  <c r="AD70" i="126"/>
  <c r="Q70" i="126"/>
  <c r="M52" i="125"/>
  <c r="AN52" i="125"/>
  <c r="AU52" i="125"/>
  <c r="W43" i="126"/>
  <c r="Y43" i="126"/>
  <c r="AA43" i="126"/>
  <c r="W105" i="126"/>
  <c r="Y105" i="126"/>
  <c r="AA105" i="126"/>
  <c r="M114" i="125"/>
  <c r="AN114" i="125"/>
  <c r="AU114" i="125"/>
  <c r="AV114" i="125"/>
  <c r="W88" i="126"/>
  <c r="Y88" i="126"/>
  <c r="AA88" i="126"/>
  <c r="M97" i="125"/>
  <c r="AN97" i="125"/>
  <c r="AU97" i="125"/>
  <c r="AW106" i="125"/>
  <c r="AH106" i="125"/>
  <c r="S20" i="126"/>
  <c r="AE20" i="126"/>
  <c r="M106" i="125"/>
  <c r="AN106" i="125"/>
  <c r="AU106" i="125"/>
  <c r="W97" i="126"/>
  <c r="Y97" i="126"/>
  <c r="AA97" i="126"/>
  <c r="AW92" i="125"/>
  <c r="AH92" i="125"/>
  <c r="AW88" i="125"/>
  <c r="AH88" i="125"/>
  <c r="AW110" i="125"/>
  <c r="AH110" i="125"/>
  <c r="AW111" i="125"/>
  <c r="AH111" i="125"/>
  <c r="AE77" i="126"/>
  <c r="S77" i="126"/>
  <c r="AD64" i="126"/>
  <c r="Q64" i="126"/>
  <c r="W68" i="126"/>
  <c r="Y68" i="126"/>
  <c r="AA68" i="126"/>
  <c r="M77" i="125"/>
  <c r="AN77" i="125"/>
  <c r="AU77" i="125"/>
  <c r="M64" i="125"/>
  <c r="AN64" i="125"/>
  <c r="AU64" i="125"/>
  <c r="W55" i="126"/>
  <c r="Y55" i="126"/>
  <c r="AA55" i="126"/>
  <c r="DI98" i="128"/>
  <c r="DG98" i="128"/>
  <c r="DM98" i="128"/>
  <c r="Y118" i="125"/>
  <c r="M18" i="125"/>
  <c r="W9" i="126"/>
  <c r="AW60" i="125"/>
  <c r="AH60" i="125"/>
  <c r="DI102" i="128"/>
  <c r="DG102" i="128"/>
  <c r="DM102" i="128"/>
  <c r="AW56" i="125"/>
  <c r="AH56" i="125"/>
  <c r="AS18" i="125"/>
  <c r="AS118" i="125"/>
  <c r="AL118" i="125"/>
  <c r="AR103" i="125"/>
  <c r="AE65" i="126"/>
  <c r="S65" i="126"/>
  <c r="S59" i="126"/>
  <c r="AE59" i="126"/>
  <c r="AE90" i="126"/>
  <c r="S90" i="126"/>
  <c r="AR89" i="125"/>
  <c r="DI75" i="128"/>
  <c r="DG75" i="128"/>
  <c r="DM75" i="128"/>
  <c r="Q12" i="126"/>
  <c r="AD12" i="126"/>
  <c r="M80" i="125"/>
  <c r="AN80" i="125"/>
  <c r="AU80" i="125"/>
  <c r="W71" i="126"/>
  <c r="Y71" i="126"/>
  <c r="AA71" i="126"/>
  <c r="AE81" i="126"/>
  <c r="S81" i="126"/>
  <c r="U81" i="126"/>
  <c r="AW22" i="125"/>
  <c r="AH22" i="125"/>
  <c r="AW21" i="125"/>
  <c r="AH21" i="125"/>
  <c r="S92" i="126"/>
  <c r="AE92" i="126"/>
  <c r="AR49" i="125"/>
  <c r="W45" i="126"/>
  <c r="Y45" i="126"/>
  <c r="AA45" i="126"/>
  <c r="M54" i="125"/>
  <c r="AN54" i="125"/>
  <c r="AU54" i="125"/>
  <c r="DI93" i="128"/>
  <c r="DG93" i="128"/>
  <c r="DM93" i="128"/>
  <c r="AR36" i="125"/>
  <c r="AW41" i="125"/>
  <c r="AH41" i="125"/>
  <c r="AC31" i="126"/>
  <c r="AE24" i="126"/>
  <c r="S24" i="126"/>
  <c r="DI12" i="128"/>
  <c r="DG12" i="128"/>
  <c r="DM12" i="128"/>
  <c r="DI22" i="128"/>
  <c r="DG22" i="128"/>
  <c r="DM22" i="128"/>
  <c r="AC45" i="126"/>
  <c r="W104" i="126"/>
  <c r="Y104" i="126"/>
  <c r="AA104" i="126"/>
  <c r="M113" i="125"/>
  <c r="AN113" i="125"/>
  <c r="AU113" i="125"/>
  <c r="M85" i="125"/>
  <c r="AN85" i="125"/>
  <c r="AU85" i="125"/>
  <c r="W76" i="126"/>
  <c r="Y76" i="126"/>
  <c r="AA76" i="126"/>
  <c r="AW24" i="125"/>
  <c r="AH24" i="125"/>
  <c r="S45" i="126"/>
  <c r="AE45" i="126"/>
  <c r="S66" i="126"/>
  <c r="AE66" i="126"/>
  <c r="AV40" i="125"/>
  <c r="AC107" i="126"/>
  <c r="M46" i="125"/>
  <c r="AN46" i="125"/>
  <c r="AU46" i="125"/>
  <c r="W37" i="126"/>
  <c r="Y37" i="126"/>
  <c r="AA37" i="126"/>
  <c r="I51" i="126"/>
  <c r="T60" i="125"/>
  <c r="H51" i="126"/>
  <c r="S9" i="126"/>
  <c r="AE9" i="126"/>
  <c r="AW79" i="125"/>
  <c r="AH79" i="125"/>
  <c r="S68" i="126"/>
  <c r="AE68" i="126"/>
  <c r="AE12" i="126"/>
  <c r="S12" i="126"/>
  <c r="DI25" i="128"/>
  <c r="DG25" i="128"/>
  <c r="DM25" i="128"/>
  <c r="AW81" i="125"/>
  <c r="AH81" i="125"/>
  <c r="DG50" i="128"/>
  <c r="DM50" i="128"/>
  <c r="DI50" i="128"/>
  <c r="AW74" i="125"/>
  <c r="AH74" i="125"/>
  <c r="AC10" i="126"/>
  <c r="AW114" i="125"/>
  <c r="AH114" i="125"/>
  <c r="Q59" i="126"/>
  <c r="AD59" i="126"/>
  <c r="DG72" i="128"/>
  <c r="DM72" i="128"/>
  <c r="DI72" i="128"/>
  <c r="S55" i="126"/>
  <c r="AE55" i="126"/>
  <c r="DI83" i="128"/>
  <c r="DG83" i="128"/>
  <c r="DM83" i="128"/>
  <c r="AR102" i="125"/>
  <c r="T72" i="125"/>
  <c r="H63" i="126"/>
  <c r="I63" i="126"/>
  <c r="AR86" i="125"/>
  <c r="AW80" i="125"/>
  <c r="AH80" i="125"/>
  <c r="S69" i="126"/>
  <c r="AE69" i="126"/>
  <c r="AE35" i="126"/>
  <c r="S35" i="126"/>
  <c r="AE27" i="126"/>
  <c r="S27" i="126"/>
  <c r="AR110" i="125"/>
  <c r="AR111" i="125"/>
  <c r="AW115" i="125"/>
  <c r="AH115" i="125"/>
  <c r="AD44" i="126"/>
  <c r="Q44" i="126"/>
  <c r="AW91" i="125"/>
  <c r="AH91" i="125"/>
  <c r="AE72" i="126"/>
  <c r="S72" i="126"/>
  <c r="AD39" i="126"/>
  <c r="Q39" i="126"/>
  <c r="DI53" i="128"/>
  <c r="DG53" i="128"/>
  <c r="DM53" i="128"/>
  <c r="Q55" i="126"/>
  <c r="AD55" i="126"/>
  <c r="AW45" i="125"/>
  <c r="AH45" i="125"/>
  <c r="S57" i="126"/>
  <c r="AE57" i="126"/>
  <c r="DG104" i="128"/>
  <c r="DM104" i="128"/>
  <c r="M58" i="125"/>
  <c r="AN58" i="125"/>
  <c r="AU58" i="125"/>
  <c r="W49" i="126"/>
  <c r="Y49" i="126"/>
  <c r="AA49" i="126"/>
  <c r="AW38" i="125"/>
  <c r="AH38" i="125"/>
  <c r="DG69" i="128"/>
  <c r="DM69" i="128"/>
  <c r="DI69" i="128"/>
  <c r="W53" i="126"/>
  <c r="Y53" i="126"/>
  <c r="AA53" i="126"/>
  <c r="M62" i="125"/>
  <c r="AN62" i="125"/>
  <c r="AU62" i="125"/>
  <c r="Q68" i="126"/>
  <c r="AD68" i="126"/>
  <c r="AC48" i="126"/>
  <c r="DG54" i="128"/>
  <c r="DM54" i="128"/>
  <c r="DI54" i="128"/>
  <c r="AR31" i="125"/>
  <c r="AW66" i="125"/>
  <c r="AH66" i="125"/>
  <c r="AD9" i="126"/>
  <c r="Q9" i="126"/>
  <c r="M65" i="126"/>
  <c r="N65" i="126"/>
  <c r="K65" i="126"/>
  <c r="L65" i="126"/>
  <c r="AW71" i="125"/>
  <c r="AH71" i="125"/>
  <c r="M70" i="125"/>
  <c r="AN70" i="125"/>
  <c r="AU70" i="125"/>
  <c r="AV70" i="125"/>
  <c r="W61" i="126"/>
  <c r="Y61" i="126"/>
  <c r="AA61" i="126"/>
  <c r="I59" i="126"/>
  <c r="T68" i="125"/>
  <c r="H59" i="126"/>
  <c r="I88" i="126"/>
  <c r="T97" i="125"/>
  <c r="H88" i="126"/>
  <c r="AD30" i="126"/>
  <c r="Q30" i="126"/>
  <c r="DI62" i="128"/>
  <c r="DG62" i="128"/>
  <c r="DM62" i="128"/>
  <c r="Q19" i="126"/>
  <c r="AD19" i="126"/>
  <c r="AD46" i="126"/>
  <c r="Q46" i="126"/>
  <c r="W80" i="126"/>
  <c r="Y80" i="126"/>
  <c r="AA80" i="126"/>
  <c r="M89" i="125"/>
  <c r="AN89" i="125"/>
  <c r="AU89" i="125"/>
  <c r="AW37" i="125"/>
  <c r="AH37" i="125"/>
  <c r="AR80" i="125"/>
  <c r="AD17" i="126"/>
  <c r="Q17" i="126"/>
  <c r="AW95" i="125"/>
  <c r="AH95" i="125"/>
  <c r="AW29" i="125"/>
  <c r="AH29" i="125"/>
  <c r="AR69" i="125"/>
  <c r="AE26" i="126"/>
  <c r="S26" i="126"/>
  <c r="AE44" i="126"/>
  <c r="S44" i="126"/>
  <c r="DG7" i="128"/>
  <c r="DM7" i="128"/>
  <c r="DI7" i="128"/>
  <c r="M49" i="125"/>
  <c r="AN49" i="125"/>
  <c r="AU49" i="125"/>
  <c r="W40" i="126"/>
  <c r="Y40" i="126"/>
  <c r="AA40" i="126"/>
  <c r="AR54" i="125"/>
  <c r="AW43" i="125"/>
  <c r="AH43" i="125"/>
  <c r="M101" i="125"/>
  <c r="AN101" i="125"/>
  <c r="AU101" i="125"/>
  <c r="W92" i="126"/>
  <c r="Y92" i="126"/>
  <c r="AA92" i="126"/>
  <c r="Q20" i="126"/>
  <c r="AD20" i="126"/>
  <c r="AE96" i="126"/>
  <c r="S96" i="126"/>
  <c r="U96" i="126"/>
  <c r="AW98" i="125"/>
  <c r="AH98" i="125"/>
  <c r="S14" i="126"/>
  <c r="U14" i="126"/>
  <c r="AE14" i="126"/>
  <c r="AW72" i="125"/>
  <c r="AH72" i="125"/>
  <c r="AW51" i="125"/>
  <c r="AH51" i="125"/>
  <c r="W13" i="126"/>
  <c r="Y13" i="126"/>
  <c r="AA13" i="126"/>
  <c r="M22" i="125"/>
  <c r="AN22" i="125"/>
  <c r="AU22" i="125"/>
  <c r="AW58" i="125"/>
  <c r="AH58" i="125"/>
  <c r="M51" i="125"/>
  <c r="AN51" i="125"/>
  <c r="W42" i="126"/>
  <c r="Y42" i="126"/>
  <c r="AA42" i="126"/>
  <c r="S25" i="126"/>
  <c r="AE25" i="126"/>
  <c r="M30" i="125"/>
  <c r="AN30" i="125"/>
  <c r="AU30" i="125"/>
  <c r="W21" i="126"/>
  <c r="Y21" i="126"/>
  <c r="AA21" i="126"/>
  <c r="AD76" i="126"/>
  <c r="Q76" i="126"/>
  <c r="L62" i="126"/>
  <c r="K62" i="126"/>
  <c r="M62" i="126"/>
  <c r="N62" i="126"/>
  <c r="AE41" i="126"/>
  <c r="S41" i="126"/>
  <c r="U41" i="126"/>
  <c r="I44" i="126"/>
  <c r="T53" i="125"/>
  <c r="H44" i="126"/>
  <c r="W86" i="126"/>
  <c r="Y86" i="126"/>
  <c r="AA86" i="126"/>
  <c r="M95" i="125"/>
  <c r="AN95" i="125"/>
  <c r="AU95" i="125"/>
  <c r="AR42" i="125"/>
  <c r="DG31" i="128"/>
  <c r="DM31" i="128"/>
  <c r="DI31" i="128"/>
  <c r="AC92" i="126"/>
  <c r="DI77" i="128"/>
  <c r="DG77" i="128"/>
  <c r="DM77" i="128"/>
  <c r="AW112" i="125"/>
  <c r="AH112" i="125"/>
  <c r="S16" i="126"/>
  <c r="AE16" i="126"/>
  <c r="M69" i="126"/>
  <c r="K69" i="126"/>
  <c r="L69" i="126"/>
  <c r="N69" i="126"/>
  <c r="AW33" i="125"/>
  <c r="AH33" i="125"/>
  <c r="AW44" i="125"/>
  <c r="AH44" i="125"/>
  <c r="AW28" i="125"/>
  <c r="AH28" i="125"/>
  <c r="AR116" i="125"/>
  <c r="N105" i="126"/>
  <c r="T23" i="125"/>
  <c r="H14" i="126"/>
  <c r="I14" i="126"/>
  <c r="AM118" i="125"/>
  <c r="AT18" i="125"/>
  <c r="AT118" i="125"/>
  <c r="M25" i="125"/>
  <c r="AN25" i="125"/>
  <c r="AU25" i="125"/>
  <c r="W16" i="126"/>
  <c r="Y16" i="126"/>
  <c r="AA16" i="126"/>
  <c r="AW34" i="125"/>
  <c r="AH34" i="125"/>
  <c r="M34" i="125"/>
  <c r="AN34" i="125"/>
  <c r="AU34" i="125"/>
  <c r="W25" i="126"/>
  <c r="Y25" i="126"/>
  <c r="AA25" i="126"/>
  <c r="M68" i="125"/>
  <c r="AN68" i="125"/>
  <c r="AU68" i="125"/>
  <c r="W59" i="126"/>
  <c r="Y59" i="126"/>
  <c r="AA59" i="126"/>
  <c r="AW26" i="125"/>
  <c r="AH26" i="125"/>
  <c r="S75" i="126"/>
  <c r="U75" i="126"/>
  <c r="AE75" i="126"/>
  <c r="S17" i="126"/>
  <c r="AE17" i="126"/>
  <c r="I43" i="126"/>
  <c r="T52" i="125"/>
  <c r="H43" i="126"/>
  <c r="AW116" i="125"/>
  <c r="AH116" i="125"/>
  <c r="S86" i="126"/>
  <c r="AE86" i="126"/>
  <c r="AC102" i="126"/>
  <c r="M102" i="125"/>
  <c r="AN102" i="125"/>
  <c r="AU102" i="125"/>
  <c r="W93" i="126"/>
  <c r="Y93" i="126"/>
  <c r="AA93" i="126"/>
  <c r="AE74" i="126"/>
  <c r="S74" i="126"/>
  <c r="AC39" i="126"/>
  <c r="DG66" i="128"/>
  <c r="DM66" i="128"/>
  <c r="DI66" i="128"/>
  <c r="DI32" i="128"/>
  <c r="DG32" i="128"/>
  <c r="DM32" i="128"/>
  <c r="Q97" i="126"/>
  <c r="AD97" i="126"/>
  <c r="AW82" i="125"/>
  <c r="AH82" i="125"/>
  <c r="W101" i="126"/>
  <c r="Y101" i="126"/>
  <c r="AA101" i="126"/>
  <c r="M110" i="125"/>
  <c r="AN110" i="125"/>
  <c r="AU110" i="125"/>
  <c r="AD102" i="126"/>
  <c r="Q102" i="126"/>
  <c r="U102" i="126"/>
  <c r="AW42" i="125"/>
  <c r="AH42" i="125"/>
  <c r="AW84" i="125"/>
  <c r="AH84" i="125"/>
  <c r="AC108" i="126"/>
  <c r="AR53" i="125"/>
  <c r="N53" i="126"/>
  <c r="K53" i="126"/>
  <c r="L53" i="126"/>
  <c r="M53" i="126"/>
  <c r="AW94" i="125"/>
  <c r="AH94" i="125"/>
  <c r="AR62" i="125"/>
  <c r="DI46" i="128"/>
  <c r="DG46" i="128"/>
  <c r="DM46" i="128"/>
  <c r="S108" i="126"/>
  <c r="AE108" i="126"/>
  <c r="AR64" i="125"/>
  <c r="AK118" i="125"/>
  <c r="AR18" i="125"/>
  <c r="Q11" i="126"/>
  <c r="U11" i="126"/>
  <c r="AD11" i="126"/>
  <c r="AE95" i="126"/>
  <c r="S95" i="126"/>
  <c r="AD94" i="126"/>
  <c r="Q94" i="126"/>
  <c r="AW96" i="125"/>
  <c r="AH96" i="125"/>
  <c r="DG56" i="128"/>
  <c r="DM56" i="128"/>
  <c r="DI56" i="128"/>
  <c r="M28" i="125"/>
  <c r="AN28" i="125"/>
  <c r="AU28" i="125"/>
  <c r="W19" i="126"/>
  <c r="Y19" i="126"/>
  <c r="AA19" i="126"/>
  <c r="W10" i="126"/>
  <c r="Y10" i="126"/>
  <c r="AA10" i="126"/>
  <c r="M19" i="125"/>
  <c r="AN19" i="125"/>
  <c r="AU19" i="125"/>
  <c r="S78" i="126"/>
  <c r="AE78" i="126"/>
  <c r="AC104" i="126"/>
  <c r="DI78" i="128"/>
  <c r="DG78" i="128"/>
  <c r="DM78" i="128"/>
  <c r="AW103" i="125"/>
  <c r="AH103" i="125"/>
  <c r="S79" i="126"/>
  <c r="AE79" i="126"/>
  <c r="DG23" i="128"/>
  <c r="DM23" i="128"/>
  <c r="DI23" i="128"/>
  <c r="M98" i="125"/>
  <c r="AN98" i="125"/>
  <c r="AU98" i="125"/>
  <c r="W89" i="126"/>
  <c r="Y89" i="126"/>
  <c r="AA89" i="126"/>
  <c r="M109" i="125"/>
  <c r="AN109" i="125"/>
  <c r="W100" i="126"/>
  <c r="Y100" i="126"/>
  <c r="AA100" i="126"/>
  <c r="AR29" i="125"/>
  <c r="N77" i="126"/>
  <c r="K77" i="126"/>
  <c r="L77" i="126"/>
  <c r="M77" i="126"/>
  <c r="AD34" i="126"/>
  <c r="Q34" i="126"/>
  <c r="AW30" i="125"/>
  <c r="AH30" i="125"/>
  <c r="S23" i="126"/>
  <c r="AE23" i="126"/>
  <c r="AW48" i="125"/>
  <c r="AH48" i="125"/>
  <c r="Q57" i="126"/>
  <c r="AD57" i="126"/>
  <c r="M33" i="125"/>
  <c r="AN33" i="125"/>
  <c r="AU33" i="125"/>
  <c r="W24" i="126"/>
  <c r="Y24" i="126"/>
  <c r="AA24" i="126"/>
  <c r="DG43" i="128"/>
  <c r="DM43" i="128"/>
  <c r="DI43" i="128"/>
  <c r="AR30" i="125"/>
  <c r="AW83" i="125"/>
  <c r="AH83" i="125"/>
  <c r="Q104" i="126"/>
  <c r="AD104" i="126"/>
  <c r="W73" i="126"/>
  <c r="Y73" i="126"/>
  <c r="AA73" i="126"/>
  <c r="M82" i="125"/>
  <c r="AN82" i="125"/>
  <c r="AU82" i="125"/>
  <c r="L79" i="126"/>
  <c r="N79" i="126"/>
  <c r="M79" i="126"/>
  <c r="K79" i="126"/>
  <c r="T18" i="125"/>
  <c r="S118" i="125"/>
  <c r="I9" i="126"/>
  <c r="AW75" i="125"/>
  <c r="AH75" i="125"/>
  <c r="AW40" i="125"/>
  <c r="AH40" i="125"/>
  <c r="AE47" i="126"/>
  <c r="S47" i="126"/>
  <c r="DG37" i="128"/>
  <c r="DM37" i="128"/>
  <c r="AR115" i="125"/>
  <c r="DG73" i="128"/>
  <c r="DM73" i="128"/>
  <c r="DI73" i="128"/>
  <c r="DG42" i="128"/>
  <c r="DM42" i="128"/>
  <c r="DI42" i="128"/>
  <c r="S34" i="126"/>
  <c r="AE34" i="126"/>
  <c r="S80" i="126"/>
  <c r="AE80" i="126"/>
  <c r="AC60" i="126"/>
  <c r="DG13" i="128"/>
  <c r="DM13" i="128"/>
  <c r="DI13" i="128"/>
  <c r="AR46" i="125"/>
  <c r="U100" i="126"/>
  <c r="AD66" i="126"/>
  <c r="Q66" i="126"/>
  <c r="Q87" i="126"/>
  <c r="AD87" i="126"/>
  <c r="DG9" i="128"/>
  <c r="DM9" i="128"/>
  <c r="DI9" i="128"/>
  <c r="AW87" i="125"/>
  <c r="AH87" i="125"/>
  <c r="DG58" i="128"/>
  <c r="DM58" i="128"/>
  <c r="DI58" i="128"/>
  <c r="K103" i="126"/>
  <c r="AW69" i="125"/>
  <c r="AH69" i="125"/>
  <c r="S53" i="126"/>
  <c r="AE53" i="126"/>
  <c r="DI18" i="128"/>
  <c r="DG18" i="128"/>
  <c r="DM18" i="128"/>
  <c r="AR38" i="125"/>
  <c r="AD25" i="126"/>
  <c r="Q25" i="126"/>
  <c r="T93" i="125"/>
  <c r="H84" i="126"/>
  <c r="I84" i="126"/>
  <c r="AC50" i="126"/>
  <c r="I70" i="126"/>
  <c r="T79" i="125"/>
  <c r="H70" i="126"/>
  <c r="M44" i="125"/>
  <c r="AN44" i="125"/>
  <c r="AU44" i="125"/>
  <c r="W35" i="126"/>
  <c r="Y35" i="126"/>
  <c r="AA35" i="126"/>
  <c r="AW107" i="125"/>
  <c r="AH107" i="125"/>
  <c r="N38" i="126"/>
  <c r="K38" i="126"/>
  <c r="M38" i="126"/>
  <c r="L38" i="126"/>
  <c r="W90" i="126"/>
  <c r="Y90" i="126"/>
  <c r="AA90" i="126"/>
  <c r="M99" i="125"/>
  <c r="AN99" i="125"/>
  <c r="AU99" i="125"/>
  <c r="M32" i="126"/>
  <c r="N32" i="126"/>
  <c r="L32" i="126"/>
  <c r="K32" i="126"/>
  <c r="AW117" i="125"/>
  <c r="AH117" i="125"/>
  <c r="AW97" i="125"/>
  <c r="AH97" i="125"/>
  <c r="AD38" i="126"/>
  <c r="Q38" i="126"/>
  <c r="DI88" i="128"/>
  <c r="DG88" i="128"/>
  <c r="DM88" i="128"/>
  <c r="DI82" i="128"/>
  <c r="DG82" i="128"/>
  <c r="DM82" i="128"/>
  <c r="M27" i="125"/>
  <c r="AN27" i="125"/>
  <c r="AU27" i="125"/>
  <c r="W18" i="126"/>
  <c r="Y18" i="126"/>
  <c r="AA18" i="126"/>
  <c r="K55" i="126"/>
  <c r="N55" i="126"/>
  <c r="L55" i="126"/>
  <c r="M55" i="126"/>
  <c r="L27" i="126"/>
  <c r="K27" i="126"/>
  <c r="N27" i="126"/>
  <c r="M27" i="126"/>
  <c r="T55" i="125"/>
  <c r="H46" i="126"/>
  <c r="I46" i="126"/>
  <c r="AW73" i="125"/>
  <c r="AH73" i="125"/>
  <c r="DI105" i="128"/>
  <c r="DG105" i="128"/>
  <c r="DM105" i="128"/>
  <c r="DG19" i="128"/>
  <c r="DM19" i="128"/>
  <c r="DI19" i="128"/>
  <c r="AD69" i="126"/>
  <c r="Q69" i="126"/>
  <c r="W91" i="126"/>
  <c r="Y91" i="126"/>
  <c r="AA91" i="126"/>
  <c r="M100" i="125"/>
  <c r="AN100" i="125"/>
  <c r="AR21" i="125"/>
  <c r="W15" i="126"/>
  <c r="Y15" i="126"/>
  <c r="AA15" i="126"/>
  <c r="M24" i="125"/>
  <c r="AN24" i="125"/>
  <c r="AU24" i="125"/>
  <c r="M61" i="125"/>
  <c r="AN61" i="125"/>
  <c r="AU61" i="125"/>
  <c r="AV61" i="125"/>
  <c r="W52" i="126"/>
  <c r="Y52" i="126"/>
  <c r="AA52" i="126"/>
  <c r="DI76" i="128"/>
  <c r="DG76" i="128"/>
  <c r="DM76" i="128"/>
  <c r="S64" i="126"/>
  <c r="AE64" i="126"/>
  <c r="DI41" i="128"/>
  <c r="DG41" i="128"/>
  <c r="DM41" i="128"/>
  <c r="Q45" i="126"/>
  <c r="AD45" i="126"/>
  <c r="Q92" i="126"/>
  <c r="AD92" i="126"/>
  <c r="M87" i="125"/>
  <c r="AN87" i="125"/>
  <c r="AU87" i="125"/>
  <c r="W78" i="126"/>
  <c r="Y78" i="126"/>
  <c r="AA78" i="126"/>
  <c r="AR43" i="125"/>
  <c r="AE70" i="126"/>
  <c r="S70" i="126"/>
  <c r="AW67" i="125"/>
  <c r="AH67" i="125"/>
  <c r="DI20" i="128"/>
  <c r="DG20" i="128"/>
  <c r="DM20" i="128"/>
  <c r="AD103" i="126"/>
  <c r="Q103" i="126"/>
  <c r="S46" i="126"/>
  <c r="AE46" i="126"/>
  <c r="AE89" i="126"/>
  <c r="S89" i="126"/>
  <c r="AW46" i="125"/>
  <c r="AH46" i="125"/>
  <c r="AR85" i="125"/>
  <c r="AC27" i="126"/>
  <c r="AW70" i="125"/>
  <c r="AH70" i="125"/>
  <c r="AW23" i="125"/>
  <c r="AH23" i="125"/>
  <c r="DG44" i="128"/>
  <c r="DM44" i="128"/>
  <c r="DI44" i="128"/>
  <c r="Q86" i="126"/>
  <c r="AD86" i="126"/>
  <c r="W106" i="126"/>
  <c r="Y106" i="126"/>
  <c r="AA106" i="126"/>
  <c r="M115" i="125"/>
  <c r="AN115" i="125"/>
  <c r="AU115" i="125"/>
  <c r="AW104" i="125"/>
  <c r="AH104" i="125"/>
  <c r="M42" i="125"/>
  <c r="AN42" i="125"/>
  <c r="AU42" i="125"/>
  <c r="W33" i="126"/>
  <c r="Y33" i="126"/>
  <c r="AA33" i="126"/>
  <c r="DG26" i="128"/>
  <c r="DM26" i="128"/>
  <c r="DI26" i="128"/>
  <c r="Q65" i="126"/>
  <c r="AD65" i="126"/>
  <c r="I37" i="126"/>
  <c r="T46" i="125"/>
  <c r="H37" i="126"/>
  <c r="M116" i="125"/>
  <c r="AN116" i="125"/>
  <c r="AU116" i="125"/>
  <c r="W107" i="126"/>
  <c r="Y107" i="126"/>
  <c r="AA107" i="126"/>
  <c r="M35" i="125"/>
  <c r="AN35" i="125"/>
  <c r="AU35" i="125"/>
  <c r="W26" i="126"/>
  <c r="Y26" i="126"/>
  <c r="AA26" i="126"/>
  <c r="M75" i="125"/>
  <c r="AN75" i="125"/>
  <c r="AU75" i="125"/>
  <c r="W66" i="126"/>
  <c r="Y66" i="126"/>
  <c r="AA66" i="126"/>
  <c r="AD58" i="126"/>
  <c r="Q58" i="126"/>
  <c r="DG15" i="128"/>
  <c r="DM15" i="128"/>
  <c r="DI15" i="128"/>
  <c r="DG51" i="128"/>
  <c r="DM51" i="128"/>
  <c r="DI51" i="128"/>
  <c r="AE58" i="126"/>
  <c r="S58" i="126"/>
  <c r="S61" i="126"/>
  <c r="U61" i="126"/>
  <c r="AE61" i="126"/>
  <c r="AW54" i="125"/>
  <c r="AH54" i="125"/>
  <c r="M117" i="125"/>
  <c r="AN117" i="125"/>
  <c r="AU117" i="125"/>
  <c r="W108" i="126"/>
  <c r="Y108" i="126"/>
  <c r="AA108" i="126"/>
  <c r="S21" i="126"/>
  <c r="AE21" i="126"/>
  <c r="AC24" i="126"/>
  <c r="W29" i="126"/>
  <c r="Y29" i="126"/>
  <c r="AA29" i="126"/>
  <c r="M38" i="125"/>
  <c r="AN38" i="125"/>
  <c r="AU38" i="125"/>
  <c r="AR34" i="125"/>
  <c r="AW86" i="125"/>
  <c r="AH86" i="125"/>
  <c r="AR68" i="125"/>
  <c r="Q62" i="126"/>
  <c r="U62" i="126"/>
  <c r="AD62" i="126"/>
  <c r="DG48" i="128"/>
  <c r="DM48" i="128"/>
  <c r="DI48" i="128"/>
  <c r="DI91" i="128"/>
  <c r="DG91" i="128"/>
  <c r="DM91" i="128"/>
  <c r="DI14" i="128"/>
  <c r="DG14" i="128"/>
  <c r="DM14" i="128"/>
  <c r="AD82" i="126"/>
  <c r="Q82" i="126"/>
  <c r="U82" i="126"/>
  <c r="AW101" i="125"/>
  <c r="AH101" i="125"/>
  <c r="AW27" i="125"/>
  <c r="AH27" i="125"/>
  <c r="AR99" i="125"/>
  <c r="AC68" i="126"/>
  <c r="AW76" i="125"/>
  <c r="AH76" i="125"/>
  <c r="Q93" i="126"/>
  <c r="AD93" i="126"/>
  <c r="DI71" i="128"/>
  <c r="DG71" i="128"/>
  <c r="DM71" i="128"/>
  <c r="S43" i="126"/>
  <c r="AE43" i="126"/>
  <c r="M47" i="125"/>
  <c r="AN47" i="125"/>
  <c r="AU47" i="125"/>
  <c r="W38" i="126"/>
  <c r="Y38" i="126"/>
  <c r="AA38" i="126"/>
  <c r="AE91" i="126"/>
  <c r="S91" i="126"/>
  <c r="U91" i="126"/>
  <c r="DI10" i="128"/>
  <c r="DG10" i="128"/>
  <c r="DM10" i="128"/>
  <c r="S63" i="126"/>
  <c r="AE63" i="126"/>
  <c r="Q28" i="126"/>
  <c r="AD28" i="126"/>
  <c r="AC65" i="126"/>
  <c r="Q50" i="126"/>
  <c r="U50" i="126"/>
  <c r="AD50" i="126"/>
  <c r="DI101" i="128"/>
  <c r="DG101" i="128"/>
  <c r="DM101" i="128"/>
  <c r="L98" i="126"/>
  <c r="M98" i="126"/>
  <c r="K98" i="126"/>
  <c r="N98" i="126"/>
  <c r="M93" i="126"/>
  <c r="K93" i="126"/>
  <c r="N93" i="126"/>
  <c r="L93" i="126"/>
  <c r="T31" i="125"/>
  <c r="H22" i="126"/>
  <c r="I22" i="126"/>
  <c r="AW68" i="125"/>
  <c r="AH68" i="125"/>
  <c r="AD22" i="126"/>
  <c r="Q22" i="126"/>
  <c r="M20" i="125"/>
  <c r="AN20" i="125"/>
  <c r="AU20" i="125"/>
  <c r="W11" i="126"/>
  <c r="Y11" i="126"/>
  <c r="AA11" i="126"/>
  <c r="DI92" i="128"/>
  <c r="DG92" i="128"/>
  <c r="DM92" i="128"/>
  <c r="W94" i="126"/>
  <c r="Y94" i="126"/>
  <c r="AA94" i="126"/>
  <c r="M103" i="125"/>
  <c r="AN103" i="125"/>
  <c r="AU103" i="125"/>
  <c r="DI85" i="128"/>
  <c r="DG85" i="128"/>
  <c r="DM85" i="128"/>
  <c r="AW108" i="125"/>
  <c r="AH108" i="125"/>
  <c r="I40" i="126"/>
  <c r="T49" i="125"/>
  <c r="H40" i="126"/>
  <c r="M56" i="125"/>
  <c r="AN56" i="125"/>
  <c r="W47" i="126"/>
  <c r="Y47" i="126"/>
  <c r="AA47" i="126"/>
  <c r="W83" i="126"/>
  <c r="Y83" i="126"/>
  <c r="AA83" i="126"/>
  <c r="M92" i="125"/>
  <c r="AN92" i="125"/>
  <c r="AU92" i="125"/>
  <c r="AV92" i="125"/>
  <c r="I50" i="126"/>
  <c r="T59" i="125"/>
  <c r="H50" i="126"/>
  <c r="AE97" i="126"/>
  <c r="S97" i="126"/>
  <c r="AR39" i="125"/>
  <c r="AE88" i="126"/>
  <c r="S88" i="126"/>
  <c r="Q72" i="126"/>
  <c r="AD72" i="126"/>
  <c r="Q10" i="126"/>
  <c r="AD10" i="126"/>
  <c r="AR78" i="125"/>
  <c r="AW100" i="125"/>
  <c r="AH100" i="125"/>
  <c r="M21" i="125"/>
  <c r="AN21" i="125"/>
  <c r="AU21" i="125"/>
  <c r="W12" i="126"/>
  <c r="Y12" i="126"/>
  <c r="AA12" i="126"/>
  <c r="T26" i="125"/>
  <c r="H17" i="126"/>
  <c r="I17" i="126"/>
  <c r="AD15" i="126"/>
  <c r="Q15" i="126"/>
  <c r="T57" i="125"/>
  <c r="H48" i="126"/>
  <c r="I48" i="126"/>
  <c r="DG61" i="128"/>
  <c r="DM61" i="128"/>
  <c r="DI61" i="128"/>
  <c r="DG96" i="128"/>
  <c r="DM96" i="128"/>
  <c r="DI96" i="128"/>
  <c r="AR101" i="125"/>
  <c r="W20" i="126"/>
  <c r="Y20" i="126"/>
  <c r="AA20" i="126"/>
  <c r="M29" i="125"/>
  <c r="AN29" i="125"/>
  <c r="AU29" i="125"/>
  <c r="AD78" i="126"/>
  <c r="Q78" i="126"/>
  <c r="W54" i="126"/>
  <c r="Y54" i="126"/>
  <c r="AA54" i="126"/>
  <c r="M63" i="125"/>
  <c r="AN63" i="125"/>
  <c r="M43" i="125"/>
  <c r="AN43" i="125"/>
  <c r="AU43" i="125"/>
  <c r="W34" i="126"/>
  <c r="Y34" i="126"/>
  <c r="AA34" i="126"/>
  <c r="DG67" i="128"/>
  <c r="DM67" i="128"/>
  <c r="DI67" i="128"/>
  <c r="AR112" i="125"/>
  <c r="AR83" i="125"/>
  <c r="AR66" i="125"/>
  <c r="AR22" i="125"/>
  <c r="AE33" i="126"/>
  <c r="S33" i="126"/>
  <c r="AR113" i="125"/>
  <c r="Q73" i="126"/>
  <c r="U73" i="126"/>
  <c r="AD73" i="126"/>
  <c r="AE52" i="126"/>
  <c r="S52" i="126"/>
  <c r="S67" i="126"/>
  <c r="U67" i="126"/>
  <c r="AE67" i="126"/>
  <c r="N16" i="126"/>
  <c r="L16" i="126"/>
  <c r="K16" i="126"/>
  <c r="M16" i="126"/>
  <c r="AC96" i="126"/>
  <c r="AG18" i="125"/>
  <c r="AY118" i="125"/>
  <c r="BA18" i="125"/>
  <c r="BA118" i="125"/>
  <c r="S48" i="126"/>
  <c r="AE48" i="126"/>
  <c r="AW31" i="125"/>
  <c r="AH31" i="125"/>
  <c r="AR95" i="125"/>
  <c r="AD33" i="126"/>
  <c r="Q33" i="126"/>
  <c r="S76" i="126"/>
  <c r="AE76" i="126"/>
  <c r="AW52" i="125"/>
  <c r="AH52" i="125"/>
  <c r="M74" i="125"/>
  <c r="AN74" i="125"/>
  <c r="AU74" i="125"/>
  <c r="W65" i="126"/>
  <c r="Y65" i="126"/>
  <c r="AA65" i="126"/>
  <c r="L74" i="126"/>
  <c r="N74" i="126"/>
  <c r="K74" i="126"/>
  <c r="M74" i="126"/>
  <c r="AE19" i="126"/>
  <c r="S19" i="126"/>
  <c r="AC32" i="126"/>
  <c r="AW77" i="125"/>
  <c r="AH77" i="125"/>
  <c r="AR75" i="125"/>
  <c r="W87" i="126"/>
  <c r="Y87" i="126"/>
  <c r="AA87" i="126"/>
  <c r="M96" i="125"/>
  <c r="AN96" i="125"/>
  <c r="AU96" i="125"/>
  <c r="AR67" i="125"/>
  <c r="T51" i="125"/>
  <c r="H42" i="126"/>
  <c r="I42" i="126"/>
  <c r="S18" i="126"/>
  <c r="AE18" i="126"/>
  <c r="AE54" i="126"/>
  <c r="S54" i="126"/>
  <c r="DG55" i="128"/>
  <c r="DM55" i="128"/>
  <c r="DI55" i="128"/>
  <c r="AV45" i="125"/>
  <c r="S84" i="126"/>
  <c r="AE84" i="126"/>
  <c r="DI90" i="128"/>
  <c r="DG90" i="128"/>
  <c r="DM90" i="128"/>
  <c r="AE51" i="126"/>
  <c r="S51" i="126"/>
  <c r="U51" i="126"/>
  <c r="Q35" i="126"/>
  <c r="AD35" i="126"/>
  <c r="S83" i="126"/>
  <c r="U83" i="126"/>
  <c r="AE83" i="126"/>
  <c r="W82" i="126"/>
  <c r="Y82" i="126"/>
  <c r="AA82" i="126"/>
  <c r="M91" i="125"/>
  <c r="AN91" i="125"/>
  <c r="AU91" i="125"/>
  <c r="AO32" i="125"/>
  <c r="AD77" i="126"/>
  <c r="Q77" i="126"/>
  <c r="DI40" i="128"/>
  <c r="DG40" i="128"/>
  <c r="DM40" i="128"/>
  <c r="AW49" i="125"/>
  <c r="AH49" i="125"/>
  <c r="AE85" i="126"/>
  <c r="S85" i="126"/>
  <c r="U85" i="126"/>
  <c r="Q18" i="126"/>
  <c r="AD18" i="126"/>
  <c r="DI60" i="128"/>
  <c r="DG60" i="128"/>
  <c r="DM60" i="128"/>
  <c r="AD101" i="126"/>
  <c r="Q101" i="126"/>
  <c r="M37" i="125"/>
  <c r="AN37" i="125"/>
  <c r="AU37" i="125"/>
  <c r="W28" i="126"/>
  <c r="Y28" i="126"/>
  <c r="AA28" i="126"/>
  <c r="AR59" i="125"/>
  <c r="L13" i="126"/>
  <c r="N13" i="126"/>
  <c r="M13" i="126"/>
  <c r="K13" i="126"/>
  <c r="N12" i="126"/>
  <c r="L12" i="126"/>
  <c r="M12" i="126"/>
  <c r="K12" i="126"/>
  <c r="AR58" i="125"/>
  <c r="S36" i="126"/>
  <c r="U36" i="126"/>
  <c r="AE36" i="126"/>
  <c r="AW53" i="125"/>
  <c r="AH53" i="125"/>
  <c r="AR77" i="125"/>
  <c r="DG35" i="128"/>
  <c r="DM35" i="128"/>
  <c r="DI35" i="128"/>
  <c r="I67" i="126"/>
  <c r="T76" i="125"/>
  <c r="H67" i="126"/>
  <c r="AR81" i="125"/>
  <c r="AW113" i="125"/>
  <c r="AH113" i="125"/>
  <c r="T106" i="125"/>
  <c r="H97" i="126"/>
  <c r="I97" i="126"/>
  <c r="S49" i="126"/>
  <c r="AE49" i="126"/>
  <c r="T87" i="125"/>
  <c r="H78" i="126"/>
  <c r="I78" i="126"/>
  <c r="W22" i="126"/>
  <c r="Y22" i="126"/>
  <c r="AA22" i="126"/>
  <c r="M31" i="125"/>
  <c r="AN31" i="125"/>
  <c r="AU31" i="125"/>
  <c r="W95" i="126"/>
  <c r="Y95" i="126"/>
  <c r="AA95" i="126"/>
  <c r="M104" i="125"/>
  <c r="AN104" i="125"/>
  <c r="AU104" i="125"/>
  <c r="DI33" i="128"/>
  <c r="DG33" i="128"/>
  <c r="DM33" i="128"/>
  <c r="AW59" i="125"/>
  <c r="AH59" i="125"/>
  <c r="AR73" i="125"/>
  <c r="I95" i="126"/>
  <c r="T104" i="125"/>
  <c r="H95" i="126"/>
  <c r="M48" i="125"/>
  <c r="AN48" i="125"/>
  <c r="AU48" i="125"/>
  <c r="W39" i="126"/>
  <c r="Y39" i="126"/>
  <c r="AA39" i="126"/>
  <c r="W67" i="126"/>
  <c r="Y67" i="126"/>
  <c r="AA67" i="126"/>
  <c r="M76" i="125"/>
  <c r="AN76" i="125"/>
  <c r="AU76" i="125"/>
  <c r="AV76" i="125"/>
  <c r="AE38" i="126"/>
  <c r="S38" i="126"/>
  <c r="DI74" i="128"/>
  <c r="DG74" i="128"/>
  <c r="DM74" i="128"/>
  <c r="I72" i="126"/>
  <c r="T81" i="125"/>
  <c r="H72" i="126"/>
  <c r="AR104" i="125"/>
  <c r="W32" i="126"/>
  <c r="Y32" i="126"/>
  <c r="AA32" i="126"/>
  <c r="M41" i="125"/>
  <c r="AN41" i="125"/>
  <c r="AU41" i="125"/>
  <c r="AV41" i="125"/>
  <c r="I107" i="126"/>
  <c r="T116" i="125"/>
  <c r="H107" i="126"/>
  <c r="AR20" i="125"/>
  <c r="AW61" i="125"/>
  <c r="AH61" i="125"/>
  <c r="AC12" i="126"/>
  <c r="M39" i="125"/>
  <c r="AN39" i="125"/>
  <c r="AU39" i="125"/>
  <c r="W30" i="126"/>
  <c r="Y30" i="126"/>
  <c r="AA30" i="126"/>
  <c r="DG36" i="128"/>
  <c r="DM36" i="128"/>
  <c r="DI36" i="128"/>
  <c r="AE22" i="126"/>
  <c r="S22" i="126"/>
  <c r="M81" i="125"/>
  <c r="AN81" i="125"/>
  <c r="AU81" i="125"/>
  <c r="W72" i="126"/>
  <c r="Y72" i="126"/>
  <c r="AA72" i="126"/>
  <c r="AR55" i="125"/>
  <c r="AW20" i="125"/>
  <c r="AH20" i="125"/>
  <c r="AW25" i="125"/>
  <c r="AH25" i="125"/>
  <c r="W17" i="126"/>
  <c r="Y17" i="126"/>
  <c r="AA17" i="126"/>
  <c r="M26" i="125"/>
  <c r="AN26" i="125"/>
  <c r="AU26" i="125"/>
  <c r="AW99" i="125"/>
  <c r="AH99" i="125"/>
  <c r="AR24" i="125"/>
  <c r="AO90" i="125"/>
  <c r="Q89" i="126"/>
  <c r="AD89" i="126"/>
  <c r="T82" i="125"/>
  <c r="H73" i="126"/>
  <c r="I73" i="126"/>
  <c r="AC11" i="126"/>
  <c r="AR87" i="125"/>
  <c r="M36" i="125"/>
  <c r="AN36" i="125"/>
  <c r="AU36" i="125"/>
  <c r="W27" i="126"/>
  <c r="Y27" i="126"/>
  <c r="AA27" i="126"/>
  <c r="AC35" i="126"/>
  <c r="AO57" i="125"/>
  <c r="I86" i="126"/>
  <c r="T95" i="125"/>
  <c r="H86" i="126"/>
  <c r="W103" i="126"/>
  <c r="Y103" i="126"/>
  <c r="AA103" i="126"/>
  <c r="M112" i="125"/>
  <c r="AN112" i="125"/>
  <c r="AU112" i="125"/>
  <c r="M66" i="125"/>
  <c r="AN66" i="125"/>
  <c r="AU66" i="125"/>
  <c r="W57" i="126"/>
  <c r="Y57" i="126"/>
  <c r="AA57" i="126"/>
  <c r="AD13" i="126"/>
  <c r="Q13" i="126"/>
  <c r="AR33" i="125"/>
  <c r="DG30" i="128"/>
  <c r="DM30" i="128"/>
  <c r="DI30" i="128"/>
  <c r="DG28" i="128"/>
  <c r="DM28" i="128"/>
  <c r="DI28" i="128"/>
  <c r="DG86" i="128"/>
  <c r="DM86" i="128"/>
  <c r="DI86" i="128"/>
  <c r="AR88" i="125"/>
  <c r="AR82" i="125"/>
  <c r="DG64" i="128"/>
  <c r="DM64" i="128"/>
  <c r="DI64" i="128"/>
  <c r="CK107" i="128"/>
  <c r="CL6" i="128"/>
  <c r="CL107" i="128"/>
  <c r="DG45" i="128"/>
  <c r="DM45" i="128"/>
  <c r="DI45" i="128"/>
  <c r="T38" i="125"/>
  <c r="H29" i="126"/>
  <c r="I29" i="126"/>
  <c r="AW39" i="125"/>
  <c r="AH39" i="125"/>
  <c r="Q106" i="126"/>
  <c r="AD106" i="126"/>
  <c r="T96" i="125"/>
  <c r="H87" i="126"/>
  <c r="I87" i="126"/>
  <c r="AE103" i="126"/>
  <c r="S103" i="126"/>
  <c r="S29" i="126"/>
  <c r="AE29" i="126"/>
  <c r="AW36" i="125"/>
  <c r="AH36" i="125"/>
  <c r="DG16" i="128"/>
  <c r="DM16" i="128"/>
  <c r="DI16" i="128"/>
  <c r="U32" i="126"/>
  <c r="AW93" i="125"/>
  <c r="AH93" i="125"/>
  <c r="AR35" i="125"/>
  <c r="AR96" i="125"/>
  <c r="M67" i="125"/>
  <c r="AN67" i="125"/>
  <c r="AU67" i="125"/>
  <c r="W58" i="126"/>
  <c r="Y58" i="126"/>
  <c r="AA58" i="126"/>
  <c r="AW89" i="125"/>
  <c r="AH89" i="125"/>
  <c r="DI34" i="128"/>
  <c r="DG34" i="128"/>
  <c r="DM34" i="128"/>
  <c r="DI27" i="128"/>
  <c r="DG27" i="128"/>
  <c r="DM27" i="128"/>
  <c r="AR25" i="125"/>
  <c r="AO45" i="125"/>
  <c r="AD108" i="126"/>
  <c r="Q108" i="126"/>
  <c r="M66" i="126"/>
  <c r="N66" i="126"/>
  <c r="K66" i="126"/>
  <c r="L66" i="126"/>
  <c r="DI81" i="128"/>
  <c r="DG81" i="128"/>
  <c r="DM81" i="128"/>
  <c r="AR71" i="125"/>
  <c r="AR44" i="125"/>
  <c r="S94" i="126"/>
  <c r="AE94" i="126"/>
  <c r="AR91" i="125"/>
  <c r="AE42" i="126"/>
  <c r="S42" i="126"/>
  <c r="U42" i="126"/>
  <c r="N34" i="126"/>
  <c r="M34" i="126"/>
  <c r="K34" i="126"/>
  <c r="L34" i="126"/>
  <c r="AC83" i="126"/>
  <c r="M79" i="125"/>
  <c r="AN79" i="125"/>
  <c r="AU79" i="125"/>
  <c r="W70" i="126"/>
  <c r="Y70" i="126"/>
  <c r="AA70" i="126"/>
  <c r="Q90" i="126"/>
  <c r="AD90" i="126"/>
  <c r="AV32" i="125"/>
  <c r="AD43" i="126"/>
  <c r="Q43" i="126"/>
  <c r="AC22" i="126"/>
  <c r="AR97" i="125"/>
  <c r="W77" i="126"/>
  <c r="Y77" i="126"/>
  <c r="AA77" i="126"/>
  <c r="M86" i="125"/>
  <c r="AN86" i="125"/>
  <c r="AU86" i="125"/>
  <c r="AC55" i="126"/>
  <c r="DI17" i="128"/>
  <c r="DG17" i="128"/>
  <c r="DM17" i="128"/>
  <c r="AE13" i="126"/>
  <c r="S13" i="126"/>
  <c r="AR27" i="125"/>
  <c r="AR37" i="125"/>
  <c r="M93" i="125"/>
  <c r="AN93" i="125"/>
  <c r="W84" i="126"/>
  <c r="Y84" i="126"/>
  <c r="AA84" i="126"/>
  <c r="M59" i="125"/>
  <c r="AN59" i="125"/>
  <c r="AU59" i="125"/>
  <c r="W50" i="126"/>
  <c r="Y50" i="126"/>
  <c r="AA50" i="126"/>
  <c r="S104" i="126"/>
  <c r="AE104" i="126"/>
  <c r="M92" i="126"/>
  <c r="L92" i="126"/>
  <c r="K92" i="126"/>
  <c r="N92" i="126"/>
  <c r="M49" i="126"/>
  <c r="K49" i="126"/>
  <c r="N49" i="126"/>
  <c r="L49" i="126"/>
  <c r="K64" i="126"/>
  <c r="N64" i="126"/>
  <c r="M64" i="126"/>
  <c r="L64" i="126"/>
  <c r="F4" i="146"/>
  <c r="F5" i="146"/>
  <c r="N103" i="126"/>
  <c r="M103" i="126"/>
  <c r="A26" i="126"/>
  <c r="AF26" i="126"/>
  <c r="A36" i="125"/>
  <c r="L105" i="126"/>
  <c r="K105" i="126"/>
  <c r="L106" i="126"/>
  <c r="N106" i="126"/>
  <c r="M106" i="126"/>
  <c r="U84" i="126"/>
  <c r="U56" i="126"/>
  <c r="U52" i="126"/>
  <c r="K81" i="126"/>
  <c r="L81" i="126"/>
  <c r="M81" i="126"/>
  <c r="U54" i="126"/>
  <c r="N47" i="126"/>
  <c r="K47" i="126"/>
  <c r="M47" i="126"/>
  <c r="L26" i="126"/>
  <c r="K57" i="126"/>
  <c r="K96" i="126"/>
  <c r="L57" i="126"/>
  <c r="L96" i="126"/>
  <c r="M96" i="126"/>
  <c r="U29" i="126"/>
  <c r="U107" i="126"/>
  <c r="AO84" i="125"/>
  <c r="U98" i="126"/>
  <c r="AV83" i="125"/>
  <c r="AX83" i="125"/>
  <c r="L52" i="126"/>
  <c r="AO78" i="125"/>
  <c r="L108" i="126"/>
  <c r="K108" i="126"/>
  <c r="M52" i="126"/>
  <c r="L60" i="126"/>
  <c r="AO88" i="125"/>
  <c r="K52" i="126"/>
  <c r="N61" i="126"/>
  <c r="U65" i="126"/>
  <c r="K60" i="126"/>
  <c r="M60" i="126"/>
  <c r="L15" i="126"/>
  <c r="M102" i="126"/>
  <c r="L102" i="126"/>
  <c r="K102" i="126"/>
  <c r="N26" i="126"/>
  <c r="K26" i="126"/>
  <c r="M18" i="126"/>
  <c r="AO107" i="125"/>
  <c r="K18" i="126"/>
  <c r="K71" i="126"/>
  <c r="M45" i="126"/>
  <c r="U35" i="126"/>
  <c r="AV64" i="125"/>
  <c r="AX64" i="125"/>
  <c r="M108" i="126"/>
  <c r="AO82" i="125"/>
  <c r="AO25" i="125"/>
  <c r="AO108" i="125"/>
  <c r="U26" i="126"/>
  <c r="K33" i="126"/>
  <c r="M99" i="126"/>
  <c r="N33" i="126"/>
  <c r="M33" i="126"/>
  <c r="K56" i="126"/>
  <c r="N56" i="126"/>
  <c r="L99" i="126"/>
  <c r="AV25" i="125"/>
  <c r="AX25" i="125"/>
  <c r="M76" i="126"/>
  <c r="N71" i="126"/>
  <c r="M71" i="126"/>
  <c r="AV82" i="125"/>
  <c r="AX82" i="125"/>
  <c r="M89" i="126"/>
  <c r="U93" i="126"/>
  <c r="L24" i="126"/>
  <c r="M68" i="126"/>
  <c r="N24" i="126"/>
  <c r="U24" i="126"/>
  <c r="AO64" i="125"/>
  <c r="N99" i="126"/>
  <c r="M56" i="126"/>
  <c r="U79" i="126"/>
  <c r="U59" i="126"/>
  <c r="K39" i="126"/>
  <c r="AO113" i="125"/>
  <c r="AO54" i="125"/>
  <c r="K68" i="126"/>
  <c r="U103" i="126"/>
  <c r="U10" i="126"/>
  <c r="AV68" i="125"/>
  <c r="AX68" i="125"/>
  <c r="AO68" i="125"/>
  <c r="U106" i="126"/>
  <c r="U72" i="126"/>
  <c r="AX92" i="125"/>
  <c r="AX84" i="125"/>
  <c r="M24" i="126"/>
  <c r="AO44" i="125"/>
  <c r="AO22" i="125"/>
  <c r="AV88" i="125"/>
  <c r="AX88" i="125"/>
  <c r="AO20" i="125"/>
  <c r="N57" i="126"/>
  <c r="AX72" i="125"/>
  <c r="M15" i="126"/>
  <c r="K89" i="126"/>
  <c r="N45" i="126"/>
  <c r="U49" i="126"/>
  <c r="AO83" i="125"/>
  <c r="AO34" i="125"/>
  <c r="N15" i="126"/>
  <c r="N89" i="126"/>
  <c r="N20" i="126"/>
  <c r="L45" i="126"/>
  <c r="AO77" i="125"/>
  <c r="U48" i="126"/>
  <c r="AV113" i="125"/>
  <c r="AX113" i="125"/>
  <c r="AV78" i="125"/>
  <c r="AX78" i="125"/>
  <c r="L75" i="126"/>
  <c r="U43" i="126"/>
  <c r="AV77" i="125"/>
  <c r="AX77" i="125"/>
  <c r="U28" i="126"/>
  <c r="AV111" i="125"/>
  <c r="AX111" i="125"/>
  <c r="N75" i="126"/>
  <c r="M25" i="126"/>
  <c r="U101" i="126"/>
  <c r="M100" i="126"/>
  <c r="L25" i="126"/>
  <c r="K75" i="126"/>
  <c r="U92" i="126"/>
  <c r="N25" i="126"/>
  <c r="N100" i="126"/>
  <c r="U39" i="126"/>
  <c r="L100" i="126"/>
  <c r="AO97" i="125"/>
  <c r="AO111" i="125"/>
  <c r="L61" i="126"/>
  <c r="U53" i="126"/>
  <c r="L80" i="126"/>
  <c r="M61" i="126"/>
  <c r="K30" i="126"/>
  <c r="K21" i="126"/>
  <c r="M21" i="126"/>
  <c r="K80" i="126"/>
  <c r="L30" i="126"/>
  <c r="N21" i="126"/>
  <c r="M80" i="126"/>
  <c r="U47" i="126"/>
  <c r="K76" i="126"/>
  <c r="AX50" i="125"/>
  <c r="U63" i="126"/>
  <c r="N76" i="126"/>
  <c r="AV97" i="125"/>
  <c r="AX97" i="125"/>
  <c r="AX32" i="125"/>
  <c r="AV44" i="125"/>
  <c r="AX44" i="125"/>
  <c r="AV69" i="125"/>
  <c r="AX69" i="125"/>
  <c r="L18" i="126"/>
  <c r="N68" i="126"/>
  <c r="U31" i="126"/>
  <c r="AO27" i="125"/>
  <c r="M10" i="126"/>
  <c r="AO55" i="125"/>
  <c r="K10" i="126"/>
  <c r="AV55" i="125"/>
  <c r="AX55" i="125"/>
  <c r="AO37" i="125"/>
  <c r="L10" i="126"/>
  <c r="U77" i="126"/>
  <c r="AX45" i="125"/>
  <c r="U23" i="126"/>
  <c r="M11" i="126"/>
  <c r="AV37" i="125"/>
  <c r="AX37" i="125"/>
  <c r="AO96" i="125"/>
  <c r="AX41" i="125"/>
  <c r="U87" i="126"/>
  <c r="N11" i="126"/>
  <c r="U68" i="126"/>
  <c r="L11" i="126"/>
  <c r="U27" i="126"/>
  <c r="AO73" i="125"/>
  <c r="U44" i="126"/>
  <c r="AV73" i="125"/>
  <c r="AX73" i="125"/>
  <c r="U88" i="126"/>
  <c r="AV96" i="125"/>
  <c r="AX96" i="125"/>
  <c r="AX76" i="125"/>
  <c r="N39" i="126"/>
  <c r="U66" i="126"/>
  <c r="L39" i="126"/>
  <c r="M20" i="126"/>
  <c r="AU23" i="125"/>
  <c r="AV23" i="125"/>
  <c r="AX23" i="125"/>
  <c r="AO23" i="125"/>
  <c r="D17" i="121"/>
  <c r="G65" i="60"/>
  <c r="D8" i="121"/>
  <c r="K71" i="61"/>
  <c r="I63" i="61"/>
  <c r="H71" i="61"/>
  <c r="H69" i="61"/>
  <c r="G69" i="61"/>
  <c r="AO24" i="125"/>
  <c r="U37" i="126"/>
  <c r="I71" i="60"/>
  <c r="I73" i="60"/>
  <c r="D23" i="65"/>
  <c r="D30" i="65"/>
  <c r="L16" i="65"/>
  <c r="H71" i="60"/>
  <c r="H74" i="60"/>
  <c r="H73" i="60"/>
  <c r="AV54" i="125"/>
  <c r="AX54" i="125"/>
  <c r="AX65" i="125"/>
  <c r="AO99" i="125"/>
  <c r="L23" i="126"/>
  <c r="AV27" i="125"/>
  <c r="AX27" i="125"/>
  <c r="AX105" i="125"/>
  <c r="U70" i="126"/>
  <c r="AO85" i="125"/>
  <c r="AO30" i="125"/>
  <c r="N31" i="126"/>
  <c r="AX107" i="125"/>
  <c r="AV85" i="125"/>
  <c r="AX85" i="125"/>
  <c r="M31" i="126"/>
  <c r="AV58" i="125"/>
  <c r="AX58" i="125"/>
  <c r="K31" i="126"/>
  <c r="N30" i="126"/>
  <c r="M23" i="126"/>
  <c r="U69" i="126"/>
  <c r="AO75" i="125"/>
  <c r="AO62" i="125"/>
  <c r="U45" i="126"/>
  <c r="U89" i="126"/>
  <c r="U38" i="126"/>
  <c r="AV99" i="125"/>
  <c r="AX99" i="125"/>
  <c r="AO69" i="125"/>
  <c r="AO80" i="125"/>
  <c r="K20" i="126"/>
  <c r="AV80" i="125"/>
  <c r="AX80" i="125"/>
  <c r="U21" i="126"/>
  <c r="U18" i="126"/>
  <c r="AO91" i="125"/>
  <c r="AO87" i="125"/>
  <c r="AV20" i="125"/>
  <c r="AX20" i="125"/>
  <c r="AV75" i="125"/>
  <c r="AX75" i="125"/>
  <c r="AO101" i="125"/>
  <c r="U86" i="126"/>
  <c r="AO46" i="125"/>
  <c r="AV53" i="125"/>
  <c r="AX53" i="125"/>
  <c r="AV87" i="125"/>
  <c r="AX87" i="125"/>
  <c r="AV101" i="125"/>
  <c r="AX101" i="125"/>
  <c r="U58" i="126"/>
  <c r="AV46" i="125"/>
  <c r="AX46" i="125"/>
  <c r="AO53" i="125"/>
  <c r="U20" i="126"/>
  <c r="U104" i="126"/>
  <c r="AO33" i="125"/>
  <c r="AO35" i="125"/>
  <c r="AV33" i="125"/>
  <c r="AX33" i="125"/>
  <c r="AV35" i="125"/>
  <c r="AX35" i="125"/>
  <c r="AO58" i="125"/>
  <c r="AO95" i="125"/>
  <c r="AV22" i="125"/>
  <c r="AX22" i="125"/>
  <c r="U78" i="126"/>
  <c r="U25" i="126"/>
  <c r="U74" i="126"/>
  <c r="AO70" i="125"/>
  <c r="U30" i="126"/>
  <c r="K23" i="126"/>
  <c r="AV95" i="125"/>
  <c r="AX95" i="125"/>
  <c r="AX90" i="125"/>
  <c r="AO104" i="125"/>
  <c r="AV104" i="125"/>
  <c r="AX104" i="125"/>
  <c r="AV34" i="125"/>
  <c r="AX34" i="125"/>
  <c r="U95" i="126"/>
  <c r="U13" i="126"/>
  <c r="U57" i="126"/>
  <c r="U17" i="126"/>
  <c r="U76" i="126"/>
  <c r="AV30" i="125"/>
  <c r="AX30" i="125"/>
  <c r="U16" i="126"/>
  <c r="AX60" i="125"/>
  <c r="U19" i="126"/>
  <c r="U33" i="126"/>
  <c r="U64" i="126"/>
  <c r="U15" i="126"/>
  <c r="AO105" i="125"/>
  <c r="AX70" i="125"/>
  <c r="U80" i="126"/>
  <c r="U22" i="126"/>
  <c r="U55" i="126"/>
  <c r="U12" i="126"/>
  <c r="AO71" i="125"/>
  <c r="U108" i="126"/>
  <c r="AV24" i="125"/>
  <c r="AX24" i="125"/>
  <c r="AV62" i="125"/>
  <c r="AX62" i="125"/>
  <c r="AX114" i="125"/>
  <c r="U90" i="126"/>
  <c r="AV91" i="125"/>
  <c r="AX91" i="125"/>
  <c r="AV71" i="125"/>
  <c r="AX71" i="125"/>
  <c r="AO41" i="125"/>
  <c r="U94" i="126"/>
  <c r="U97" i="126"/>
  <c r="U46" i="126"/>
  <c r="U34" i="126"/>
  <c r="K97" i="126"/>
  <c r="L97" i="126"/>
  <c r="M97" i="126"/>
  <c r="N97" i="126"/>
  <c r="AU63" i="125"/>
  <c r="AV63" i="125"/>
  <c r="AX63" i="125"/>
  <c r="AO63" i="125"/>
  <c r="AO21" i="125"/>
  <c r="M70" i="126"/>
  <c r="N70" i="126"/>
  <c r="L70" i="126"/>
  <c r="K70" i="126"/>
  <c r="AV38" i="125"/>
  <c r="AX38" i="125"/>
  <c r="AO115" i="125"/>
  <c r="M44" i="126"/>
  <c r="N44" i="126"/>
  <c r="K44" i="126"/>
  <c r="L44" i="126"/>
  <c r="AU51" i="125"/>
  <c r="AV51" i="125"/>
  <c r="AX51" i="125"/>
  <c r="AO51" i="125"/>
  <c r="AO117" i="125"/>
  <c r="N85" i="126"/>
  <c r="M85" i="126"/>
  <c r="K85" i="126"/>
  <c r="L85" i="126"/>
  <c r="AO98" i="125"/>
  <c r="AO19" i="125"/>
  <c r="AO114" i="125"/>
  <c r="M86" i="126"/>
  <c r="K86" i="126"/>
  <c r="L86" i="126"/>
  <c r="N86" i="126"/>
  <c r="AO66" i="125"/>
  <c r="M22" i="126"/>
  <c r="K22" i="126"/>
  <c r="L22" i="126"/>
  <c r="N22" i="126"/>
  <c r="AU100" i="125"/>
  <c r="AV100" i="125"/>
  <c r="AX100" i="125"/>
  <c r="AO100" i="125"/>
  <c r="AV115" i="125"/>
  <c r="AX115" i="125"/>
  <c r="N14" i="126"/>
  <c r="K14" i="126"/>
  <c r="L14" i="126"/>
  <c r="M14" i="126"/>
  <c r="M63" i="126"/>
  <c r="K63" i="126"/>
  <c r="N63" i="126"/>
  <c r="L63" i="126"/>
  <c r="W109" i="126"/>
  <c r="Y9" i="126"/>
  <c r="AV117" i="125"/>
  <c r="AX117" i="125"/>
  <c r="AV98" i="125"/>
  <c r="AX98" i="125"/>
  <c r="AV19" i="125"/>
  <c r="AX19" i="125"/>
  <c r="AU93" i="125"/>
  <c r="AV93" i="125"/>
  <c r="AX93" i="125"/>
  <c r="AO93" i="125"/>
  <c r="M42" i="126"/>
  <c r="L42" i="126"/>
  <c r="K42" i="126"/>
  <c r="N42" i="126"/>
  <c r="AV66" i="125"/>
  <c r="AX66" i="125"/>
  <c r="AO102" i="125"/>
  <c r="AO49" i="125"/>
  <c r="AN18" i="125"/>
  <c r="M118" i="125"/>
  <c r="AO92" i="125"/>
  <c r="AV52" i="125"/>
  <c r="AX52" i="125"/>
  <c r="AX108" i="125"/>
  <c r="K82" i="126"/>
  <c r="M82" i="126"/>
  <c r="N82" i="126"/>
  <c r="L82" i="126"/>
  <c r="AO26" i="125"/>
  <c r="N73" i="126"/>
  <c r="L73" i="126"/>
  <c r="K73" i="126"/>
  <c r="M73" i="126"/>
  <c r="AO81" i="125"/>
  <c r="AO67" i="125"/>
  <c r="K17" i="126"/>
  <c r="M17" i="126"/>
  <c r="L17" i="126"/>
  <c r="N17" i="126"/>
  <c r="AV39" i="125"/>
  <c r="AX39" i="125"/>
  <c r="M37" i="126"/>
  <c r="K37" i="126"/>
  <c r="L37" i="126"/>
  <c r="N37" i="126"/>
  <c r="AV43" i="125"/>
  <c r="AX43" i="125"/>
  <c r="T118" i="125"/>
  <c r="H9" i="126"/>
  <c r="AO29" i="125"/>
  <c r="K43" i="126"/>
  <c r="N43" i="126"/>
  <c r="M43" i="126"/>
  <c r="L43" i="126"/>
  <c r="N88" i="126"/>
  <c r="K88" i="126"/>
  <c r="L88" i="126"/>
  <c r="M88" i="126"/>
  <c r="AO110" i="125"/>
  <c r="AV102" i="125"/>
  <c r="AX102" i="125"/>
  <c r="AV49" i="125"/>
  <c r="AX49" i="125"/>
  <c r="Y119" i="125"/>
  <c r="Y120" i="125"/>
  <c r="C6" i="127"/>
  <c r="C11" i="127"/>
  <c r="D11" i="127"/>
  <c r="M104" i="126"/>
  <c r="L104" i="126"/>
  <c r="K104" i="126"/>
  <c r="N104" i="126"/>
  <c r="AO52" i="125"/>
  <c r="AO74" i="125"/>
  <c r="N58" i="126"/>
  <c r="K58" i="126"/>
  <c r="L58" i="126"/>
  <c r="M58" i="126"/>
  <c r="AV26" i="125"/>
  <c r="AX26" i="125"/>
  <c r="L29" i="126"/>
  <c r="N29" i="126"/>
  <c r="K29" i="126"/>
  <c r="M29" i="126"/>
  <c r="K72" i="126"/>
  <c r="N72" i="126"/>
  <c r="M72" i="126"/>
  <c r="L72" i="126"/>
  <c r="L78" i="126"/>
  <c r="N78" i="126"/>
  <c r="K78" i="126"/>
  <c r="M78" i="126"/>
  <c r="AV81" i="125"/>
  <c r="AX81" i="125"/>
  <c r="AV67" i="125"/>
  <c r="AX67" i="125"/>
  <c r="AO39" i="125"/>
  <c r="AU56" i="125"/>
  <c r="AV56" i="125"/>
  <c r="AX56" i="125"/>
  <c r="AO56" i="125"/>
  <c r="AO43" i="125"/>
  <c r="M46" i="126"/>
  <c r="N46" i="126"/>
  <c r="K46" i="126"/>
  <c r="L46" i="126"/>
  <c r="AO61" i="125"/>
  <c r="N84" i="126"/>
  <c r="K84" i="126"/>
  <c r="L84" i="126"/>
  <c r="M84" i="126"/>
  <c r="AV29" i="125"/>
  <c r="AX29" i="125"/>
  <c r="AR118" i="125"/>
  <c r="AV42" i="125"/>
  <c r="AX42" i="125"/>
  <c r="AV110" i="125"/>
  <c r="AX110" i="125"/>
  <c r="AX40" i="125"/>
  <c r="AO36" i="125"/>
  <c r="AO89" i="125"/>
  <c r="AO47" i="125"/>
  <c r="AO79" i="125"/>
  <c r="AV74" i="125"/>
  <c r="AX74" i="125"/>
  <c r="AO28" i="125"/>
  <c r="L67" i="126"/>
  <c r="M67" i="126"/>
  <c r="N67" i="126"/>
  <c r="K67" i="126"/>
  <c r="AO59" i="125"/>
  <c r="AO112" i="125"/>
  <c r="AX61" i="125"/>
  <c r="AO42" i="125"/>
  <c r="N59" i="126"/>
  <c r="K59" i="126"/>
  <c r="L59" i="126"/>
  <c r="M59" i="126"/>
  <c r="AO86" i="125"/>
  <c r="AV36" i="125"/>
  <c r="AX36" i="125"/>
  <c r="AV89" i="125"/>
  <c r="AX89" i="125"/>
  <c r="N91" i="126"/>
  <c r="L91" i="126"/>
  <c r="M91" i="126"/>
  <c r="K91" i="126"/>
  <c r="AV47" i="125"/>
  <c r="AX47" i="125"/>
  <c r="AV79" i="125"/>
  <c r="AX79" i="125"/>
  <c r="M90" i="126"/>
  <c r="L90" i="126"/>
  <c r="N90" i="126"/>
  <c r="K90" i="126"/>
  <c r="AX57" i="125"/>
  <c r="AV28" i="125"/>
  <c r="AX28" i="125"/>
  <c r="N107" i="126"/>
  <c r="L107" i="126"/>
  <c r="K107" i="126"/>
  <c r="M107" i="126"/>
  <c r="K95" i="126"/>
  <c r="M95" i="126"/>
  <c r="L95" i="126"/>
  <c r="N95" i="126"/>
  <c r="AV59" i="125"/>
  <c r="AX59" i="125"/>
  <c r="AG118" i="125"/>
  <c r="C4" i="127"/>
  <c r="AW18" i="125"/>
  <c r="AW118" i="125"/>
  <c r="AH18" i="125"/>
  <c r="AH118" i="125"/>
  <c r="AY119" i="125"/>
  <c r="BA120" i="125"/>
  <c r="AV112" i="125"/>
  <c r="AX112" i="125"/>
  <c r="N48" i="126"/>
  <c r="K48" i="126"/>
  <c r="M48" i="126"/>
  <c r="L48" i="126"/>
  <c r="L40" i="126"/>
  <c r="K40" i="126"/>
  <c r="N40" i="126"/>
  <c r="M40" i="126"/>
  <c r="AU109" i="125"/>
  <c r="AV109" i="125"/>
  <c r="AX109" i="125"/>
  <c r="AO109" i="125"/>
  <c r="AO116" i="125"/>
  <c r="AO31" i="125"/>
  <c r="AV86" i="125"/>
  <c r="AX86" i="125"/>
  <c r="K51" i="126"/>
  <c r="M51" i="126"/>
  <c r="L51" i="126"/>
  <c r="N51" i="126"/>
  <c r="AO103" i="125"/>
  <c r="AU94" i="125"/>
  <c r="AV94" i="125"/>
  <c r="AX94" i="125"/>
  <c r="AO94" i="125"/>
  <c r="AO106" i="125"/>
  <c r="N41" i="126"/>
  <c r="L41" i="126"/>
  <c r="M41" i="126"/>
  <c r="K41" i="126"/>
  <c r="AO48" i="125"/>
  <c r="L87" i="126"/>
  <c r="N87" i="126"/>
  <c r="M87" i="126"/>
  <c r="K87" i="126"/>
  <c r="N50" i="126"/>
  <c r="K50" i="126"/>
  <c r="M50" i="126"/>
  <c r="L50" i="126"/>
  <c r="AV21" i="125"/>
  <c r="AX21" i="125"/>
  <c r="AO38" i="125"/>
  <c r="AV116" i="125"/>
  <c r="AX116" i="125"/>
  <c r="AV31" i="125"/>
  <c r="AX31" i="125"/>
  <c r="AV103" i="125"/>
  <c r="AX103" i="125"/>
  <c r="AV106" i="125"/>
  <c r="AX106" i="125"/>
  <c r="AO76" i="125"/>
  <c r="U9" i="126"/>
  <c r="AV48" i="125"/>
  <c r="AX48" i="125"/>
  <c r="D5" i="146"/>
  <c r="E5" i="146"/>
  <c r="D13" i="121"/>
  <c r="E17" i="121"/>
  <c r="E18" i="121"/>
  <c r="D16" i="146"/>
  <c r="F25" i="146"/>
  <c r="F6" i="146"/>
  <c r="F7" i="146"/>
  <c r="E4" i="146"/>
  <c r="D4" i="146"/>
  <c r="C4" i="146"/>
  <c r="D13" i="146"/>
  <c r="A37" i="125"/>
  <c r="A27" i="126"/>
  <c r="AF27" i="126"/>
  <c r="I69" i="61"/>
  <c r="G73" i="60"/>
  <c r="G71" i="60"/>
  <c r="G74" i="60"/>
  <c r="D18" i="121"/>
  <c r="D19" i="121"/>
  <c r="D9" i="121"/>
  <c r="F104" i="144"/>
  <c r="F98" i="144"/>
  <c r="AN118" i="125"/>
  <c r="AU18" i="125"/>
  <c r="AO18" i="125"/>
  <c r="AO118" i="125"/>
  <c r="C10" i="127"/>
  <c r="D10" i="127"/>
  <c r="C8" i="127"/>
  <c r="BA119" i="125"/>
  <c r="L9" i="126"/>
  <c r="N9" i="126"/>
  <c r="K9" i="126"/>
  <c r="M9" i="126"/>
  <c r="AA9" i="126"/>
  <c r="AA109" i="126"/>
  <c r="Y109" i="126"/>
  <c r="E119" i="125"/>
  <c r="M119" i="125"/>
  <c r="M120" i="125"/>
  <c r="F8" i="146"/>
  <c r="F9" i="146"/>
  <c r="E19" i="121"/>
  <c r="D20" i="121"/>
  <c r="C5" i="146"/>
  <c r="D25" i="146"/>
  <c r="E25" i="146"/>
  <c r="E7" i="146"/>
  <c r="D7" i="146"/>
  <c r="F22" i="146"/>
  <c r="D15" i="146"/>
  <c r="F24" i="146"/>
  <c r="D6" i="146"/>
  <c r="D14" i="146"/>
  <c r="F23" i="146"/>
  <c r="E6" i="146"/>
  <c r="A28" i="126"/>
  <c r="AF28" i="126"/>
  <c r="A38" i="125"/>
  <c r="A29" i="126"/>
  <c r="AF29" i="126"/>
  <c r="H112" i="144"/>
  <c r="H111" i="144"/>
  <c r="F106" i="144"/>
  <c r="H113" i="144"/>
  <c r="H110" i="144"/>
  <c r="F107" i="144"/>
  <c r="E9" i="121"/>
  <c r="D14" i="121"/>
  <c r="AU118" i="125"/>
  <c r="AV18" i="125"/>
  <c r="E8" i="146"/>
  <c r="F10" i="146"/>
  <c r="D8" i="146"/>
  <c r="C6" i="146"/>
  <c r="C7" i="146"/>
  <c r="E23" i="146"/>
  <c r="D23" i="146"/>
  <c r="E22" i="146"/>
  <c r="D22" i="146"/>
  <c r="C22" i="146"/>
  <c r="F26" i="146"/>
  <c r="D24" i="146"/>
  <c r="E24" i="146"/>
  <c r="D17" i="146"/>
  <c r="D18" i="146"/>
  <c r="H114" i="144"/>
  <c r="F9" i="121"/>
  <c r="G71" i="61"/>
  <c r="AX18" i="125"/>
  <c r="AX118" i="125"/>
  <c r="AX119" i="125"/>
  <c r="AV118" i="125"/>
  <c r="H74" i="145"/>
  <c r="Q21" i="142"/>
  <c r="H70" i="145"/>
  <c r="Q17" i="142"/>
  <c r="H66" i="145"/>
  <c r="Q13" i="142"/>
  <c r="H62" i="145"/>
  <c r="Q9" i="142"/>
  <c r="H58" i="145"/>
  <c r="Q5" i="142"/>
  <c r="H77" i="145"/>
  <c r="Q24" i="142"/>
  <c r="H73" i="145"/>
  <c r="Q20" i="142"/>
  <c r="H69" i="145"/>
  <c r="Q16" i="142"/>
  <c r="H65" i="145"/>
  <c r="Q12" i="142"/>
  <c r="H61" i="145"/>
  <c r="Q8" i="142"/>
  <c r="H76" i="145"/>
  <c r="Q23" i="142"/>
  <c r="H72" i="145"/>
  <c r="Q19" i="142"/>
  <c r="H68" i="145"/>
  <c r="Q15" i="142"/>
  <c r="H64" i="145"/>
  <c r="Q11" i="142"/>
  <c r="H60" i="145"/>
  <c r="Q7" i="142"/>
  <c r="H75" i="145"/>
  <c r="Q22" i="142"/>
  <c r="H71" i="145"/>
  <c r="Q18" i="142"/>
  <c r="H67" i="145"/>
  <c r="Q14" i="142"/>
  <c r="H63" i="145"/>
  <c r="Q10" i="142"/>
  <c r="H59" i="145"/>
  <c r="Q6" i="142"/>
  <c r="C23" i="146"/>
  <c r="C24" i="146"/>
  <c r="C25" i="146"/>
  <c r="F27" i="146"/>
  <c r="E26" i="146"/>
  <c r="D26" i="146"/>
  <c r="E20" i="120"/>
  <c r="E21" i="120"/>
  <c r="F21" i="120"/>
  <c r="F20" i="120"/>
  <c r="D24" i="145"/>
  <c r="H4" i="145"/>
  <c r="H24" i="145"/>
  <c r="Q26" i="142"/>
  <c r="Q27" i="142"/>
  <c r="Q28" i="142"/>
  <c r="E7" i="149"/>
  <c r="G126" i="139"/>
  <c r="D5" i="118"/>
  <c r="P4" i="145"/>
  <c r="D33" i="139"/>
  <c r="E6" i="149"/>
  <c r="D32" i="139"/>
  <c r="E5" i="149"/>
  <c r="G125" i="139"/>
  <c r="D34" i="139"/>
  <c r="G124" i="139"/>
  <c r="D9" i="61"/>
  <c r="E23" i="120"/>
  <c r="Q24" i="145"/>
  <c r="Q5" i="141"/>
  <c r="Q25" i="142"/>
  <c r="E4" i="149"/>
  <c r="E23" i="149"/>
  <c r="E26" i="149"/>
  <c r="H26" i="149"/>
  <c r="I26" i="149"/>
  <c r="H23" i="149"/>
  <c r="I23" i="149"/>
  <c r="E21" i="149"/>
  <c r="E20" i="149"/>
  <c r="H20" i="149"/>
  <c r="I20" i="149"/>
  <c r="E8" i="149"/>
  <c r="E9" i="149"/>
  <c r="H4" i="149"/>
  <c r="E22" i="149"/>
  <c r="D9" i="60"/>
  <c r="D52" i="61"/>
  <c r="F52" i="61"/>
  <c r="H52" i="61"/>
  <c r="E52" i="61"/>
  <c r="I52" i="61"/>
  <c r="G52" i="61"/>
  <c r="E65" i="61"/>
  <c r="D65" i="61"/>
  <c r="F65" i="61"/>
  <c r="G65" i="61"/>
  <c r="H65" i="61"/>
  <c r="I65" i="61"/>
  <c r="Q25" i="141"/>
  <c r="E24" i="149"/>
  <c r="H24" i="149"/>
  <c r="I24" i="149"/>
  <c r="H21" i="149"/>
  <c r="I21" i="149"/>
  <c r="E25" i="149"/>
  <c r="H25" i="149"/>
  <c r="I25" i="149"/>
  <c r="H22" i="149"/>
  <c r="I22" i="149"/>
  <c r="H5" i="149"/>
  <c r="C16" i="139"/>
  <c r="H67" i="61"/>
  <c r="G67" i="61"/>
  <c r="I67" i="61"/>
  <c r="E67" i="61"/>
  <c r="D67" i="61"/>
  <c r="F67" i="61"/>
  <c r="F54" i="60"/>
  <c r="D54" i="60"/>
  <c r="E54" i="60"/>
  <c r="G54" i="60"/>
  <c r="H54" i="60"/>
  <c r="I54" i="60"/>
  <c r="E67" i="60"/>
  <c r="E69" i="60"/>
  <c r="D67" i="60"/>
  <c r="F67" i="60"/>
  <c r="F69" i="60"/>
  <c r="I67" i="60"/>
  <c r="I69" i="60"/>
  <c r="H67" i="60"/>
  <c r="G67" i="60"/>
  <c r="G69" i="60"/>
  <c r="C31" i="139"/>
  <c r="E123" i="139"/>
  <c r="D31" i="139"/>
  <c r="G123" i="139"/>
  <c r="C103" i="139"/>
  <c r="C96" i="139"/>
  <c r="C89" i="139"/>
  <c r="D18" i="139"/>
  <c r="D17" i="139"/>
  <c r="H39" i="149"/>
  <c r="H41" i="149"/>
  <c r="F13" i="149"/>
  <c r="I29" i="149"/>
  <c r="I13" i="149"/>
  <c r="E13" i="149"/>
  <c r="D69" i="60"/>
  <c r="H69" i="60"/>
  <c r="E127" i="139"/>
  <c r="E131" i="139"/>
  <c r="G127" i="139"/>
  <c r="C82" i="139"/>
  <c r="A42" i="139"/>
  <c r="E31" i="139"/>
  <c r="I16" i="149"/>
  <c r="E16" i="149"/>
  <c r="E34" i="139"/>
  <c r="I14" i="149"/>
  <c r="E14" i="149"/>
  <c r="E32" i="139"/>
  <c r="I15" i="149"/>
  <c r="E15" i="149"/>
  <c r="E33" i="139"/>
  <c r="H43" i="149"/>
  <c r="F15" i="149"/>
  <c r="H44" i="149"/>
  <c r="F16" i="149"/>
  <c r="H42" i="149"/>
  <c r="F14" i="149"/>
  <c r="F17" i="149"/>
  <c r="G129" i="139"/>
  <c r="G131" i="139"/>
  <c r="G128" i="139"/>
  <c r="E17" i="149"/>
  <c r="D59" i="139"/>
  <c r="G132" i="139"/>
  <c r="G133" i="139"/>
  <c r="F59" i="139"/>
  <c r="E59" i="139"/>
  <c r="D52" i="139"/>
  <c r="D45" i="139"/>
  <c r="F31" i="139"/>
  <c r="D62" i="139"/>
  <c r="D61" i="139"/>
  <c r="D60" i="139"/>
  <c r="D38" i="139"/>
  <c r="D63" i="139"/>
  <c r="F63" i="139"/>
  <c r="E62" i="139"/>
  <c r="F62" i="139"/>
  <c r="E61" i="139"/>
  <c r="F61" i="139"/>
  <c r="E52" i="139"/>
  <c r="F52" i="139"/>
  <c r="E60" i="139"/>
  <c r="F60" i="139"/>
  <c r="E45" i="139"/>
  <c r="F45" i="139"/>
  <c r="D53" i="139"/>
  <c r="D46" i="139"/>
  <c r="D55" i="139"/>
  <c r="D48" i="139"/>
  <c r="D54" i="139"/>
  <c r="D47" i="139"/>
  <c r="F32" i="139"/>
  <c r="D39" i="139"/>
  <c r="D41" i="139"/>
  <c r="F34" i="139"/>
  <c r="F33" i="139"/>
  <c r="D40" i="139"/>
  <c r="Q25" i="143"/>
  <c r="F38" i="139"/>
  <c r="E38" i="139"/>
  <c r="E63" i="139"/>
  <c r="D42" i="139"/>
  <c r="E42" i="139"/>
  <c r="F54" i="139"/>
  <c r="E54" i="139"/>
  <c r="F53" i="139"/>
  <c r="E53" i="139"/>
  <c r="D56" i="139"/>
  <c r="F48" i="139"/>
  <c r="E48" i="139"/>
  <c r="D49" i="139"/>
  <c r="E55" i="139"/>
  <c r="F55" i="139"/>
  <c r="F47" i="139"/>
  <c r="E47" i="139"/>
  <c r="E46" i="139"/>
  <c r="F46" i="139"/>
  <c r="Q21" i="143"/>
  <c r="Q17" i="143"/>
  <c r="Q13" i="143"/>
  <c r="Q9" i="143"/>
  <c r="Q5" i="143"/>
  <c r="D25" i="140"/>
  <c r="D27" i="140"/>
  <c r="K123" i="139"/>
  <c r="Q28" i="143"/>
  <c r="E41" i="139"/>
  <c r="F41" i="139"/>
  <c r="Q27" i="143"/>
  <c r="E40" i="139"/>
  <c r="F40" i="139"/>
  <c r="Q26" i="143"/>
  <c r="E39" i="139"/>
  <c r="F39" i="139"/>
  <c r="D99" i="139"/>
  <c r="D92" i="139"/>
  <c r="D85" i="139"/>
  <c r="D78" i="139"/>
  <c r="F42" i="139"/>
  <c r="E49" i="139"/>
  <c r="F49" i="139"/>
  <c r="E56" i="139"/>
  <c r="F56" i="139"/>
  <c r="Q23" i="143"/>
  <c r="Q19" i="143"/>
  <c r="Q15" i="143"/>
  <c r="Q11" i="143"/>
  <c r="Q7" i="143"/>
  <c r="Q24" i="143"/>
  <c r="Q20" i="143"/>
  <c r="Q16" i="143"/>
  <c r="Q12" i="143"/>
  <c r="Q8" i="143"/>
  <c r="Q22" i="143"/>
  <c r="Q18" i="143"/>
  <c r="Q14" i="143"/>
  <c r="Q10" i="143"/>
  <c r="Q6" i="143"/>
  <c r="K124" i="139"/>
  <c r="K126" i="139"/>
  <c r="K125" i="139"/>
  <c r="I123" i="139"/>
  <c r="E78" i="139"/>
  <c r="F78" i="139"/>
  <c r="D102" i="139"/>
  <c r="D95" i="139"/>
  <c r="D88" i="139"/>
  <c r="D81" i="139"/>
  <c r="E92" i="139"/>
  <c r="F92" i="139"/>
  <c r="D94" i="139"/>
  <c r="D80" i="139"/>
  <c r="D101" i="139"/>
  <c r="D87" i="139"/>
  <c r="F85" i="139"/>
  <c r="E85" i="139"/>
  <c r="D100" i="139"/>
  <c r="D93" i="139"/>
  <c r="D86" i="139"/>
  <c r="D79" i="139"/>
  <c r="F99" i="139"/>
  <c r="E99" i="139"/>
  <c r="K127" i="139"/>
  <c r="I126" i="139"/>
  <c r="I125" i="139"/>
  <c r="I124" i="139"/>
  <c r="D103" i="139"/>
  <c r="E103" i="139"/>
  <c r="F79" i="139"/>
  <c r="E79" i="139"/>
  <c r="E86" i="139"/>
  <c r="F86" i="139"/>
  <c r="F93" i="139"/>
  <c r="E93" i="139"/>
  <c r="E94" i="139"/>
  <c r="F94" i="139"/>
  <c r="F81" i="139"/>
  <c r="E81" i="139"/>
  <c r="F101" i="139"/>
  <c r="E101" i="139"/>
  <c r="F95" i="139"/>
  <c r="E95" i="139"/>
  <c r="D89" i="139"/>
  <c r="F80" i="139"/>
  <c r="E80" i="139"/>
  <c r="E102" i="139"/>
  <c r="F102" i="139"/>
  <c r="E100" i="139"/>
  <c r="F100" i="139"/>
  <c r="F87" i="139"/>
  <c r="E87" i="139"/>
  <c r="D96" i="139"/>
  <c r="E88" i="139"/>
  <c r="F88" i="139"/>
  <c r="K128" i="139"/>
  <c r="I127" i="139"/>
  <c r="I128" i="139"/>
  <c r="K129" i="139"/>
  <c r="K131" i="139"/>
  <c r="D82" i="139"/>
  <c r="F103" i="139"/>
  <c r="F96" i="139"/>
  <c r="E96" i="139"/>
  <c r="E82" i="139"/>
  <c r="F82" i="139"/>
  <c r="F89" i="139"/>
  <c r="E89" i="139"/>
  <c r="K133" i="139"/>
  <c r="I129" i="139"/>
  <c r="I131" i="139"/>
  <c r="I132" i="139"/>
  <c r="K132" i="139"/>
  <c r="I133" i="139"/>
</calcChain>
</file>

<file path=xl/sharedStrings.xml><?xml version="1.0" encoding="utf-8"?>
<sst xmlns="http://schemas.openxmlformats.org/spreadsheetml/2006/main" count="24760" uniqueCount="1188">
  <si>
    <t>ER</t>
  </si>
  <si>
    <t>IP</t>
  </si>
  <si>
    <t>Primary Care</t>
  </si>
  <si>
    <t>Imaging</t>
  </si>
  <si>
    <t>Speech Therapy</t>
  </si>
  <si>
    <t>Laboratory</t>
  </si>
  <si>
    <t>Unclassified</t>
  </si>
  <si>
    <t>Number of Enrollees</t>
  </si>
  <si>
    <t>Up To</t>
  </si>
  <si>
    <t>Specialist</t>
  </si>
  <si>
    <t>Well Baby (Combined)</t>
  </si>
  <si>
    <t>Well Baby (Unclass.)</t>
  </si>
  <si>
    <t>Preventive (Combined)</t>
  </si>
  <si>
    <t>X-rays (Combined)</t>
  </si>
  <si>
    <t>X-rays (Specialist)</t>
  </si>
  <si>
    <t>X-rays (Primary)</t>
  </si>
  <si>
    <t>X-rays (Unclass.)</t>
  </si>
  <si>
    <t>Unlimited</t>
  </si>
  <si>
    <t>Avg. ER Freq</t>
  </si>
  <si>
    <t>Avg. IP Freq</t>
  </si>
  <si>
    <t>Avg. Primary Care Freq</t>
  </si>
  <si>
    <t>Avg. Specialist Freq</t>
  </si>
  <si>
    <t>Avg. Imaging Freq</t>
  </si>
  <si>
    <t>Avg. Speech Therapy Freq</t>
  </si>
  <si>
    <t>Avg. Well Baby Freq (Combined)</t>
  </si>
  <si>
    <t>Avg. Well Baby Freq (Unclass.)</t>
  </si>
  <si>
    <t>Avg. Prev. Freq (Combined)</t>
  </si>
  <si>
    <t>Avg. Laboratory Freq</t>
  </si>
  <si>
    <t>Avg. X-ray Freq (Combined)</t>
  </si>
  <si>
    <t>Avg. X-rays Freq (Specialist)</t>
  </si>
  <si>
    <t>Avg. X-rays Freq (Primary)</t>
  </si>
  <si>
    <t>Avg. X-rays Freq (Unclass.)</t>
  </si>
  <si>
    <t>Avg. Unclassified Freq</t>
  </si>
  <si>
    <t>Generics</t>
  </si>
  <si>
    <t>Preferred Brand Drugs</t>
  </si>
  <si>
    <t>Non-Preferred Brand Drugs</t>
  </si>
  <si>
    <t>Specialty High-Cost Drugs</t>
  </si>
  <si>
    <t>Avg. Generics Prescriptions</t>
  </si>
  <si>
    <t>Preferred Brand</t>
  </si>
  <si>
    <t>Avg. Pref. Brand Prescriptions</t>
  </si>
  <si>
    <t>Non-Preferred Brand</t>
  </si>
  <si>
    <t>Avg. Non-Pref. Brand Prescriptions</t>
  </si>
  <si>
    <t>Specialty High-Cost</t>
  </si>
  <si>
    <t>Avg. Spec. Prescriptions</t>
  </si>
  <si>
    <t>Avg. Unclassified Prescriptions</t>
  </si>
  <si>
    <t>Y</t>
  </si>
  <si>
    <t>Medical</t>
  </si>
  <si>
    <t>Drug</t>
  </si>
  <si>
    <t>Combined</t>
  </si>
  <si>
    <t>Deductible ($)</t>
  </si>
  <si>
    <t>Type of Benefit</t>
  </si>
  <si>
    <t>Subject to Deductible?</t>
  </si>
  <si>
    <t>Subject to Coinsurance?</t>
  </si>
  <si>
    <t>Output</t>
  </si>
  <si>
    <t>Formats</t>
  </si>
  <si>
    <t>N</t>
  </si>
  <si>
    <t>Drugs</t>
  </si>
  <si>
    <t>Platinum</t>
  </si>
  <si>
    <t>Gold</t>
  </si>
  <si>
    <t>Silver</t>
  </si>
  <si>
    <t>Status/Error Messages:</t>
  </si>
  <si>
    <t>Skilled Nursing Facility</t>
  </si>
  <si>
    <t>OOP Maximum ($)</t>
  </si>
  <si>
    <t>Avg. IP Days</t>
  </si>
  <si>
    <t>SNF</t>
  </si>
  <si>
    <t>Avg. SNF Freq.</t>
  </si>
  <si>
    <t>Avg. SNF Days</t>
  </si>
  <si>
    <t>Coinsurance, if different</t>
  </si>
  <si>
    <t>Introduction</t>
  </si>
  <si>
    <t>Usage</t>
  </si>
  <si>
    <t>Final Step: Pressing the Calculate Button</t>
  </si>
  <si>
    <t>Frequently Asked Questions</t>
  </si>
  <si>
    <t>Copay, if separate</t>
  </si>
  <si>
    <t>Data Properties</t>
  </si>
  <si>
    <t>Avg. Cost per Enrollee (Bucket)</t>
  </si>
  <si>
    <t>Avg. Cost per Enrollee (Max'd)</t>
  </si>
  <si>
    <t>.</t>
  </si>
  <si>
    <t>Chronic Maintenance Drugs</t>
  </si>
  <si>
    <t>Chronic Maintenance</t>
  </si>
  <si>
    <t>Avg. Chronic Maintenance</t>
  </si>
  <si>
    <t>Sub. Abuse - OP Facility</t>
  </si>
  <si>
    <t>Avg. Sub. Abuse - OP Facility Freq</t>
  </si>
  <si>
    <t>Sub. Abuse - OP Prof.</t>
  </si>
  <si>
    <t>Avg. Sub. Abuse - OP Prof. Freq</t>
  </si>
  <si>
    <t>Imaging - OP Facility</t>
  </si>
  <si>
    <t>Avg. Imaging - OP Facility Freq</t>
  </si>
  <si>
    <t>Imaging - OP Prof.</t>
  </si>
  <si>
    <t>Avg. Imaging - OP Prof. Freq</t>
  </si>
  <si>
    <t>Speech Therapy - OP Facility</t>
  </si>
  <si>
    <t>Avg. Speech Therapy - OP Facility Freq</t>
  </si>
  <si>
    <t>Speech Therapy - OP Prof.</t>
  </si>
  <si>
    <t>Avg. Speech Therapy - OP Prof. Freq</t>
  </si>
  <si>
    <t>Occupational Therapy - OP Facility</t>
  </si>
  <si>
    <t>Avg. Occ. Therapy - OP Facility Freq</t>
  </si>
  <si>
    <t>Occupational Therapy - OP Prof.</t>
  </si>
  <si>
    <t>Avg. Occ. Therapy - OP Prof. Freq</t>
  </si>
  <si>
    <t>Laboratory - OP Facility</t>
  </si>
  <si>
    <t>Avg. Lab - OP Facility Freq</t>
  </si>
  <si>
    <t>Laboratory - OP Prof.</t>
  </si>
  <si>
    <t>Avg. Lab - OP Prof. Freq</t>
  </si>
  <si>
    <t>Unclassified - OP Facility</t>
  </si>
  <si>
    <t>Avg. Unclass. - OP Facility Freq</t>
  </si>
  <si>
    <t>Unclassified - OP Prof</t>
  </si>
  <si>
    <t>Avg. Unclass. - OP Prof Freq</t>
  </si>
  <si>
    <t>Avg. Chronic Maintenance Prescriptions</t>
  </si>
  <si>
    <t>Annual Contribution Amount:</t>
  </si>
  <si>
    <t>1st Tier Utilization:</t>
  </si>
  <si>
    <t>2nd Tier Utilization:</t>
  </si>
  <si>
    <t>Narrow Network Options</t>
  </si>
  <si>
    <t>Tier 1</t>
  </si>
  <si>
    <t>Tier 2</t>
  </si>
  <si>
    <t>Primary Care and Specialist Office Visits</t>
  </si>
  <si>
    <t>Rx Deductible:</t>
  </si>
  <si>
    <t>Med. Deductible:</t>
  </si>
  <si>
    <t>Integrated?:</t>
  </si>
  <si>
    <t>Rx Coinsurance:</t>
  </si>
  <si>
    <t>Med. Coinsurance:</t>
  </si>
  <si>
    <t>MOOP:</t>
  </si>
  <si>
    <t>MOOP</t>
  </si>
  <si>
    <t>AV</t>
  </si>
  <si>
    <t>Coinsurance</t>
  </si>
  <si>
    <t>Plan Design (Coins and MOOP Variance)</t>
  </si>
  <si>
    <t>Plan Design (Deduct and MOOP Variance)</t>
  </si>
  <si>
    <t>Deductible</t>
  </si>
  <si>
    <t>Bronze</t>
  </si>
  <si>
    <t>Mental Health and Sub. Abuse</t>
  </si>
  <si>
    <t>Mental Health and Sub. Abuse Freq.</t>
  </si>
  <si>
    <t>-</t>
  </si>
  <si>
    <t>Occ. + Physical Therapy</t>
  </si>
  <si>
    <t>Occ. + Physical Therapy Freq</t>
  </si>
  <si>
    <t>Mental Health - OP Facility</t>
  </si>
  <si>
    <t>Avg. Mental Health - OP Facility Freq</t>
  </si>
  <si>
    <t>Mental Health - OP Prof.</t>
  </si>
  <si>
    <t>Avg. Mental Health - OP Prof. Freq</t>
  </si>
  <si>
    <t>Blended Network/POS Plan?</t>
  </si>
  <si>
    <t>Enrollment Restrictions Applied to Small Group Rx PPO/PoS Plans before Building Continuance Tables</t>
  </si>
  <si>
    <t>Not including 12 month or newborn enrollment restriction</t>
  </si>
  <si>
    <t>All Small Group PPO/PoS plans with over 50 members in the Small Group Market with Positive Rx Enrollment:</t>
  </si>
  <si>
    <t>Enrollment Composition</t>
  </si>
  <si>
    <t>Ages 0 to 6</t>
  </si>
  <si>
    <t>Ages 7 to 18</t>
  </si>
  <si>
    <t>Ages 19 to 25</t>
  </si>
  <si>
    <t>Ages 26 to 40</t>
  </si>
  <si>
    <t>Ages 41 to 54</t>
  </si>
  <si>
    <t>Ages 55 to 64</t>
  </si>
  <si>
    <t># PCCs</t>
  </si>
  <si>
    <t># Members</t>
  </si>
  <si>
    <t>Male</t>
  </si>
  <si>
    <t>Female</t>
  </si>
  <si>
    <t># PCCs with 100% Zero Spending: 299</t>
  </si>
  <si>
    <t># PCCs with Negative Empirical AV overall: 1</t>
  </si>
  <si>
    <t># Members Excluded due to Restriction: 28,312</t>
  </si>
  <si>
    <t>Enrollment Composition After Excluding Plans with Zero Spending</t>
  </si>
  <si>
    <t># PCCs with Imputed Actual Coinsurance Not Bounded between 0 and 100%: 20</t>
  </si>
  <si>
    <t># Members Excluded due to Restriction: 1,616</t>
  </si>
  <si>
    <t># Members Excluded due to Gender="U" : 155</t>
  </si>
  <si>
    <t>Final Count for Sample:</t>
  </si>
  <si>
    <t>All Members</t>
  </si>
  <si>
    <t>Minus Zero Spending and Negative AV</t>
  </si>
  <si>
    <t>Minus Imputed Coinsurance Restriction</t>
  </si>
  <si>
    <t>Minus Gender="U"</t>
  </si>
  <si>
    <t>Final Count</t>
  </si>
  <si>
    <t>Emergency Room Services</t>
  </si>
  <si>
    <t>All Inpatient Hospital Services (inc. MHSA)</t>
  </si>
  <si>
    <t>Primary Care Visit to Treat an Injury or Illness (exc. Well Baby, Preventive, and X-rays)</t>
  </si>
  <si>
    <t>Specialist Visit</t>
  </si>
  <si>
    <t>Mental/Behavioral Health and Substance Abuse Disorder Outpatient Services</t>
  </si>
  <si>
    <t>Preventive Care/Screening/Immunization</t>
  </si>
  <si>
    <t>X-rays and Diagnostic Imaging</t>
  </si>
  <si>
    <t>Outpatient Facility Fee (e.g.,  Ambulatory Surgery Center)</t>
  </si>
  <si>
    <t>Outpatient Surgery Physician/Surgical Services</t>
  </si>
  <si>
    <t>OOP Maximum if Separate ($)</t>
  </si>
  <si>
    <t>Coinsurance (%, Insurer's Cost Share)</t>
  </si>
  <si>
    <t>Rehabilitative Occupational and Rehabilitative Physical Therapy</t>
  </si>
  <si>
    <t>Laboratory Outpatient and Professional Services</t>
  </si>
  <si>
    <t>Imaging (CT/PET Scans, MRIs)</t>
  </si>
  <si>
    <t>Click Here for Important Instructions</t>
  </si>
  <si>
    <t>HSA/HRA Options</t>
  </si>
  <si>
    <t>HSA/HRA Employer Contribution?</t>
  </si>
  <si>
    <t>Tier 1 Plan Benefit Design</t>
  </si>
  <si>
    <t>Tier 2 Plan Benefit Design</t>
  </si>
  <si>
    <t># Days (1-10):</t>
  </si>
  <si>
    <t># Visits (1-10):</t>
  </si>
  <si>
    <t>IP Max Days - 1</t>
  </si>
  <si>
    <t>IP Max Days - 2</t>
  </si>
  <si>
    <t>IP Max Days - 3</t>
  </si>
  <si>
    <t>IP Max Days - 4</t>
  </si>
  <si>
    <t>IP Max Days - 5</t>
  </si>
  <si>
    <t>IP Max Days - 6</t>
  </si>
  <si>
    <t>IP Max Days - 7</t>
  </si>
  <si>
    <t>IP Max Days - 8</t>
  </si>
  <si>
    <t>IP Max Days - 9</t>
  </si>
  <si>
    <t>IP Max Days - 10</t>
  </si>
  <si>
    <t>Primary Care &gt;1 Visit</t>
  </si>
  <si>
    <t>Primary Care &gt;1 Visit Freq.</t>
  </si>
  <si>
    <t>Primary Care &gt;2 Visits</t>
  </si>
  <si>
    <t>Primary Care &gt;2 Visits Freq.</t>
  </si>
  <si>
    <t>Primary Care &gt;3 Visits</t>
  </si>
  <si>
    <t>Primary Care &gt;3 Visits Freq.</t>
  </si>
  <si>
    <t>Primary Care &gt;4 Visits</t>
  </si>
  <si>
    <t>Primary Care &gt;4 Visits Freq.</t>
  </si>
  <si>
    <t>Primary Care &gt;5 Visits</t>
  </si>
  <si>
    <t>Primary Care &gt;5 Visits Freq.</t>
  </si>
  <si>
    <t>Primary Care &gt;6 Visits</t>
  </si>
  <si>
    <t>Primary Care &gt;6 Visits Freq.</t>
  </si>
  <si>
    <t>Primary Care &gt;7 Visits</t>
  </si>
  <si>
    <t>Primary Care &gt;7 Visits Freq.</t>
  </si>
  <si>
    <t>Primary Care &gt;8 Visits</t>
  </si>
  <si>
    <t>Primary Care &gt;8 Visits Freq.</t>
  </si>
  <si>
    <t>Primary Care &gt;9 Visits</t>
  </si>
  <si>
    <t>Primary Care &gt;9 Visits Freq.</t>
  </si>
  <si>
    <t>Primary Care &gt;10 Visits</t>
  </si>
  <si>
    <t>Primary Care &gt;10 Visits Freq.</t>
  </si>
  <si>
    <t>Non-Preventive Well Baby Visits and Care</t>
  </si>
  <si>
    <t>User Inputs for Plan Parameters</t>
  </si>
  <si>
    <t>Use Integrated Medical and Drug Deductible?</t>
  </si>
  <si>
    <t>Use Separate OOP Maximum for Medical and Drug Spending?</t>
  </si>
  <si>
    <t>Options for Additional Benefit Design Limits:</t>
  </si>
  <si>
    <t>Do Not Allow Copays to Exceed Service Unit Cost?</t>
  </si>
  <si>
    <t>Set a Maximum on Specialty Rx Coinsurance Payments?</t>
  </si>
  <si>
    <t>Specialty Rx Coinsurance Maximum:</t>
  </si>
  <si>
    <t>Set a Maximum Number of Days for Charging an IP Copay?</t>
  </si>
  <si>
    <t>Begin Primary Care Cost-Sharing After a Set Number of Visits?</t>
  </si>
  <si>
    <t># Copays (1-10):</t>
  </si>
  <si>
    <t>Rehabilitative Speech Therapy</t>
  </si>
  <si>
    <t>Apply Inpatient Copay per Day?</t>
  </si>
  <si>
    <t>Apply Skilled Nursing Facility Copay per Day?</t>
  </si>
  <si>
    <t>For additional detail on the methodology used to construct the calculator, please refer to the accompanying methodology document.</t>
  </si>
  <si>
    <t>Use Integrated Medical and Drug Deductible</t>
  </si>
  <si>
    <t>Use Separate OOP Maximum for Medical and Drug Spending</t>
  </si>
  <si>
    <t xml:space="preserve">Tier 1 Plan Design and Tier 2 Plan Design </t>
  </si>
  <si>
    <t>Options for Specific Benefit Types</t>
  </si>
  <si>
    <t>Subject to Deductible and Copay, if separate</t>
  </si>
  <si>
    <t>If a service is selected to be "Subject to Coinsurance" and no custom rate is entered, the general coinsurance rate will be applied. Otherwise, the custom rate will be used.  If “Subject to Coinsurance” is not selected, then the copay rate will determine the cost of that service in the coinsurance range.</t>
  </si>
  <si>
    <t>Benefit Type Details</t>
  </si>
  <si>
    <t>Outpatient - Facility and Outpatient – Professional Visits</t>
  </si>
  <si>
    <t>Other Benefit Type Notes</t>
  </si>
  <si>
    <r>
      <t>·</t>
    </r>
    <r>
      <rPr>
        <sz val="7"/>
        <color theme="1"/>
        <rFont val="Times New Roman"/>
        <family val="1"/>
      </rPr>
      <t xml:space="preserve">         </t>
    </r>
    <r>
      <rPr>
        <sz val="11"/>
        <color theme="1"/>
        <rFont val="Calibri"/>
        <family val="2"/>
        <scheme val="minor"/>
      </rPr>
      <t>Prescription benefits cannot be subjected to both a different co-insurance rate and separate copay.</t>
    </r>
  </si>
  <si>
    <t>Options for Additional Benefit Design Limits</t>
  </si>
  <si>
    <t>Set a Maximum on Specialty Rx Coinsurance Payments</t>
  </si>
  <si>
    <t>Set a Maximum Number of Days for Charging an IP Copay</t>
  </si>
  <si>
    <t>Select this option to limit the number of days on which a patient can be charged a copay for an inpatient stay, if the option to charge inpatient stays by day is selected.  Enter the maximum number of days allowed.</t>
  </si>
  <si>
    <t xml:space="preserve"> </t>
  </si>
  <si>
    <t>Begin Primary Care Cost-Sharing After a Set Number of Visits</t>
  </si>
  <si>
    <t>Select this option to begin primary care cost sharing after a certain number of (fully covered) visits have occurred.  Enter the maximum number of visits allowed.</t>
  </si>
  <si>
    <t>Select this option to begin subjecting primary care visits to the deductible or coinsurance rates only after a certain number of primary care visits with copay have occurred.  Enter the maximum number of visits allowed.</t>
  </si>
  <si>
    <r>
      <t xml:space="preserve">Q: </t>
    </r>
    <r>
      <rPr>
        <i/>
        <sz val="11"/>
        <color theme="1"/>
        <rFont val="Calibri"/>
        <family val="2"/>
        <scheme val="minor"/>
      </rPr>
      <t>How do I specify a copay during the deductible range and a coinsurance rate during the coinsurance range for drug benefits?</t>
    </r>
  </si>
  <si>
    <r>
      <t xml:space="preserve">Q: </t>
    </r>
    <r>
      <rPr>
        <i/>
        <sz val="11"/>
        <color theme="1"/>
        <rFont val="Calibri"/>
        <family val="2"/>
        <scheme val="minor"/>
      </rPr>
      <t>How do I specify copays that should be paid in conjunction with coinsurance in the cost-sharing range?</t>
    </r>
  </si>
  <si>
    <t>A: This feature is not supported at this time.</t>
  </si>
  <si>
    <t>A: Ensure that all appropriate "Subject to deductible" and "Subject to coinsurance" boxes are selected.</t>
  </si>
  <si>
    <t>Notes to Users</t>
  </si>
  <si>
    <t>Effect of Changing Copays for Inpatient Hospital Services</t>
  </si>
  <si>
    <t>Effect of Specifying Option to Use Service Unit Cost if Less than Copay</t>
  </si>
  <si>
    <t xml:space="preserve">Lack of Copay Option for Outpatient </t>
  </si>
  <si>
    <t>The national claims database does not include data on outpatient professional and facilities services at the stay level.  Because copays are applied per stay, the calculator cannot support the option to enter a copay for these services.</t>
  </si>
  <si>
    <t>Apply Inpatient Copay per Day and Apply Skilled Nursing Facility Copay per Day</t>
  </si>
  <si>
    <t>Select these options if you would like copays to be applied per day for either inpatient or skilled nursing facility services.</t>
  </si>
  <si>
    <t>Select this option to limit the amount of coinsurance on specialty prescription drugs by capping the maximum coinsurance payment on specialty drugs at a set amount.  Enter the maximum coinsurance payments allowed for specialty prescription drugs.</t>
  </si>
  <si>
    <t>Begin Primary Care Deductible/Coinsurance After a Set Number of Copays?</t>
  </si>
  <si>
    <t>Depending on whether or not a service is "Subject to Deductible" and the value entered into the “Copay, if Separate” field, a variety of plan designs may be accommodated.  If “Subject to Deductible” is checked, and no copay is entered, the cost of the service is covered by the enrollee and applied to the deductible at 100%.  If “Subject to Deductible” is checked and a copay is entered, the enrollee pays both the copay and the remainder of the cost, with the latter going towards the deductible.  If “Subject to Deductible” is not checked, and no copay or coinsurance is entered, the service is assumed to be covered at 100% by the plan in the deductible range.  If “Subject to Deductible” is not checked and a copay is entered, the cost of the service is covered by the plan except for the copay amount, which is covered by the enrollee.</t>
  </si>
  <si>
    <r>
      <t>·</t>
    </r>
    <r>
      <rPr>
        <sz val="7"/>
        <color theme="1"/>
        <rFont val="Times New Roman"/>
        <family val="1"/>
      </rPr>
      <t xml:space="preserve">         </t>
    </r>
    <r>
      <rPr>
        <sz val="11"/>
        <color theme="1"/>
        <rFont val="Calibri"/>
        <family val="2"/>
        <scheme val="minor"/>
      </rPr>
      <t>Preventive care visits are defined as those services covered at 100%, per section 2713 of the Affordable Care Act.</t>
    </r>
  </si>
  <si>
    <r>
      <t>·</t>
    </r>
    <r>
      <rPr>
        <sz val="7"/>
        <color theme="1"/>
        <rFont val="Times New Roman"/>
        <family val="1"/>
      </rPr>
      <t xml:space="preserve">         </t>
    </r>
    <r>
      <rPr>
        <sz val="11"/>
        <color theme="1"/>
        <rFont val="Calibri"/>
        <family val="2"/>
        <scheme val="minor"/>
      </rPr>
      <t>Well-baby preventive care visits are included in preventive care, per section 2713 of the Affordable Care Act.</t>
    </r>
  </si>
  <si>
    <r>
      <rPr>
        <sz val="11"/>
        <color theme="1"/>
        <rFont val="Calibri"/>
        <family val="2"/>
      </rPr>
      <t>•</t>
    </r>
    <r>
      <rPr>
        <sz val="11"/>
        <color theme="1"/>
        <rFont val="Calibri"/>
        <family val="2"/>
        <scheme val="minor"/>
      </rPr>
      <t>      Well-baby non-preventive care visits are included in Primary Care</t>
    </r>
    <r>
      <rPr>
        <sz val="8"/>
        <color theme="1"/>
        <rFont val="Calibri"/>
        <family val="2"/>
        <scheme val="minor"/>
      </rPr>
      <t> </t>
    </r>
    <r>
      <rPr>
        <sz val="11"/>
        <color theme="1"/>
        <rFont val="Calibri"/>
        <family val="2"/>
        <scheme val="minor"/>
      </rPr>
      <t>.</t>
    </r>
  </si>
  <si>
    <t>Begin Primary Care Deductible/Coinsurance After a Set Number of Copays</t>
  </si>
  <si>
    <t>A: Deselect "Use Integrated Medical and Drug Deductible," set drug deductible to desired amount (often $0) and set the specialty coinsurance rate (75%) under the general drug coinsurance rate. Next, enter the copays ($10/$20/$50) in the appropriate fields in the Drug Benefit section, deselecting "Subject to Deductible" and "Subject to Coinsurance." Finally, select "Subject to Deductible" and "Subject to Coinsurance" for Specialty Drugs.</t>
  </si>
  <si>
    <t>All Employer-Insured Plans, Medical Only</t>
  </si>
  <si>
    <t>Marketscan Continuance Table, 2009 Continuously Enrolled Beneficiaries</t>
  </si>
  <si>
    <t>All Employer-Insured Plans, Drug Claims Only</t>
  </si>
  <si>
    <t>All Employer-Insured Plans, All Claims</t>
  </si>
  <si>
    <t>Service Not Covered?</t>
  </si>
  <si>
    <t>Minimum Value:</t>
  </si>
  <si>
    <t>Grandfathered Plan?</t>
  </si>
  <si>
    <t>The MV compares average service cost at the specified level of spending to the copay when implementing this logic.  Therefore, this option affects the calculation only if the average service cost is less than the copay, even if the copay exceeds service cost for some individuals.  For example, while most generic prescription costs are low and would therefore be less than the typical generic copay, average generic costs include some high-cost generics and may not exceed the copay.</t>
  </si>
  <si>
    <t>Do not Specify 100% General Coinsurance Unless Specifying a Copay Plan</t>
  </si>
  <si>
    <t xml:space="preserve">Please specify 100% general coinsurance only for copay based plans. Specifying 100% general coinsurance for non copay based plans may lead to inappropriate results due to the calculation of the point at which maximum out of pocket spending is hit. </t>
  </si>
  <si>
    <r>
      <rPr>
        <sz val="11"/>
        <color theme="1"/>
        <rFont val="Calibri"/>
        <family val="2"/>
      </rPr>
      <t>•</t>
    </r>
    <r>
      <rPr>
        <sz val="11"/>
        <color theme="1"/>
        <rFont val="Calibri"/>
        <family val="2"/>
        <scheme val="minor"/>
      </rPr>
      <t xml:space="preserve">      Emergency room services, all inpatient hospital services, and outpatient surgery physician/surgical services are          </t>
    </r>
  </si>
  <si>
    <t xml:space="preserve">        aggregated to the stay level. </t>
  </si>
  <si>
    <r>
      <rPr>
        <sz val="11"/>
        <color theme="1"/>
        <rFont val="Calibri"/>
        <family val="2"/>
      </rPr>
      <t>•</t>
    </r>
    <r>
      <rPr>
        <sz val="11"/>
        <color theme="1"/>
        <rFont val="Calibri"/>
        <family val="2"/>
        <scheme val="minor"/>
      </rPr>
      <t xml:space="preserve">      Emergency room services and all inpatient hospital services include both physician and facility components. </t>
    </r>
  </si>
  <si>
    <t>Grandfathered Plan Option</t>
  </si>
  <si>
    <t>Carve-outs for Self Insured Employer Sponsored Plans</t>
  </si>
  <si>
    <t xml:space="preserve">To indicate a service carve-out, select the "Service Not Covered" option. Doing so removes the benefit from the spending distributions, but does not alter the denominator of the MV calculation in any way.  </t>
  </si>
  <si>
    <t xml:space="preserve">HSA employer contributions and HRA amounts first made available for the benefit year will be added to the numerator as a benefit to first-dollar spending.  This amount leaves both the deductible and the maximum out of pocket (MOOP) unchanged. For example, if before HSA/HRA considerations a plan had a $500 deductible and a $1500 MOOP, and there was an annual employer's HSA contribution of $200, then the first $200 of spending would be covered, the deductible would be $500 (applying in the $200-$500 range), and the MOOP would remain unchanged at $1500. Please refer to regulation for types of HRAs that count towards the calculation of minimum value. </t>
  </si>
  <si>
    <t>The Minimum Value Calculator (MV Calculator) is designed to give an estimate of network liability for a given plan design.  This build of the MV Calculator uses data from a large national commercial database to build continuance tables for Employer-Sponsored Health Plans.</t>
  </si>
  <si>
    <t>The MV Calculator uses 2009 data, where enrollees are either continuously enrolled for 12 months, exit the dataset due to death (as identified by inpatient discharge), or enter the dataset due to birth. Only enrollees with identifiable plan structures are included; the dataset is limited to PPO employer-sponsored health plans. Plans with incomplete drug or medical claims are excluded (defined as drug cost comprising under 7.5% of total claims cost, or over 50% of total claims cost). This data is then projected forward to 2014 values at a growth rate of 6.5% per year.</t>
  </si>
  <si>
    <t>The MV Calculator allows users to specify several plan design features.  Please note that any data entered into greyed out boxes will not be counted towards the final calculation.</t>
  </si>
  <si>
    <t>Subject to Coinsurance and Copay, if Different</t>
  </si>
  <si>
    <t>If special cost-sharing provisions are indicated for Primary Care and/or Specialist Office Visits, certain office visits will be split into their component parts only if those office visits include services that do not have special cost-sharing provisions (not having special cost-sharing provisions is defined as being Subject to Deductible, Subject to Coinsurance, with no special coinsurance rate and no copay).  This is applicable to X-rays, and the component parts are Primary Care Office Visit, Specialist Office Visit, and Other. For example, if Primary Care office visits are not subject to the deductible and have a $20 copay, but X-rays are subject to the deductible and general coinsurance, a Primary Care office visit that includes an X-ray will be split into two services, a Primary Care office visit and an X-ray.</t>
  </si>
  <si>
    <t>If special cost-sharing provisions are indicated for Outpatient - Facility and/or Outpatient - Professional claims, certain services including both an Outpatient-Facility and Outpatient-Professional component will be split into their component parts if the cost-share provisions for the Outpatient-Facility and Outpatient-Professional portions of the service are different. The services subject to this potential splitting into component parts are Mental/Behavioral Health and Substance Abuse Disorder Outpatient Services, Imaging, Rehabilitative Speech Therapy, Occupational Therapy and Physical Therapy, and Laboratory Outpatient and Professional Services, and the component parts are Outpatient - Facility, Outpatient - Professional, and Other.</t>
  </si>
  <si>
    <t xml:space="preserve">Once all parameters are entered, pressing the calculate button will begin the calculation. </t>
  </si>
  <si>
    <t>A: To prevent misinterpretation of results where one intends a typical drug benefit as specified above, a separate copay and deductible for prescription fields is not directly supported.  However, a design with a copay applying during the deductible range in conjunction with coinsurance in the coinsurance range is possible by following the typical benefit drug instructions, with the exception of selecting "Subject to Coinsurance" for the drugs with copays.</t>
  </si>
  <si>
    <r>
      <t xml:space="preserve">Q: </t>
    </r>
    <r>
      <rPr>
        <i/>
        <sz val="11"/>
        <color theme="1"/>
        <rFont val="Calibri"/>
        <family val="2"/>
        <scheme val="minor"/>
      </rPr>
      <t>How do I enter a typical drug benefit design, e.g. copays for the first three tiers and coinsurance for the specialty drug? (</t>
    </r>
    <r>
      <rPr>
        <sz val="11"/>
        <color theme="1"/>
        <rFont val="Calibri"/>
        <family val="2"/>
        <scheme val="minor"/>
      </rPr>
      <t>e.g.</t>
    </r>
    <r>
      <rPr>
        <i/>
        <sz val="11"/>
        <color theme="1"/>
        <rFont val="Calibri"/>
        <family val="2"/>
        <scheme val="minor"/>
      </rPr>
      <t xml:space="preserve"> $10/$20/$50/75%)</t>
    </r>
  </si>
  <si>
    <t>Select this option to indicate a grandfathered plan. Doing so removes restrictions on the OOP maximum and cost sharing for preventive care. The MV calculation will then proceed as normal.</t>
  </si>
  <si>
    <t>Select this option to designate separate out-of-pocket (OOP) maximums for medical and drug spending.  This option is only available if you do not select an integrated medical and drug deductible. Medical and drug benefits will be calculated separately and blended at the very end of the MV calculation.</t>
  </si>
  <si>
    <t xml:space="preserve">Select the deductible, general coinsurance rate (for services that will not be “carved out”), and MOOP limit.  Note that the MOOP should be greater than or equal to the deductible amount, but no greater than $6500, because higher amounts are likely to exceed the federal limit in 2014. Include separate OOP maximums for drug expenses and medical expenses if the OOP maximum separate option was selected. Fill in these values for Tier 1 only, unless the plan is a blended network plan. In that case, fill out specifications for Tier 1 and Tier 2. Filling out Tier 1 and Tier 2 will blend the minimum values of both plans specified. Both plan minimum values will be calculated separately and blended at the proportions specified by the user. </t>
  </si>
  <si>
    <r>
      <t xml:space="preserve">Q: </t>
    </r>
    <r>
      <rPr>
        <i/>
        <sz val="11"/>
        <color theme="1"/>
        <rFont val="Calibri"/>
        <family val="2"/>
        <scheme val="minor"/>
      </rPr>
      <t>In the MV calculation, does the out-of-pocket maximum include the deductible?</t>
    </r>
  </si>
  <si>
    <t xml:space="preserve">A: Yes, the deductible is included in the MOOP for all plan designs. Therefore, for plan designs with integrated medical and drug deductibles and MOOPs, the MOOP must be greater than or equal to the deductible. For plan designs with separate medical and drug deductibles and integrated MOOPs, the MOOP must be greater than or equal to the sum of the medical and drug deductibles. For plans with separate medical and drug deductibles and MOOPs, the medical MOOP must be greater than or equal to the medical deductible and the drug MOOP must be greater than or equal to the drug deductible. </t>
  </si>
  <si>
    <t>Select this option if the plan for which you are estimating MV has an integrated deductible for medical and drug spending.</t>
  </si>
  <si>
    <t>To calculate the MV of a plan with “narrow” network utilization or point of service cost-sharing structure, enable the blended network option.  This requires you to fill out two cost share designs for the general benefit portion (deductible, co-insurance and MOOP) and for service-level cost-sharing.  The user must input what proportion of claims cost is anticipated to be utilized in each tier. These proportions should add up to 100%.</t>
  </si>
  <si>
    <r>
      <t xml:space="preserve">Q: </t>
    </r>
    <r>
      <rPr>
        <i/>
        <sz val="11"/>
        <color theme="1"/>
        <rFont val="Calibri"/>
        <family val="2"/>
        <scheme val="minor"/>
      </rPr>
      <t>Changing copay and MOOP structure does not seem to affect MV by more than 0.1.</t>
    </r>
  </si>
  <si>
    <t>Changing copays for inpatient hospital services typically does not have a large effect on calculated minimum value.  There is relatively little use of these services below the MOOP in the underlying utilization data, so plan-covered spending is not greatly affected by changes in the amount of beneficiary cost-sharing.</t>
  </si>
  <si>
    <t>Add-In Subsidization</t>
  </si>
  <si>
    <t>Member pays less</t>
  </si>
  <si>
    <t>Member pays more</t>
  </si>
  <si>
    <t>Add-In Selection</t>
  </si>
  <si>
    <t>Baseline Costs</t>
  </si>
  <si>
    <t>Add-In Economics</t>
  </si>
  <si>
    <t>Util/1000</t>
  </si>
  <si>
    <t>Avg Allowed</t>
  </si>
  <si>
    <t>PMPM</t>
  </si>
  <si>
    <t>Copay +</t>
  </si>
  <si>
    <t>Paycheck</t>
  </si>
  <si>
    <t>Copay</t>
  </si>
  <si>
    <t>Unit</t>
  </si>
  <si>
    <t>Min Amount</t>
  </si>
  <si>
    <t>Max Amount</t>
  </si>
  <si>
    <t>Frequency</t>
  </si>
  <si>
    <t>Biweekly</t>
  </si>
  <si>
    <t>Min Deductions</t>
  </si>
  <si>
    <t>Max Deductions</t>
  </si>
  <si>
    <t>Assumptions:</t>
  </si>
  <si>
    <t>Base model allowed PMPM</t>
  </si>
  <si>
    <t>Current Employer Plan</t>
  </si>
  <si>
    <t>Number of members</t>
  </si>
  <si>
    <t>Approximate ER allowed cost PMPM</t>
  </si>
  <si>
    <t>Current plan AV</t>
  </si>
  <si>
    <t>Employer Contribution %</t>
  </si>
  <si>
    <t>Bind New Plan</t>
  </si>
  <si>
    <t>Retail Rx Copays - Mail 2X Retail</t>
  </si>
  <si>
    <t>IP Admit</t>
  </si>
  <si>
    <t>Urgent Care</t>
  </si>
  <si>
    <t>PCP OV</t>
  </si>
  <si>
    <t>SCP OV</t>
  </si>
  <si>
    <t>Preventive</t>
  </si>
  <si>
    <t>Generic</t>
  </si>
  <si>
    <t>Brand Formulary</t>
  </si>
  <si>
    <t>Brand Non-Formulary</t>
  </si>
  <si>
    <t>Specialty</t>
  </si>
  <si>
    <t>Core Cost-sharing - Targeted</t>
  </si>
  <si>
    <t>Core Cost-sharing - Override</t>
  </si>
  <si>
    <t>Chronic Cost-sharing - Targeted</t>
  </si>
  <si>
    <t>Chronic Cost-sharing -Override</t>
  </si>
  <si>
    <t>Core EE% of Total</t>
  </si>
  <si>
    <t>Shoppable EE% of Total</t>
  </si>
  <si>
    <t>Discretionary Add-Ins EE% of Total</t>
  </si>
  <si>
    <t>Modeling Assumptions</t>
  </si>
  <si>
    <t>Low</t>
  </si>
  <si>
    <t>Medium</t>
  </si>
  <si>
    <t>High</t>
  </si>
  <si>
    <t>Shoppable Services %-iles</t>
  </si>
  <si>
    <t>&lt;= 25th</t>
  </si>
  <si>
    <t>25th-75th</t>
  </si>
  <si>
    <t>&gt;= 75th</t>
  </si>
  <si>
    <t>Shoppable Cost-Share</t>
  </si>
  <si>
    <t>Shoppable Shift</t>
  </si>
  <si>
    <t>Utilization adjustments (Based on CMS ACA AV Calculator Scale)</t>
  </si>
  <si>
    <t>Cost-share %</t>
  </si>
  <si>
    <t>Utilization %</t>
  </si>
  <si>
    <t>Difference</t>
  </si>
  <si>
    <t>Current plan</t>
  </si>
  <si>
    <t>Core</t>
  </si>
  <si>
    <t>Shoppable (Recategorized in Core)</t>
  </si>
  <si>
    <t>Discretionary (i.e., Planned Services, Add-In)</t>
  </si>
  <si>
    <t>Discretionary Multiplier (Active vs. Passive)</t>
  </si>
  <si>
    <t>Output Summary</t>
  </si>
  <si>
    <t>Current Plan PMPM</t>
  </si>
  <si>
    <t>Total Allowed</t>
  </si>
  <si>
    <t>EE Cost-Share</t>
  </si>
  <si>
    <t>Plan Paid</t>
  </si>
  <si>
    <t>ER Contribution</t>
  </si>
  <si>
    <t>EE Contribution</t>
  </si>
  <si>
    <t>EE Contribution + Cost Share</t>
  </si>
  <si>
    <t>Total PMPM Current</t>
  </si>
  <si>
    <t>Total Cost Current</t>
  </si>
  <si>
    <t>Current Plan Average Cost-Share:</t>
  </si>
  <si>
    <t>New Plan PMPM</t>
  </si>
  <si>
    <t>Total PMPM New</t>
  </si>
  <si>
    <t>Total Cost New</t>
  </si>
  <si>
    <t>$ Change</t>
  </si>
  <si>
    <t>% Change</t>
  </si>
  <si>
    <t>New Plan Average Cost Share:</t>
  </si>
  <si>
    <t>Chronic Upgrades EE% of Total</t>
  </si>
  <si>
    <t>Chronic (Upgrade)</t>
  </si>
  <si>
    <t>Fixed Relativities Base:</t>
  </si>
  <si>
    <t>Copays are adjusted automatically to hit targeted cost-share or cost savings - DO NOT Enter Values in Gray cells</t>
  </si>
  <si>
    <t>Core Cost-sharing</t>
  </si>
  <si>
    <t>Chronic Cost-sharing</t>
  </si>
  <si>
    <t>All Chronic based on PPP</t>
  </si>
  <si>
    <t>Current Plan Average Cost Share:</t>
  </si>
  <si>
    <t>Target Savings/AV</t>
  </si>
  <si>
    <t>Base copay</t>
  </si>
  <si>
    <t>Winners/Losers Allowed Cost and Utilization Data PMPM</t>
  </si>
  <si>
    <t>New Plan Calculations</t>
  </si>
  <si>
    <t>Chart Data</t>
  </si>
  <si>
    <t>New Chart Data - Overall Spend</t>
  </si>
  <si>
    <t>New Chart Data - Spend Differential</t>
  </si>
  <si>
    <t>New Chart Data - Employee Spend Differential</t>
  </si>
  <si>
    <t>New Chart Data - Employee Spend</t>
  </si>
  <si>
    <t>Copay Look-up:</t>
  </si>
  <si>
    <t>Current Plan Calculations</t>
  </si>
  <si>
    <t>Note:  Utilization is PMPM vs. /1000</t>
  </si>
  <si>
    <t>Allowed PMPM</t>
  </si>
  <si>
    <t>PPP Utilization PMPM</t>
  </si>
  <si>
    <t>PPP Copays PMPM</t>
  </si>
  <si>
    <t>Total</t>
  </si>
  <si>
    <t>Chronic Utilization PMPM</t>
  </si>
  <si>
    <t>Chronic Copays PMPM</t>
  </si>
  <si>
    <t>Adjusted Allowed PMPM</t>
  </si>
  <si>
    <t>Cost-Sharing PMPM</t>
  </si>
  <si>
    <t>Plan Paid PMPM</t>
  </si>
  <si>
    <t>Employee Contribution PMPM</t>
  </si>
  <si>
    <t>Employee Contribution + Cost-sharing PMPM</t>
  </si>
  <si>
    <t>Total Employee Cost</t>
  </si>
  <si>
    <t>percentile</t>
  </si>
  <si>
    <t>mbr_count</t>
  </si>
  <si>
    <t>Adjusted MMOS</t>
  </si>
  <si>
    <t>discretionary</t>
  </si>
  <si>
    <t>ppp</t>
  </si>
  <si>
    <t>chronic</t>
  </si>
  <si>
    <t>shoppable</t>
  </si>
  <si>
    <t>total</t>
  </si>
  <si>
    <t>ppp_er</t>
  </si>
  <si>
    <t>ppp_op</t>
  </si>
  <si>
    <t>ppp_admit</t>
  </si>
  <si>
    <t>ppp_scripts</t>
  </si>
  <si>
    <t>ppp_pcp</t>
  </si>
  <si>
    <t>ppp_spc</t>
  </si>
  <si>
    <t>chronic_er</t>
  </si>
  <si>
    <t>chronic_op</t>
  </si>
  <si>
    <t>chronic_admit</t>
  </si>
  <si>
    <t>chronic_scripts</t>
  </si>
  <si>
    <t>chronic_pcp</t>
  </si>
  <si>
    <t>chronic_spc</t>
  </si>
  <si>
    <t>Current</t>
  </si>
  <si>
    <t>New</t>
  </si>
  <si>
    <t>Winners-Losers</t>
  </si>
  <si>
    <t>Total MMOS</t>
  </si>
  <si>
    <t>MMOS/Member</t>
  </si>
  <si>
    <t>Current Plan (Total Spend on 1,000 lives)</t>
  </si>
  <si>
    <t>New DIPCO Plan (Total Spend on 1,000 lives)</t>
  </si>
  <si>
    <t>Category</t>
  </si>
  <si>
    <t>Utilization (Per 1,000)</t>
  </si>
  <si>
    <t>Average Price</t>
  </si>
  <si>
    <t>Average Rx</t>
  </si>
  <si>
    <t>Total Spend (Per 1,000)</t>
  </si>
  <si>
    <t>Total Spend</t>
  </si>
  <si>
    <t>Discretionary</t>
  </si>
  <si>
    <t>N/A</t>
  </si>
  <si>
    <t>Shoppable</t>
  </si>
  <si>
    <t>Chronic</t>
  </si>
  <si>
    <t>PPP</t>
  </si>
  <si>
    <t>Current Plan (PMPM)</t>
  </si>
  <si>
    <t>New DIPCO Plan (PMPM)</t>
  </si>
  <si>
    <t>Utilization (PMPM)</t>
  </si>
  <si>
    <t>Total Spend (PMPM)</t>
  </si>
  <si>
    <t>Change Factor</t>
  </si>
  <si>
    <t>Current Plan</t>
  </si>
  <si>
    <t>New Plan</t>
  </si>
  <si>
    <t>Summary of Chronic Episodes</t>
  </si>
  <si>
    <t>Utilization per 1000</t>
  </si>
  <si>
    <t>Cost per Service</t>
  </si>
  <si>
    <t>PMPM Cost</t>
  </si>
  <si>
    <t>PMPM Cost Rankings</t>
  </si>
  <si>
    <t>OP</t>
  </si>
  <si>
    <t>PCP</t>
  </si>
  <si>
    <t>SCP</t>
  </si>
  <si>
    <t>Rx</t>
  </si>
  <si>
    <t>Overall</t>
  </si>
  <si>
    <t>Worksheet Reference</t>
  </si>
  <si>
    <t>Cost Model -Asthma</t>
  </si>
  <si>
    <t>•       Asthma</t>
  </si>
  <si>
    <t>Cost Model  -Biploar Mood</t>
  </si>
  <si>
    <t>•       Bipolar mood disease</t>
  </si>
  <si>
    <t>•       Brochiectasis - Not ETG</t>
  </si>
  <si>
    <t>Cost Model -Cardiac failure</t>
  </si>
  <si>
    <t>•       Cardiac failure</t>
  </si>
  <si>
    <t>Cost Model -Cardiomyopathy</t>
  </si>
  <si>
    <t>•       Cardiomyopathy</t>
  </si>
  <si>
    <t>Cost Model-COPD</t>
  </si>
  <si>
    <t>•       Chronic obstructive pulmonary disease</t>
  </si>
  <si>
    <t>Cost Model -CKD</t>
  </si>
  <si>
    <t>•       Chronic kidney disease</t>
  </si>
  <si>
    <t>•       Coronary artery disease - Not ETG</t>
  </si>
  <si>
    <t>•       Crohn's disease - Not ETG</t>
  </si>
  <si>
    <t>Cost Model -Diabetes insipidus</t>
  </si>
  <si>
    <t>•       Diabetes insipidus</t>
  </si>
  <si>
    <t>Cost Model - Diabetes1</t>
  </si>
  <si>
    <t xml:space="preserve">•       Diabetes mellitus type 1 </t>
  </si>
  <si>
    <t>•       Diabetes mellitus type 2 - Not ETG</t>
  </si>
  <si>
    <t>•      Arrythmia (irregular heartbeat) - Not ETG</t>
  </si>
  <si>
    <t>Cost Model -Epilepsy</t>
  </si>
  <si>
    <t>•       Epilepsy</t>
  </si>
  <si>
    <t>Cost Model - Glaucoma</t>
  </si>
  <si>
    <t>•       Glaucoma</t>
  </si>
  <si>
    <t>Cost Model - Haemophilia</t>
  </si>
  <si>
    <t>•       Haemophilia</t>
  </si>
  <si>
    <t>Cost Model -HIV</t>
  </si>
  <si>
    <t>•       HIV</t>
  </si>
  <si>
    <t>Cost Model -Hyperlipidaemia HC</t>
  </si>
  <si>
    <t>•       Hyperlipidaemia (high cholesterol)</t>
  </si>
  <si>
    <t>Cost Model -Hypertension-HBP</t>
  </si>
  <si>
    <t>•       Hypertension (high blood pressure)</t>
  </si>
  <si>
    <t>Cost Model - Hypothyroidism</t>
  </si>
  <si>
    <t>•       Hypothyroidism (inactive thyroid gland)</t>
  </si>
  <si>
    <t>Cost Model -Multiple sclerosis</t>
  </si>
  <si>
    <t>•       Multiple sclerosis</t>
  </si>
  <si>
    <t>Cost Model -Parkinson''s disease</t>
  </si>
  <si>
    <t>•       Parkinson's disease</t>
  </si>
  <si>
    <t>Cost Model - Rheumatoid arthir</t>
  </si>
  <si>
    <t>•       Rheumatoid arthritis</t>
  </si>
  <si>
    <t>Cost Model Schizophrenia</t>
  </si>
  <si>
    <t>•       Schizophrenia</t>
  </si>
  <si>
    <t>Cost Model -Lupus</t>
  </si>
  <si>
    <t>•       Systemic lupus erythematosis</t>
  </si>
  <si>
    <t>•       Ulcerative colitis</t>
  </si>
  <si>
    <t>Cost Model -Clinical depression</t>
  </si>
  <si>
    <t>•       Clinical Depression</t>
  </si>
  <si>
    <t>Adjusted for ER cost and utilization change</t>
  </si>
  <si>
    <t>Chronic Type</t>
  </si>
  <si>
    <t>Actuarial Cost Model for Non Discretionary Services forCondition Type -- PPP</t>
  </si>
  <si>
    <t>Original</t>
  </si>
  <si>
    <t>Adjusted</t>
  </si>
  <si>
    <t>Svc</t>
  </si>
  <si>
    <t>Major Service</t>
  </si>
  <si>
    <t>Util</t>
  </si>
  <si>
    <t xml:space="preserve">Util </t>
  </si>
  <si>
    <t>Cost</t>
  </si>
  <si>
    <t>Allowed</t>
  </si>
  <si>
    <t>Cost-share</t>
  </si>
  <si>
    <t>Paid</t>
  </si>
  <si>
    <t>Type</t>
  </si>
  <si>
    <t>Subcategory</t>
  </si>
  <si>
    <t>per 1000</t>
  </si>
  <si>
    <t>per Svc</t>
  </si>
  <si>
    <t>Mental Health</t>
  </si>
  <si>
    <t>Admits</t>
  </si>
  <si>
    <t>ALL</t>
  </si>
  <si>
    <t>Deliveries</t>
  </si>
  <si>
    <t>Visits</t>
  </si>
  <si>
    <t>Other</t>
  </si>
  <si>
    <t>Visits/Proc</t>
  </si>
  <si>
    <t>Surgical</t>
  </si>
  <si>
    <t>OV</t>
  </si>
  <si>
    <t>Norm NB</t>
  </si>
  <si>
    <t>Substance Abuse</t>
  </si>
  <si>
    <t>Complex Newborn</t>
  </si>
  <si>
    <t>Ungroupable</t>
  </si>
  <si>
    <t>Transplants</t>
  </si>
  <si>
    <t>Subtotal - IP</t>
  </si>
  <si>
    <t>Emergency Medicine</t>
  </si>
  <si>
    <t>Family/General Practice</t>
  </si>
  <si>
    <t>Unspec/Misc</t>
  </si>
  <si>
    <t>Speech/Hearing</t>
  </si>
  <si>
    <t>Other MH/SA</t>
  </si>
  <si>
    <t>Radiology</t>
  </si>
  <si>
    <t>Procs</t>
  </si>
  <si>
    <t>Internal Medicine</t>
  </si>
  <si>
    <t>Orthopedic Surgery</t>
  </si>
  <si>
    <t>Physical Medicine/Rehab</t>
  </si>
  <si>
    <t>Pharmacy</t>
  </si>
  <si>
    <t>Nurse/Midwife/PA</t>
  </si>
  <si>
    <t>Optometry</t>
  </si>
  <si>
    <t>General Surgery</t>
  </si>
  <si>
    <t>Hematology/Oncology</t>
  </si>
  <si>
    <t>Anesthesiology</t>
  </si>
  <si>
    <t>Cardiovascular Disease</t>
  </si>
  <si>
    <t>Physical/Occ Therapy</t>
  </si>
  <si>
    <t>Home Health Care</t>
  </si>
  <si>
    <t>Dermatology</t>
  </si>
  <si>
    <t>Dental</t>
  </si>
  <si>
    <t>Psychiatric</t>
  </si>
  <si>
    <t>Rheumatology</t>
  </si>
  <si>
    <t>Gastroenterology</t>
  </si>
  <si>
    <t>Card/Thor/Vasc Surgery</t>
  </si>
  <si>
    <t>Obstetrics and Gynecology</t>
  </si>
  <si>
    <t>Nephrology</t>
  </si>
  <si>
    <t>Dietary/Nutrition</t>
  </si>
  <si>
    <t>Pediatrics</t>
  </si>
  <si>
    <t>Pathology</t>
  </si>
  <si>
    <t>Urology</t>
  </si>
  <si>
    <t>Ophthalmology</t>
  </si>
  <si>
    <t>Neonatology</t>
  </si>
  <si>
    <t>Neurology</t>
  </si>
  <si>
    <t>Podiatry</t>
  </si>
  <si>
    <t>Hospital Outpatient Surgery Facility / ASC</t>
  </si>
  <si>
    <t>Diagnostic Radiology</t>
  </si>
  <si>
    <t>Therapeutic Radiology</t>
  </si>
  <si>
    <t>Dialysis Facility</t>
  </si>
  <si>
    <t>Hospital Outpatient Other</t>
  </si>
  <si>
    <t>Observation Unit/Bed</t>
  </si>
  <si>
    <t>Cardiac Cath Lab</t>
  </si>
  <si>
    <t>Outpatient Rehab Facility</t>
  </si>
  <si>
    <t>MRIs</t>
  </si>
  <si>
    <t>CT Scan</t>
  </si>
  <si>
    <t>Other Cardiology</t>
  </si>
  <si>
    <t>Subtotal -OP</t>
  </si>
  <si>
    <t>PH</t>
  </si>
  <si>
    <t>Allergy/Immunology</t>
  </si>
  <si>
    <t>Chiropractic</t>
  </si>
  <si>
    <t>Endocrin/Diabetes/Metab</t>
  </si>
  <si>
    <t>Hospital Inpatient</t>
  </si>
  <si>
    <t>Infectious Diseases</t>
  </si>
  <si>
    <t>Neurosurgery</t>
  </si>
  <si>
    <t>Otorhinolaryngology (ENT)</t>
  </si>
  <si>
    <t>Plastic Surgery</t>
  </si>
  <si>
    <t>Pulmonology</t>
  </si>
  <si>
    <t>Subtotal - PH</t>
  </si>
  <si>
    <t>Cost-share PMPM</t>
  </si>
  <si>
    <t>RX</t>
  </si>
  <si>
    <t>rx01_GeneR</t>
  </si>
  <si>
    <t>Scripts</t>
  </si>
  <si>
    <t>rx02_BrndR</t>
  </si>
  <si>
    <t>rx03_nonFR</t>
  </si>
  <si>
    <t>rx04_SpecR</t>
  </si>
  <si>
    <t>rx05_GeneM</t>
  </si>
  <si>
    <t>rx06_BrndM</t>
  </si>
  <si>
    <t>rx07_nonFM</t>
  </si>
  <si>
    <t>rx08_SpecM</t>
  </si>
  <si>
    <t>Subtotal -RX</t>
  </si>
  <si>
    <t>Total - All Services</t>
  </si>
  <si>
    <t>Base Data PMPM</t>
  </si>
  <si>
    <t>Using Overrides</t>
  </si>
  <si>
    <t>Cost-sharing</t>
  </si>
  <si>
    <t>•       Arrythmia (irregular heartbeat) - Not ETG</t>
  </si>
  <si>
    <t>Restrict to Gen 1</t>
  </si>
  <si>
    <t>Restrict to Gen 1 - Adjusted</t>
  </si>
  <si>
    <t>Row Labels</t>
  </si>
  <si>
    <t>Sum of Allowed $</t>
  </si>
  <si>
    <t>Sum of Episode Count [1]</t>
  </si>
  <si>
    <t>Sum of Allowed/Episode</t>
  </si>
  <si>
    <t>PREGNANCY</t>
  </si>
  <si>
    <t>TMJ SURGERY</t>
  </si>
  <si>
    <t>ED VISITS WITHOUT AN INPATIENT STAY</t>
  </si>
  <si>
    <t>CORONARY ANGIOPLASTY WITH OR WITHOUT STENTS</t>
  </si>
  <si>
    <t>SPINAL SURGERY (BACK &amp; NECK)</t>
  </si>
  <si>
    <t>COLONOSCOPY (OTHER THAN COLO RECTAL CANCER SCREEN WHERE EVIDENCE BASED)</t>
  </si>
  <si>
    <t>URINARY INCONTINENCE</t>
  </si>
  <si>
    <t>KNEE ARTHROSCOPY</t>
  </si>
  <si>
    <t>SHOULDER ARTHROSCOPY</t>
  </si>
  <si>
    <t>MRI</t>
  </si>
  <si>
    <t>KNEE REPLACEMENT</t>
  </si>
  <si>
    <t>HYSTERECTOMY (EXCEPT FOR PRE-OPERATIVELY DIAGNOSED CANCER)</t>
  </si>
  <si>
    <t>RADIO FREQUENCY ABLATION</t>
  </si>
  <si>
    <t>CT SCAN</t>
  </si>
  <si>
    <t>SEPTOPLASTY</t>
  </si>
  <si>
    <t>HIP REPLACEMENT</t>
  </si>
  <si>
    <t>FUNCTIONAL NASAL PROCEDURE / SINUS SURGERY</t>
  </si>
  <si>
    <t>COSMETIC HERNIA REPAIRS</t>
  </si>
  <si>
    <t>DECOMPRESSION, HERNIATED DISC, LUMBAR BACK</t>
  </si>
  <si>
    <t>CHIROPRACTIC</t>
  </si>
  <si>
    <t>AGGRESSIVE CANCER PREVENTION</t>
  </si>
  <si>
    <t>UPPER GI ENDOSCOPY</t>
  </si>
  <si>
    <t>CORONARY ARTERY BYPASS SURGERY</t>
  </si>
  <si>
    <t>WEIGHT LOSS SURGERY</t>
  </si>
  <si>
    <t>WARTS</t>
  </si>
  <si>
    <t>BUNIONECTOMY</t>
  </si>
  <si>
    <t>HYSTEROSCOPY</t>
  </si>
  <si>
    <t>TONSILLECTOMY</t>
  </si>
  <si>
    <t>CARPAL TUNNEL</t>
  </si>
  <si>
    <t>TYMPANOSTOMY</t>
  </si>
  <si>
    <t>SLEEP STUDIES</t>
  </si>
  <si>
    <t>STERILIZATION</t>
  </si>
  <si>
    <t>VARICOSE VEIN STRIPPING</t>
  </si>
  <si>
    <t>LAPAROSCOPY</t>
  </si>
  <si>
    <t>CAROTID ENDARTERECTOMY</t>
  </si>
  <si>
    <t>HIP ARTHROSCOPY</t>
  </si>
  <si>
    <t>SPINAL INJECTIONS FOR PAIN</t>
  </si>
  <si>
    <t>ACUPUNCTURE</t>
  </si>
  <si>
    <t>NISSAN FUNDOPLICATION (REFLUX SURGERY)</t>
  </si>
  <si>
    <t>BREAST REDUCTION</t>
  </si>
  <si>
    <t>INFERTILITY TREATMENT</t>
  </si>
  <si>
    <t>SHOULDER SURGERY</t>
  </si>
  <si>
    <t>FOOT PAIN</t>
  </si>
  <si>
    <t>KNEE RESURFACING</t>
  </si>
  <si>
    <t>ADENOIDECTOMY</t>
  </si>
  <si>
    <t>KNEE VISCOSUPPLEMENTATION</t>
  </si>
  <si>
    <t>HIP RESURFACING</t>
  </si>
  <si>
    <t>HAMMERTOE SURGERY</t>
  </si>
  <si>
    <t>PET SCAN</t>
  </si>
  <si>
    <t>ANKLE SURGERY</t>
  </si>
  <si>
    <t>CONSERVATIVE BACK AND NECK TREATMENT</t>
  </si>
  <si>
    <t>MORTON'S NEUROMA</t>
  </si>
  <si>
    <t>CYSTOSCOPY</t>
  </si>
  <si>
    <t>ENDOMETRIAL ABLATION</t>
  </si>
  <si>
    <t>SURGERY FOR BENIGN PROSTATIC HYPERPLASIA</t>
  </si>
  <si>
    <t>PLANTAR FASCIITIS</t>
  </si>
  <si>
    <t>SIGMOIDOSCOPY</t>
  </si>
  <si>
    <t>GANGLION SURGERY</t>
  </si>
  <si>
    <t>MYRINGOTOMY (GROMMETS)</t>
  </si>
  <si>
    <t>GASTROSCOPY</t>
  </si>
  <si>
    <t>BARIATRIC SURGERY</t>
  </si>
  <si>
    <t>PROCTOSCOPY</t>
  </si>
  <si>
    <t>Grand Total</t>
  </si>
  <si>
    <t>Summary of Discretionary Episodes/Procedures</t>
  </si>
  <si>
    <t>MC Modeling of Cost Split</t>
  </si>
  <si>
    <t>Episode/CPTs</t>
  </si>
  <si>
    <t>Allowed $</t>
  </si>
  <si>
    <t>ETG/PEG/CPT/REV/ICD9 PX</t>
  </si>
  <si>
    <t>Episode Count [1]</t>
  </si>
  <si>
    <t>Allowed/Episode</t>
  </si>
  <si>
    <t>Adjusted to ER Allowed</t>
  </si>
  <si>
    <t>Adjusted for Utilization</t>
  </si>
  <si>
    <t>Employee Upgrade Price</t>
  </si>
  <si>
    <t>Employer</t>
  </si>
  <si>
    <t>Employee HRA</t>
  </si>
  <si>
    <t>Employee Payroll Deduction</t>
  </si>
  <si>
    <t>Empoyee Copay</t>
  </si>
  <si>
    <t>CPT</t>
  </si>
  <si>
    <t>PEG</t>
  </si>
  <si>
    <t>CPT/ICD9 PX</t>
  </si>
  <si>
    <t>REV</t>
  </si>
  <si>
    <t>CPT/ICD 9PX</t>
  </si>
  <si>
    <t>ETG</t>
  </si>
  <si>
    <t>% Total</t>
  </si>
  <si>
    <t>Non Discretionary</t>
  </si>
  <si>
    <t>8 PT visits</t>
  </si>
  <si>
    <t>Pain Management Program</t>
  </si>
  <si>
    <t>Back Surgery</t>
  </si>
  <si>
    <t>Episode/CPTs of Potential Upgrades</t>
  </si>
  <si>
    <t>Under 1000</t>
  </si>
  <si>
    <t>Exclude</t>
  </si>
  <si>
    <t>i</t>
  </si>
  <si>
    <t>x</t>
  </si>
  <si>
    <t>Summary of Shoppable Episodes/Procedures</t>
  </si>
  <si>
    <t>Copays:</t>
  </si>
  <si>
    <t>Number of Episodes - Base</t>
  </si>
  <si>
    <t>Average Allowed Per Episode - Base</t>
  </si>
  <si>
    <t>Number of Episodes - Shifted</t>
  </si>
  <si>
    <t>Episode/CPTs [2]</t>
  </si>
  <si>
    <t>CPT/DRG</t>
  </si>
  <si>
    <t>Listed MS DRG v32</t>
  </si>
  <si>
    <t>Total Epsiodes</t>
  </si>
  <si>
    <t>Average Allowed/Episode</t>
  </si>
  <si>
    <t>Total Allowed Shifted</t>
  </si>
  <si>
    <t>Shifted PMPM</t>
  </si>
  <si>
    <t>Shifted Adjusted to ER Allowed</t>
  </si>
  <si>
    <t>Shifted Copays</t>
  </si>
  <si>
    <t>Shifted Copays PMPM</t>
  </si>
  <si>
    <t>Shifted Paid PMPM</t>
  </si>
  <si>
    <t>Bone Marrow Transplant</t>
  </si>
  <si>
    <t>ICD9</t>
  </si>
  <si>
    <t>Cardiac Valve Procedure without Cath w/CC</t>
  </si>
  <si>
    <t>DRG</t>
  </si>
  <si>
    <t>220</t>
  </si>
  <si>
    <t>Cardiac Valve Procedure without Cath w/MCC</t>
  </si>
  <si>
    <t>219</t>
  </si>
  <si>
    <t>Cardiac Valve Procedure without Cath wo/ CC or MCC</t>
  </si>
  <si>
    <t>221</t>
  </si>
  <si>
    <t>Cardiac defibrillator implant w/o cardiac cath w/o MCC</t>
  </si>
  <si>
    <t>227</t>
  </si>
  <si>
    <t>Cardiac valve &amp; oth maj cardiothoracic proc w card cath w CC</t>
  </si>
  <si>
    <t>217</t>
  </si>
  <si>
    <t>Cardiac valve &amp; oth maj cardiothoracic proc w card cath w MCC</t>
  </si>
  <si>
    <t>216</t>
  </si>
  <si>
    <t>Chemotherapy w/o acute leukemia as secondary diagnosis w CC</t>
  </si>
  <si>
    <t>847</t>
  </si>
  <si>
    <t>Cranio w major dev impl/acute complex CNS PDX w MCC or chemo implant</t>
  </si>
  <si>
    <t>023</t>
  </si>
  <si>
    <t>Craniotomy &amp; endovascular intracranial procedures w CC</t>
  </si>
  <si>
    <t>026</t>
  </si>
  <si>
    <t>Craniotomy &amp; endovascular intracranial procedures w MCC</t>
  </si>
  <si>
    <t>025</t>
  </si>
  <si>
    <t>Craniotomy &amp; endovascular intracranial procedures w/o CC/MCC</t>
  </si>
  <si>
    <t>027, '024</t>
  </si>
  <si>
    <t>Extracranial procedures w/o CC/MCC</t>
  </si>
  <si>
    <t>039</t>
  </si>
  <si>
    <t>Major male pelvic procedures w/o CC/MCC</t>
  </si>
  <si>
    <t>708</t>
  </si>
  <si>
    <t>Pancreas, liver &amp; shunt procedures w CC</t>
  </si>
  <si>
    <t>406</t>
  </si>
  <si>
    <t>Pancreas, liver &amp; shunt procedures w MCC</t>
  </si>
  <si>
    <t>405</t>
  </si>
  <si>
    <t>[1] Episode count represents distinct claims for procedures and admits for DRGs</t>
  </si>
  <si>
    <t>Utilization Adjusted</t>
  </si>
  <si>
    <t>[2] Cardiac valve &amp; oth maj cardiothoracic proc w/o card cath w MCC included with Cardiac Valve Procedure without Cath w/MCC</t>
  </si>
  <si>
    <t>All</t>
  </si>
  <si>
    <t>Actuarial Cost Model for Non Discretionary Services forCondition Type -- Asthma</t>
  </si>
  <si>
    <t>Asthma</t>
  </si>
  <si>
    <t>Bipolar mood disease</t>
  </si>
  <si>
    <t>Actuarial Cost Model for Non Discretionary Services forCondition Type -- Bipolar mood disease</t>
  </si>
  <si>
    <t>Cardiac failure</t>
  </si>
  <si>
    <t>Actuarial Cost Model for Non Discretionary Services forCondition Type -- Cardiac failure</t>
  </si>
  <si>
    <t>Cardiomyopathy</t>
  </si>
  <si>
    <t>Actuarial Cost Model for Non Discretionary Services forCondition Type -- Cardiomyopathy</t>
  </si>
  <si>
    <t>Chronic obstructive pulmonary disease</t>
  </si>
  <si>
    <t>Actuarial Cost Model for Non Discretionary Services forCondition Type -- Chronic obstructive pulmonary disease</t>
  </si>
  <si>
    <t>Chronic kidney disease</t>
  </si>
  <si>
    <t>Actuarial Cost Model for Non Discretionary Services forCondition Type -- Chronic kidney disease</t>
  </si>
  <si>
    <t>Diabetes insipidus</t>
  </si>
  <si>
    <t>Actuarial Cost Model for Non Discretionary Services forCondition Type -- Diabetes insipidus</t>
  </si>
  <si>
    <t>Diabetes mellitus type 1</t>
  </si>
  <si>
    <t>Actuarial Cost Model for Non Discretionary Services forCondition Type -- Diabetes mellitus type 1</t>
  </si>
  <si>
    <t>Epilepsy</t>
  </si>
  <si>
    <t>Actuarial Cost Model for Non Discretionary Services forCondition Type -- Epilepsy</t>
  </si>
  <si>
    <t>Glaucoma</t>
  </si>
  <si>
    <t>Actuarial Cost Model for Non Discretionary Services forCondition Type -- Glaucoma</t>
  </si>
  <si>
    <t>Haemophilia</t>
  </si>
  <si>
    <t>Actuarial Cost Model for Non Discretionary Services forCondition Type -- Haemophilia</t>
  </si>
  <si>
    <t>HIV</t>
  </si>
  <si>
    <t>Actuarial Cost Model for Non Discretionary Services forCondition Type -- HIV</t>
  </si>
  <si>
    <t>Hyperlipidaemia (high cholesterol)</t>
  </si>
  <si>
    <t>Actuarial Cost Model for Non Discretionary Services forCondition Type -- Hyperlipidaemia (high cholesterol)</t>
  </si>
  <si>
    <t>Hypertension (high blood pressure)</t>
  </si>
  <si>
    <t>Actuarial Cost Model for Non Discretionary Services forCondition Type -- Hypertension (high blood pressure)</t>
  </si>
  <si>
    <t>Hypothyroidism (inactive thyroid gland)</t>
  </si>
  <si>
    <t>Actuarial Cost Model for Non Discretionary Services forCondition Type -- Hypothyroidism (inactive thyroid gland)</t>
  </si>
  <si>
    <t>Multiple sclerosis</t>
  </si>
  <si>
    <t>Actuarial Cost Model for Non Discretionary Services forCondition Type -- Multiple sclerosis</t>
  </si>
  <si>
    <t>Parkinson's disease</t>
  </si>
  <si>
    <t>Actuarial Cost Model for Non Discretionary Services forCondition Type -- Parkinson's disease</t>
  </si>
  <si>
    <t>Rheumatoid arthritis</t>
  </si>
  <si>
    <t>Actuarial Cost Model for Non Discretionary Services forCondition Type -- Rheumatoid arthritis</t>
  </si>
  <si>
    <t>Schizophrenia</t>
  </si>
  <si>
    <t>Actuarial Cost Model for Non Discretionary Services forCondition Type -- Schizophrenia</t>
  </si>
  <si>
    <t>Systemic lupus erythematosis</t>
  </si>
  <si>
    <t>Actuarial Cost Model for Non Discretionary Services forCondition Type -- Systemic lupus erythematosis</t>
  </si>
  <si>
    <t>Clinical depression</t>
  </si>
  <si>
    <t>Actuarial Cost Model for Non Discretionary Services forCondition Type -- Clinical depression</t>
  </si>
  <si>
    <t>Allowed Claims</t>
  </si>
  <si>
    <t>Bind</t>
  </si>
  <si>
    <t>Add-Ins</t>
  </si>
  <si>
    <t>Paid Claims</t>
  </si>
  <si>
    <t>Subsidy</t>
  </si>
  <si>
    <t>Complement</t>
  </si>
  <si>
    <t>Breast Reduction</t>
  </si>
  <si>
    <t>Bunionectomy</t>
  </si>
  <si>
    <t>Carotid Endarterectomy</t>
  </si>
  <si>
    <t>Carpal Tunnel Procedure</t>
  </si>
  <si>
    <t>Endometrial Ablation</t>
  </si>
  <si>
    <t>Ganglion Cyst Surgery</t>
  </si>
  <si>
    <t>Hammertoe Surgery</t>
  </si>
  <si>
    <t>Hip Arthroscopy</t>
  </si>
  <si>
    <t>Plantar Fasciitis Surgery</t>
  </si>
  <si>
    <t>Shoulder Surgery</t>
  </si>
  <si>
    <t>Tonsillectomy / Adenoidectomy</t>
  </si>
  <si>
    <t>Median Package Copay</t>
  </si>
  <si>
    <t>Total Payroll, Average</t>
  </si>
  <si>
    <t>Per Pay Period</t>
  </si>
  <si>
    <t>Mapping</t>
  </si>
  <si>
    <t>Allowed Cost</t>
  </si>
  <si>
    <t>Pre-Copay</t>
  </si>
  <si>
    <t>Pre-Payroll Deduction</t>
  </si>
  <si>
    <t>Pre-Period Count</t>
  </si>
  <si>
    <t>Payroll Deduction</t>
  </si>
  <si>
    <t>Period Count</t>
  </si>
  <si>
    <t>Payroll Total</t>
  </si>
  <si>
    <t>Total Member Cost</t>
  </si>
  <si>
    <t>Member Cost Share</t>
  </si>
  <si>
    <t>Weighting</t>
  </si>
  <si>
    <t>DO NOT SHARE EXTERNALLY</t>
  </si>
  <si>
    <t>Cumulative Weighting</t>
  </si>
  <si>
    <t>INTERNAL BIND PURPOSES ONLY</t>
  </si>
  <si>
    <t>% Share of Allowed</t>
  </si>
  <si>
    <t>Bind Actuarial Model v1.4</t>
  </si>
  <si>
    <t>[1] Episode count represents count of distinct episodes if service type is an ETG, or distinct PEGs if service type is a PEG, otherwise it represents distinct claims for procedure</t>
  </si>
  <si>
    <t>Employee Monthly Payroll Deduction for Base Policy</t>
  </si>
  <si>
    <t>Changeable - Hit "Back to Standard" button to replace formula</t>
  </si>
  <si>
    <t>PMPM Premium</t>
  </si>
  <si>
    <t>Cost for PPP Rider Options for Purchase of Planned Services outside of PPP</t>
  </si>
  <si>
    <t>Cost of Chronic Component of PPP Purchase</t>
  </si>
  <si>
    <t>PPP Monthly Premium</t>
  </si>
  <si>
    <t>DIPCO Admin Fee (PMPM)</t>
  </si>
  <si>
    <t>Deduction to cover High Cost Subsidy (Calculated by Update Button)</t>
  </si>
  <si>
    <t>Copay Split</t>
  </si>
  <si>
    <t>Addition to Discretionary based on overall employee cost share (Calculated by Update Button) - Percentage in K8=copay share (remainder to payroll deduction)</t>
  </si>
  <si>
    <t>Chronic Service Upgrade Cost Split to HRA Spending Account</t>
  </si>
  <si>
    <t>Planned Service (Shoppable) Upgrade Cost Split to HRA Spending Account</t>
  </si>
  <si>
    <t>Planned Service (Discretionary) Upgrade Cost Split to HRA Spending Account</t>
  </si>
  <si>
    <t>Total Employee Cap</t>
  </si>
  <si>
    <t>Employee Copay Cap</t>
  </si>
  <si>
    <t>Max Total Out of Pocket for Employee</t>
  </si>
  <si>
    <t>If separating Copay and Premium Caps, leave Total Cap blank</t>
  </si>
  <si>
    <t>Calculate Goal seeks automatically and return PPP and Payrolls back to standard</t>
  </si>
  <si>
    <t>Pre HRA Contribution Calculation</t>
  </si>
  <si>
    <t>HRA Purchasing (Annual)</t>
  </si>
  <si>
    <t>Copays</t>
  </si>
  <si>
    <t>Out of Pocket in Addition to PPP</t>
  </si>
  <si>
    <t>Payroll Deductions</t>
  </si>
  <si>
    <t>Employer Spend</t>
  </si>
  <si>
    <t>Employee Spend</t>
  </si>
  <si>
    <t>Excess HRA Subsidy</t>
  </si>
  <si>
    <t>Admin Fees</t>
  </si>
  <si>
    <t>Discretionary+Chronic Subsidy</t>
  </si>
  <si>
    <t>Pre-PPP HRA Balance</t>
  </si>
  <si>
    <t>PPP - Base</t>
  </si>
  <si>
    <t>Total Paid</t>
  </si>
  <si>
    <t>Remainder in HRA</t>
  </si>
  <si>
    <t>High Cost Subsidy</t>
  </si>
  <si>
    <t>Total wo Max</t>
  </si>
  <si>
    <t>Total w Max</t>
  </si>
  <si>
    <t>HRA Balance</t>
  </si>
  <si>
    <t>Total Contributed</t>
  </si>
  <si>
    <t>Remaining HRA</t>
  </si>
  <si>
    <t>Goal Seek Driver</t>
  </si>
  <si>
    <t>Make zero using Goal Seek along with I7 to determine subsidy (Use Update Button)</t>
  </si>
  <si>
    <t>Make zero using Goal Seek along with I8 to determine subsidy (Use Update Button)</t>
  </si>
  <si>
    <t>Total Employee Spend Capped</t>
  </si>
  <si>
    <t>Total Spend per Employee</t>
  </si>
  <si>
    <t>Total Change in Spend per Employee</t>
  </si>
  <si>
    <t>Cost Percentile</t>
  </si>
  <si>
    <t>Discretionary &amp; Chronic Subsidy</t>
  </si>
  <si>
    <t>Copay + Additional Premium</t>
  </si>
  <si>
    <t>Total OOP</t>
  </si>
  <si>
    <t>Payroll</t>
  </si>
  <si>
    <t>HRA Remainder</t>
  </si>
  <si>
    <t>Total Change</t>
  </si>
  <si>
    <t>Planned Care</t>
  </si>
  <si>
    <t>Current HDHP Plan</t>
  </si>
  <si>
    <t>Bind ODHI Plan</t>
  </si>
  <si>
    <t>Employer HRA</t>
  </si>
  <si>
    <t>Employee Remaining HRA</t>
  </si>
  <si>
    <t>Employee Base Payroll</t>
  </si>
  <si>
    <t>Employee Other Payroll</t>
  </si>
  <si>
    <t>Employee Copay</t>
  </si>
  <si>
    <t>Employer Total</t>
  </si>
  <si>
    <t>Employee Total</t>
  </si>
  <si>
    <t>New Chart Data - Employee Spend (with Payroll Broken Out)</t>
  </si>
  <si>
    <t>New Chart Data - Spend Differential (With Payroll Broken Out)</t>
  </si>
  <si>
    <t>New Chart Data - Employee Total Spend</t>
  </si>
  <si>
    <t>New Chart Data - Total Net Financial Impact to Employees (PMPM)</t>
  </si>
  <si>
    <t>Total Employee Cost (after PPP Purchase)</t>
  </si>
  <si>
    <t>PMPY</t>
  </si>
  <si>
    <t>payroll</t>
  </si>
  <si>
    <t>Premium</t>
  </si>
  <si>
    <t>Coverage Add-In Group</t>
  </si>
  <si>
    <t>Plan Sponsor</t>
  </si>
  <si>
    <t>Paid Claims PEPM</t>
  </si>
  <si>
    <t>Mem/EE Ratio</t>
  </si>
  <si>
    <t>from</t>
  </si>
  <si>
    <t>to</t>
  </si>
  <si>
    <t>Claims Trend</t>
  </si>
  <si>
    <t>Trended Claims PEPM</t>
  </si>
  <si>
    <t>HRA/HSA</t>
  </si>
  <si>
    <t>Coinsurance (Plan Paid)</t>
  </si>
  <si>
    <t>OOP Maximum</t>
  </si>
  <si>
    <t>Primary Care Visit</t>
  </si>
  <si>
    <t>Rx - Generic</t>
  </si>
  <si>
    <t>Rx - Brand Formulary</t>
  </si>
  <si>
    <t>Rx - Brand Non-Formulary</t>
  </si>
  <si>
    <t>Rx - Specialty</t>
  </si>
  <si>
    <t>Input single in-network design only</t>
  </si>
  <si>
    <t>MV Over 60%</t>
  </si>
  <si>
    <t>Bind Core</t>
  </si>
  <si>
    <t>Employee Payroll  Cap</t>
  </si>
  <si>
    <t>Inpatient Hospital</t>
  </si>
  <si>
    <t>Emergency Room</t>
  </si>
  <si>
    <t>Target Savings</t>
  </si>
  <si>
    <t>Baseline Actuarial Value</t>
  </si>
  <si>
    <t>Actuarial Value (HHS)</t>
  </si>
  <si>
    <t>EE</t>
  </si>
  <si>
    <t>Stop Loss PEPM</t>
  </si>
  <si>
    <t>Prem Share %</t>
  </si>
  <si>
    <t>Total incl. EE OOP %</t>
  </si>
  <si>
    <t>Back Surgery, Discectomy/Laminectomy/Decompression</t>
  </si>
  <si>
    <t>Back Surgery, Cervical Spine Fusion</t>
  </si>
  <si>
    <t>Back Surgery, Lumbar Spine Fusion</t>
  </si>
  <si>
    <t>Cardiac Catheterization, Diagnostic</t>
  </si>
  <si>
    <t>CARDIAC CATH</t>
  </si>
  <si>
    <t>Hernia Repairs, Ventral</t>
  </si>
  <si>
    <t>Upper GI Endoscopy</t>
  </si>
  <si>
    <t>Morton's Neuroma, Excision</t>
  </si>
  <si>
    <t>Foot Bone Fusion</t>
  </si>
  <si>
    <t>FOOT BONE FUSION</t>
  </si>
  <si>
    <t>Bind Fee PEPM</t>
  </si>
  <si>
    <t>Aggregate Annual Employer Spend</t>
  </si>
  <si>
    <t>Your Client</t>
  </si>
  <si>
    <t>Cost Factor</t>
  </si>
  <si>
    <t>Funding Factor</t>
  </si>
  <si>
    <t>Sponsor Control Panel</t>
  </si>
  <si>
    <t xml:space="preserve">Truven </t>
  </si>
  <si>
    <t>Truven</t>
  </si>
  <si>
    <t>Truven 20th-80th</t>
  </si>
  <si>
    <t>22</t>
  </si>
  <si>
    <t>21</t>
  </si>
  <si>
    <t>24</t>
  </si>
  <si>
    <t>11</t>
  </si>
  <si>
    <t>Inpatient</t>
  </si>
  <si>
    <t>_descriptions</t>
  </si>
  <si>
    <t>Control Panel Names</t>
  </si>
  <si>
    <t>Allowed Amount</t>
  </si>
  <si>
    <t>Average</t>
  </si>
  <si>
    <t>Outpatient Hospital</t>
  </si>
  <si>
    <t>ASC</t>
  </si>
  <si>
    <t>Office</t>
  </si>
  <si>
    <t>&gt;10%</t>
  </si>
  <si>
    <t>&lt;1%</t>
  </si>
  <si>
    <t>CABG</t>
  </si>
  <si>
    <t>ankle_surgery</t>
  </si>
  <si>
    <t>back_surgery_other</t>
  </si>
  <si>
    <t>bariatric_surgery</t>
  </si>
  <si>
    <t>breast_reduction</t>
  </si>
  <si>
    <t>bunionectomy</t>
  </si>
  <si>
    <t>cardiac_catheterization_diagn</t>
  </si>
  <si>
    <t>carotid_endarterectomy</t>
  </si>
  <si>
    <t>carpal_tunnel</t>
  </si>
  <si>
    <t>cervical_fusion</t>
  </si>
  <si>
    <t>coronary_angioplasty</t>
  </si>
  <si>
    <t>endometrial_ablation</t>
  </si>
  <si>
    <t>foot_bone_fusion</t>
  </si>
  <si>
    <t>ganglion_cyst_surgery</t>
  </si>
  <si>
    <t>hammertoe_surgery</t>
  </si>
  <si>
    <t>hernia_repair_ventral</t>
  </si>
  <si>
    <t>hip_arthroscopy</t>
  </si>
  <si>
    <t>hip_replacement_and_hip_revis</t>
  </si>
  <si>
    <t>hysterectomy</t>
  </si>
  <si>
    <t>knee_arthroscopy</t>
  </si>
  <si>
    <t>knee_replacement_and_knee_rev</t>
  </si>
  <si>
    <t>lumbar_fusion</t>
  </si>
  <si>
    <t>mortons_neuroma_excision</t>
  </si>
  <si>
    <t>myringotomy_grommets_tympanos</t>
  </si>
  <si>
    <t>nasal_septum_sinus</t>
  </si>
  <si>
    <t>plantar_fasciotomy</t>
  </si>
  <si>
    <t>shoulder_surgery</t>
  </si>
  <si>
    <t>tonsilectomy</t>
  </si>
  <si>
    <t>upper_gi_endoscopy</t>
  </si>
  <si>
    <t>urinary_incontinence</t>
  </si>
  <si>
    <t>Weighted Average (# of procedures)</t>
  </si>
  <si>
    <t>Weighted Average (# and Cost)</t>
  </si>
  <si>
    <t>Factor Input when Inpatient Prevalent</t>
  </si>
  <si>
    <t>Factor Input for Inpatient between 1% and 10%</t>
  </si>
  <si>
    <t>Factor Input for Inpatient less than 1%</t>
  </si>
  <si>
    <t>Nissen Fundoplication (Reflux Surgery)</t>
  </si>
  <si>
    <t>60th</t>
  </si>
  <si>
    <t>Preventive / Routine / Diagnostic / Emergency / Trauma</t>
  </si>
  <si>
    <t>nissen_fundoplication_reflux_</t>
  </si>
  <si>
    <t>NISSEN FUNDOPLICATION (REFLUX SURGERY)</t>
  </si>
  <si>
    <t>Out-of-Pocket Limit</t>
  </si>
  <si>
    <t>Medical Copays</t>
  </si>
  <si>
    <t>Virtual Visit</t>
  </si>
  <si>
    <t>Primary Care / Retail Clinic</t>
  </si>
  <si>
    <t>High-Tech Imaging</t>
  </si>
  <si>
    <t>Prescription Drug Copays</t>
  </si>
  <si>
    <t>Retail - Generic</t>
  </si>
  <si>
    <t>Retail - Brand Formulary</t>
  </si>
  <si>
    <t>Retail - Brand Non-Formulary</t>
  </si>
  <si>
    <t>Enrolled EE Count</t>
  </si>
  <si>
    <t>Single</t>
  </si>
  <si>
    <t>Family</t>
  </si>
  <si>
    <t>Retail</t>
  </si>
  <si>
    <t>Mail Order</t>
  </si>
  <si>
    <t>Inpatient Facility</t>
  </si>
  <si>
    <t>Outpatient Facility</t>
  </si>
  <si>
    <t>Preventive Care</t>
  </si>
  <si>
    <t>Rehabilitation Services</t>
  </si>
  <si>
    <t>Diabetes</t>
  </si>
  <si>
    <t>C-Section Pregnancy</t>
  </si>
  <si>
    <t>Lab</t>
  </si>
  <si>
    <t>Target % Share by Add-In</t>
  </si>
  <si>
    <t>Pay Period</t>
  </si>
  <si>
    <t>Employer HSA/HRA PEPM</t>
  </si>
  <si>
    <t>I.</t>
  </si>
  <si>
    <t>Projection Assumptions:</t>
  </si>
  <si>
    <t>Migration:</t>
  </si>
  <si>
    <t>Tier</t>
  </si>
  <si>
    <t>EE + SP</t>
  </si>
  <si>
    <t>EE + C</t>
  </si>
  <si>
    <t>EE + F</t>
  </si>
  <si>
    <t>Bind Savings (Gross):</t>
  </si>
  <si>
    <t>ER - % of Savings:</t>
  </si>
  <si>
    <t>EE - % of Savings:</t>
  </si>
  <si>
    <t>Bind Employee Contribution Strategy for All Groups:</t>
  </si>
  <si>
    <t>Enrollment</t>
  </si>
  <si>
    <t>2019 FIE Rate</t>
  </si>
  <si>
    <t>2019 Contrib</t>
  </si>
  <si>
    <t>Cost Share</t>
  </si>
  <si>
    <t>Dep Type</t>
  </si>
  <si>
    <t>Incremental</t>
  </si>
  <si>
    <t>SP</t>
  </si>
  <si>
    <t>C</t>
  </si>
  <si>
    <t>F</t>
  </si>
  <si>
    <t>Employee Contribution Comparison for All Groups:</t>
  </si>
  <si>
    <t>2019 Bind</t>
  </si>
  <si>
    <t>% Difference</t>
  </si>
  <si>
    <t>$ Difference</t>
  </si>
  <si>
    <t>Composite</t>
  </si>
  <si>
    <t>II.</t>
  </si>
  <si>
    <t>Group:</t>
  </si>
  <si>
    <t>All Groups</t>
  </si>
  <si>
    <t>Employee Contribution Comparison by Group:</t>
  </si>
  <si>
    <t>Budget Detail:</t>
  </si>
  <si>
    <t>Self-Insured Rates</t>
  </si>
  <si>
    <t>Employer Cost</t>
  </si>
  <si>
    <t>Employee Cost</t>
  </si>
  <si>
    <t>Plan</t>
  </si>
  <si>
    <t>2019 w/Bind</t>
  </si>
  <si>
    <t>2019 SQ</t>
  </si>
  <si>
    <t>Annual Total</t>
  </si>
  <si>
    <t>PEPY Total</t>
  </si>
  <si>
    <t>Plan:</t>
  </si>
  <si>
    <t>Tier:</t>
  </si>
  <si>
    <t>Member Scenarios</t>
  </si>
  <si>
    <t>Rheumatoid Arthritis (Methotrexate)</t>
  </si>
  <si>
    <t>Rheumatoid Arthritis (Biologic)</t>
  </si>
  <si>
    <t>Knee Pain (Physical Therapy)</t>
  </si>
  <si>
    <t>Knee Pain (Arthroscopy - Inpatient)</t>
  </si>
  <si>
    <t>Knee Pain (Arthroscopy - ASC)</t>
  </si>
  <si>
    <t>Organ Transplant</t>
  </si>
  <si>
    <t>Member Spend Breakdown</t>
  </si>
  <si>
    <t>Copays (Core)</t>
  </si>
  <si>
    <t>Paycheck Contributions</t>
  </si>
  <si>
    <t>Total OOP Cost</t>
  </si>
  <si>
    <t>Plan Design Summary</t>
  </si>
  <si>
    <t>Total Utilization</t>
  </si>
  <si>
    <t>Allowed Cost per Episode</t>
  </si>
  <si>
    <t>Utilization per Episode:</t>
  </si>
  <si>
    <t>Outpatient Surgery</t>
  </si>
  <si>
    <t>Durable Medical Equipment</t>
  </si>
  <si>
    <t>Retail - Specialty Preferred Generic</t>
  </si>
  <si>
    <t>Retail - Specialty Preferred Brand</t>
  </si>
  <si>
    <t>Retail - Specialty Non-Preferred</t>
  </si>
  <si>
    <t>Commissions</t>
  </si>
  <si>
    <t>Stop Loss - ISL</t>
  </si>
  <si>
    <t>Stop Loss - ASL</t>
  </si>
  <si>
    <t>Plan Components</t>
  </si>
  <si>
    <t>Administration</t>
  </si>
  <si>
    <t>Fixed Fees (PEPM Basis):</t>
  </si>
  <si>
    <t>Rates</t>
  </si>
  <si>
    <t>Contributions</t>
  </si>
  <si>
    <t>2018 Enrollment</t>
  </si>
  <si>
    <t>2018 Contributions</t>
  </si>
  <si>
    <t>2018 Rates</t>
  </si>
  <si>
    <t>Tier Ratio</t>
  </si>
  <si>
    <t>Composite/Total</t>
  </si>
  <si>
    <t>2019 Enrollment with Bind</t>
  </si>
  <si>
    <t>Plan 1</t>
  </si>
  <si>
    <t>Plan 2</t>
  </si>
  <si>
    <t>Plan 3</t>
  </si>
  <si>
    <t>Plan 4</t>
  </si>
  <si>
    <t>Group A</t>
  </si>
  <si>
    <t>Group B</t>
  </si>
  <si>
    <t>Group C</t>
  </si>
  <si>
    <t>Group D</t>
  </si>
  <si>
    <t>Group E</t>
  </si>
  <si>
    <t>Budget &amp; Contribution Rate Setting:</t>
  </si>
  <si>
    <t>Projection</t>
  </si>
  <si>
    <t>Ankle Ligament Reconstruction</t>
  </si>
  <si>
    <t>Bariatric Surgery</t>
  </si>
  <si>
    <t>Coronary Angioplasty, Non-Emergency</t>
  </si>
  <si>
    <t>Coronary Artery Bypass Surgery, Non-Emergency</t>
  </si>
  <si>
    <t>Septoplasty</t>
  </si>
  <si>
    <t>Sling Procedure for Urinary Incontinence</t>
  </si>
  <si>
    <t>Ear Tubes</t>
  </si>
  <si>
    <t>Hip Replacement/Resurfacing</t>
  </si>
  <si>
    <t>Hysterectomy, Non-Cancerous</t>
  </si>
  <si>
    <t>Knee Replacement</t>
  </si>
  <si>
    <t>Knee Arthroscopy</t>
  </si>
  <si>
    <t>Tonsillectomy / Adenoidectomy / Ear Tubes</t>
  </si>
  <si>
    <t>Copays (Add-Ins)</t>
  </si>
  <si>
    <t>Add-In Paycheck Contributions</t>
  </si>
  <si>
    <t>Min Per Add-In</t>
  </si>
  <si>
    <t>Max Per Add-In</t>
  </si>
  <si>
    <t>Global Max</t>
  </si>
  <si>
    <t>Base</t>
  </si>
  <si>
    <t>Fall</t>
  </si>
  <si>
    <t>Rise</t>
  </si>
  <si>
    <t>Change in ER Core</t>
  </si>
  <si>
    <t>Change in Member Core</t>
  </si>
  <si>
    <t>Change in ER Add-In</t>
  </si>
  <si>
    <t>Change in Member Add-In</t>
  </si>
  <si>
    <t>Bind Plan</t>
  </si>
  <si>
    <t>Util Change</t>
  </si>
  <si>
    <t>Utilization Change on Core</t>
  </si>
  <si>
    <t>Utilization Change on Add-Ins</t>
  </si>
  <si>
    <t>Subsidy Change</t>
  </si>
  <si>
    <t>Subsidy Change on Core</t>
  </si>
  <si>
    <t>Subsidy Change on Add-Ins</t>
  </si>
  <si>
    <t>PLANS</t>
  </si>
  <si>
    <t>GROUPS</t>
  </si>
  <si>
    <t>TIERS</t>
  </si>
  <si>
    <t>SCENARIOS</t>
  </si>
  <si>
    <t>`</t>
  </si>
  <si>
    <t>MBR COUNT (MANUAL)</t>
  </si>
  <si>
    <t>Anchor Plan:</t>
  </si>
  <si>
    <t>Anchor Plan AV:</t>
  </si>
  <si>
    <t>Anchor Plan Rate:</t>
  </si>
  <si>
    <t>Sumproduct (Rate)</t>
  </si>
  <si>
    <t>Bind Plan Rate</t>
  </si>
  <si>
    <t>Bind Plan Claims</t>
  </si>
  <si>
    <t>2019 Projected Contributions</t>
  </si>
  <si>
    <t>2019 Projected Rates</t>
  </si>
  <si>
    <t>2019 Projected Enrollment</t>
  </si>
  <si>
    <t>2019 BIND RATING</t>
  </si>
  <si>
    <t>Vary by Group</t>
  </si>
  <si>
    <t>Constant Rating</t>
  </si>
  <si>
    <t>Rate</t>
  </si>
  <si>
    <t>Target</t>
  </si>
  <si>
    <t>Contribution</t>
  </si>
  <si>
    <t>Manual</t>
  </si>
  <si>
    <t>Bind Tiering: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</si>
</sst>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5" formatCode="&quot;$&quot;#,##0_);\(&quot;$&quot;#,##0\)"/>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
    <numFmt numFmtId="165" formatCode="&quot;$&quot;#,##0.00"/>
    <numFmt numFmtId="166" formatCode="&quot;$&quot;#,##0"/>
    <numFmt numFmtId="167" formatCode="0.000"/>
    <numFmt numFmtId="168" formatCode="#,##0.000_);\(#,##0.000\)"/>
    <numFmt numFmtId="169" formatCode="0.0"/>
    <numFmt numFmtId="170" formatCode="&quot;$&quot;#,##0.000"/>
    <numFmt numFmtId="171" formatCode="_(* #,##0_);_(* \(#,##0\);_(* &quot;-&quot;??_);_(@_)"/>
    <numFmt numFmtId="172" formatCode="0.00_);[Red]\(0.00\)"/>
    <numFmt numFmtId="173" formatCode="_(&quot;$&quot;* #,##0_);_(&quot;$&quot;* \(#,##0\);_(&quot;$&quot;* &quot;-&quot;??_);_(@_)"/>
    <numFmt numFmtId="174" formatCode="_(* #,##0.0_);_(* \(#,##0.0\);_(* &quot;-&quot;?_);_(@_)"/>
    <numFmt numFmtId="175" formatCode="_(* #,##0.0000_);_(* \(#,##0.0000\);_(* &quot;-&quot;??_);_(@_)"/>
    <numFmt numFmtId="176" formatCode="#,##0.0"/>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8"/>
      <color rgb="FF000000"/>
      <name val="Tahoma"/>
      <family val="2"/>
    </font>
    <font>
      <sz val="11"/>
      <color theme="0"/>
      <name val="Calibri"/>
      <family val="2"/>
      <scheme val="minor"/>
    </font>
    <font>
      <sz val="10"/>
      <color theme="1"/>
      <name val="Calibri"/>
      <family val="2"/>
      <scheme val="minor"/>
    </font>
    <font>
      <sz val="11"/>
      <color indexed="8"/>
      <name val="Helvetica Neue"/>
    </font>
    <font>
      <u/>
      <sz val="11"/>
      <color theme="3" tint="0.39997558519241921"/>
      <name val="Calibri"/>
      <family val="2"/>
      <scheme val="minor"/>
    </font>
    <font>
      <sz val="11"/>
      <color rgb="FF000000"/>
      <name val="Calibri"/>
      <family val="2"/>
      <scheme val="minor"/>
    </font>
    <font>
      <b/>
      <sz val="14"/>
      <color theme="1"/>
      <name val="Cambria"/>
      <family val="1"/>
    </font>
    <font>
      <b/>
      <sz val="12"/>
      <color theme="1"/>
      <name val="Cambria"/>
      <family val="1"/>
    </font>
    <font>
      <i/>
      <sz val="11"/>
      <color theme="1"/>
      <name val="Calibri"/>
      <family val="2"/>
      <scheme val="minor"/>
    </font>
    <font>
      <sz val="11"/>
      <color theme="1"/>
      <name val="Symbol"/>
      <family val="1"/>
      <charset val="2"/>
    </font>
    <font>
      <sz val="7"/>
      <color theme="1"/>
      <name val="Times New Roman"/>
      <family val="1"/>
    </font>
    <font>
      <sz val="8"/>
      <color theme="1"/>
      <name val="Calibri"/>
      <family val="2"/>
      <scheme val="minor"/>
    </font>
    <font>
      <sz val="11"/>
      <color theme="1"/>
      <name val="Calibri"/>
      <family val="2"/>
    </font>
    <font>
      <b/>
      <sz val="11"/>
      <color theme="0"/>
      <name val="Calibri"/>
      <family val="2"/>
      <scheme val="minor"/>
    </font>
    <font>
      <sz val="11"/>
      <color theme="1"/>
      <name val="Source Sans Pro"/>
      <family val="2"/>
    </font>
    <font>
      <b/>
      <i/>
      <sz val="11"/>
      <color theme="9"/>
      <name val="Source Sans Pro"/>
      <family val="2"/>
    </font>
    <font>
      <b/>
      <i/>
      <sz val="11"/>
      <color theme="4"/>
      <name val="Source Sans Pro"/>
      <family val="2"/>
    </font>
    <font>
      <b/>
      <i/>
      <sz val="11"/>
      <color rgb="FFA9218E"/>
      <name val="Source Sans Pro"/>
      <family val="2"/>
    </font>
    <font>
      <sz val="10"/>
      <color theme="0"/>
      <name val="Source Sans Pro"/>
      <family val="2"/>
    </font>
    <font>
      <sz val="11"/>
      <color theme="0"/>
      <name val="Source Sans Pro"/>
      <family val="2"/>
    </font>
    <font>
      <sz val="10"/>
      <color theme="1"/>
      <name val="Source Sans Pro"/>
      <family val="2"/>
    </font>
    <font>
      <b/>
      <sz val="14"/>
      <color theme="1"/>
      <name val="Calibri"/>
      <family val="2"/>
      <scheme val="minor"/>
    </font>
    <font>
      <b/>
      <sz val="12"/>
      <color theme="1"/>
      <name val="Calibri"/>
      <family val="2"/>
      <scheme val="minor"/>
    </font>
    <font>
      <b/>
      <i/>
      <sz val="11"/>
      <color theme="1"/>
      <name val="Calibri"/>
      <family val="2"/>
      <scheme val="minor"/>
    </font>
    <font>
      <b/>
      <i/>
      <sz val="10"/>
      <color theme="1"/>
      <name val="Calibri"/>
      <family val="2"/>
      <scheme val="minor"/>
    </font>
    <font>
      <b/>
      <sz val="11"/>
      <color rgb="FFFFFFFF"/>
      <name val="Calibri"/>
      <family val="2"/>
      <scheme val="minor"/>
    </font>
    <font>
      <b/>
      <sz val="11"/>
      <color rgb="FF000000"/>
      <name val="Calibri"/>
      <family val="2"/>
      <scheme val="minor"/>
    </font>
    <font>
      <sz val="11"/>
      <name val="Calibri"/>
      <family val="2"/>
      <scheme val="minor"/>
    </font>
    <font>
      <sz val="11"/>
      <color rgb="FF002060"/>
      <name val="Calibri"/>
      <family val="2"/>
      <scheme val="minor"/>
    </font>
    <font>
      <b/>
      <sz val="14"/>
      <color rgb="FF002060"/>
      <name val="Calibri"/>
      <family val="2"/>
      <scheme val="minor"/>
    </font>
    <font>
      <b/>
      <sz val="10"/>
      <color rgb="FF002060"/>
      <name val="Calibri"/>
      <family val="2"/>
      <scheme val="minor"/>
    </font>
    <font>
      <b/>
      <i/>
      <sz val="11"/>
      <color rgb="FF7030A0"/>
      <name val="Calibri"/>
      <family val="2"/>
      <scheme val="minor"/>
    </font>
    <font>
      <i/>
      <sz val="11"/>
      <color rgb="FF002060"/>
      <name val="Calibri"/>
      <family val="2"/>
      <scheme val="minor"/>
    </font>
    <font>
      <i/>
      <sz val="11"/>
      <color indexed="8"/>
      <name val="Calibri"/>
      <family val="2"/>
      <scheme val="minor"/>
    </font>
    <font>
      <b/>
      <i/>
      <sz val="12"/>
      <color rgb="FF002060"/>
      <name val="Calibri"/>
      <family val="2"/>
      <scheme val="minor"/>
    </font>
    <font>
      <b/>
      <i/>
      <sz val="11"/>
      <color rgb="FF002060"/>
      <name val="Calibri"/>
      <family val="2"/>
      <scheme val="minor"/>
    </font>
    <font>
      <b/>
      <sz val="11"/>
      <color rgb="FF002060"/>
      <name val="Calibri"/>
      <family val="2"/>
      <scheme val="minor"/>
    </font>
    <font>
      <i/>
      <sz val="11"/>
      <color indexed="56"/>
      <name val="Calibri"/>
      <family val="2"/>
      <scheme val="minor"/>
    </font>
    <font>
      <b/>
      <vertAlign val="superscript"/>
      <sz val="14"/>
      <color theme="1"/>
      <name val="Calibri"/>
      <family val="2"/>
    </font>
    <font>
      <b/>
      <vertAlign val="superscript"/>
      <sz val="16"/>
      <color theme="1"/>
      <name val="Calibri"/>
      <family val="2"/>
    </font>
    <font>
      <sz val="11"/>
      <color rgb="FF0000FF"/>
      <name val="Calibri"/>
      <family val="2"/>
      <scheme val="minor"/>
    </font>
    <font>
      <sz val="11"/>
      <color theme="0" tint="-4.9989318521683403E-2"/>
      <name val="Calibri"/>
      <family val="2"/>
      <scheme val="minor"/>
    </font>
    <font>
      <b/>
      <sz val="9"/>
      <color theme="1"/>
      <name val="Calibri"/>
      <family val="2"/>
      <scheme val="minor"/>
    </font>
    <font>
      <sz val="11"/>
      <color rgb="FF272727"/>
      <name val="Source Sans Pro"/>
      <family val="2"/>
    </font>
    <font>
      <b/>
      <sz val="16"/>
      <color rgb="FF272727"/>
      <name val="Source Sans Pro"/>
      <family val="2"/>
    </font>
    <font>
      <i/>
      <sz val="11"/>
      <color rgb="FF272727"/>
      <name val="Source Sans Pro"/>
      <family val="2"/>
    </font>
    <font>
      <b/>
      <sz val="11"/>
      <color rgb="FF000000"/>
      <name val="Source Sans Pro Black"/>
      <family val="2"/>
    </font>
    <font>
      <b/>
      <sz val="11"/>
      <color theme="1"/>
      <name val="Source Sans Pro"/>
      <family val="2"/>
    </font>
    <font>
      <i/>
      <sz val="11"/>
      <name val="Source Sans Pro"/>
      <family val="2"/>
    </font>
    <font>
      <i/>
      <sz val="11"/>
      <color theme="1"/>
      <name val="Source Sans Pro"/>
      <family val="2"/>
    </font>
    <font>
      <b/>
      <i/>
      <sz val="11"/>
      <color theme="1"/>
      <name val="Source Sans Pro"/>
      <family val="2"/>
    </font>
    <font>
      <sz val="11"/>
      <name val="Source Sans Pro"/>
      <family val="2"/>
    </font>
    <font>
      <sz val="11"/>
      <color theme="3"/>
      <name val="Source Sans Pro"/>
      <family val="2"/>
    </font>
    <font>
      <sz val="11"/>
      <color rgb="FF3D33A6"/>
      <name val="Source Sans Pro"/>
      <family val="2"/>
    </font>
    <font>
      <b/>
      <sz val="11"/>
      <color rgb="FF272727"/>
      <name val="Source Sans Pro"/>
      <family val="2"/>
    </font>
    <font>
      <sz val="11"/>
      <color rgb="FF272727"/>
      <name val="Source Sans Pro Black"/>
      <family val="2"/>
    </font>
    <font>
      <b/>
      <sz val="10"/>
      <color theme="1"/>
      <name val="Source Sans Pro"/>
      <family val="2"/>
    </font>
    <font>
      <b/>
      <u/>
      <sz val="10"/>
      <color theme="1"/>
      <name val="Source Sans Pro"/>
      <family val="2"/>
    </font>
    <font>
      <sz val="10"/>
      <color theme="3"/>
      <name val="Source Sans Pro"/>
      <family val="2"/>
    </font>
    <font>
      <i/>
      <sz val="10"/>
      <color theme="1"/>
      <name val="Source Sans Pro"/>
      <family val="2"/>
    </font>
    <font>
      <b/>
      <sz val="10"/>
      <color rgb="FF3D33A6"/>
      <name val="Source Sans Pro"/>
      <family val="2"/>
    </font>
    <font>
      <b/>
      <sz val="10"/>
      <color theme="0"/>
      <name val="Source Sans Pro"/>
      <family val="2"/>
    </font>
    <font>
      <sz val="9"/>
      <color theme="1"/>
      <name val="Source Sans Pro"/>
      <family val="2"/>
    </font>
    <font>
      <sz val="10"/>
      <name val="Source Sans Pro"/>
      <family val="2"/>
    </font>
    <font>
      <sz val="10"/>
      <color rgb="FF272727"/>
      <name val="Source Sans Pro Black"/>
      <family val="2"/>
    </font>
    <font>
      <b/>
      <sz val="10"/>
      <name val="Source Sans Pro"/>
      <family val="2"/>
    </font>
    <font>
      <u/>
      <sz val="10"/>
      <color theme="1"/>
      <name val="Source Sans Pro"/>
      <family val="2"/>
    </font>
    <font>
      <b/>
      <sz val="11"/>
      <color rgb="FF3D33A6"/>
      <name val="Source Sans Pro"/>
      <family val="2"/>
    </font>
    <font>
      <b/>
      <sz val="11"/>
      <color rgb="FF6F2E91"/>
      <name val="Source Sans Pro"/>
      <family val="2"/>
    </font>
    <font>
      <b/>
      <sz val="11"/>
      <color theme="0"/>
      <name val="Source Sans Pro"/>
      <family val="2"/>
    </font>
    <font>
      <b/>
      <u/>
      <sz val="11"/>
      <color theme="1"/>
      <name val="Source Sans Pro"/>
      <family val="2"/>
    </font>
    <font>
      <b/>
      <u/>
      <sz val="11"/>
      <color theme="1"/>
      <name val="Calibri"/>
      <family val="2"/>
      <scheme val="minor"/>
    </font>
    <font>
      <u/>
      <sz val="11"/>
      <color theme="1"/>
      <name val="Calibri"/>
      <family val="2"/>
      <scheme val="minor"/>
    </font>
    <font>
      <sz val="11"/>
      <color rgb="FF3D33A6"/>
      <name val="Calibri"/>
      <family val="2"/>
      <scheme val="minor"/>
    </font>
    <font>
      <sz val="12"/>
      <color rgb="FF595959"/>
      <name val="Source Sans Pro"/>
      <family val="2"/>
    </font>
  </fonts>
  <fills count="41">
    <fill>
      <patternFill patternType="none"/>
    </fill>
    <fill>
      <patternFill patternType="gray125"/>
    </fill>
    <fill>
      <patternFill patternType="solid">
        <fgColor theme="0"/>
        <bgColor indexed="64"/>
      </patternFill>
    </fill>
    <fill>
      <patternFill patternType="solid">
        <fgColor rgb="FFDBE5F2"/>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rgb="FFDBE5F1"/>
        <bgColor indexed="64"/>
      </patternFill>
    </fill>
    <fill>
      <patternFill patternType="solid">
        <fgColor rgb="FFCDECFF"/>
        <bgColor indexed="64"/>
      </patternFill>
    </fill>
    <fill>
      <patternFill patternType="solid">
        <fgColor theme="4" tint="0.79998168889431442"/>
        <bgColor indexed="64"/>
      </patternFill>
    </fill>
    <fill>
      <patternFill patternType="solid">
        <fgColor rgb="FFA9218E"/>
        <bgColor indexed="64"/>
      </patternFill>
    </fill>
    <fill>
      <patternFill patternType="solid">
        <fgColor theme="0" tint="-0.249977111117893"/>
        <bgColor indexed="64"/>
      </patternFill>
    </fill>
    <fill>
      <patternFill patternType="solid">
        <fgColor rgb="FF92D050"/>
        <bgColor indexed="64"/>
      </patternFill>
    </fill>
    <fill>
      <patternFill patternType="solid">
        <fgColor rgb="FF00B050"/>
        <bgColor indexed="64"/>
      </patternFill>
    </fill>
    <fill>
      <patternFill patternType="solid">
        <fgColor rgb="FF404040"/>
        <bgColor indexed="64"/>
      </patternFill>
    </fill>
    <fill>
      <patternFill patternType="solid">
        <fgColor rgb="FFE3EAF7"/>
        <bgColor indexed="64"/>
      </patternFill>
    </fill>
    <fill>
      <patternFill patternType="solid">
        <fgColor rgb="FFFEF0D8"/>
        <bgColor indexed="64"/>
      </patternFill>
    </fill>
    <fill>
      <patternFill patternType="solid">
        <fgColor rgb="FFE2EECE"/>
        <bgColor indexed="64"/>
      </patternFill>
    </fill>
    <fill>
      <patternFill patternType="solid">
        <fgColor rgb="FFF8CFC8"/>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AFE5EC"/>
        <bgColor indexed="64"/>
      </patternFill>
    </fill>
    <fill>
      <patternFill patternType="solid">
        <fgColor rgb="FFF0F0F0"/>
        <bgColor indexed="64"/>
      </patternFill>
    </fill>
    <fill>
      <patternFill patternType="solid">
        <fgColor rgb="FF6F2E91"/>
        <bgColor indexed="64"/>
      </patternFill>
    </fill>
    <fill>
      <patternFill patternType="solid">
        <fgColor rgb="FFB4B4B4"/>
        <bgColor indexed="64"/>
      </patternFill>
    </fill>
  </fills>
  <borders count="8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style="thin">
        <color auto="1"/>
      </top>
      <bottom style="hair">
        <color auto="1"/>
      </bottom>
      <diagonal/>
    </border>
    <border>
      <left/>
      <right style="medium">
        <color auto="1"/>
      </right>
      <top style="thin">
        <color auto="1"/>
      </top>
      <bottom style="hair">
        <color auto="1"/>
      </bottom>
      <diagonal/>
    </border>
    <border>
      <left style="medium">
        <color auto="1"/>
      </left>
      <right/>
      <top style="hair">
        <color auto="1"/>
      </top>
      <bottom style="hair">
        <color auto="1"/>
      </bottom>
      <diagonal/>
    </border>
    <border>
      <left/>
      <right style="medium">
        <color auto="1"/>
      </right>
      <top style="hair">
        <color auto="1"/>
      </top>
      <bottom style="hair">
        <color auto="1"/>
      </bottom>
      <diagonal/>
    </border>
    <border>
      <left style="medium">
        <color auto="1"/>
      </left>
      <right/>
      <top style="hair">
        <color auto="1"/>
      </top>
      <bottom style="thin">
        <color auto="1"/>
      </bottom>
      <diagonal/>
    </border>
    <border>
      <left/>
      <right style="medium">
        <color auto="1"/>
      </right>
      <top style="hair">
        <color auto="1"/>
      </top>
      <bottom style="thin">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right/>
      <top/>
      <bottom style="hair">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dashed">
        <color auto="1"/>
      </left>
      <right/>
      <top style="medium">
        <color auto="1"/>
      </top>
      <bottom/>
      <diagonal/>
    </border>
    <border>
      <left style="dashed">
        <color auto="1"/>
      </left>
      <right/>
      <top/>
      <bottom/>
      <diagonal/>
    </border>
    <border>
      <left style="medium">
        <color auto="1"/>
      </left>
      <right style="dashed">
        <color auto="1"/>
      </right>
      <top style="medium">
        <color auto="1"/>
      </top>
      <bottom/>
      <diagonal/>
    </border>
    <border>
      <left style="medium">
        <color auto="1"/>
      </left>
      <right style="dashed">
        <color auto="1"/>
      </right>
      <top/>
      <bottom/>
      <diagonal/>
    </border>
    <border>
      <left style="medium">
        <color auto="1"/>
      </left>
      <right style="dashed">
        <color auto="1"/>
      </right>
      <top/>
      <bottom style="medium">
        <color auto="1"/>
      </bottom>
      <diagonal/>
    </border>
    <border>
      <left/>
      <right/>
      <top style="medium">
        <color auto="1"/>
      </top>
      <bottom style="medium">
        <color auto="1"/>
      </bottom>
      <diagonal/>
    </border>
    <border>
      <left style="dashed">
        <color auto="1"/>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right/>
      <top/>
      <bottom style="double">
        <color auto="1"/>
      </bottom>
      <diagonal/>
    </border>
    <border>
      <left style="thin">
        <color auto="1"/>
      </left>
      <right/>
      <top/>
      <bottom style="double">
        <color auto="1"/>
      </bottom>
      <diagonal/>
    </border>
    <border>
      <left/>
      <right/>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right/>
      <top style="double">
        <color auto="1"/>
      </top>
      <bottom style="thin">
        <color auto="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0"/>
      </top>
      <bottom/>
      <diagonal/>
    </border>
    <border>
      <left style="thin">
        <color theme="0"/>
      </left>
      <right/>
      <top style="thin">
        <color theme="4" tint="0.39997558519241921"/>
      </top>
      <bottom/>
      <diagonal/>
    </border>
    <border>
      <left/>
      <right style="thin">
        <color auto="1"/>
      </right>
      <top/>
      <bottom style="medium">
        <color auto="1"/>
      </bottom>
      <diagonal/>
    </border>
    <border>
      <left style="medium">
        <color rgb="FFB4B4B4"/>
      </left>
      <right style="medium">
        <color rgb="FFB4B4B4"/>
      </right>
      <top style="medium">
        <color rgb="FFB4B4B4"/>
      </top>
      <bottom style="medium">
        <color rgb="FFB4B4B4"/>
      </bottom>
      <diagonal/>
    </border>
    <border>
      <left style="medium">
        <color rgb="FFB4B4B4"/>
      </left>
      <right style="medium">
        <color rgb="FFB4B4B4"/>
      </right>
      <top style="medium">
        <color rgb="FFB4B4B4"/>
      </top>
      <bottom/>
      <diagonal/>
    </border>
    <border>
      <left style="medium">
        <color rgb="FFB4B4B4"/>
      </left>
      <right style="medium">
        <color rgb="FFB4B4B4"/>
      </right>
      <top/>
      <bottom/>
      <diagonal/>
    </border>
    <border>
      <left style="medium">
        <color rgb="FFB4B4B4"/>
      </left>
      <right style="medium">
        <color rgb="FFB4B4B4"/>
      </right>
      <top/>
      <bottom style="medium">
        <color rgb="FFB4B4B4"/>
      </bottom>
      <diagonal/>
    </border>
    <border>
      <left/>
      <right style="dashed">
        <color auto="1"/>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Protection="0">
      <alignment vertical="top"/>
    </xf>
  </cellStyleXfs>
  <cellXfs count="995">
    <xf numFmtId="0" fontId="0" fillId="0" borderId="0" xfId="0"/>
    <xf numFmtId="0" fontId="0" fillId="2" borderId="0" xfId="0" applyFill="1"/>
    <xf numFmtId="0" fontId="2" fillId="2" borderId="0" xfId="0" applyFont="1" applyFill="1"/>
    <xf numFmtId="0" fontId="0" fillId="2" borderId="0" xfId="0" applyFill="1" applyAlignment="1">
      <alignment vertical="center" wrapText="1"/>
    </xf>
    <xf numFmtId="0" fontId="0" fillId="2" borderId="4" xfId="0" applyFill="1" applyBorder="1"/>
    <xf numFmtId="0" fontId="0" fillId="2" borderId="6" xfId="0" applyFill="1" applyBorder="1"/>
    <xf numFmtId="164" fontId="0" fillId="2" borderId="4" xfId="3" applyNumberFormat="1" applyFont="1" applyFill="1" applyBorder="1" applyAlignment="1">
      <alignment horizontal="center"/>
    </xf>
    <xf numFmtId="164" fontId="0" fillId="2" borderId="0" xfId="3" applyNumberFormat="1" applyFont="1" applyFill="1" applyBorder="1" applyAlignment="1">
      <alignment horizontal="center"/>
    </xf>
    <xf numFmtId="166" fontId="0" fillId="2" borderId="4" xfId="0" applyNumberFormat="1" applyFill="1" applyBorder="1" applyAlignment="1">
      <alignment horizontal="center"/>
    </xf>
    <xf numFmtId="37" fontId="0" fillId="2" borderId="0" xfId="1" applyNumberFormat="1" applyFont="1" applyFill="1" applyBorder="1" applyAlignment="1">
      <alignment horizontal="center"/>
    </xf>
    <xf numFmtId="37" fontId="0" fillId="2" borderId="7" xfId="1" applyNumberFormat="1" applyFont="1" applyFill="1" applyBorder="1" applyAlignment="1">
      <alignment horizontal="center"/>
    </xf>
    <xf numFmtId="166" fontId="2" fillId="3" borderId="1" xfId="0" applyNumberFormat="1" applyFont="1" applyFill="1" applyBorder="1" applyAlignment="1">
      <alignment horizontal="center" vertical="center" wrapText="1"/>
    </xf>
    <xf numFmtId="0" fontId="2" fillId="3" borderId="2" xfId="0" applyFont="1" applyFill="1" applyBorder="1" applyAlignment="1">
      <alignment horizontal="center" vertical="center" wrapText="1"/>
    </xf>
    <xf numFmtId="2" fontId="0" fillId="2" borderId="0" xfId="3" applyNumberFormat="1" applyFont="1" applyFill="1" applyBorder="1" applyAlignment="1">
      <alignment horizontal="center"/>
    </xf>
    <xf numFmtId="2" fontId="0" fillId="2" borderId="7" xfId="3" applyNumberFormat="1" applyFont="1" applyFill="1" applyBorder="1" applyAlignment="1">
      <alignment horizontal="center"/>
    </xf>
    <xf numFmtId="2" fontId="0" fillId="2" borderId="5" xfId="3" applyNumberFormat="1" applyFont="1" applyFill="1" applyBorder="1" applyAlignment="1">
      <alignment horizontal="center"/>
    </xf>
    <xf numFmtId="2" fontId="0" fillId="2" borderId="8" xfId="3" applyNumberFormat="1" applyFont="1" applyFill="1" applyBorder="1" applyAlignment="1">
      <alignment horizontal="center"/>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2" borderId="0" xfId="0" applyFont="1" applyFill="1" applyBorder="1" applyAlignment="1"/>
    <xf numFmtId="0" fontId="0" fillId="2" borderId="6" xfId="0" applyFill="1" applyBorder="1" applyAlignment="1">
      <alignment horizontal="center"/>
    </xf>
    <xf numFmtId="165" fontId="0" fillId="2" borderId="0" xfId="0" applyNumberFormat="1" applyFill="1"/>
    <xf numFmtId="165" fontId="2" fillId="2" borderId="0" xfId="0" applyNumberFormat="1" applyFont="1" applyFill="1"/>
    <xf numFmtId="165" fontId="2" fillId="3" borderId="2" xfId="0" applyNumberFormat="1" applyFont="1" applyFill="1" applyBorder="1" applyAlignment="1">
      <alignment horizontal="center" vertical="center" wrapText="1"/>
    </xf>
    <xf numFmtId="165" fontId="0" fillId="2" borderId="0" xfId="1" applyNumberFormat="1" applyFont="1" applyFill="1" applyBorder="1" applyAlignment="1">
      <alignment horizontal="center"/>
    </xf>
    <xf numFmtId="165" fontId="0" fillId="2" borderId="7" xfId="1" applyNumberFormat="1" applyFont="1" applyFill="1" applyBorder="1" applyAlignment="1">
      <alignment horizontal="center"/>
    </xf>
    <xf numFmtId="0" fontId="0" fillId="2" borderId="0" xfId="0" applyFill="1" applyAlignment="1">
      <alignment horizontal="center" vertical="center" wrapText="1"/>
    </xf>
    <xf numFmtId="0" fontId="0" fillId="2" borderId="0" xfId="0" applyFill="1" applyAlignment="1">
      <alignment horizontal="right"/>
    </xf>
    <xf numFmtId="9" fontId="0" fillId="0" borderId="0" xfId="0" applyNumberFormat="1"/>
    <xf numFmtId="6" fontId="0" fillId="0" borderId="0" xfId="0" applyNumberFormat="1"/>
    <xf numFmtId="0" fontId="0" fillId="2" borderId="0" xfId="0" applyFill="1" applyBorder="1" applyAlignment="1">
      <alignment horizontal="right"/>
    </xf>
    <xf numFmtId="0" fontId="0" fillId="2" borderId="0" xfId="0" applyFill="1" applyBorder="1" applyAlignment="1">
      <alignment horizontal="center" vertical="center" wrapText="1"/>
    </xf>
    <xf numFmtId="9" fontId="0" fillId="4" borderId="0" xfId="3" applyFont="1" applyFill="1" applyBorder="1" applyAlignment="1">
      <alignment horizontal="center" vertical="center" wrapText="1"/>
    </xf>
    <xf numFmtId="0" fontId="0" fillId="2" borderId="15" xfId="0" applyFill="1" applyBorder="1"/>
    <xf numFmtId="0" fontId="0" fillId="2" borderId="16" xfId="0" applyFill="1" applyBorder="1"/>
    <xf numFmtId="0" fontId="0" fillId="2" borderId="16" xfId="0" applyFill="1" applyBorder="1" applyAlignment="1">
      <alignment horizontal="center" vertical="center" wrapText="1"/>
    </xf>
    <xf numFmtId="0" fontId="0" fillId="2" borderId="17" xfId="0" applyFill="1" applyBorder="1" applyAlignment="1">
      <alignment horizontal="center" vertical="center" wrapText="1"/>
    </xf>
    <xf numFmtId="9" fontId="0" fillId="2" borderId="0" xfId="3" applyFont="1" applyFill="1" applyBorder="1" applyAlignment="1">
      <alignment horizontal="center"/>
    </xf>
    <xf numFmtId="9" fontId="0" fillId="2" borderId="7" xfId="3" applyFont="1" applyFill="1" applyBorder="1" applyAlignment="1">
      <alignment horizontal="center"/>
    </xf>
    <xf numFmtId="0" fontId="2" fillId="3" borderId="9" xfId="0" applyFont="1" applyFill="1" applyBorder="1" applyAlignment="1">
      <alignment horizontal="center" vertical="center" wrapText="1"/>
    </xf>
    <xf numFmtId="0" fontId="0" fillId="2" borderId="9" xfId="0" applyFill="1" applyBorder="1" applyAlignment="1">
      <alignment horizontal="right"/>
    </xf>
    <xf numFmtId="0" fontId="0" fillId="2" borderId="24" xfId="0" applyFill="1" applyBorder="1"/>
    <xf numFmtId="0" fontId="0" fillId="2" borderId="25" xfId="0" applyFill="1" applyBorder="1"/>
    <xf numFmtId="0" fontId="0" fillId="2" borderId="26" xfId="0" applyFill="1" applyBorder="1" applyAlignment="1">
      <alignment horizontal="center" vertical="center" wrapText="1"/>
    </xf>
    <xf numFmtId="165" fontId="0" fillId="4" borderId="27" xfId="0" applyNumberFormat="1" applyFill="1" applyBorder="1" applyAlignment="1">
      <alignment horizontal="center" vertical="center" wrapText="1"/>
    </xf>
    <xf numFmtId="0" fontId="0" fillId="2" borderId="28" xfId="0" applyFill="1" applyBorder="1"/>
    <xf numFmtId="0" fontId="0" fillId="2" borderId="30" xfId="0" applyFill="1" applyBorder="1" applyAlignment="1">
      <alignment horizontal="center" vertical="center" wrapText="1"/>
    </xf>
    <xf numFmtId="0" fontId="0" fillId="2" borderId="32" xfId="0" applyFill="1" applyBorder="1" applyAlignment="1">
      <alignment horizontal="center" vertical="center" wrapText="1"/>
    </xf>
    <xf numFmtId="0" fontId="0" fillId="2" borderId="26" xfId="0" applyFill="1" applyBorder="1"/>
    <xf numFmtId="0" fontId="0" fillId="2" borderId="34" xfId="0" applyFill="1" applyBorder="1"/>
    <xf numFmtId="0" fontId="0" fillId="2" borderId="35" xfId="0" applyFill="1" applyBorder="1"/>
    <xf numFmtId="0" fontId="2" fillId="3" borderId="21"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3" xfId="0" applyFont="1" applyFill="1" applyBorder="1" applyAlignment="1">
      <alignment horizontal="center" vertical="center" wrapText="1"/>
    </xf>
    <xf numFmtId="0" fontId="2" fillId="2" borderId="26" xfId="0" applyFont="1" applyFill="1" applyBorder="1" applyAlignment="1">
      <alignment horizontal="center" vertical="center" wrapText="1"/>
    </xf>
    <xf numFmtId="0" fontId="2" fillId="2" borderId="26" xfId="0" applyFont="1" applyFill="1" applyBorder="1" applyAlignment="1">
      <alignment horizontal="center"/>
    </xf>
    <xf numFmtId="0" fontId="0" fillId="2" borderId="0" xfId="0" applyFill="1" applyAlignment="1" applyProtection="1">
      <alignment horizontal="left"/>
      <protection locked="0"/>
    </xf>
    <xf numFmtId="164" fontId="0" fillId="2" borderId="0" xfId="3" applyNumberFormat="1" applyFont="1" applyFill="1" applyAlignment="1" applyProtection="1">
      <alignment horizontal="left"/>
      <protection locked="0"/>
    </xf>
    <xf numFmtId="0" fontId="0" fillId="2" borderId="40" xfId="0" applyFill="1" applyBorder="1" applyAlignment="1">
      <alignment horizontal="center"/>
    </xf>
    <xf numFmtId="7" fontId="0" fillId="2" borderId="40" xfId="0" applyNumberFormat="1" applyFill="1" applyBorder="1" applyAlignment="1">
      <alignment horizontal="center"/>
    </xf>
    <xf numFmtId="9" fontId="0" fillId="2" borderId="40" xfId="3" applyFont="1" applyFill="1" applyBorder="1" applyAlignment="1">
      <alignment horizontal="center"/>
    </xf>
    <xf numFmtId="0" fontId="0" fillId="2" borderId="13" xfId="0" applyFill="1" applyBorder="1" applyAlignment="1">
      <alignment horizontal="center"/>
    </xf>
    <xf numFmtId="166" fontId="0" fillId="2" borderId="6" xfId="0" applyNumberFormat="1" applyFill="1" applyBorder="1" applyAlignment="1">
      <alignment horizontal="center"/>
    </xf>
    <xf numFmtId="0" fontId="2" fillId="3" borderId="14" xfId="0" applyFont="1" applyFill="1" applyBorder="1" applyAlignment="1">
      <alignment horizontal="center"/>
    </xf>
    <xf numFmtId="164" fontId="0" fillId="2" borderId="40" xfId="3" applyNumberFormat="1" applyFont="1" applyFill="1" applyBorder="1" applyAlignment="1">
      <alignment horizontal="center"/>
    </xf>
    <xf numFmtId="164" fontId="0" fillId="2" borderId="13" xfId="3" applyNumberFormat="1" applyFont="1" applyFill="1" applyBorder="1" applyAlignment="1">
      <alignment horizontal="center"/>
    </xf>
    <xf numFmtId="0" fontId="2" fillId="3" borderId="1" xfId="0" applyFont="1" applyFill="1" applyBorder="1" applyAlignment="1">
      <alignment horizontal="center"/>
    </xf>
    <xf numFmtId="0" fontId="2" fillId="3" borderId="1" xfId="0" applyFont="1" applyFill="1" applyBorder="1" applyAlignment="1">
      <alignment horizontal="center"/>
    </xf>
    <xf numFmtId="0" fontId="2" fillId="3" borderId="3" xfId="0" applyFont="1" applyFill="1" applyBorder="1" applyAlignment="1">
      <alignment horizontal="center"/>
    </xf>
    <xf numFmtId="9" fontId="0" fillId="2" borderId="4" xfId="3" applyFont="1" applyFill="1" applyBorder="1" applyAlignment="1">
      <alignment horizontal="center"/>
    </xf>
    <xf numFmtId="9" fontId="0" fillId="2" borderId="6" xfId="3" applyFont="1" applyFill="1" applyBorder="1" applyAlignment="1">
      <alignment horizontal="center"/>
    </xf>
    <xf numFmtId="166" fontId="0" fillId="2" borderId="40" xfId="0" applyNumberFormat="1" applyFill="1" applyBorder="1" applyAlignment="1">
      <alignment horizontal="center"/>
    </xf>
    <xf numFmtId="166" fontId="0" fillId="2" borderId="13" xfId="0" applyNumberFormat="1" applyFill="1" applyBorder="1" applyAlignment="1">
      <alignment horizontal="center"/>
    </xf>
    <xf numFmtId="5" fontId="0" fillId="2" borderId="40" xfId="0" applyNumberFormat="1" applyFill="1" applyBorder="1" applyAlignment="1">
      <alignment horizontal="center"/>
    </xf>
    <xf numFmtId="164" fontId="0" fillId="2" borderId="5" xfId="3" applyNumberFormat="1" applyFont="1" applyFill="1" applyBorder="1" applyAlignment="1">
      <alignment horizontal="center"/>
    </xf>
    <xf numFmtId="164" fontId="0" fillId="2" borderId="8" xfId="3" applyNumberFormat="1" applyFont="1" applyFill="1" applyBorder="1" applyAlignment="1">
      <alignment horizontal="center"/>
    </xf>
    <xf numFmtId="0" fontId="0" fillId="5" borderId="30" xfId="0" applyFill="1" applyBorder="1"/>
    <xf numFmtId="0" fontId="0" fillId="5" borderId="16" xfId="0" applyFill="1" applyBorder="1"/>
    <xf numFmtId="165" fontId="2" fillId="3" borderId="1" xfId="0" applyNumberFormat="1" applyFont="1" applyFill="1" applyBorder="1" applyAlignment="1">
      <alignment horizontal="center" vertical="center" wrapText="1"/>
    </xf>
    <xf numFmtId="165" fontId="0" fillId="2" borderId="0" xfId="3" applyNumberFormat="1" applyFont="1" applyFill="1" applyBorder="1" applyAlignment="1">
      <alignment horizontal="center"/>
    </xf>
    <xf numFmtId="165" fontId="0" fillId="2" borderId="7" xfId="3" applyNumberFormat="1" applyFont="1" applyFill="1" applyBorder="1" applyAlignment="1">
      <alignment horizontal="center"/>
    </xf>
    <xf numFmtId="165" fontId="0" fillId="2" borderId="0" xfId="0" applyNumberFormat="1" applyFill="1"/>
    <xf numFmtId="3" fontId="0" fillId="2" borderId="0" xfId="0" applyNumberFormat="1" applyFill="1" applyBorder="1" applyAlignment="1">
      <alignment horizontal="center"/>
    </xf>
    <xf numFmtId="165" fontId="0" fillId="2" borderId="4" xfId="0" applyNumberFormat="1" applyFill="1" applyBorder="1" applyAlignment="1">
      <alignment horizontal="center"/>
    </xf>
    <xf numFmtId="165" fontId="0" fillId="2" borderId="6" xfId="0" applyNumberFormat="1" applyFill="1" applyBorder="1" applyAlignment="1">
      <alignment horizontal="center"/>
    </xf>
    <xf numFmtId="11" fontId="0" fillId="2" borderId="0" xfId="0" applyNumberFormat="1" applyFill="1" applyBorder="1" applyAlignment="1">
      <alignment horizontal="center"/>
    </xf>
    <xf numFmtId="0" fontId="0" fillId="2" borderId="0" xfId="0" applyFill="1" applyBorder="1" applyAlignment="1">
      <alignment horizontal="center"/>
    </xf>
    <xf numFmtId="0" fontId="0" fillId="2" borderId="7" xfId="0" applyFill="1" applyBorder="1" applyAlignment="1">
      <alignment horizontal="center"/>
    </xf>
    <xf numFmtId="167" fontId="0" fillId="2" borderId="5" xfId="0" applyNumberFormat="1" applyFill="1" applyBorder="1" applyAlignment="1">
      <alignment horizontal="center"/>
    </xf>
    <xf numFmtId="167" fontId="0" fillId="2" borderId="8" xfId="0" applyNumberFormat="1" applyFill="1" applyBorder="1" applyAlignment="1">
      <alignment horizontal="center"/>
    </xf>
    <xf numFmtId="0" fontId="0" fillId="2" borderId="0" xfId="0" applyFill="1"/>
    <xf numFmtId="0" fontId="2" fillId="2" borderId="0" xfId="0" applyFont="1" applyFill="1"/>
    <xf numFmtId="0" fontId="5" fillId="2" borderId="0" xfId="0" applyFont="1" applyFill="1"/>
    <xf numFmtId="165" fontId="0" fillId="2" borderId="0" xfId="0" applyNumberFormat="1" applyFill="1" applyBorder="1" applyAlignment="1">
      <alignment horizontal="center"/>
    </xf>
    <xf numFmtId="167" fontId="0" fillId="2" borderId="0" xfId="0" applyNumberFormat="1" applyFill="1" applyBorder="1" applyAlignment="1">
      <alignment horizontal="center"/>
    </xf>
    <xf numFmtId="3" fontId="0" fillId="2" borderId="7" xfId="0" applyNumberFormat="1" applyFill="1" applyBorder="1" applyAlignment="1">
      <alignment horizontal="center"/>
    </xf>
    <xf numFmtId="165" fontId="0" fillId="2" borderId="7" xfId="0" applyNumberFormat="1" applyFill="1" applyBorder="1" applyAlignment="1">
      <alignment horizontal="center"/>
    </xf>
    <xf numFmtId="167" fontId="0" fillId="2" borderId="7" xfId="0" applyNumberFormat="1" applyFill="1" applyBorder="1" applyAlignment="1">
      <alignment horizontal="center"/>
    </xf>
    <xf numFmtId="0" fontId="0" fillId="2" borderId="0" xfId="0" applyFill="1" applyBorder="1"/>
    <xf numFmtId="0" fontId="2" fillId="6" borderId="1" xfId="0" applyFont="1" applyFill="1" applyBorder="1" applyAlignment="1">
      <alignment horizontal="center"/>
    </xf>
    <xf numFmtId="0" fontId="2" fillId="6" borderId="2" xfId="0" applyFont="1" applyFill="1" applyBorder="1" applyAlignment="1">
      <alignment horizontal="center"/>
    </xf>
    <xf numFmtId="0" fontId="2" fillId="6" borderId="3" xfId="0" applyFont="1" applyFill="1" applyBorder="1" applyAlignment="1">
      <alignment horizontal="center"/>
    </xf>
    <xf numFmtId="3" fontId="0" fillId="2" borderId="6" xfId="0" applyNumberFormat="1" applyFill="1" applyBorder="1" applyAlignment="1">
      <alignment horizontal="center"/>
    </xf>
    <xf numFmtId="164" fontId="0" fillId="2" borderId="6" xfId="3" applyNumberFormat="1" applyFont="1" applyFill="1" applyBorder="1" applyAlignment="1">
      <alignment horizontal="center"/>
    </xf>
    <xf numFmtId="164" fontId="0" fillId="2" borderId="7" xfId="3" applyNumberFormat="1" applyFont="1" applyFill="1" applyBorder="1" applyAlignment="1">
      <alignment horizontal="center"/>
    </xf>
    <xf numFmtId="164" fontId="0" fillId="2" borderId="8" xfId="3" applyNumberFormat="1" applyFont="1" applyFill="1" applyBorder="1" applyAlignment="1">
      <alignment horizontal="center"/>
    </xf>
    <xf numFmtId="3" fontId="0" fillId="2" borderId="0" xfId="0" applyNumberFormat="1" applyFill="1" applyBorder="1" applyAlignment="1">
      <alignment horizontal="left"/>
    </xf>
    <xf numFmtId="0" fontId="0" fillId="2" borderId="0" xfId="0" applyFill="1" applyBorder="1" applyAlignment="1">
      <alignment vertical="center" wrapText="1"/>
    </xf>
    <xf numFmtId="0" fontId="0" fillId="2" borderId="7" xfId="0" applyFill="1" applyBorder="1"/>
    <xf numFmtId="0" fontId="0" fillId="2" borderId="7" xfId="0" applyFill="1" applyBorder="1" applyAlignment="1">
      <alignment horizontal="left"/>
    </xf>
    <xf numFmtId="3" fontId="0" fillId="2" borderId="0" xfId="0" applyNumberFormat="1" applyFill="1" applyAlignment="1">
      <alignment horizontal="left"/>
    </xf>
    <xf numFmtId="165" fontId="2" fillId="2" borderId="0" xfId="0" applyNumberFormat="1" applyFont="1" applyFill="1" applyBorder="1" applyAlignment="1"/>
    <xf numFmtId="165" fontId="0" fillId="2" borderId="4" xfId="3" applyNumberFormat="1" applyFont="1" applyFill="1" applyBorder="1" applyAlignment="1">
      <alignment horizontal="center"/>
    </xf>
    <xf numFmtId="9" fontId="0" fillId="2" borderId="16" xfId="3" applyFont="1" applyFill="1" applyBorder="1" applyAlignment="1" applyProtection="1">
      <alignment horizontal="center" vertical="center"/>
      <protection locked="0"/>
    </xf>
    <xf numFmtId="9" fontId="0" fillId="5" borderId="16" xfId="3" applyFont="1" applyFill="1" applyBorder="1" applyAlignment="1" applyProtection="1">
      <alignment horizontal="center" vertical="center"/>
      <protection locked="0"/>
    </xf>
    <xf numFmtId="165" fontId="0" fillId="2" borderId="31" xfId="2" applyNumberFormat="1" applyFont="1" applyFill="1" applyBorder="1" applyAlignment="1" applyProtection="1">
      <alignment horizontal="center" vertical="center"/>
      <protection locked="0"/>
    </xf>
    <xf numFmtId="9" fontId="0" fillId="2" borderId="15" xfId="3" applyFont="1" applyFill="1" applyBorder="1" applyAlignment="1" applyProtection="1">
      <alignment horizontal="center" vertical="center"/>
      <protection locked="0"/>
    </xf>
    <xf numFmtId="165" fontId="0" fillId="2" borderId="29" xfId="2" applyNumberFormat="1" applyFont="1" applyFill="1" applyBorder="1" applyAlignment="1" applyProtection="1">
      <alignment horizontal="center" vertical="center"/>
      <protection locked="0"/>
    </xf>
    <xf numFmtId="0" fontId="0" fillId="2" borderId="30" xfId="0" applyFill="1" applyBorder="1" applyAlignment="1">
      <alignment vertical="center" wrapText="1"/>
    </xf>
    <xf numFmtId="9" fontId="0" fillId="2" borderId="16" xfId="3" applyFont="1" applyFill="1" applyBorder="1" applyAlignment="1" applyProtection="1">
      <alignment horizontal="center" vertical="center" wrapText="1"/>
      <protection locked="0"/>
    </xf>
    <xf numFmtId="9" fontId="0" fillId="2" borderId="17" xfId="3" applyFont="1" applyFill="1" applyBorder="1" applyAlignment="1" applyProtection="1">
      <alignment horizontal="center" vertical="center" wrapText="1"/>
      <protection locked="0"/>
    </xf>
    <xf numFmtId="165" fontId="0" fillId="2" borderId="12" xfId="0" applyNumberFormat="1" applyFill="1" applyBorder="1" applyAlignment="1" applyProtection="1">
      <alignment horizontal="center"/>
      <protection locked="0"/>
    </xf>
    <xf numFmtId="165" fontId="0" fillId="4" borderId="12" xfId="0" applyNumberFormat="1" applyFill="1" applyBorder="1" applyAlignment="1" applyProtection="1">
      <alignment horizontal="center"/>
      <protection locked="0"/>
    </xf>
    <xf numFmtId="0" fontId="0" fillId="2" borderId="30" xfId="0" applyFill="1" applyBorder="1"/>
    <xf numFmtId="0" fontId="0" fillId="2" borderId="32" xfId="0" applyFont="1" applyFill="1" applyBorder="1" applyAlignment="1">
      <alignment horizontal="left" vertical="center" wrapText="1"/>
    </xf>
    <xf numFmtId="0" fontId="0" fillId="4" borderId="28" xfId="0" applyFill="1" applyBorder="1"/>
    <xf numFmtId="0" fontId="0" fillId="4" borderId="15" xfId="0" applyFill="1" applyBorder="1"/>
    <xf numFmtId="0" fontId="0" fillId="4" borderId="30" xfId="0" applyFill="1" applyBorder="1"/>
    <xf numFmtId="0" fontId="0" fillId="4" borderId="16" xfId="0" applyFill="1" applyBorder="1"/>
    <xf numFmtId="0" fontId="0" fillId="4" borderId="30" xfId="0" applyFill="1" applyBorder="1" applyAlignment="1">
      <alignment horizontal="center" vertical="center" wrapText="1"/>
    </xf>
    <xf numFmtId="0" fontId="0" fillId="4" borderId="16" xfId="0" applyFill="1" applyBorder="1" applyAlignment="1">
      <alignment horizontal="center" vertical="center" wrapText="1"/>
    </xf>
    <xf numFmtId="9" fontId="0" fillId="4" borderId="16" xfId="3" applyFont="1" applyFill="1" applyBorder="1" applyAlignment="1" applyProtection="1">
      <alignment horizontal="center" vertical="center" wrapText="1"/>
      <protection locked="0"/>
    </xf>
    <xf numFmtId="165" fontId="0" fillId="4" borderId="31" xfId="0" applyNumberFormat="1" applyFill="1" applyBorder="1" applyAlignment="1" applyProtection="1">
      <alignment horizontal="center" vertical="center" wrapText="1"/>
      <protection locked="0"/>
    </xf>
    <xf numFmtId="0" fontId="0" fillId="4" borderId="32" xfId="0" applyFill="1" applyBorder="1" applyAlignment="1">
      <alignment horizontal="center" vertical="center" wrapText="1"/>
    </xf>
    <xf numFmtId="0" fontId="0" fillId="4" borderId="17" xfId="0" applyFill="1" applyBorder="1" applyAlignment="1">
      <alignment horizontal="center" vertical="center" wrapText="1"/>
    </xf>
    <xf numFmtId="9" fontId="0" fillId="4" borderId="17" xfId="3" applyFont="1" applyFill="1" applyBorder="1" applyAlignment="1" applyProtection="1">
      <alignment horizontal="center" vertical="center" wrapText="1"/>
      <protection locked="0"/>
    </xf>
    <xf numFmtId="165" fontId="0" fillId="4" borderId="33" xfId="0" applyNumberFormat="1" applyFill="1" applyBorder="1" applyAlignment="1" applyProtection="1">
      <alignment horizontal="center" vertical="center" wrapText="1"/>
      <protection locked="0"/>
    </xf>
    <xf numFmtId="0" fontId="0" fillId="4" borderId="34" xfId="0" applyFill="1" applyBorder="1"/>
    <xf numFmtId="0" fontId="0" fillId="4" borderId="35" xfId="0" applyFill="1" applyBorder="1"/>
    <xf numFmtId="9" fontId="0" fillId="4" borderId="25" xfId="3" applyFont="1" applyFill="1" applyBorder="1" applyAlignment="1" applyProtection="1">
      <alignment horizontal="center"/>
      <protection locked="0"/>
    </xf>
    <xf numFmtId="9" fontId="0" fillId="4" borderId="20" xfId="3" applyFont="1" applyFill="1" applyBorder="1" applyAlignment="1" applyProtection="1">
      <alignment horizontal="center"/>
      <protection locked="0"/>
    </xf>
    <xf numFmtId="0" fontId="0" fillId="2" borderId="30" xfId="0" applyFill="1" applyBorder="1" applyAlignment="1">
      <alignment wrapText="1"/>
    </xf>
    <xf numFmtId="165" fontId="0" fillId="5" borderId="31" xfId="2" applyNumberFormat="1" applyFont="1" applyFill="1" applyBorder="1" applyAlignment="1" applyProtection="1">
      <alignment horizontal="center" vertical="center"/>
      <protection locked="0"/>
    </xf>
    <xf numFmtId="9" fontId="0" fillId="4" borderId="0" xfId="3" applyFont="1" applyFill="1" applyBorder="1" applyAlignment="1">
      <alignment horizontal="center" vertical="center"/>
    </xf>
    <xf numFmtId="165" fontId="0" fillId="4" borderId="27" xfId="0" applyNumberFormat="1" applyFill="1" applyBorder="1" applyAlignment="1">
      <alignment horizontal="center" vertical="center"/>
    </xf>
    <xf numFmtId="165" fontId="0" fillId="2" borderId="29" xfId="0" applyNumberFormat="1" applyFill="1" applyBorder="1" applyAlignment="1" applyProtection="1">
      <alignment horizontal="center" vertical="center"/>
      <protection locked="0"/>
    </xf>
    <xf numFmtId="165" fontId="0" fillId="2" borderId="31" xfId="0" applyNumberFormat="1" applyFill="1" applyBorder="1" applyAlignment="1" applyProtection="1">
      <alignment horizontal="center" vertical="center"/>
      <protection locked="0"/>
    </xf>
    <xf numFmtId="9" fontId="0" fillId="2" borderId="35" xfId="3" applyFont="1" applyFill="1" applyBorder="1" applyAlignment="1" applyProtection="1">
      <alignment horizontal="center" vertical="center"/>
      <protection locked="0"/>
    </xf>
    <xf numFmtId="165" fontId="0" fillId="2" borderId="36" xfId="0" applyNumberFormat="1" applyFill="1" applyBorder="1" applyAlignment="1" applyProtection="1">
      <alignment horizontal="center" vertical="center"/>
      <protection locked="0"/>
    </xf>
    <xf numFmtId="9" fontId="0" fillId="4" borderId="15" xfId="3" applyFont="1" applyFill="1" applyBorder="1" applyAlignment="1" applyProtection="1">
      <alignment horizontal="center" vertical="center"/>
      <protection locked="0"/>
    </xf>
    <xf numFmtId="165" fontId="0" fillId="4" borderId="29" xfId="2" applyNumberFormat="1" applyFont="1" applyFill="1" applyBorder="1" applyAlignment="1" applyProtection="1">
      <alignment horizontal="center" vertical="center"/>
      <protection locked="0"/>
    </xf>
    <xf numFmtId="9" fontId="0" fillId="4" borderId="16" xfId="3" applyFont="1" applyFill="1" applyBorder="1" applyAlignment="1" applyProtection="1">
      <alignment horizontal="center" vertical="center"/>
      <protection locked="0"/>
    </xf>
    <xf numFmtId="165" fontId="0" fillId="4" borderId="31" xfId="2" applyNumberFormat="1" applyFont="1" applyFill="1" applyBorder="1" applyAlignment="1" applyProtection="1">
      <alignment horizontal="center" vertical="center"/>
      <protection locked="0"/>
    </xf>
    <xf numFmtId="165" fontId="0" fillId="4" borderId="29" xfId="0" applyNumberFormat="1" applyFill="1" applyBorder="1" applyAlignment="1" applyProtection="1">
      <alignment horizontal="center" vertical="center"/>
      <protection locked="0"/>
    </xf>
    <xf numFmtId="165" fontId="0" fillId="4" borderId="31" xfId="0" applyNumberFormat="1" applyFill="1" applyBorder="1" applyAlignment="1" applyProtection="1">
      <alignment horizontal="center" vertical="center"/>
      <protection locked="0"/>
    </xf>
    <xf numFmtId="9" fontId="0" fillId="4" borderId="35" xfId="3" applyFont="1" applyFill="1" applyBorder="1" applyAlignment="1" applyProtection="1">
      <alignment horizontal="center" vertical="center"/>
      <protection locked="0"/>
    </xf>
    <xf numFmtId="165" fontId="0" fillId="4" borderId="36" xfId="0" applyNumberFormat="1" applyFill="1" applyBorder="1" applyAlignment="1" applyProtection="1">
      <alignment horizontal="center" vertical="center"/>
      <protection locked="0"/>
    </xf>
    <xf numFmtId="165" fontId="0" fillId="2" borderId="0" xfId="0" applyNumberFormat="1" applyFill="1" applyBorder="1" applyAlignment="1" applyProtection="1">
      <alignment horizontal="center"/>
      <protection locked="0"/>
    </xf>
    <xf numFmtId="165" fontId="0" fillId="4" borderId="14" xfId="0" applyNumberFormat="1" applyFill="1" applyBorder="1" applyAlignment="1" applyProtection="1">
      <alignment horizontal="center"/>
      <protection locked="0"/>
    </xf>
    <xf numFmtId="165" fontId="0" fillId="2" borderId="0" xfId="0" applyNumberFormat="1" applyFill="1" applyBorder="1" applyAlignment="1" applyProtection="1">
      <alignment horizontal="center" vertical="center"/>
      <protection locked="0"/>
    </xf>
    <xf numFmtId="9" fontId="0" fillId="2" borderId="0" xfId="3" applyFont="1" applyFill="1" applyBorder="1" applyAlignment="1" applyProtection="1">
      <alignment horizontal="center"/>
      <protection locked="0"/>
    </xf>
    <xf numFmtId="0" fontId="0" fillId="4" borderId="26" xfId="0" applyFill="1" applyBorder="1" applyAlignment="1">
      <alignment horizontal="center" vertical="center" wrapText="1"/>
    </xf>
    <xf numFmtId="0" fontId="0" fillId="4" borderId="0" xfId="0" applyFill="1" applyBorder="1" applyAlignment="1">
      <alignment horizontal="center" vertical="center" wrapText="1"/>
    </xf>
    <xf numFmtId="0" fontId="0" fillId="4" borderId="30" xfId="0" applyFill="1" applyBorder="1" applyAlignment="1">
      <alignment horizontal="center"/>
    </xf>
    <xf numFmtId="0" fontId="0" fillId="4" borderId="16" xfId="0" applyFill="1" applyBorder="1" applyAlignment="1">
      <alignment horizontal="center"/>
    </xf>
    <xf numFmtId="9" fontId="0" fillId="4" borderId="16" xfId="3" applyFont="1" applyFill="1" applyBorder="1" applyAlignment="1" applyProtection="1">
      <alignment horizontal="center" vertical="center"/>
    </xf>
    <xf numFmtId="165" fontId="0" fillId="4" borderId="31" xfId="2" applyNumberFormat="1" applyFont="1" applyFill="1" applyBorder="1" applyAlignment="1" applyProtection="1">
      <alignment horizontal="center" vertical="center"/>
    </xf>
    <xf numFmtId="0" fontId="0" fillId="4" borderId="26" xfId="0" applyFill="1" applyBorder="1"/>
    <xf numFmtId="0" fontId="0" fillId="4" borderId="0" xfId="0" applyFill="1" applyBorder="1"/>
    <xf numFmtId="0" fontId="7" fillId="2" borderId="0" xfId="0" applyFont="1" applyFill="1"/>
    <xf numFmtId="0" fontId="0" fillId="2" borderId="18" xfId="0" applyFill="1" applyBorder="1"/>
    <xf numFmtId="0" fontId="0" fillId="2" borderId="19" xfId="0" applyFill="1" applyBorder="1"/>
    <xf numFmtId="9" fontId="0" fillId="2" borderId="19" xfId="3" applyFont="1" applyFill="1" applyBorder="1" applyAlignment="1" applyProtection="1">
      <alignment horizontal="center" vertical="center"/>
      <protection locked="0"/>
    </xf>
    <xf numFmtId="165" fontId="0" fillId="2" borderId="20" xfId="0" applyNumberFormat="1" applyFill="1" applyBorder="1" applyAlignment="1" applyProtection="1">
      <alignment horizontal="center" vertical="center"/>
      <protection locked="0"/>
    </xf>
    <xf numFmtId="0" fontId="0" fillId="4" borderId="18" xfId="0" applyFill="1" applyBorder="1"/>
    <xf numFmtId="0" fontId="0" fillId="4" borderId="19" xfId="0" applyFill="1" applyBorder="1"/>
    <xf numFmtId="9" fontId="0" fillId="4" borderId="19" xfId="3" applyFont="1" applyFill="1" applyBorder="1" applyAlignment="1" applyProtection="1">
      <alignment horizontal="center" vertical="center"/>
      <protection locked="0"/>
    </xf>
    <xf numFmtId="0" fontId="2" fillId="3" borderId="11" xfId="0" applyFont="1" applyFill="1" applyBorder="1" applyAlignment="1">
      <alignment horizontal="center"/>
    </xf>
    <xf numFmtId="0" fontId="2" fillId="3" borderId="12" xfId="0" applyFont="1" applyFill="1" applyBorder="1" applyAlignment="1">
      <alignment horizontal="center"/>
    </xf>
    <xf numFmtId="0" fontId="0" fillId="2" borderId="3" xfId="0" applyFill="1" applyBorder="1"/>
    <xf numFmtId="0" fontId="0" fillId="2" borderId="10" xfId="0" applyFill="1" applyBorder="1"/>
    <xf numFmtId="9" fontId="0" fillId="2" borderId="0" xfId="3" applyFont="1" applyFill="1" applyBorder="1" applyAlignment="1" applyProtection="1">
      <alignment horizontal="center" vertical="center"/>
      <protection locked="0"/>
    </xf>
    <xf numFmtId="0" fontId="0" fillId="2" borderId="1" xfId="0" applyFill="1" applyBorder="1" applyAlignment="1">
      <alignment horizontal="right"/>
    </xf>
    <xf numFmtId="0" fontId="0" fillId="2" borderId="11" xfId="0" applyFill="1" applyBorder="1" applyAlignment="1">
      <alignment horizontal="right"/>
    </xf>
    <xf numFmtId="0" fontId="0" fillId="2" borderId="6" xfId="0" applyFill="1" applyBorder="1" applyAlignment="1">
      <alignment horizontal="right"/>
    </xf>
    <xf numFmtId="0" fontId="6" fillId="2" borderId="0" xfId="4" applyFill="1" applyBorder="1">
      <alignment vertical="top"/>
    </xf>
    <xf numFmtId="0" fontId="0" fillId="2" borderId="0" xfId="0" applyFill="1" applyAlignment="1">
      <alignment vertical="center"/>
    </xf>
    <xf numFmtId="0" fontId="0" fillId="2" borderId="0" xfId="0" applyFill="1" applyAlignment="1">
      <alignment horizontal="right" vertical="center"/>
    </xf>
    <xf numFmtId="168" fontId="0" fillId="2" borderId="4" xfId="1" applyNumberFormat="1" applyFont="1" applyFill="1" applyBorder="1" applyAlignment="1">
      <alignment horizontal="center"/>
    </xf>
    <xf numFmtId="168" fontId="0" fillId="2" borderId="0" xfId="1" applyNumberFormat="1" applyFont="1" applyFill="1" applyBorder="1" applyAlignment="1">
      <alignment horizontal="center"/>
    </xf>
    <xf numFmtId="168" fontId="0" fillId="2" borderId="5" xfId="1" applyNumberFormat="1" applyFont="1" applyFill="1" applyBorder="1" applyAlignment="1">
      <alignment horizontal="center"/>
    </xf>
    <xf numFmtId="168" fontId="0" fillId="2" borderId="6" xfId="1" applyNumberFormat="1" applyFont="1" applyFill="1" applyBorder="1" applyAlignment="1">
      <alignment horizontal="center"/>
    </xf>
    <xf numFmtId="168" fontId="0" fillId="2" borderId="7" xfId="1" applyNumberFormat="1" applyFont="1" applyFill="1" applyBorder="1" applyAlignment="1">
      <alignment horizontal="center"/>
    </xf>
    <xf numFmtId="168" fontId="0" fillId="2" borderId="8" xfId="1" applyNumberFormat="1" applyFont="1" applyFill="1" applyBorder="1" applyAlignment="1">
      <alignment horizontal="center"/>
    </xf>
    <xf numFmtId="165" fontId="0" fillId="2" borderId="6" xfId="3" applyNumberFormat="1" applyFont="1" applyFill="1" applyBorder="1" applyAlignment="1">
      <alignment horizontal="center"/>
    </xf>
    <xf numFmtId="0" fontId="0" fillId="2" borderId="0" xfId="0" applyFill="1" applyProtection="1"/>
    <xf numFmtId="0" fontId="0" fillId="2" borderId="0" xfId="0" applyFill="1" applyProtection="1">
      <protection locked="0"/>
    </xf>
    <xf numFmtId="0" fontId="4" fillId="2" borderId="0" xfId="0" applyFont="1" applyFill="1" applyProtection="1">
      <protection locked="0"/>
    </xf>
    <xf numFmtId="166" fontId="0" fillId="2" borderId="5" xfId="0" applyNumberFormat="1" applyFill="1" applyBorder="1" applyAlignment="1" applyProtection="1">
      <alignment horizontal="center" vertical="center"/>
      <protection locked="0"/>
    </xf>
    <xf numFmtId="0" fontId="0" fillId="2" borderId="8" xfId="0" applyFill="1" applyBorder="1" applyAlignment="1" applyProtection="1">
      <alignment horizontal="center" vertical="center"/>
      <protection locked="0"/>
    </xf>
    <xf numFmtId="0" fontId="0" fillId="2" borderId="8" xfId="0" applyFill="1" applyBorder="1" applyAlignment="1" applyProtection="1">
      <alignment horizontal="center"/>
      <protection locked="0"/>
    </xf>
    <xf numFmtId="0" fontId="9" fillId="7" borderId="41" xfId="0" applyFont="1" applyFill="1" applyBorder="1" applyAlignment="1">
      <alignment vertical="center" wrapText="1"/>
    </xf>
    <xf numFmtId="0" fontId="0" fillId="0" borderId="0" xfId="0" applyAlignment="1">
      <alignment vertical="center" wrapText="1"/>
    </xf>
    <xf numFmtId="0" fontId="10" fillId="0" borderId="42" xfId="0" applyFont="1" applyBorder="1" applyAlignment="1">
      <alignment vertical="center" wrapText="1"/>
    </xf>
    <xf numFmtId="0" fontId="11" fillId="0" borderId="0" xfId="0" applyFont="1" applyAlignment="1">
      <alignment vertical="center" wrapText="1"/>
    </xf>
    <xf numFmtId="0" fontId="12" fillId="0" borderId="0" xfId="0" applyFont="1" applyAlignment="1">
      <alignment horizontal="left" vertical="center" wrapText="1"/>
    </xf>
    <xf numFmtId="0" fontId="0" fillId="0" borderId="0" xfId="0" applyAlignment="1">
      <alignment horizontal="left" vertical="center" wrapText="1"/>
    </xf>
    <xf numFmtId="0" fontId="8" fillId="0" borderId="0" xfId="0" applyFont="1" applyAlignment="1">
      <alignment vertical="center" wrapText="1"/>
    </xf>
    <xf numFmtId="0" fontId="0" fillId="0" borderId="0" xfId="0" applyAlignment="1">
      <alignment wrapText="1"/>
    </xf>
    <xf numFmtId="0" fontId="0" fillId="2" borderId="11" xfId="0" applyFill="1" applyBorder="1" applyAlignment="1">
      <alignment horizontal="right" wrapText="1"/>
    </xf>
    <xf numFmtId="165" fontId="0" fillId="4" borderId="31" xfId="0" applyNumberFormat="1" applyFill="1" applyBorder="1" applyAlignment="1" applyProtection="1">
      <alignment horizontal="center" vertical="center" wrapText="1"/>
    </xf>
    <xf numFmtId="165" fontId="0" fillId="4" borderId="33" xfId="0" applyNumberFormat="1" applyFill="1" applyBorder="1" applyAlignment="1" applyProtection="1">
      <alignment horizontal="center" vertical="center" wrapText="1"/>
    </xf>
    <xf numFmtId="0" fontId="0" fillId="4" borderId="0" xfId="0" applyFill="1"/>
    <xf numFmtId="166" fontId="2" fillId="3" borderId="11" xfId="0" applyNumberFormat="1" applyFont="1" applyFill="1" applyBorder="1" applyAlignment="1">
      <alignment horizontal="center" vertical="center" wrapText="1"/>
    </xf>
    <xf numFmtId="165" fontId="2" fillId="3" borderId="11" xfId="0" applyNumberFormat="1"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0" xfId="0" applyFont="1" applyFill="1" applyBorder="1" applyAlignment="1">
      <alignment horizontal="center" vertical="center" wrapText="1"/>
    </xf>
    <xf numFmtId="166" fontId="0" fillId="2" borderId="11" xfId="0" applyNumberFormat="1" applyFill="1" applyBorder="1" applyAlignment="1">
      <alignment horizontal="center"/>
    </xf>
    <xf numFmtId="3" fontId="0" fillId="2" borderId="9" xfId="0" applyNumberFormat="1" applyFill="1" applyBorder="1" applyAlignment="1">
      <alignment horizontal="center"/>
    </xf>
    <xf numFmtId="165" fontId="0" fillId="2" borderId="11" xfId="0" applyNumberFormat="1" applyFill="1" applyBorder="1" applyAlignment="1">
      <alignment horizontal="center"/>
    </xf>
    <xf numFmtId="165" fontId="0" fillId="2" borderId="9" xfId="0" applyNumberFormat="1" applyFill="1" applyBorder="1" applyAlignment="1">
      <alignment horizontal="center"/>
    </xf>
    <xf numFmtId="167" fontId="0" fillId="2" borderId="9" xfId="0" applyNumberFormat="1" applyFill="1" applyBorder="1" applyAlignment="1">
      <alignment horizontal="center"/>
    </xf>
    <xf numFmtId="9" fontId="0" fillId="2" borderId="9" xfId="3" applyFont="1" applyFill="1" applyBorder="1" applyAlignment="1">
      <alignment horizontal="center"/>
    </xf>
    <xf numFmtId="2" fontId="0" fillId="2" borderId="9" xfId="3" applyNumberFormat="1" applyFont="1" applyFill="1" applyBorder="1" applyAlignment="1">
      <alignment horizontal="center"/>
    </xf>
    <xf numFmtId="165" fontId="0" fillId="2" borderId="9" xfId="3" applyNumberFormat="1" applyFont="1" applyFill="1" applyBorder="1" applyAlignment="1">
      <alignment horizontal="center"/>
    </xf>
    <xf numFmtId="0" fontId="0" fillId="2" borderId="9" xfId="0" applyFill="1" applyBorder="1" applyAlignment="1">
      <alignment horizontal="center"/>
    </xf>
    <xf numFmtId="167" fontId="0" fillId="2" borderId="10" xfId="0" applyNumberFormat="1" applyFill="1" applyBorder="1" applyAlignment="1">
      <alignment horizontal="center"/>
    </xf>
    <xf numFmtId="164" fontId="0" fillId="2" borderId="9" xfId="3" applyNumberFormat="1" applyFont="1" applyFill="1" applyBorder="1" applyAlignment="1">
      <alignment horizontal="center"/>
    </xf>
    <xf numFmtId="164" fontId="0" fillId="2" borderId="11" xfId="3" applyNumberFormat="1" applyFont="1" applyFill="1" applyBorder="1" applyAlignment="1">
      <alignment horizontal="center"/>
    </xf>
    <xf numFmtId="2" fontId="0" fillId="2" borderId="10" xfId="3" applyNumberFormat="1" applyFont="1" applyFill="1" applyBorder="1" applyAlignment="1">
      <alignment horizontal="center"/>
    </xf>
    <xf numFmtId="168" fontId="0" fillId="2" borderId="11" xfId="1" applyNumberFormat="1" applyFont="1" applyFill="1" applyBorder="1" applyAlignment="1">
      <alignment horizontal="center"/>
    </xf>
    <xf numFmtId="168" fontId="0" fillId="2" borderId="9" xfId="1" applyNumberFormat="1" applyFont="1" applyFill="1" applyBorder="1" applyAlignment="1">
      <alignment horizontal="center"/>
    </xf>
    <xf numFmtId="168" fontId="0" fillId="2" borderId="10" xfId="1" applyNumberFormat="1" applyFont="1" applyFill="1" applyBorder="1" applyAlignment="1">
      <alignment horizontal="center"/>
    </xf>
    <xf numFmtId="165" fontId="0" fillId="2" borderId="11" xfId="3" applyNumberFormat="1" applyFont="1" applyFill="1" applyBorder="1" applyAlignment="1">
      <alignment horizontal="center"/>
    </xf>
    <xf numFmtId="0" fontId="0" fillId="4" borderId="45"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29" xfId="0" applyFill="1" applyBorder="1"/>
    <xf numFmtId="0" fontId="0" fillId="4" borderId="31" xfId="0" applyFill="1" applyBorder="1"/>
    <xf numFmtId="0" fontId="0" fillId="4" borderId="31" xfId="0" applyFill="1" applyBorder="1" applyAlignment="1">
      <alignment horizontal="center" vertical="center" wrapText="1"/>
    </xf>
    <xf numFmtId="0" fontId="0" fillId="4" borderId="33" xfId="0" applyFill="1" applyBorder="1" applyAlignment="1">
      <alignment horizontal="center" vertical="center" wrapText="1"/>
    </xf>
    <xf numFmtId="0" fontId="0" fillId="4" borderId="45" xfId="0" applyFill="1" applyBorder="1"/>
    <xf numFmtId="0" fontId="0" fillId="4" borderId="46" xfId="0" applyFill="1" applyBorder="1"/>
    <xf numFmtId="0" fontId="0" fillId="4" borderId="36" xfId="0" applyFill="1" applyBorder="1"/>
    <xf numFmtId="10" fontId="0" fillId="2" borderId="13" xfId="0" applyNumberFormat="1" applyFill="1" applyBorder="1" applyAlignment="1" applyProtection="1">
      <alignment horizontal="center"/>
      <protection locked="0"/>
    </xf>
    <xf numFmtId="165" fontId="0" fillId="2" borderId="14" xfId="0" applyNumberFormat="1" applyFill="1" applyBorder="1" applyAlignment="1" applyProtection="1">
      <alignment horizontal="center"/>
      <protection locked="0"/>
    </xf>
    <xf numFmtId="165" fontId="0" fillId="4" borderId="11" xfId="0" applyNumberFormat="1" applyFill="1" applyBorder="1" applyAlignment="1" applyProtection="1">
      <alignment horizontal="center"/>
      <protection locked="0"/>
    </xf>
    <xf numFmtId="10" fontId="0" fillId="4" borderId="6" xfId="3" applyNumberFormat="1" applyFont="1" applyFill="1" applyBorder="1" applyAlignment="1" applyProtection="1">
      <alignment horizontal="center"/>
      <protection locked="0"/>
    </xf>
    <xf numFmtId="10" fontId="0" fillId="4" borderId="13" xfId="3" applyNumberFormat="1" applyFont="1" applyFill="1" applyBorder="1" applyAlignment="1" applyProtection="1">
      <alignment horizontal="center"/>
      <protection locked="0"/>
    </xf>
    <xf numFmtId="0" fontId="0" fillId="0" borderId="0" xfId="0" applyFont="1" applyAlignment="1">
      <alignment vertical="center" wrapText="1"/>
    </xf>
    <xf numFmtId="0" fontId="11" fillId="0" borderId="0" xfId="0" applyFont="1" applyAlignment="1">
      <alignment wrapText="1"/>
    </xf>
    <xf numFmtId="0" fontId="0" fillId="0" borderId="0" xfId="0" applyFont="1" applyAlignment="1">
      <alignment wrapText="1"/>
    </xf>
    <xf numFmtId="165" fontId="0" fillId="4" borderId="20" xfId="0" applyNumberFormat="1" applyFill="1" applyBorder="1" applyAlignment="1" applyProtection="1">
      <alignment horizontal="center" vertical="center"/>
      <protection locked="0"/>
    </xf>
    <xf numFmtId="0" fontId="17" fillId="2" borderId="0" xfId="0" applyFont="1" applyFill="1"/>
    <xf numFmtId="0" fontId="18" fillId="2" borderId="37" xfId="0" applyFont="1" applyFill="1" applyBorder="1" applyAlignment="1">
      <alignment horizontal="left" vertical="center" indent="5"/>
    </xf>
    <xf numFmtId="0" fontId="17" fillId="2" borderId="38" xfId="0" applyFont="1" applyFill="1" applyBorder="1"/>
    <xf numFmtId="0" fontId="18" fillId="2" borderId="38" xfId="0" applyFont="1" applyFill="1" applyBorder="1"/>
    <xf numFmtId="0" fontId="18" fillId="2" borderId="39" xfId="0" applyFont="1" applyFill="1" applyBorder="1" applyAlignment="1">
      <alignment horizontal="right"/>
    </xf>
    <xf numFmtId="0" fontId="18" fillId="2" borderId="18" xfId="0" applyFont="1" applyFill="1" applyBorder="1" applyAlignment="1">
      <alignment horizontal="left" vertical="center" indent="5"/>
    </xf>
    <xf numFmtId="0" fontId="17" fillId="2" borderId="19" xfId="0" applyFont="1" applyFill="1" applyBorder="1"/>
    <xf numFmtId="0" fontId="17" fillId="2" borderId="20" xfId="0" applyFont="1" applyFill="1" applyBorder="1"/>
    <xf numFmtId="0" fontId="17" fillId="2" borderId="0" xfId="0" applyFont="1" applyFill="1" applyAlignment="1">
      <alignment horizontal="center" vertical="center"/>
    </xf>
    <xf numFmtId="0" fontId="19" fillId="2" borderId="37" xfId="0" applyFont="1" applyFill="1" applyBorder="1" applyAlignment="1">
      <alignment horizontal="left" indent="5"/>
    </xf>
    <xf numFmtId="0" fontId="17" fillId="2" borderId="38" xfId="0" applyFont="1" applyFill="1" applyBorder="1" applyAlignment="1">
      <alignment horizontal="center"/>
    </xf>
    <xf numFmtId="0" fontId="19" fillId="2" borderId="47" xfId="0" applyFont="1" applyFill="1" applyBorder="1" applyAlignment="1">
      <alignment horizontal="centerContinuous"/>
    </xf>
    <xf numFmtId="0" fontId="19" fillId="2" borderId="38" xfId="0" applyFont="1" applyFill="1" applyBorder="1" applyAlignment="1">
      <alignment horizontal="centerContinuous"/>
    </xf>
    <xf numFmtId="0" fontId="19" fillId="2" borderId="47" xfId="0" applyFont="1" applyFill="1" applyBorder="1" applyAlignment="1">
      <alignment horizontal="left" indent="2"/>
    </xf>
    <xf numFmtId="0" fontId="19" fillId="2" borderId="39" xfId="0" applyFont="1" applyFill="1" applyBorder="1" applyAlignment="1">
      <alignment horizontal="centerContinuous"/>
    </xf>
    <xf numFmtId="0" fontId="20" fillId="2" borderId="37" xfId="0" applyNumberFormat="1" applyFont="1" applyFill="1" applyBorder="1" applyAlignment="1">
      <alignment horizontal="centerContinuous"/>
    </xf>
    <xf numFmtId="0" fontId="17" fillId="2" borderId="39" xfId="0" applyNumberFormat="1" applyFont="1" applyFill="1" applyBorder="1" applyAlignment="1">
      <alignment horizontal="centerContinuous"/>
    </xf>
    <xf numFmtId="0" fontId="17" fillId="2" borderId="26" xfId="0" applyFont="1" applyFill="1" applyBorder="1"/>
    <xf numFmtId="0" fontId="19" fillId="2" borderId="48" xfId="0" applyFont="1" applyFill="1" applyBorder="1" applyAlignment="1">
      <alignment horizontal="center"/>
    </xf>
    <xf numFmtId="0" fontId="19" fillId="2" borderId="0" xfId="0" applyFont="1" applyFill="1" applyBorder="1" applyAlignment="1">
      <alignment horizontal="center"/>
    </xf>
    <xf numFmtId="0" fontId="19" fillId="2" borderId="48" xfId="0" applyFont="1" applyFill="1" applyBorder="1" applyAlignment="1">
      <alignment horizontal="right"/>
    </xf>
    <xf numFmtId="0" fontId="19" fillId="2" borderId="27" xfId="0" applyFont="1" applyFill="1" applyBorder="1" applyAlignment="1">
      <alignment horizontal="left"/>
    </xf>
    <xf numFmtId="0" fontId="17" fillId="2" borderId="27" xfId="0" applyFont="1" applyFill="1" applyBorder="1"/>
    <xf numFmtId="0" fontId="17" fillId="8" borderId="26" xfId="0" applyFont="1" applyFill="1" applyBorder="1"/>
    <xf numFmtId="0" fontId="22" fillId="9" borderId="48" xfId="0" applyFont="1" applyFill="1" applyBorder="1"/>
    <xf numFmtId="6" fontId="22" fillId="9" borderId="27" xfId="0" applyNumberFormat="1" applyFont="1" applyFill="1" applyBorder="1" applyAlignment="1">
      <alignment horizontal="center"/>
    </xf>
    <xf numFmtId="0" fontId="22" fillId="9" borderId="0" xfId="0" applyFont="1" applyFill="1" applyBorder="1"/>
    <xf numFmtId="0" fontId="22" fillId="9" borderId="19" xfId="0" applyFont="1" applyFill="1" applyBorder="1"/>
    <xf numFmtId="6" fontId="22" fillId="9" borderId="20" xfId="0" applyNumberFormat="1" applyFont="1" applyFill="1" applyBorder="1" applyAlignment="1">
      <alignment horizontal="center"/>
    </xf>
    <xf numFmtId="0" fontId="23" fillId="2" borderId="0" xfId="0" applyFont="1" applyFill="1"/>
    <xf numFmtId="0" fontId="17" fillId="2" borderId="52" xfId="0" applyFont="1" applyFill="1" applyBorder="1"/>
    <xf numFmtId="0" fontId="22" fillId="9" borderId="38" xfId="0" applyFont="1" applyFill="1" applyBorder="1"/>
    <xf numFmtId="6" fontId="22" fillId="9" borderId="39" xfId="0" applyNumberFormat="1" applyFont="1" applyFill="1" applyBorder="1" applyAlignment="1">
      <alignment horizontal="center"/>
    </xf>
    <xf numFmtId="0" fontId="22" fillId="9" borderId="39" xfId="0" applyFont="1" applyFill="1" applyBorder="1" applyAlignment="1">
      <alignment horizontal="center"/>
    </xf>
    <xf numFmtId="0" fontId="22" fillId="9" borderId="27" xfId="0" applyFont="1" applyFill="1" applyBorder="1" applyAlignment="1">
      <alignment horizontal="center"/>
    </xf>
    <xf numFmtId="0" fontId="22" fillId="9" borderId="20" xfId="0" applyFont="1" applyFill="1" applyBorder="1" applyAlignment="1">
      <alignment horizontal="center"/>
    </xf>
    <xf numFmtId="0" fontId="17" fillId="8" borderId="18" xfId="0" applyFont="1" applyFill="1" applyBorder="1"/>
    <xf numFmtId="0" fontId="24" fillId="0" borderId="0" xfId="0" applyFont="1"/>
    <xf numFmtId="0" fontId="25" fillId="0" borderId="0" xfId="0" applyFont="1"/>
    <xf numFmtId="0" fontId="26" fillId="0" borderId="0" xfId="0" applyFont="1"/>
    <xf numFmtId="0" fontId="0" fillId="0" borderId="0" xfId="0" applyFont="1"/>
    <xf numFmtId="3" fontId="0" fillId="10" borderId="54" xfId="0" applyNumberFormat="1" applyFill="1" applyBorder="1" applyAlignment="1">
      <alignment horizontal="center"/>
    </xf>
    <xf numFmtId="165" fontId="0" fillId="10" borderId="55" xfId="0" applyNumberFormat="1" applyFill="1" applyBorder="1" applyAlignment="1">
      <alignment horizontal="center"/>
    </xf>
    <xf numFmtId="164" fontId="0" fillId="10" borderId="55" xfId="0" applyNumberFormat="1" applyFill="1" applyBorder="1" applyAlignment="1">
      <alignment horizontal="center"/>
    </xf>
    <xf numFmtId="164" fontId="0" fillId="10" borderId="56" xfId="0" applyNumberFormat="1" applyFill="1" applyBorder="1" applyAlignment="1">
      <alignment horizontal="center"/>
    </xf>
    <xf numFmtId="166" fontId="0" fillId="10" borderId="37" xfId="0" applyNumberFormat="1" applyFill="1" applyBorder="1" applyAlignment="1">
      <alignment horizontal="center" wrapText="1"/>
    </xf>
    <xf numFmtId="166" fontId="0" fillId="10" borderId="38" xfId="0" applyNumberFormat="1" applyFill="1" applyBorder="1" applyAlignment="1">
      <alignment horizontal="center" wrapText="1"/>
    </xf>
    <xf numFmtId="166" fontId="0" fillId="10" borderId="39" xfId="0" applyNumberFormat="1" applyFill="1" applyBorder="1" applyAlignment="1">
      <alignment horizontal="center" wrapText="1"/>
    </xf>
    <xf numFmtId="166" fontId="0" fillId="11" borderId="26" xfId="0" applyNumberFormat="1" applyFill="1" applyBorder="1" applyAlignment="1">
      <alignment horizontal="center"/>
    </xf>
    <xf numFmtId="166" fontId="0" fillId="11" borderId="0" xfId="0" applyNumberFormat="1" applyFill="1" applyBorder="1" applyAlignment="1">
      <alignment horizontal="center"/>
    </xf>
    <xf numFmtId="166" fontId="0" fillId="11" borderId="27" xfId="0" applyNumberFormat="1" applyFill="1" applyBorder="1" applyAlignment="1">
      <alignment horizontal="center"/>
    </xf>
    <xf numFmtId="166" fontId="0" fillId="10" borderId="26" xfId="0" applyNumberFormat="1" applyFill="1" applyBorder="1" applyAlignment="1">
      <alignment horizontal="center"/>
    </xf>
    <xf numFmtId="166" fontId="0" fillId="10" borderId="0" xfId="0" applyNumberFormat="1" applyFill="1" applyBorder="1" applyAlignment="1">
      <alignment horizontal="center"/>
    </xf>
    <xf numFmtId="166" fontId="0" fillId="10" borderId="27" xfId="0" applyNumberFormat="1" applyFill="1" applyBorder="1" applyAlignment="1">
      <alignment horizontal="center"/>
    </xf>
    <xf numFmtId="166" fontId="0" fillId="11" borderId="18" xfId="0" applyNumberFormat="1" applyFill="1" applyBorder="1" applyAlignment="1">
      <alignment horizontal="center"/>
    </xf>
    <xf numFmtId="166" fontId="0" fillId="11" borderId="19" xfId="0" applyNumberFormat="1" applyFill="1" applyBorder="1" applyAlignment="1">
      <alignment horizontal="center"/>
    </xf>
    <xf numFmtId="166" fontId="0" fillId="11" borderId="20" xfId="0" applyNumberFormat="1" applyFill="1" applyBorder="1" applyAlignment="1">
      <alignment horizontal="center"/>
    </xf>
    <xf numFmtId="9" fontId="0" fillId="10" borderId="54" xfId="0" applyNumberFormat="1" applyFill="1" applyBorder="1" applyAlignment="1">
      <alignment horizontal="center"/>
    </xf>
    <xf numFmtId="166" fontId="0" fillId="0" borderId="0" xfId="0" applyNumberFormat="1" applyAlignment="1">
      <alignment horizontal="center"/>
    </xf>
    <xf numFmtId="9" fontId="0" fillId="10" borderId="55" xfId="0" applyNumberFormat="1" applyFill="1" applyBorder="1" applyAlignment="1">
      <alignment horizontal="center"/>
    </xf>
    <xf numFmtId="9" fontId="0" fillId="10" borderId="56" xfId="0" applyNumberFormat="1" applyFill="1" applyBorder="1" applyAlignment="1">
      <alignment horizontal="center"/>
    </xf>
    <xf numFmtId="0" fontId="0" fillId="0" borderId="0" xfId="0" applyAlignment="1">
      <alignment horizontal="center"/>
    </xf>
    <xf numFmtId="166" fontId="0" fillId="10" borderId="37" xfId="0" applyNumberFormat="1" applyFill="1" applyBorder="1" applyAlignment="1">
      <alignment horizontal="center"/>
    </xf>
    <xf numFmtId="166" fontId="0" fillId="10" borderId="38" xfId="0" applyNumberFormat="1" applyFill="1" applyBorder="1" applyAlignment="1">
      <alignment horizontal="center"/>
    </xf>
    <xf numFmtId="166" fontId="0" fillId="10" borderId="39" xfId="0" applyNumberFormat="1" applyFill="1" applyBorder="1" applyAlignment="1">
      <alignment horizontal="center"/>
    </xf>
    <xf numFmtId="9" fontId="0" fillId="10" borderId="18" xfId="0" applyNumberFormat="1" applyFill="1" applyBorder="1" applyAlignment="1">
      <alignment horizontal="center"/>
    </xf>
    <xf numFmtId="9" fontId="0" fillId="10" borderId="19" xfId="0" applyNumberFormat="1" applyFill="1" applyBorder="1" applyAlignment="1">
      <alignment horizontal="center"/>
    </xf>
    <xf numFmtId="9" fontId="0" fillId="10" borderId="20" xfId="0" applyNumberFormat="1" applyFill="1" applyBorder="1" applyAlignment="1">
      <alignment horizontal="center"/>
    </xf>
    <xf numFmtId="0" fontId="11" fillId="0" borderId="0" xfId="0" applyFont="1"/>
    <xf numFmtId="164" fontId="0" fillId="10" borderId="37" xfId="0" applyNumberFormat="1" applyFill="1" applyBorder="1" applyAlignment="1">
      <alignment horizontal="center"/>
    </xf>
    <xf numFmtId="164" fontId="0" fillId="10" borderId="38" xfId="0" applyNumberFormat="1" applyFill="1" applyBorder="1" applyAlignment="1">
      <alignment horizontal="center"/>
    </xf>
    <xf numFmtId="164" fontId="0" fillId="10" borderId="39" xfId="0" applyNumberFormat="1" applyFill="1" applyBorder="1" applyAlignment="1">
      <alignment horizontal="center"/>
    </xf>
    <xf numFmtId="164" fontId="0" fillId="10" borderId="26" xfId="0" applyNumberFormat="1" applyFill="1" applyBorder="1" applyAlignment="1">
      <alignment horizontal="center"/>
    </xf>
    <xf numFmtId="164" fontId="0" fillId="10" borderId="0" xfId="0" applyNumberFormat="1" applyFill="1" applyBorder="1" applyAlignment="1">
      <alignment horizontal="center"/>
    </xf>
    <xf numFmtId="164" fontId="0" fillId="10" borderId="27" xfId="0" applyNumberFormat="1" applyFill="1" applyBorder="1" applyAlignment="1">
      <alignment horizontal="center"/>
    </xf>
    <xf numFmtId="169" fontId="0" fillId="10" borderId="41" xfId="0" applyNumberFormat="1" applyFill="1" applyBorder="1" applyAlignment="1">
      <alignment horizontal="center"/>
    </xf>
    <xf numFmtId="164" fontId="0" fillId="10" borderId="19" xfId="0" applyNumberFormat="1" applyFill="1" applyBorder="1" applyAlignment="1">
      <alignment horizontal="center"/>
    </xf>
    <xf numFmtId="164" fontId="0" fillId="10" borderId="20" xfId="0" applyNumberFormat="1" applyFill="1" applyBorder="1" applyAlignment="1">
      <alignment horizontal="center"/>
    </xf>
    <xf numFmtId="0" fontId="26" fillId="10" borderId="37" xfId="0" applyFont="1" applyFill="1" applyBorder="1"/>
    <xf numFmtId="0" fontId="0" fillId="10" borderId="38" xfId="0" applyFill="1" applyBorder="1"/>
    <xf numFmtId="0" fontId="0" fillId="10" borderId="38" xfId="0" applyFill="1" applyBorder="1" applyAlignment="1">
      <alignment horizontal="center" wrapText="1"/>
    </xf>
    <xf numFmtId="0" fontId="0" fillId="10" borderId="39" xfId="0" applyFill="1" applyBorder="1" applyAlignment="1">
      <alignment horizontal="center" wrapText="1"/>
    </xf>
    <xf numFmtId="0" fontId="0" fillId="10" borderId="26" xfId="0" applyFill="1" applyBorder="1"/>
    <xf numFmtId="0" fontId="0" fillId="10" borderId="0" xfId="0" applyFill="1" applyBorder="1"/>
    <xf numFmtId="0" fontId="0" fillId="10" borderId="27" xfId="0" applyFill="1" applyBorder="1"/>
    <xf numFmtId="165" fontId="0" fillId="10" borderId="0" xfId="0" applyNumberFormat="1" applyFill="1" applyBorder="1" applyAlignment="1">
      <alignment horizontal="center"/>
    </xf>
    <xf numFmtId="165" fontId="0" fillId="10" borderId="27" xfId="0" applyNumberFormat="1" applyFill="1" applyBorder="1" applyAlignment="1">
      <alignment horizontal="center"/>
    </xf>
    <xf numFmtId="0" fontId="0" fillId="10" borderId="0" xfId="0" applyFill="1" applyBorder="1" applyAlignment="1">
      <alignment horizontal="center"/>
    </xf>
    <xf numFmtId="0" fontId="0" fillId="10" borderId="27" xfId="0" applyFill="1" applyBorder="1" applyAlignment="1">
      <alignment horizontal="center"/>
    </xf>
    <xf numFmtId="0" fontId="0" fillId="10" borderId="18" xfId="0" applyFill="1" applyBorder="1"/>
    <xf numFmtId="0" fontId="0" fillId="10" borderId="19" xfId="0" applyFill="1" applyBorder="1"/>
    <xf numFmtId="166" fontId="0" fillId="10" borderId="19" xfId="0" applyNumberFormat="1" applyFill="1" applyBorder="1" applyAlignment="1">
      <alignment horizontal="center"/>
    </xf>
    <xf numFmtId="166" fontId="0" fillId="10" borderId="20" xfId="0" applyNumberFormat="1" applyFill="1" applyBorder="1" applyAlignment="1">
      <alignment horizontal="center"/>
    </xf>
    <xf numFmtId="0" fontId="0" fillId="0" borderId="0" xfId="0" applyFill="1" applyBorder="1"/>
    <xf numFmtId="170" fontId="0" fillId="0" borderId="0" xfId="0" applyNumberFormat="1" applyFill="1" applyBorder="1" applyAlignment="1">
      <alignment horizontal="center"/>
    </xf>
    <xf numFmtId="165" fontId="0" fillId="0" borderId="0" xfId="0" applyNumberFormat="1" applyFill="1" applyBorder="1" applyAlignment="1">
      <alignment horizontal="center"/>
    </xf>
    <xf numFmtId="164" fontId="0" fillId="0" borderId="0" xfId="3" applyNumberFormat="1" applyFont="1" applyFill="1" applyBorder="1" applyAlignment="1">
      <alignment horizontal="center"/>
    </xf>
    <xf numFmtId="0" fontId="0" fillId="0" borderId="0" xfId="0" applyFill="1"/>
    <xf numFmtId="164" fontId="0" fillId="0" borderId="0" xfId="0" applyNumberFormat="1" applyFill="1"/>
    <xf numFmtId="164" fontId="0" fillId="0" borderId="0" xfId="3" applyNumberFormat="1" applyFont="1" applyFill="1" applyAlignment="1">
      <alignment horizontal="center"/>
    </xf>
    <xf numFmtId="165" fontId="0" fillId="0" borderId="0" xfId="0" applyNumberFormat="1"/>
    <xf numFmtId="6" fontId="0" fillId="10" borderId="0" xfId="0" applyNumberFormat="1" applyFill="1" applyBorder="1" applyAlignment="1">
      <alignment horizontal="center"/>
    </xf>
    <xf numFmtId="6" fontId="0" fillId="10" borderId="27" xfId="0" applyNumberFormat="1" applyFill="1" applyBorder="1" applyAlignment="1">
      <alignment horizontal="center"/>
    </xf>
    <xf numFmtId="164" fontId="0" fillId="10" borderId="19" xfId="3" applyNumberFormat="1" applyFont="1" applyFill="1" applyBorder="1" applyAlignment="1">
      <alignment horizontal="center"/>
    </xf>
    <xf numFmtId="164" fontId="0" fillId="10" borderId="20" xfId="3" applyNumberFormat="1" applyFont="1" applyFill="1" applyBorder="1" applyAlignment="1">
      <alignment horizontal="center"/>
    </xf>
    <xf numFmtId="165" fontId="0" fillId="10" borderId="0" xfId="0" applyNumberFormat="1" applyFill="1" applyAlignment="1">
      <alignment horizontal="center"/>
    </xf>
    <xf numFmtId="0" fontId="0" fillId="0" borderId="0" xfId="0" applyAlignment="1">
      <alignment horizontal="center" wrapText="1"/>
    </xf>
    <xf numFmtId="0" fontId="0" fillId="2" borderId="57" xfId="0" applyFill="1" applyBorder="1"/>
    <xf numFmtId="0" fontId="0" fillId="2" borderId="58" xfId="0" applyFill="1" applyBorder="1"/>
    <xf numFmtId="3" fontId="0" fillId="11" borderId="59" xfId="0" applyNumberFormat="1" applyFill="1" applyBorder="1" applyAlignment="1">
      <alignment horizontal="center"/>
    </xf>
    <xf numFmtId="0" fontId="0" fillId="2" borderId="60" xfId="0" applyFill="1" applyBorder="1"/>
    <xf numFmtId="165" fontId="0" fillId="11" borderId="61" xfId="0" applyNumberFormat="1" applyFill="1" applyBorder="1" applyAlignment="1">
      <alignment horizontal="center"/>
    </xf>
    <xf numFmtId="164" fontId="0" fillId="11" borderId="61" xfId="0" applyNumberFormat="1" applyFill="1" applyBorder="1" applyAlignment="1">
      <alignment horizontal="center"/>
    </xf>
    <xf numFmtId="0" fontId="0" fillId="2" borderId="62" xfId="0" applyFill="1" applyBorder="1"/>
    <xf numFmtId="0" fontId="0" fillId="2" borderId="63" xfId="0" applyFill="1" applyBorder="1"/>
    <xf numFmtId="164" fontId="0" fillId="11" borderId="64" xfId="0" applyNumberFormat="1" applyFill="1" applyBorder="1" applyAlignment="1">
      <alignment horizontal="center"/>
    </xf>
    <xf numFmtId="0" fontId="0" fillId="0" borderId="62" xfId="0" applyBorder="1"/>
    <xf numFmtId="0" fontId="0" fillId="0" borderId="64" xfId="0" applyBorder="1"/>
    <xf numFmtId="0" fontId="0" fillId="0" borderId="0" xfId="0" applyBorder="1"/>
    <xf numFmtId="0" fontId="27" fillId="0" borderId="0" xfId="0" applyFont="1" applyAlignment="1"/>
    <xf numFmtId="0" fontId="0" fillId="0" borderId="0" xfId="0" applyAlignment="1"/>
    <xf numFmtId="2" fontId="0" fillId="0" borderId="0" xfId="0" applyNumberFormat="1"/>
    <xf numFmtId="2" fontId="0" fillId="0" borderId="0" xfId="0" applyNumberFormat="1" applyFill="1" applyBorder="1"/>
    <xf numFmtId="166" fontId="0" fillId="10" borderId="18" xfId="0" applyNumberFormat="1" applyFill="1" applyBorder="1" applyAlignment="1">
      <alignment horizontal="center"/>
    </xf>
    <xf numFmtId="9" fontId="0" fillId="11" borderId="59" xfId="0" applyNumberFormat="1" applyFill="1" applyBorder="1" applyAlignment="1">
      <alignment horizontal="center"/>
    </xf>
    <xf numFmtId="9" fontId="0" fillId="11" borderId="61" xfId="0" applyNumberFormat="1" applyFill="1" applyBorder="1" applyAlignment="1">
      <alignment horizontal="center"/>
    </xf>
    <xf numFmtId="9" fontId="0" fillId="11" borderId="64" xfId="0" applyNumberFormat="1" applyFill="1" applyBorder="1" applyAlignment="1">
      <alignment horizontal="center"/>
    </xf>
    <xf numFmtId="166" fontId="0" fillId="11" borderId="37" xfId="0" applyNumberFormat="1" applyFill="1" applyBorder="1" applyAlignment="1">
      <alignment horizontal="center"/>
    </xf>
    <xf numFmtId="166" fontId="0" fillId="11" borderId="38" xfId="0" applyNumberFormat="1" applyFill="1" applyBorder="1" applyAlignment="1">
      <alignment horizontal="center"/>
    </xf>
    <xf numFmtId="166" fontId="0" fillId="11" borderId="39" xfId="0" applyNumberFormat="1" applyFill="1" applyBorder="1" applyAlignment="1">
      <alignment horizontal="center"/>
    </xf>
    <xf numFmtId="9" fontId="0" fillId="11" borderId="18" xfId="0" applyNumberFormat="1" applyFill="1" applyBorder="1" applyAlignment="1">
      <alignment horizontal="center"/>
    </xf>
    <xf numFmtId="9" fontId="0" fillId="11" borderId="19" xfId="0" applyNumberFormat="1" applyFill="1" applyBorder="1" applyAlignment="1">
      <alignment horizontal="center"/>
    </xf>
    <xf numFmtId="9" fontId="0" fillId="11" borderId="20" xfId="0" applyNumberFormat="1" applyFill="1" applyBorder="1" applyAlignment="1">
      <alignment horizontal="center"/>
    </xf>
    <xf numFmtId="169" fontId="0" fillId="11" borderId="41" xfId="0" applyNumberFormat="1" applyFill="1" applyBorder="1" applyAlignment="1">
      <alignment horizontal="center"/>
    </xf>
    <xf numFmtId="164" fontId="0" fillId="12" borderId="41" xfId="3" applyNumberFormat="1" applyFont="1" applyFill="1" applyBorder="1" applyAlignment="1">
      <alignment horizontal="center"/>
    </xf>
    <xf numFmtId="8" fontId="0" fillId="10" borderId="41" xfId="0" applyNumberFormat="1" applyFill="1" applyBorder="1" applyAlignment="1">
      <alignment horizontal="center"/>
    </xf>
    <xf numFmtId="8" fontId="0" fillId="0" borderId="0" xfId="0" applyNumberFormat="1"/>
    <xf numFmtId="0" fontId="2" fillId="0" borderId="0" xfId="0" applyFont="1"/>
    <xf numFmtId="0" fontId="0" fillId="0" borderId="4" xfId="0" applyBorder="1"/>
    <xf numFmtId="165" fontId="0" fillId="10" borderId="0" xfId="0" applyNumberFormat="1" applyFill="1"/>
    <xf numFmtId="0" fontId="2" fillId="0" borderId="0" xfId="0" applyFont="1" applyAlignment="1">
      <alignment horizontal="center"/>
    </xf>
    <xf numFmtId="0" fontId="0" fillId="0" borderId="65" xfId="0" applyBorder="1"/>
    <xf numFmtId="0" fontId="0" fillId="0" borderId="66" xfId="0" applyBorder="1" applyAlignment="1">
      <alignment horizontal="center"/>
    </xf>
    <xf numFmtId="0" fontId="0" fillId="0" borderId="65" xfId="0" applyBorder="1" applyAlignment="1">
      <alignment horizontal="center"/>
    </xf>
    <xf numFmtId="0" fontId="0" fillId="0" borderId="0" xfId="0" applyFill="1" applyBorder="1" applyAlignment="1">
      <alignment horizontal="center"/>
    </xf>
    <xf numFmtId="38" fontId="0" fillId="0" borderId="4" xfId="0" applyNumberFormat="1" applyBorder="1"/>
    <xf numFmtId="38" fontId="0" fillId="0" borderId="0" xfId="0" applyNumberFormat="1" applyBorder="1"/>
    <xf numFmtId="165" fontId="0" fillId="0" borderId="0" xfId="1" applyNumberFormat="1" applyFont="1"/>
    <xf numFmtId="40" fontId="0" fillId="0" borderId="0" xfId="1" applyNumberFormat="1" applyFont="1"/>
    <xf numFmtId="165" fontId="0" fillId="0" borderId="0" xfId="0" applyNumberFormat="1" applyAlignment="1">
      <alignment horizontal="center"/>
    </xf>
    <xf numFmtId="167" fontId="0" fillId="0" borderId="0" xfId="0" applyNumberFormat="1"/>
    <xf numFmtId="0" fontId="0" fillId="2" borderId="0" xfId="0" applyFont="1" applyFill="1"/>
    <xf numFmtId="0" fontId="28" fillId="13" borderId="68" xfId="0" applyFont="1" applyFill="1" applyBorder="1" applyAlignment="1">
      <alignment horizontal="center" vertical="center" wrapText="1" readingOrder="1"/>
    </xf>
    <xf numFmtId="0" fontId="29" fillId="14" borderId="69" xfId="0" applyFont="1" applyFill="1" applyBorder="1" applyAlignment="1">
      <alignment horizontal="left" vertical="center" wrapText="1" readingOrder="1"/>
    </xf>
    <xf numFmtId="3" fontId="30" fillId="14" borderId="69" xfId="1" applyNumberFormat="1" applyFont="1" applyFill="1" applyBorder="1" applyAlignment="1">
      <alignment horizontal="center" vertical="center" wrapText="1"/>
    </xf>
    <xf numFmtId="166" fontId="30" fillId="14" borderId="69" xfId="1" applyNumberFormat="1" applyFont="1" applyFill="1" applyBorder="1" applyAlignment="1">
      <alignment horizontal="center" vertical="center" wrapText="1"/>
    </xf>
    <xf numFmtId="0" fontId="29" fillId="15" borderId="70" xfId="0" applyFont="1" applyFill="1" applyBorder="1" applyAlignment="1">
      <alignment horizontal="left" vertical="center" wrapText="1" readingOrder="1"/>
    </xf>
    <xf numFmtId="3" fontId="30" fillId="15" borderId="70" xfId="1" applyNumberFormat="1" applyFont="1" applyFill="1" applyBorder="1" applyAlignment="1">
      <alignment horizontal="center" vertical="center" wrapText="1"/>
    </xf>
    <xf numFmtId="166" fontId="30" fillId="15" borderId="70" xfId="1" applyNumberFormat="1" applyFont="1" applyFill="1" applyBorder="1" applyAlignment="1">
      <alignment horizontal="center" vertical="center" wrapText="1"/>
    </xf>
    <xf numFmtId="0" fontId="29" fillId="16" borderId="70" xfId="0" applyFont="1" applyFill="1" applyBorder="1" applyAlignment="1">
      <alignment horizontal="left" vertical="center" wrapText="1" readingOrder="1"/>
    </xf>
    <xf numFmtId="3" fontId="30" fillId="16" borderId="70" xfId="1" applyNumberFormat="1" applyFont="1" applyFill="1" applyBorder="1" applyAlignment="1">
      <alignment horizontal="center" vertical="center" wrapText="1"/>
    </xf>
    <xf numFmtId="166" fontId="30" fillId="16" borderId="70" xfId="1" applyNumberFormat="1" applyFont="1" applyFill="1" applyBorder="1" applyAlignment="1">
      <alignment horizontal="center" vertical="center" wrapText="1"/>
    </xf>
    <xf numFmtId="0" fontId="29" fillId="17" borderId="70" xfId="0" applyFont="1" applyFill="1" applyBorder="1" applyAlignment="1">
      <alignment horizontal="left" vertical="center" wrapText="1" readingOrder="1"/>
    </xf>
    <xf numFmtId="3" fontId="30" fillId="17" borderId="70" xfId="1" applyNumberFormat="1" applyFont="1" applyFill="1" applyBorder="1" applyAlignment="1">
      <alignment horizontal="center" vertical="center" wrapText="1"/>
    </xf>
    <xf numFmtId="166" fontId="30" fillId="17" borderId="70" xfId="1" applyNumberFormat="1" applyFont="1" applyFill="1" applyBorder="1" applyAlignment="1">
      <alignment horizontal="center" vertical="center" wrapText="1"/>
    </xf>
    <xf numFmtId="0" fontId="2" fillId="10" borderId="0" xfId="0" applyFont="1" applyFill="1" applyAlignment="1">
      <alignment horizontal="left"/>
    </xf>
    <xf numFmtId="3" fontId="0" fillId="10" borderId="0" xfId="0" applyNumberFormat="1" applyFill="1" applyAlignment="1">
      <alignment horizontal="center"/>
    </xf>
    <xf numFmtId="166" fontId="0" fillId="10" borderId="0" xfId="0" applyNumberFormat="1" applyFill="1" applyAlignment="1">
      <alignment horizontal="center"/>
    </xf>
    <xf numFmtId="4" fontId="30" fillId="14" borderId="69" xfId="1" applyNumberFormat="1" applyFont="1" applyFill="1" applyBorder="1" applyAlignment="1">
      <alignment horizontal="center" vertical="center" wrapText="1"/>
    </xf>
    <xf numFmtId="4" fontId="30" fillId="15" borderId="70" xfId="1" applyNumberFormat="1" applyFont="1" applyFill="1" applyBorder="1" applyAlignment="1">
      <alignment horizontal="center" vertical="center" wrapText="1"/>
    </xf>
    <xf numFmtId="4" fontId="30" fillId="16" borderId="70" xfId="1" applyNumberFormat="1" applyFont="1" applyFill="1" applyBorder="1" applyAlignment="1">
      <alignment horizontal="center" vertical="center" wrapText="1"/>
    </xf>
    <xf numFmtId="4" fontId="30" fillId="17" borderId="70" xfId="1" applyNumberFormat="1" applyFont="1" applyFill="1" applyBorder="1" applyAlignment="1">
      <alignment horizontal="center" vertical="center" wrapText="1"/>
    </xf>
    <xf numFmtId="4" fontId="0" fillId="10" borderId="0" xfId="0" applyNumberFormat="1" applyFill="1" applyAlignment="1">
      <alignment horizontal="center"/>
    </xf>
    <xf numFmtId="43" fontId="0" fillId="2" borderId="0" xfId="1" applyFont="1" applyFill="1"/>
    <xf numFmtId="166" fontId="0" fillId="2" borderId="0" xfId="0" applyNumberFormat="1" applyFill="1"/>
    <xf numFmtId="164" fontId="0" fillId="2" borderId="0" xfId="3" applyNumberFormat="1" applyFont="1" applyFill="1"/>
    <xf numFmtId="43" fontId="0" fillId="0" borderId="0" xfId="1" applyFont="1" applyAlignment="1">
      <alignment horizontal="center"/>
    </xf>
    <xf numFmtId="43" fontId="31" fillId="0" borderId="0" xfId="1" applyFont="1"/>
    <xf numFmtId="43" fontId="0" fillId="0" borderId="0" xfId="1" applyFont="1"/>
    <xf numFmtId="165" fontId="31" fillId="0" borderId="0" xfId="0" applyNumberFormat="1" applyFont="1"/>
    <xf numFmtId="165" fontId="0" fillId="0" borderId="0" xfId="0" applyNumberFormat="1" applyFont="1"/>
    <xf numFmtId="165" fontId="31" fillId="0" borderId="0" xfId="0" applyNumberFormat="1" applyFont="1" applyAlignment="1">
      <alignment horizontal="center"/>
    </xf>
    <xf numFmtId="165" fontId="0" fillId="0" borderId="0" xfId="1" applyNumberFormat="1" applyFont="1" applyAlignment="1">
      <alignment horizontal="center"/>
    </xf>
    <xf numFmtId="0" fontId="32" fillId="0" borderId="0" xfId="0" applyFont="1" applyAlignment="1">
      <alignment horizontal="center"/>
    </xf>
    <xf numFmtId="171" fontId="2" fillId="18" borderId="0" xfId="1" applyNumberFormat="1" applyFont="1" applyFill="1"/>
    <xf numFmtId="0" fontId="33" fillId="18" borderId="41" xfId="0" applyFont="1" applyFill="1" applyBorder="1" applyAlignment="1">
      <alignment horizontal="center"/>
    </xf>
    <xf numFmtId="0" fontId="25" fillId="0" borderId="7" xfId="0" applyFont="1" applyFill="1" applyBorder="1" applyAlignment="1">
      <alignment horizontal="centerContinuous"/>
    </xf>
    <xf numFmtId="0" fontId="0" fillId="19" borderId="0" xfId="0" applyFill="1"/>
    <xf numFmtId="0" fontId="34" fillId="0" borderId="0" xfId="0" applyFont="1" applyBorder="1" applyAlignment="1">
      <alignment horizontal="center"/>
    </xf>
    <xf numFmtId="0" fontId="34" fillId="0" borderId="0" xfId="0" applyFont="1" applyBorder="1" applyAlignment="1">
      <alignment horizontal="left"/>
    </xf>
    <xf numFmtId="0" fontId="34" fillId="0" borderId="0" xfId="0" applyFont="1" applyFill="1" applyBorder="1" applyAlignment="1">
      <alignment horizontal="center"/>
    </xf>
    <xf numFmtId="0" fontId="34" fillId="0" borderId="7" xfId="0" applyFont="1" applyBorder="1" applyAlignment="1">
      <alignment horizontal="left"/>
    </xf>
    <xf numFmtId="3" fontId="34" fillId="0" borderId="7" xfId="0" applyNumberFormat="1" applyFont="1" applyBorder="1" applyAlignment="1">
      <alignment horizontal="center"/>
    </xf>
    <xf numFmtId="0" fontId="34" fillId="0" borderId="7" xfId="0" applyFont="1" applyBorder="1" applyAlignment="1">
      <alignment horizontal="center"/>
    </xf>
    <xf numFmtId="0" fontId="35" fillId="0" borderId="0" xfId="0" applyFont="1"/>
    <xf numFmtId="40" fontId="0" fillId="0" borderId="0" xfId="0" applyNumberFormat="1" applyAlignment="1">
      <alignment horizontal="center"/>
    </xf>
    <xf numFmtId="8" fontId="0" fillId="0" borderId="0" xfId="0" applyNumberFormat="1" applyAlignment="1">
      <alignment horizontal="center"/>
    </xf>
    <xf numFmtId="40" fontId="0" fillId="0" borderId="0" xfId="0" applyNumberFormat="1"/>
    <xf numFmtId="0" fontId="36" fillId="0" borderId="0" xfId="0" applyFont="1"/>
    <xf numFmtId="0" fontId="35" fillId="0" borderId="7" xfId="0" applyFont="1" applyBorder="1"/>
    <xf numFmtId="40" fontId="0" fillId="0" borderId="7" xfId="0" applyNumberFormat="1" applyBorder="1" applyAlignment="1">
      <alignment horizontal="center"/>
    </xf>
    <xf numFmtId="166" fontId="0" fillId="0" borderId="7" xfId="0" applyNumberFormat="1" applyBorder="1" applyAlignment="1">
      <alignment horizontal="center"/>
    </xf>
    <xf numFmtId="8" fontId="0" fillId="0" borderId="7" xfId="0" applyNumberFormat="1" applyBorder="1" applyAlignment="1">
      <alignment horizontal="center"/>
    </xf>
    <xf numFmtId="164" fontId="0" fillId="0" borderId="0" xfId="0" applyNumberFormat="1"/>
    <xf numFmtId="0" fontId="37" fillId="0" borderId="7" xfId="0" applyFont="1" applyBorder="1" applyAlignment="1">
      <alignment horizontal="centerContinuous"/>
    </xf>
    <xf numFmtId="40" fontId="26" fillId="0" borderId="7" xfId="0" applyNumberFormat="1" applyFont="1" applyBorder="1" applyAlignment="1">
      <alignment horizontal="center"/>
    </xf>
    <xf numFmtId="0" fontId="11" fillId="0" borderId="7" xfId="0" applyFont="1" applyBorder="1" applyAlignment="1">
      <alignment horizontal="center"/>
    </xf>
    <xf numFmtId="8" fontId="26" fillId="0" borderId="7" xfId="0" applyNumberFormat="1" applyFont="1" applyBorder="1" applyAlignment="1">
      <alignment horizontal="center"/>
    </xf>
    <xf numFmtId="0" fontId="38" fillId="0" borderId="2" xfId="0" applyFont="1" applyBorder="1" applyAlignment="1">
      <alignment horizontal="centerContinuous"/>
    </xf>
    <xf numFmtId="0" fontId="37" fillId="0" borderId="2" xfId="0" applyFont="1" applyBorder="1" applyAlignment="1">
      <alignment horizontal="centerContinuous"/>
    </xf>
    <xf numFmtId="40" fontId="38" fillId="0" borderId="2" xfId="0" applyNumberFormat="1" applyFont="1" applyBorder="1" applyAlignment="1">
      <alignment horizontal="center"/>
    </xf>
    <xf numFmtId="0" fontId="38" fillId="0" borderId="2" xfId="0" applyFont="1" applyBorder="1" applyAlignment="1">
      <alignment horizontal="center"/>
    </xf>
    <xf numFmtId="8" fontId="38" fillId="0" borderId="2" xfId="0" applyNumberFormat="1" applyFont="1" applyBorder="1" applyAlignment="1">
      <alignment horizontal="center"/>
    </xf>
    <xf numFmtId="40" fontId="39" fillId="0" borderId="2" xfId="0" applyNumberFormat="1" applyFont="1" applyBorder="1" applyAlignment="1">
      <alignment horizontal="center"/>
    </xf>
    <xf numFmtId="0" fontId="39" fillId="0" borderId="2" xfId="0" applyFont="1" applyBorder="1" applyAlignment="1">
      <alignment horizontal="center"/>
    </xf>
    <xf numFmtId="8" fontId="39" fillId="0" borderId="2" xfId="0" applyNumberFormat="1" applyFont="1" applyBorder="1" applyAlignment="1">
      <alignment horizontal="center"/>
    </xf>
    <xf numFmtId="0" fontId="40" fillId="0" borderId="0" xfId="0" applyFont="1" applyBorder="1" applyAlignment="1">
      <alignment horizontal="left"/>
    </xf>
    <xf numFmtId="40" fontId="39" fillId="0" borderId="0" xfId="0" applyNumberFormat="1" applyFont="1" applyBorder="1" applyAlignment="1">
      <alignment horizontal="center"/>
    </xf>
    <xf numFmtId="8" fontId="39" fillId="0" borderId="0" xfId="0" applyNumberFormat="1" applyFont="1" applyBorder="1" applyAlignment="1">
      <alignment horizontal="center"/>
    </xf>
    <xf numFmtId="172" fontId="26" fillId="0" borderId="2" xfId="0" applyNumberFormat="1" applyFont="1" applyBorder="1" applyAlignment="1">
      <alignment horizontal="center"/>
    </xf>
    <xf numFmtId="0" fontId="2" fillId="0" borderId="2" xfId="0" applyFont="1" applyBorder="1" applyAlignment="1">
      <alignment horizontal="center"/>
    </xf>
    <xf numFmtId="8" fontId="26" fillId="0" borderId="2" xfId="0" applyNumberFormat="1" applyFont="1" applyBorder="1" applyAlignment="1">
      <alignment horizontal="center"/>
    </xf>
    <xf numFmtId="0" fontId="0" fillId="0" borderId="2" xfId="0" applyBorder="1" applyAlignment="1">
      <alignment horizontal="center"/>
    </xf>
    <xf numFmtId="0" fontId="0" fillId="20" borderId="0" xfId="0" applyFill="1" applyAlignment="1">
      <alignment horizontal="center"/>
    </xf>
    <xf numFmtId="0" fontId="0" fillId="12" borderId="0" xfId="0" applyFill="1"/>
    <xf numFmtId="164" fontId="0" fillId="0" borderId="0" xfId="0" applyNumberFormat="1" applyAlignment="1">
      <alignment horizontal="center"/>
    </xf>
    <xf numFmtId="0" fontId="0" fillId="0" borderId="0" xfId="0" applyAlignment="1">
      <alignment horizontal="left"/>
    </xf>
    <xf numFmtId="166" fontId="0" fillId="0" borderId="0" xfId="0" applyNumberFormat="1"/>
    <xf numFmtId="3" fontId="0" fillId="0" borderId="0" xfId="0" applyNumberFormat="1"/>
    <xf numFmtId="10" fontId="0" fillId="0" borderId="0" xfId="0" applyNumberFormat="1"/>
    <xf numFmtId="0" fontId="2" fillId="0" borderId="14" xfId="0" applyFont="1" applyBorder="1" applyAlignment="1">
      <alignment wrapText="1"/>
    </xf>
    <xf numFmtId="0" fontId="2" fillId="0" borderId="14" xfId="0" applyFont="1" applyBorder="1" applyAlignment="1">
      <alignment horizontal="center" wrapText="1"/>
    </xf>
    <xf numFmtId="0" fontId="2" fillId="0" borderId="14" xfId="0" applyFont="1" applyBorder="1" applyAlignment="1">
      <alignment horizontal="right" wrapText="1"/>
    </xf>
    <xf numFmtId="0" fontId="2" fillId="0" borderId="3" xfId="0" applyFont="1" applyBorder="1" applyAlignment="1">
      <alignment horizontal="center" wrapText="1"/>
    </xf>
    <xf numFmtId="0" fontId="2" fillId="21" borderId="14" xfId="0" applyFont="1" applyFill="1" applyBorder="1" applyAlignment="1">
      <alignment horizontal="center" wrapText="1"/>
    </xf>
    <xf numFmtId="173" fontId="0" fillId="0" borderId="0" xfId="2" applyNumberFormat="1" applyFont="1"/>
    <xf numFmtId="44" fontId="0" fillId="0" borderId="0" xfId="2" applyFont="1"/>
    <xf numFmtId="171" fontId="0" fillId="0" borderId="0" xfId="1" applyNumberFormat="1" applyFont="1"/>
    <xf numFmtId="43" fontId="0" fillId="0" borderId="0" xfId="0" applyNumberFormat="1"/>
    <xf numFmtId="166" fontId="0" fillId="0" borderId="0" xfId="2" applyNumberFormat="1" applyFont="1"/>
    <xf numFmtId="166" fontId="0" fillId="0" borderId="0" xfId="2" applyNumberFormat="1" applyFont="1" applyFill="1"/>
    <xf numFmtId="173" fontId="0" fillId="0" borderId="0" xfId="2" applyNumberFormat="1" applyFont="1" applyFill="1"/>
    <xf numFmtId="0" fontId="2" fillId="0" borderId="71" xfId="0" applyFont="1" applyFill="1" applyBorder="1"/>
    <xf numFmtId="166" fontId="2" fillId="0" borderId="71" xfId="2" applyNumberFormat="1" applyFont="1" applyFill="1" applyBorder="1"/>
    <xf numFmtId="44" fontId="2" fillId="0" borderId="71" xfId="1" applyNumberFormat="1" applyFont="1" applyFill="1" applyBorder="1"/>
    <xf numFmtId="171" fontId="2" fillId="0" borderId="71" xfId="1" applyNumberFormat="1" applyFont="1" applyFill="1" applyBorder="1"/>
    <xf numFmtId="43" fontId="2" fillId="0" borderId="71" xfId="0" applyNumberFormat="1" applyFont="1" applyFill="1" applyBorder="1"/>
    <xf numFmtId="165" fontId="2" fillId="0" borderId="71" xfId="2" applyNumberFormat="1" applyFont="1" applyFill="1" applyBorder="1"/>
    <xf numFmtId="164" fontId="11" fillId="0" borderId="0" xfId="0" applyNumberFormat="1" applyFont="1" applyAlignment="1"/>
    <xf numFmtId="44" fontId="2" fillId="0" borderId="71" xfId="2" applyFont="1" applyFill="1" applyBorder="1"/>
    <xf numFmtId="44" fontId="0" fillId="0" borderId="0" xfId="0" applyNumberFormat="1"/>
    <xf numFmtId="0" fontId="41" fillId="0" borderId="0" xfId="0" quotePrefix="1" applyFont="1"/>
    <xf numFmtId="0" fontId="2" fillId="2" borderId="14" xfId="0" applyFont="1" applyFill="1" applyBorder="1" applyAlignment="1">
      <alignment wrapText="1"/>
    </xf>
    <xf numFmtId="0" fontId="2" fillId="2" borderId="14" xfId="0" applyFont="1" applyFill="1" applyBorder="1" applyAlignment="1">
      <alignment horizontal="center" wrapText="1"/>
    </xf>
    <xf numFmtId="0" fontId="2" fillId="2" borderId="14" xfId="0" applyFont="1" applyFill="1" applyBorder="1" applyAlignment="1">
      <alignment horizontal="right" wrapText="1"/>
    </xf>
    <xf numFmtId="0" fontId="2" fillId="2" borderId="3" xfId="0" applyFont="1" applyFill="1" applyBorder="1" applyAlignment="1">
      <alignment horizontal="center" wrapText="1"/>
    </xf>
    <xf numFmtId="165" fontId="0" fillId="0" borderId="0" xfId="2" applyNumberFormat="1" applyFont="1"/>
    <xf numFmtId="174" fontId="0" fillId="0" borderId="0" xfId="0" applyNumberFormat="1"/>
    <xf numFmtId="171" fontId="0" fillId="0" borderId="0" xfId="0" applyNumberFormat="1"/>
    <xf numFmtId="166" fontId="0" fillId="0" borderId="65" xfId="0" applyNumberFormat="1" applyBorder="1"/>
    <xf numFmtId="165" fontId="0" fillId="0" borderId="65" xfId="0" applyNumberFormat="1" applyBorder="1"/>
    <xf numFmtId="0" fontId="2" fillId="0" borderId="71" xfId="0" applyFont="1" applyBorder="1"/>
    <xf numFmtId="166" fontId="2" fillId="0" borderId="71" xfId="0" applyNumberFormat="1" applyFont="1" applyBorder="1"/>
    <xf numFmtId="171" fontId="2" fillId="0" borderId="71" xfId="1" applyNumberFormat="1" applyFont="1" applyBorder="1"/>
    <xf numFmtId="43" fontId="2" fillId="0" borderId="71" xfId="1" applyFont="1" applyBorder="1"/>
    <xf numFmtId="165" fontId="2" fillId="0" borderId="71" xfId="0" applyNumberFormat="1" applyFont="1" applyBorder="1"/>
    <xf numFmtId="164" fontId="0" fillId="0" borderId="0" xfId="3" applyNumberFormat="1" applyFont="1"/>
    <xf numFmtId="0" fontId="42" fillId="0" borderId="0" xfId="0" quotePrefix="1" applyFont="1"/>
    <xf numFmtId="165" fontId="2" fillId="0" borderId="0" xfId="0" applyNumberFormat="1" applyFont="1" applyBorder="1"/>
    <xf numFmtId="0" fontId="17" fillId="0" borderId="0" xfId="0" applyFont="1"/>
    <xf numFmtId="8" fontId="17" fillId="0" borderId="0" xfId="0" applyNumberFormat="1" applyFont="1"/>
    <xf numFmtId="164" fontId="17" fillId="0" borderId="0" xfId="0" applyNumberFormat="1" applyFont="1"/>
    <xf numFmtId="9" fontId="17" fillId="0" borderId="0" xfId="0" applyNumberFormat="1" applyFont="1"/>
    <xf numFmtId="0" fontId="16" fillId="22" borderId="72" xfId="0" applyFont="1" applyFill="1" applyBorder="1"/>
    <xf numFmtId="0" fontId="16" fillId="22" borderId="73" xfId="0" applyFont="1" applyFill="1" applyBorder="1" applyAlignment="1">
      <alignment horizontal="center" wrapText="1"/>
    </xf>
    <xf numFmtId="0" fontId="16" fillId="22" borderId="73" xfId="0" applyFont="1" applyFill="1" applyBorder="1" applyAlignment="1">
      <alignment horizontal="right" wrapText="1"/>
    </xf>
    <xf numFmtId="0" fontId="16" fillId="22" borderId="74" xfId="0" applyFont="1" applyFill="1" applyBorder="1" applyAlignment="1">
      <alignment horizontal="right" wrapText="1"/>
    </xf>
    <xf numFmtId="0" fontId="0" fillId="0" borderId="0" xfId="0" applyAlignment="1">
      <alignment horizontal="centerContinuous" wrapText="1"/>
    </xf>
    <xf numFmtId="0" fontId="0" fillId="18" borderId="0" xfId="0" applyFill="1"/>
    <xf numFmtId="0" fontId="0" fillId="0" borderId="0" xfId="0" applyAlignment="1">
      <alignment vertical="top"/>
    </xf>
    <xf numFmtId="0" fontId="0" fillId="23" borderId="75" xfId="0" applyNumberFormat="1" applyFont="1" applyFill="1" applyBorder="1" applyAlignment="1">
      <alignment vertical="top" wrapText="1"/>
    </xf>
    <xf numFmtId="166" fontId="0" fillId="23" borderId="76" xfId="0" applyNumberFormat="1" applyFont="1" applyFill="1" applyBorder="1" applyAlignment="1">
      <alignment horizontal="center" vertical="top" wrapText="1"/>
    </xf>
    <xf numFmtId="166" fontId="0" fillId="23" borderId="73" xfId="0" applyNumberFormat="1" applyFont="1" applyFill="1" applyBorder="1" applyAlignment="1">
      <alignment vertical="top"/>
    </xf>
    <xf numFmtId="0" fontId="0" fillId="23" borderId="74" xfId="0" applyNumberFormat="1" applyFont="1" applyFill="1" applyBorder="1" applyAlignment="1">
      <alignment horizontal="right" vertical="top" wrapText="1"/>
    </xf>
    <xf numFmtId="38" fontId="0" fillId="0" borderId="0" xfId="0" applyNumberFormat="1"/>
    <xf numFmtId="0" fontId="0" fillId="0" borderId="75" xfId="0" applyNumberFormat="1" applyFont="1" applyBorder="1" applyAlignment="1">
      <alignment vertical="top" wrapText="1"/>
    </xf>
    <xf numFmtId="166" fontId="0" fillId="0" borderId="76" xfId="0" applyNumberFormat="1" applyFont="1" applyBorder="1" applyAlignment="1">
      <alignment horizontal="center" vertical="top" wrapText="1"/>
    </xf>
    <xf numFmtId="166" fontId="0" fillId="0" borderId="73" xfId="0" applyNumberFormat="1" applyFont="1" applyBorder="1" applyAlignment="1">
      <alignment vertical="top"/>
    </xf>
    <xf numFmtId="0" fontId="0" fillId="0" borderId="74" xfId="0" applyNumberFormat="1" applyFont="1" applyBorder="1" applyAlignment="1">
      <alignment horizontal="right" vertical="top" wrapText="1"/>
    </xf>
    <xf numFmtId="0" fontId="0" fillId="0" borderId="0" xfId="0" applyAlignment="1">
      <alignment horizontal="right"/>
    </xf>
    <xf numFmtId="9" fontId="43" fillId="0" borderId="0" xfId="0" applyNumberFormat="1" applyFont="1"/>
    <xf numFmtId="43" fontId="0" fillId="24" borderId="14" xfId="0" applyNumberFormat="1" applyFill="1" applyBorder="1"/>
    <xf numFmtId="43" fontId="44" fillId="25" borderId="0" xfId="0" applyNumberFormat="1" applyFont="1" applyFill="1" applyBorder="1"/>
    <xf numFmtId="171" fontId="0" fillId="26" borderId="14" xfId="1" applyNumberFormat="1" applyFont="1" applyFill="1" applyBorder="1"/>
    <xf numFmtId="0" fontId="44" fillId="25" borderId="0" xfId="0" applyFont="1" applyFill="1" applyBorder="1"/>
    <xf numFmtId="43" fontId="0" fillId="24" borderId="14" xfId="1" applyNumberFormat="1" applyFont="1" applyFill="1" applyBorder="1"/>
    <xf numFmtId="43" fontId="44" fillId="25" borderId="0" xfId="1" applyNumberFormat="1" applyFont="1" applyFill="1" applyBorder="1"/>
    <xf numFmtId="175" fontId="0" fillId="0" borderId="0" xfId="0" applyNumberFormat="1"/>
    <xf numFmtId="0" fontId="44" fillId="25" borderId="0" xfId="0" applyFont="1" applyFill="1"/>
    <xf numFmtId="43" fontId="0" fillId="27" borderId="14" xfId="1" applyFont="1" applyFill="1" applyBorder="1"/>
    <xf numFmtId="0" fontId="45" fillId="0" borderId="0" xfId="0" applyFont="1" applyAlignment="1">
      <alignment horizontal="center"/>
    </xf>
    <xf numFmtId="0" fontId="45" fillId="0" borderId="0" xfId="0" applyFont="1" applyFill="1" applyBorder="1" applyAlignment="1">
      <alignment horizontal="center"/>
    </xf>
    <xf numFmtId="10" fontId="0" fillId="28" borderId="14" xfId="3" applyNumberFormat="1" applyFont="1" applyFill="1" applyBorder="1"/>
    <xf numFmtId="10" fontId="0" fillId="26" borderId="14" xfId="3" applyNumberFormat="1" applyFont="1" applyFill="1" applyBorder="1"/>
    <xf numFmtId="10" fontId="0" fillId="29" borderId="14" xfId="3" applyNumberFormat="1" applyFont="1" applyFill="1" applyBorder="1"/>
    <xf numFmtId="9" fontId="0" fillId="26" borderId="14" xfId="3" applyFont="1" applyFill="1" applyBorder="1"/>
    <xf numFmtId="171" fontId="0" fillId="24" borderId="14" xfId="1" applyNumberFormat="1" applyFont="1" applyFill="1" applyBorder="1"/>
    <xf numFmtId="3" fontId="0" fillId="28" borderId="14" xfId="0" applyNumberFormat="1" applyFill="1" applyBorder="1"/>
    <xf numFmtId="3" fontId="0" fillId="26" borderId="14" xfId="0" applyNumberFormat="1" applyFill="1" applyBorder="1"/>
    <xf numFmtId="0" fontId="0" fillId="10" borderId="0" xfId="0" applyFill="1" applyAlignment="1">
      <alignment horizontal="center"/>
    </xf>
    <xf numFmtId="0" fontId="4" fillId="33" borderId="0" xfId="0" applyFont="1" applyFill="1" applyAlignment="1">
      <alignment horizontal="center"/>
    </xf>
    <xf numFmtId="0" fontId="0" fillId="25" borderId="0" xfId="0" applyFill="1" applyBorder="1" applyAlignment="1">
      <alignment horizontal="center"/>
    </xf>
    <xf numFmtId="0" fontId="0" fillId="34" borderId="0" xfId="0" applyFill="1" applyBorder="1" applyAlignment="1">
      <alignment horizontal="center"/>
    </xf>
    <xf numFmtId="0" fontId="0" fillId="34" borderId="0" xfId="0" applyFill="1" applyAlignment="1">
      <alignment horizontal="center"/>
    </xf>
    <xf numFmtId="0" fontId="0" fillId="28" borderId="0" xfId="0" applyFill="1" applyAlignment="1">
      <alignment horizontal="center"/>
    </xf>
    <xf numFmtId="0" fontId="0" fillId="35" borderId="0" xfId="0" applyFill="1" applyAlignment="1">
      <alignment horizontal="center"/>
    </xf>
    <xf numFmtId="0" fontId="0" fillId="19" borderId="0" xfId="0" applyFill="1" applyAlignment="1">
      <alignment horizontal="center"/>
    </xf>
    <xf numFmtId="0" fontId="0" fillId="36" borderId="0" xfId="0" applyFill="1" applyAlignment="1">
      <alignment horizontal="center"/>
    </xf>
    <xf numFmtId="171" fontId="0" fillId="18" borderId="0" xfId="0" applyNumberFormat="1" applyFill="1"/>
    <xf numFmtId="43" fontId="0" fillId="18" borderId="0" xfId="0" applyNumberFormat="1" applyFill="1"/>
    <xf numFmtId="171" fontId="0" fillId="29" borderId="0" xfId="0" applyNumberFormat="1" applyFill="1"/>
    <xf numFmtId="43" fontId="2" fillId="0" borderId="0" xfId="0" applyNumberFormat="1" applyFont="1"/>
    <xf numFmtId="0" fontId="0" fillId="0" borderId="5" xfId="0" applyBorder="1" applyAlignment="1">
      <alignment horizontal="center"/>
    </xf>
    <xf numFmtId="0" fontId="0" fillId="0" borderId="77" xfId="0" applyFill="1" applyBorder="1" applyAlignment="1">
      <alignment horizontal="center"/>
    </xf>
    <xf numFmtId="0" fontId="0" fillId="0" borderId="19" xfId="0" applyFill="1" applyBorder="1" applyAlignment="1">
      <alignment horizontal="center"/>
    </xf>
    <xf numFmtId="165" fontId="0" fillId="0" borderId="5" xfId="0" applyNumberFormat="1" applyBorder="1"/>
    <xf numFmtId="0" fontId="46" fillId="2" borderId="0" xfId="0" applyFont="1" applyFill="1"/>
    <xf numFmtId="0" fontId="46" fillId="37" borderId="78" xfId="0" applyFont="1" applyFill="1" applyBorder="1" applyAlignment="1">
      <alignment horizontal="center"/>
    </xf>
    <xf numFmtId="3" fontId="46" fillId="37" borderId="78" xfId="0" applyNumberFormat="1" applyFont="1" applyFill="1" applyBorder="1" applyAlignment="1">
      <alignment horizontal="center"/>
    </xf>
    <xf numFmtId="165" fontId="46" fillId="37" borderId="78" xfId="0" applyNumberFormat="1" applyFont="1" applyFill="1" applyBorder="1" applyAlignment="1">
      <alignment horizontal="center"/>
    </xf>
    <xf numFmtId="0" fontId="46" fillId="2" borderId="0" xfId="0" applyFont="1" applyFill="1" applyAlignment="1">
      <alignment horizontal="center"/>
    </xf>
    <xf numFmtId="14" fontId="46" fillId="37" borderId="78" xfId="0" applyNumberFormat="1" applyFont="1" applyFill="1" applyBorder="1" applyAlignment="1">
      <alignment horizontal="center"/>
    </xf>
    <xf numFmtId="164" fontId="46" fillId="37" borderId="78" xfId="0" applyNumberFormat="1" applyFont="1" applyFill="1" applyBorder="1" applyAlignment="1">
      <alignment horizontal="center"/>
    </xf>
    <xf numFmtId="14" fontId="46" fillId="2" borderId="0" xfId="0" applyNumberFormat="1" applyFont="1" applyFill="1"/>
    <xf numFmtId="2" fontId="46" fillId="37" borderId="78" xfId="0" applyNumberFormat="1" applyFont="1" applyFill="1" applyBorder="1" applyAlignment="1">
      <alignment horizontal="center"/>
    </xf>
    <xf numFmtId="0" fontId="47" fillId="2" borderId="0" xfId="0" applyFont="1" applyFill="1"/>
    <xf numFmtId="0" fontId="46" fillId="8" borderId="0" xfId="0" applyFont="1" applyFill="1" applyBorder="1"/>
    <xf numFmtId="169" fontId="46" fillId="8" borderId="48" xfId="0" applyNumberFormat="1" applyFont="1" applyFill="1" applyBorder="1" applyAlignment="1">
      <alignment horizontal="center"/>
    </xf>
    <xf numFmtId="6" fontId="46" fillId="8" borderId="0" xfId="0" applyNumberFormat="1" applyFont="1" applyFill="1" applyBorder="1" applyAlignment="1">
      <alignment horizontal="center"/>
    </xf>
    <xf numFmtId="8" fontId="46" fillId="8" borderId="0" xfId="0" applyNumberFormat="1" applyFont="1" applyFill="1" applyBorder="1" applyAlignment="1">
      <alignment horizontal="center"/>
    </xf>
    <xf numFmtId="6" fontId="46" fillId="8" borderId="48" xfId="0" applyNumberFormat="1" applyFont="1" applyFill="1" applyBorder="1" applyAlignment="1">
      <alignment horizontal="right"/>
    </xf>
    <xf numFmtId="8" fontId="46" fillId="8" borderId="27" xfId="0" applyNumberFormat="1" applyFont="1" applyFill="1" applyBorder="1" applyAlignment="1">
      <alignment horizontal="left"/>
    </xf>
    <xf numFmtId="0" fontId="46" fillId="2" borderId="0" xfId="0" applyFont="1" applyFill="1" applyBorder="1"/>
    <xf numFmtId="169" fontId="46" fillId="2" borderId="48" xfId="0" applyNumberFormat="1" applyFont="1" applyFill="1" applyBorder="1" applyAlignment="1">
      <alignment horizontal="center"/>
    </xf>
    <xf numFmtId="6" fontId="46" fillId="2" borderId="0" xfId="0" applyNumberFormat="1" applyFont="1" applyFill="1" applyBorder="1" applyAlignment="1">
      <alignment horizontal="center"/>
    </xf>
    <xf numFmtId="8" fontId="46" fillId="2" borderId="0" xfId="0" applyNumberFormat="1" applyFont="1" applyFill="1" applyBorder="1" applyAlignment="1">
      <alignment horizontal="center"/>
    </xf>
    <xf numFmtId="6" fontId="46" fillId="2" borderId="48" xfId="0" applyNumberFormat="1" applyFont="1" applyFill="1" applyBorder="1" applyAlignment="1">
      <alignment horizontal="right"/>
    </xf>
    <xf numFmtId="8" fontId="46" fillId="2" borderId="27" xfId="0" applyNumberFormat="1" applyFont="1" applyFill="1" applyBorder="1" applyAlignment="1">
      <alignment horizontal="left"/>
    </xf>
    <xf numFmtId="0" fontId="46" fillId="8" borderId="19" xfId="0" applyFont="1" applyFill="1" applyBorder="1"/>
    <xf numFmtId="169" fontId="46" fillId="8" borderId="53" xfId="0" applyNumberFormat="1" applyFont="1" applyFill="1" applyBorder="1" applyAlignment="1">
      <alignment horizontal="center"/>
    </xf>
    <xf numFmtId="6" fontId="46" fillId="8" borderId="19" xfId="0" applyNumberFormat="1" applyFont="1" applyFill="1" applyBorder="1" applyAlignment="1">
      <alignment horizontal="center"/>
    </xf>
    <xf numFmtId="8" fontId="46" fillId="8" borderId="19" xfId="0" applyNumberFormat="1" applyFont="1" applyFill="1" applyBorder="1" applyAlignment="1">
      <alignment horizontal="center"/>
    </xf>
    <xf numFmtId="6" fontId="46" fillId="8" borderId="53" xfId="0" applyNumberFormat="1" applyFont="1" applyFill="1" applyBorder="1" applyAlignment="1">
      <alignment horizontal="right"/>
    </xf>
    <xf numFmtId="8" fontId="46" fillId="8" borderId="20" xfId="0" applyNumberFormat="1" applyFont="1" applyFill="1" applyBorder="1" applyAlignment="1">
      <alignment horizontal="left"/>
    </xf>
    <xf numFmtId="0" fontId="46" fillId="2" borderId="0" xfId="0" applyFont="1" applyFill="1" applyAlignment="1">
      <alignment horizontal="left" indent="2"/>
    </xf>
    <xf numFmtId="166" fontId="46" fillId="37" borderId="78" xfId="0" applyNumberFormat="1" applyFont="1" applyFill="1" applyBorder="1" applyAlignment="1">
      <alignment horizontal="center"/>
    </xf>
    <xf numFmtId="9" fontId="46" fillId="37" borderId="78" xfId="0" applyNumberFormat="1" applyFont="1" applyFill="1" applyBorder="1" applyAlignment="1">
      <alignment horizontal="center"/>
    </xf>
    <xf numFmtId="0" fontId="48" fillId="2" borderId="0" xfId="0" applyFont="1" applyFill="1" applyAlignment="1">
      <alignment horizontal="center"/>
    </xf>
    <xf numFmtId="0" fontId="48" fillId="2" borderId="0" xfId="0" applyFont="1" applyFill="1" applyAlignment="1">
      <alignment horizontal="centerContinuous"/>
    </xf>
    <xf numFmtId="0" fontId="46" fillId="2" borderId="0" xfId="0" applyFont="1" applyFill="1" applyAlignment="1">
      <alignment horizontal="centerContinuous"/>
    </xf>
    <xf numFmtId="165" fontId="46" fillId="38" borderId="78" xfId="0" applyNumberFormat="1" applyFont="1" applyFill="1" applyBorder="1" applyAlignment="1">
      <alignment horizontal="center"/>
    </xf>
    <xf numFmtId="166" fontId="46" fillId="38" borderId="78" xfId="0" applyNumberFormat="1" applyFont="1" applyFill="1" applyBorder="1" applyAlignment="1">
      <alignment horizontal="center"/>
    </xf>
    <xf numFmtId="9" fontId="46" fillId="38" borderId="78" xfId="0" applyNumberFormat="1" applyFont="1" applyFill="1" applyBorder="1" applyAlignment="1">
      <alignment horizontal="center"/>
    </xf>
    <xf numFmtId="164" fontId="46" fillId="38" borderId="78" xfId="0" applyNumberFormat="1" applyFont="1" applyFill="1" applyBorder="1" applyAlignment="1">
      <alignment horizontal="center"/>
    </xf>
    <xf numFmtId="8" fontId="17" fillId="2" borderId="0" xfId="0" applyNumberFormat="1" applyFont="1" applyFill="1"/>
    <xf numFmtId="6" fontId="17" fillId="2" borderId="0" xfId="0" applyNumberFormat="1" applyFont="1" applyFill="1"/>
    <xf numFmtId="0" fontId="17" fillId="2" borderId="14" xfId="0" applyFont="1" applyFill="1" applyBorder="1"/>
    <xf numFmtId="0" fontId="17" fillId="2" borderId="1" xfId="0" applyFont="1" applyFill="1" applyBorder="1"/>
    <xf numFmtId="0" fontId="17" fillId="2" borderId="3" xfId="0" applyFont="1" applyFill="1" applyBorder="1"/>
    <xf numFmtId="9" fontId="17" fillId="2" borderId="14" xfId="0" applyNumberFormat="1" applyFont="1" applyFill="1" applyBorder="1"/>
    <xf numFmtId="0" fontId="17" fillId="2" borderId="2" xfId="0" applyFont="1" applyFill="1" applyBorder="1"/>
    <xf numFmtId="8" fontId="17" fillId="2" borderId="2" xfId="0" applyNumberFormat="1" applyFont="1" applyFill="1" applyBorder="1"/>
    <xf numFmtId="0" fontId="2" fillId="0" borderId="0" xfId="0" applyFont="1" applyAlignment="1">
      <alignment horizontal="center"/>
    </xf>
    <xf numFmtId="0" fontId="0" fillId="0" borderId="0" xfId="0" applyAlignment="1">
      <alignment horizontal="center"/>
    </xf>
    <xf numFmtId="0" fontId="2" fillId="0" borderId="4" xfId="0" applyFont="1" applyBorder="1" applyAlignment="1">
      <alignment horizontal="center" vertical="top"/>
    </xf>
    <xf numFmtId="0" fontId="2" fillId="0" borderId="14" xfId="0" applyFont="1" applyBorder="1" applyAlignment="1">
      <alignment horizontal="center" vertical="top"/>
    </xf>
    <xf numFmtId="166" fontId="2" fillId="0" borderId="14" xfId="0" applyNumberFormat="1" applyFont="1" applyBorder="1" applyAlignment="1">
      <alignment horizontal="center" vertical="top"/>
    </xf>
    <xf numFmtId="0" fontId="2" fillId="0" borderId="40" xfId="0" applyFont="1" applyFill="1" applyBorder="1" applyAlignment="1">
      <alignment horizontal="center" vertical="top"/>
    </xf>
    <xf numFmtId="0" fontId="2" fillId="0" borderId="14" xfId="0" applyFont="1" applyBorder="1" applyAlignment="1">
      <alignment horizontal="left" vertical="top"/>
    </xf>
    <xf numFmtId="0" fontId="2" fillId="0" borderId="75" xfId="0" applyNumberFormat="1" applyFont="1" applyBorder="1" applyAlignment="1">
      <alignment vertical="top" wrapText="1"/>
    </xf>
    <xf numFmtId="0" fontId="2" fillId="0" borderId="0" xfId="0" applyFont="1" applyBorder="1" applyAlignment="1">
      <alignment horizontal="center" vertical="top"/>
    </xf>
    <xf numFmtId="0" fontId="2" fillId="0" borderId="0" xfId="0" applyFont="1" applyFill="1" applyBorder="1" applyAlignment="1">
      <alignment horizontal="center" vertical="top"/>
    </xf>
    <xf numFmtId="166" fontId="2" fillId="0" borderId="0" xfId="1" applyNumberFormat="1" applyFont="1" applyBorder="1" applyAlignment="1">
      <alignment horizontal="center" vertical="top"/>
    </xf>
    <xf numFmtId="164" fontId="0" fillId="0" borderId="0" xfId="3" applyNumberFormat="1" applyFont="1" applyAlignment="1">
      <alignment horizontal="center"/>
    </xf>
    <xf numFmtId="0" fontId="2" fillId="0" borderId="0" xfId="0" applyFont="1" applyFill="1" applyBorder="1" applyAlignment="1">
      <alignment horizontal="left" vertical="top"/>
    </xf>
    <xf numFmtId="164" fontId="0" fillId="8" borderId="0" xfId="3" applyNumberFormat="1" applyFont="1" applyFill="1"/>
    <xf numFmtId="0" fontId="0" fillId="0" borderId="0" xfId="0" applyFill="1" applyAlignment="1">
      <alignment horizontal="left"/>
    </xf>
    <xf numFmtId="166" fontId="0" fillId="0" borderId="0" xfId="0" applyNumberFormat="1" applyFill="1"/>
    <xf numFmtId="164" fontId="0" fillId="34" borderId="0" xfId="3" applyNumberFormat="1" applyFont="1" applyFill="1"/>
    <xf numFmtId="0" fontId="0" fillId="0" borderId="0" xfId="0" applyFill="1" applyAlignment="1">
      <alignment horizontal="center"/>
    </xf>
    <xf numFmtId="164" fontId="0" fillId="35" borderId="0" xfId="3" applyNumberFormat="1" applyFont="1" applyFill="1"/>
    <xf numFmtId="0" fontId="19" fillId="2" borderId="82" xfId="0" applyFont="1" applyFill="1" applyBorder="1" applyAlignment="1">
      <alignment horizontal="left" indent="5"/>
    </xf>
    <xf numFmtId="0" fontId="50" fillId="2" borderId="0" xfId="0" applyFont="1" applyFill="1"/>
    <xf numFmtId="0" fontId="51" fillId="2" borderId="0" xfId="0" applyFont="1" applyFill="1" applyAlignment="1">
      <alignment horizontal="center" vertical="center"/>
    </xf>
    <xf numFmtId="0" fontId="17" fillId="37" borderId="0" xfId="0" applyFont="1" applyFill="1"/>
    <xf numFmtId="6" fontId="17" fillId="37" borderId="0" xfId="0" applyNumberFormat="1" applyFont="1" applyFill="1" applyAlignment="1">
      <alignment horizontal="center" vertical="center"/>
    </xf>
    <xf numFmtId="9" fontId="17" fillId="2" borderId="0" xfId="3" applyFont="1" applyFill="1" applyAlignment="1">
      <alignment horizontal="center" vertical="center"/>
    </xf>
    <xf numFmtId="166" fontId="17" fillId="37" borderId="0" xfId="3" applyNumberFormat="1" applyFont="1" applyFill="1" applyAlignment="1">
      <alignment horizontal="center" vertical="center"/>
    </xf>
    <xf numFmtId="6" fontId="17" fillId="37" borderId="0" xfId="0" applyNumberFormat="1" applyFont="1" applyFill="1" applyAlignment="1">
      <alignment horizontal="center"/>
    </xf>
    <xf numFmtId="6" fontId="17" fillId="2" borderId="0" xfId="0" applyNumberFormat="1" applyFont="1" applyFill="1" applyAlignment="1">
      <alignment horizontal="center"/>
    </xf>
    <xf numFmtId="0" fontId="52" fillId="2" borderId="0" xfId="0" applyFont="1" applyFill="1" applyAlignment="1">
      <alignment horizontal="center" vertical="center"/>
    </xf>
    <xf numFmtId="6" fontId="17" fillId="2" borderId="0" xfId="0" applyNumberFormat="1" applyFont="1" applyFill="1" applyAlignment="1">
      <alignment horizontal="center" vertical="center"/>
    </xf>
    <xf numFmtId="0" fontId="53" fillId="38" borderId="83" xfId="0" applyFont="1" applyFill="1" applyBorder="1" applyAlignment="1">
      <alignment horizontal="centerContinuous"/>
    </xf>
    <xf numFmtId="0" fontId="53" fillId="38" borderId="84" xfId="0" applyFont="1" applyFill="1" applyBorder="1" applyAlignment="1">
      <alignment horizontal="centerContinuous"/>
    </xf>
    <xf numFmtId="0" fontId="50" fillId="38" borderId="84" xfId="0" applyFont="1" applyFill="1" applyBorder="1" applyAlignment="1">
      <alignment horizontal="centerContinuous"/>
    </xf>
    <xf numFmtId="0" fontId="17" fillId="37" borderId="86" xfId="0" applyFont="1" applyFill="1" applyBorder="1" applyAlignment="1">
      <alignment horizontal="right"/>
    </xf>
    <xf numFmtId="0" fontId="17" fillId="37" borderId="0" xfId="0" applyFont="1" applyFill="1" applyBorder="1" applyAlignment="1">
      <alignment horizontal="right"/>
    </xf>
    <xf numFmtId="0" fontId="17" fillId="37" borderId="0" xfId="0" applyFont="1" applyFill="1" applyBorder="1" applyAlignment="1">
      <alignment horizontal="left"/>
    </xf>
    <xf numFmtId="0" fontId="17" fillId="2" borderId="86" xfId="0" applyFont="1" applyFill="1" applyBorder="1" applyAlignment="1">
      <alignment horizontal="right"/>
    </xf>
    <xf numFmtId="0" fontId="17" fillId="2" borderId="0" xfId="0" applyFont="1" applyFill="1" applyBorder="1" applyAlignment="1">
      <alignment horizontal="right"/>
    </xf>
    <xf numFmtId="0" fontId="17" fillId="2" borderId="0" xfId="0" applyFont="1" applyFill="1" applyBorder="1" applyAlignment="1">
      <alignment horizontal="left"/>
    </xf>
    <xf numFmtId="0" fontId="22" fillId="39" borderId="3" xfId="0" applyFont="1" applyFill="1" applyBorder="1" applyAlignment="1">
      <alignment horizontal="center" vertical="center"/>
    </xf>
    <xf numFmtId="0" fontId="17" fillId="2" borderId="4" xfId="0" applyFont="1" applyFill="1" applyBorder="1" applyAlignment="1">
      <alignment horizontal="left" vertical="center"/>
    </xf>
    <xf numFmtId="0" fontId="17" fillId="2" borderId="6" xfId="0" applyFont="1" applyFill="1" applyBorder="1"/>
    <xf numFmtId="0" fontId="17" fillId="2" borderId="0" xfId="0" applyFont="1" applyFill="1" applyAlignment="1">
      <alignment horizontal="center"/>
    </xf>
    <xf numFmtId="0" fontId="17" fillId="2" borderId="11" xfId="0" applyFont="1" applyFill="1" applyBorder="1"/>
    <xf numFmtId="6" fontId="54" fillId="2" borderId="10" xfId="0" applyNumberFormat="1" applyFont="1" applyFill="1" applyBorder="1" applyAlignment="1">
      <alignment horizontal="center"/>
    </xf>
    <xf numFmtId="0" fontId="17" fillId="2" borderId="4" xfId="0" applyFont="1" applyFill="1" applyBorder="1"/>
    <xf numFmtId="6" fontId="54" fillId="2" borderId="5" xfId="0" applyNumberFormat="1" applyFont="1" applyFill="1" applyBorder="1" applyAlignment="1">
      <alignment horizontal="center"/>
    </xf>
    <xf numFmtId="6" fontId="54" fillId="2" borderId="8" xfId="0" applyNumberFormat="1" applyFont="1" applyFill="1" applyBorder="1" applyAlignment="1">
      <alignment horizontal="center"/>
    </xf>
    <xf numFmtId="0" fontId="17" fillId="2" borderId="11" xfId="0" applyFont="1" applyFill="1" applyBorder="1" applyAlignment="1">
      <alignment horizontal="left" vertical="center"/>
    </xf>
    <xf numFmtId="0" fontId="17" fillId="2" borderId="6" xfId="0" applyFont="1" applyFill="1" applyBorder="1" applyAlignment="1">
      <alignment horizontal="left" vertical="center"/>
    </xf>
    <xf numFmtId="6" fontId="56" fillId="2" borderId="10" xfId="0" applyNumberFormat="1" applyFont="1" applyFill="1" applyBorder="1" applyAlignment="1">
      <alignment horizontal="center" vertical="center"/>
    </xf>
    <xf numFmtId="6" fontId="56" fillId="2" borderId="5" xfId="0" applyNumberFormat="1" applyFont="1" applyFill="1" applyBorder="1" applyAlignment="1">
      <alignment horizontal="center" vertical="center"/>
    </xf>
    <xf numFmtId="6" fontId="56" fillId="2" borderId="8" xfId="0" applyNumberFormat="1" applyFont="1" applyFill="1" applyBorder="1" applyAlignment="1">
      <alignment horizontal="center" vertical="center"/>
    </xf>
    <xf numFmtId="166" fontId="54" fillId="2" borderId="9" xfId="0" applyNumberFormat="1" applyFont="1" applyFill="1" applyBorder="1" applyAlignment="1">
      <alignment horizontal="center"/>
    </xf>
    <xf numFmtId="38" fontId="54" fillId="2" borderId="10" xfId="0" applyNumberFormat="1" applyFont="1" applyFill="1" applyBorder="1" applyAlignment="1">
      <alignment horizontal="center"/>
    </xf>
    <xf numFmtId="166" fontId="54" fillId="2" borderId="0" xfId="0" applyNumberFormat="1" applyFont="1" applyFill="1" applyBorder="1" applyAlignment="1">
      <alignment horizontal="center"/>
    </xf>
    <xf numFmtId="38" fontId="54" fillId="2" borderId="5" xfId="0" applyNumberFormat="1" applyFont="1" applyFill="1" applyBorder="1" applyAlignment="1">
      <alignment horizontal="center"/>
    </xf>
    <xf numFmtId="166" fontId="54" fillId="2" borderId="7" xfId="0" applyNumberFormat="1" applyFont="1" applyFill="1" applyBorder="1" applyAlignment="1">
      <alignment horizontal="center"/>
    </xf>
    <xf numFmtId="38" fontId="54" fillId="2" borderId="8" xfId="0" applyNumberFormat="1" applyFont="1" applyFill="1" applyBorder="1" applyAlignment="1">
      <alignment horizontal="center"/>
    </xf>
    <xf numFmtId="0" fontId="50" fillId="38" borderId="85" xfId="0" applyFont="1" applyFill="1" applyBorder="1"/>
    <xf numFmtId="0" fontId="17" fillId="37" borderId="87" xfId="0" applyFont="1" applyFill="1" applyBorder="1"/>
    <xf numFmtId="0" fontId="17" fillId="2" borderId="87" xfId="0" applyFont="1" applyFill="1" applyBorder="1"/>
    <xf numFmtId="166" fontId="17" fillId="2" borderId="0" xfId="0" applyNumberFormat="1" applyFont="1" applyFill="1"/>
    <xf numFmtId="0" fontId="46" fillId="2" borderId="0" xfId="0" applyFont="1" applyFill="1" applyAlignment="1"/>
    <xf numFmtId="0" fontId="57" fillId="2" borderId="0" xfId="0" applyFont="1" applyFill="1" applyAlignment="1">
      <alignment horizontal="right" indent="1"/>
    </xf>
    <xf numFmtId="0" fontId="0" fillId="0" borderId="0" xfId="0" applyAlignment="1">
      <alignment horizontal="center"/>
    </xf>
    <xf numFmtId="165" fontId="0" fillId="0" borderId="0" xfId="0" applyNumberFormat="1" applyAlignment="1">
      <alignment horizontal="center"/>
    </xf>
    <xf numFmtId="0" fontId="47" fillId="2" borderId="0" xfId="0" applyFont="1" applyFill="1" applyAlignment="1">
      <alignment horizontal="left" vertical="center" indent="6"/>
    </xf>
    <xf numFmtId="0" fontId="17" fillId="0" borderId="0" xfId="0" applyFont="1" applyAlignment="1">
      <alignment horizontal="center" vertical="center"/>
    </xf>
    <xf numFmtId="3" fontId="23" fillId="0" borderId="0" xfId="0" applyNumberFormat="1" applyFont="1" applyAlignment="1">
      <alignment horizontal="center"/>
    </xf>
    <xf numFmtId="165" fontId="23" fillId="0" borderId="0" xfId="0" applyNumberFormat="1" applyFont="1" applyAlignment="1">
      <alignment horizontal="center" vertical="center"/>
    </xf>
    <xf numFmtId="167" fontId="23" fillId="0" borderId="0" xfId="0" applyNumberFormat="1" applyFont="1" applyAlignment="1">
      <alignment horizontal="center" vertical="center"/>
    </xf>
    <xf numFmtId="164" fontId="23" fillId="0" borderId="0" xfId="3" applyNumberFormat="1" applyFont="1" applyAlignment="1">
      <alignment horizontal="center" vertical="center"/>
    </xf>
    <xf numFmtId="165" fontId="17" fillId="0" borderId="0" xfId="0" applyNumberFormat="1" applyFont="1" applyAlignment="1">
      <alignment horizontal="center"/>
    </xf>
    <xf numFmtId="0" fontId="59" fillId="0" borderId="0" xfId="0" applyFont="1" applyAlignment="1">
      <alignment horizontal="center" vertical="center"/>
    </xf>
    <xf numFmtId="0" fontId="60" fillId="0" borderId="0" xfId="0" applyFont="1" applyAlignment="1">
      <alignment horizontal="left" vertical="center"/>
    </xf>
    <xf numFmtId="165" fontId="61" fillId="0" borderId="0" xfId="0" applyNumberFormat="1" applyFont="1" applyAlignment="1">
      <alignment horizontal="center"/>
    </xf>
    <xf numFmtId="0" fontId="23" fillId="0" borderId="0" xfId="0" applyFont="1" applyAlignment="1">
      <alignment horizontal="center"/>
    </xf>
    <xf numFmtId="0" fontId="62" fillId="0" borderId="0" xfId="0" applyFont="1" applyAlignment="1">
      <alignment vertical="center"/>
    </xf>
    <xf numFmtId="0" fontId="23" fillId="0" borderId="0" xfId="0" applyFont="1" applyAlignment="1">
      <alignment horizontal="center" vertical="center"/>
    </xf>
    <xf numFmtId="0" fontId="23" fillId="0" borderId="0" xfId="0" applyFont="1" applyAlignment="1">
      <alignment vertical="center"/>
    </xf>
    <xf numFmtId="0" fontId="59" fillId="0" borderId="0" xfId="0" applyFont="1" applyAlignment="1">
      <alignment horizontal="left" vertical="center"/>
    </xf>
    <xf numFmtId="0" fontId="23" fillId="0" borderId="0" xfId="0" applyFont="1"/>
    <xf numFmtId="0" fontId="5" fillId="0" borderId="0" xfId="0" applyFont="1"/>
    <xf numFmtId="0" fontId="64" fillId="39" borderId="14" xfId="0" applyFont="1" applyFill="1" applyBorder="1" applyAlignment="1">
      <alignment horizontal="center" vertical="center" wrapText="1"/>
    </xf>
    <xf numFmtId="0" fontId="23" fillId="0" borderId="14" xfId="0" applyFont="1" applyBorder="1" applyAlignment="1">
      <alignment horizontal="center"/>
    </xf>
    <xf numFmtId="9" fontId="63" fillId="2" borderId="14" xfId="0" applyNumberFormat="1" applyFont="1" applyFill="1" applyBorder="1" applyAlignment="1">
      <alignment horizontal="center" vertical="center"/>
    </xf>
    <xf numFmtId="0" fontId="59" fillId="0" borderId="0" xfId="0" applyFont="1" applyAlignment="1">
      <alignment vertical="center"/>
    </xf>
    <xf numFmtId="0" fontId="59" fillId="0" borderId="0" xfId="0" applyFont="1" applyAlignment="1">
      <alignment horizontal="center"/>
    </xf>
    <xf numFmtId="165" fontId="59" fillId="0" borderId="0" xfId="0" applyNumberFormat="1" applyFont="1" applyAlignment="1">
      <alignment horizontal="center"/>
    </xf>
    <xf numFmtId="0" fontId="65" fillId="0" borderId="14" xfId="0" applyFont="1" applyFill="1" applyBorder="1" applyAlignment="1">
      <alignment horizontal="center" vertical="center"/>
    </xf>
    <xf numFmtId="166" fontId="23" fillId="0" borderId="14" xfId="0" applyNumberFormat="1" applyFont="1" applyBorder="1" applyAlignment="1">
      <alignment horizontal="center"/>
    </xf>
    <xf numFmtId="0" fontId="23" fillId="0" borderId="14" xfId="0" applyFont="1" applyFill="1" applyBorder="1" applyAlignment="1">
      <alignment horizontal="center" vertical="center"/>
    </xf>
    <xf numFmtId="9" fontId="66" fillId="0" borderId="14" xfId="3" applyFont="1" applyBorder="1" applyAlignment="1">
      <alignment horizontal="center"/>
    </xf>
    <xf numFmtId="9" fontId="63" fillId="0" borderId="14" xfId="3" applyFont="1" applyBorder="1" applyAlignment="1">
      <alignment horizontal="center"/>
    </xf>
    <xf numFmtId="0" fontId="23" fillId="0" borderId="0" xfId="0" applyFont="1" applyFill="1" applyBorder="1" applyAlignment="1">
      <alignment horizontal="left"/>
    </xf>
    <xf numFmtId="7" fontId="66" fillId="0" borderId="0" xfId="0" applyNumberFormat="1" applyFont="1" applyBorder="1" applyAlignment="1">
      <alignment horizontal="center"/>
    </xf>
    <xf numFmtId="0" fontId="64" fillId="39" borderId="14" xfId="0" applyFont="1" applyFill="1" applyBorder="1" applyAlignment="1">
      <alignment horizontal="center" vertical="center"/>
    </xf>
    <xf numFmtId="165" fontId="64" fillId="39" borderId="3" xfId="0" applyNumberFormat="1" applyFont="1" applyFill="1" applyBorder="1" applyAlignment="1">
      <alignment horizontal="center" vertical="center"/>
    </xf>
    <xf numFmtId="0" fontId="23" fillId="0" borderId="14" xfId="0" applyFont="1" applyBorder="1" applyAlignment="1">
      <alignment horizontal="center" vertical="center"/>
    </xf>
    <xf numFmtId="3" fontId="23" fillId="0" borderId="14" xfId="0" applyNumberFormat="1" applyFont="1" applyBorder="1" applyAlignment="1">
      <alignment horizontal="center" vertical="center"/>
    </xf>
    <xf numFmtId="165" fontId="23" fillId="0" borderId="14" xfId="0" applyNumberFormat="1" applyFont="1" applyBorder="1" applyAlignment="1">
      <alignment horizontal="center" vertical="center"/>
    </xf>
    <xf numFmtId="164" fontId="66" fillId="0" borderId="14" xfId="3" quotePrefix="1" applyNumberFormat="1" applyFont="1" applyBorder="1" applyAlignment="1">
      <alignment horizontal="center" vertical="center"/>
    </xf>
    <xf numFmtId="164" fontId="66" fillId="40" borderId="14" xfId="3" quotePrefix="1" applyNumberFormat="1" applyFont="1" applyFill="1" applyBorder="1" applyAlignment="1">
      <alignment horizontal="center" vertical="center"/>
    </xf>
    <xf numFmtId="164" fontId="23" fillId="0" borderId="14" xfId="0" applyNumberFormat="1" applyFont="1" applyBorder="1" applyAlignment="1">
      <alignment horizontal="center" vertical="center"/>
    </xf>
    <xf numFmtId="0" fontId="23" fillId="0" borderId="0" xfId="0" applyFont="1" applyBorder="1"/>
    <xf numFmtId="3" fontId="17" fillId="0" borderId="0" xfId="0" applyNumberFormat="1" applyFont="1" applyBorder="1" applyAlignment="1">
      <alignment horizontal="center" vertical="center"/>
    </xf>
    <xf numFmtId="165" fontId="17" fillId="0" borderId="0" xfId="0" applyNumberFormat="1" applyFont="1" applyBorder="1" applyAlignment="1">
      <alignment horizontal="center" vertical="center"/>
    </xf>
    <xf numFmtId="164" fontId="17" fillId="0" borderId="0" xfId="0" applyNumberFormat="1" applyFont="1" applyBorder="1" applyAlignment="1">
      <alignment horizontal="center" vertical="center"/>
    </xf>
    <xf numFmtId="164" fontId="55" fillId="0" borderId="0" xfId="3" applyNumberFormat="1" applyFont="1" applyBorder="1" applyAlignment="1">
      <alignment horizontal="center" vertical="center"/>
    </xf>
    <xf numFmtId="0" fontId="21" fillId="0" borderId="0" xfId="0" applyFont="1"/>
    <xf numFmtId="0" fontId="64" fillId="39" borderId="3" xfId="0" applyFont="1" applyFill="1" applyBorder="1" applyAlignment="1">
      <alignment horizontal="center" vertical="center"/>
    </xf>
    <xf numFmtId="2" fontId="21" fillId="0" borderId="0" xfId="0" applyNumberFormat="1" applyFont="1"/>
    <xf numFmtId="165" fontId="23" fillId="0" borderId="3" xfId="0" applyNumberFormat="1" applyFont="1" applyBorder="1" applyAlignment="1">
      <alignment horizontal="center" vertical="center"/>
    </xf>
    <xf numFmtId="164" fontId="23" fillId="0" borderId="3" xfId="3" applyNumberFormat="1" applyFont="1" applyBorder="1" applyAlignment="1">
      <alignment horizontal="center" vertical="center"/>
    </xf>
    <xf numFmtId="165" fontId="17" fillId="0" borderId="0" xfId="0" applyNumberFormat="1" applyFont="1"/>
    <xf numFmtId="0" fontId="59" fillId="0" borderId="13" xfId="0" applyFont="1" applyBorder="1" applyAlignment="1">
      <alignment horizontal="center" vertical="center"/>
    </xf>
    <xf numFmtId="165" fontId="59" fillId="0" borderId="8" xfId="0" applyNumberFormat="1" applyFont="1" applyFill="1" applyBorder="1" applyAlignment="1">
      <alignment horizontal="center" vertical="center"/>
    </xf>
    <xf numFmtId="164" fontId="59" fillId="0" borderId="8" xfId="3" applyNumberFormat="1" applyFont="1" applyBorder="1" applyAlignment="1">
      <alignment horizontal="center" vertical="center"/>
    </xf>
    <xf numFmtId="164" fontId="17" fillId="0" borderId="0" xfId="3" applyNumberFormat="1" applyFont="1"/>
    <xf numFmtId="0" fontId="60" fillId="0" borderId="0" xfId="0" applyFont="1" applyAlignment="1">
      <alignment vertical="center"/>
    </xf>
    <xf numFmtId="0" fontId="60" fillId="0" borderId="0" xfId="0" applyFont="1"/>
    <xf numFmtId="0" fontId="67" fillId="2" borderId="0" xfId="0" applyFont="1" applyFill="1" applyAlignment="1">
      <alignment horizontal="center" vertical="center"/>
    </xf>
    <xf numFmtId="0" fontId="63" fillId="37" borderId="78" xfId="0" applyFont="1" applyFill="1" applyBorder="1" applyAlignment="1">
      <alignment horizontal="center"/>
    </xf>
    <xf numFmtId="0" fontId="59" fillId="0" borderId="0" xfId="0" applyFont="1"/>
    <xf numFmtId="0" fontId="64" fillId="39" borderId="3" xfId="0" applyFont="1" applyFill="1" applyBorder="1" applyAlignment="1">
      <alignment horizontal="center"/>
    </xf>
    <xf numFmtId="165" fontId="64" fillId="39" borderId="3" xfId="0" applyNumberFormat="1" applyFont="1" applyFill="1" applyBorder="1" applyAlignment="1">
      <alignment horizontal="center"/>
    </xf>
    <xf numFmtId="165" fontId="23" fillId="0" borderId="3" xfId="0" applyNumberFormat="1" applyFont="1" applyBorder="1" applyAlignment="1">
      <alignment horizontal="center"/>
    </xf>
    <xf numFmtId="165" fontId="59" fillId="0" borderId="8" xfId="0" applyNumberFormat="1" applyFont="1" applyFill="1" applyBorder="1" applyAlignment="1">
      <alignment horizontal="center"/>
    </xf>
    <xf numFmtId="0" fontId="59" fillId="38" borderId="14" xfId="0" quotePrefix="1" applyFont="1" applyFill="1" applyBorder="1" applyAlignment="1">
      <alignment horizontal="center"/>
    </xf>
    <xf numFmtId="0" fontId="59" fillId="38" borderId="3" xfId="0" applyFont="1" applyFill="1" applyBorder="1" applyAlignment="1">
      <alignment horizontal="center"/>
    </xf>
    <xf numFmtId="0" fontId="59" fillId="38" borderId="13" xfId="0" applyFont="1" applyFill="1" applyBorder="1" applyAlignment="1">
      <alignment horizontal="center"/>
    </xf>
    <xf numFmtId="0" fontId="63" fillId="38" borderId="13" xfId="0" applyFont="1" applyFill="1" applyBorder="1" applyAlignment="1">
      <alignment horizontal="center"/>
    </xf>
    <xf numFmtId="0" fontId="23" fillId="2" borderId="5" xfId="0" applyFont="1" applyFill="1" applyBorder="1" applyAlignment="1">
      <alignment horizontal="center"/>
    </xf>
    <xf numFmtId="3" fontId="23" fillId="2" borderId="40" xfId="0" applyNumberFormat="1" applyFont="1" applyFill="1" applyBorder="1" applyAlignment="1">
      <alignment horizontal="center"/>
    </xf>
    <xf numFmtId="165" fontId="23" fillId="2" borderId="40" xfId="0" applyNumberFormat="1" applyFont="1" applyFill="1" applyBorder="1" applyAlignment="1">
      <alignment horizontal="center"/>
    </xf>
    <xf numFmtId="0" fontId="23" fillId="2" borderId="8" xfId="0" applyFont="1" applyFill="1" applyBorder="1" applyAlignment="1">
      <alignment horizontal="center"/>
    </xf>
    <xf numFmtId="3" fontId="23" fillId="2" borderId="13" xfId="0" applyNumberFormat="1" applyFont="1" applyFill="1" applyBorder="1" applyAlignment="1">
      <alignment horizontal="center"/>
    </xf>
    <xf numFmtId="165" fontId="23" fillId="2" borderId="13" xfId="0" applyNumberFormat="1" applyFont="1" applyFill="1" applyBorder="1" applyAlignment="1">
      <alignment horizontal="center"/>
    </xf>
    <xf numFmtId="3" fontId="23" fillId="2" borderId="12" xfId="0" applyNumberFormat="1" applyFont="1" applyFill="1" applyBorder="1" applyAlignment="1">
      <alignment horizontal="center"/>
    </xf>
    <xf numFmtId="3" fontId="23" fillId="19" borderId="40" xfId="0" applyNumberFormat="1" applyFont="1" applyFill="1" applyBorder="1" applyAlignment="1">
      <alignment horizontal="center"/>
    </xf>
    <xf numFmtId="1" fontId="23" fillId="19" borderId="40" xfId="0" applyNumberFormat="1" applyFont="1" applyFill="1" applyBorder="1" applyAlignment="1">
      <alignment horizontal="center"/>
    </xf>
    <xf numFmtId="3" fontId="23" fillId="19" borderId="13" xfId="0" applyNumberFormat="1" applyFont="1" applyFill="1" applyBorder="1" applyAlignment="1">
      <alignment horizontal="center"/>
    </xf>
    <xf numFmtId="1" fontId="23" fillId="19" borderId="13" xfId="0" applyNumberFormat="1" applyFont="1" applyFill="1" applyBorder="1" applyAlignment="1">
      <alignment horizontal="center"/>
    </xf>
    <xf numFmtId="0" fontId="23" fillId="0" borderId="12" xfId="0" applyFont="1" applyBorder="1" applyAlignment="1">
      <alignment horizontal="center" vertical="center"/>
    </xf>
    <xf numFmtId="0" fontId="23" fillId="19" borderId="10" xfId="0" applyFont="1" applyFill="1" applyBorder="1"/>
    <xf numFmtId="3" fontId="59" fillId="2" borderId="10" xfId="0" applyNumberFormat="1" applyFont="1" applyFill="1" applyBorder="1" applyAlignment="1">
      <alignment horizontal="center"/>
    </xf>
    <xf numFmtId="166" fontId="59" fillId="2" borderId="10" xfId="0" applyNumberFormat="1" applyFont="1" applyFill="1" applyBorder="1" applyAlignment="1">
      <alignment horizontal="center"/>
    </xf>
    <xf numFmtId="0" fontId="23" fillId="0" borderId="40" xfId="0" applyFont="1" applyBorder="1" applyAlignment="1">
      <alignment horizontal="center" vertical="center"/>
    </xf>
    <xf numFmtId="0" fontId="23" fillId="19" borderId="5" xfId="0" applyFont="1" applyFill="1" applyBorder="1"/>
    <xf numFmtId="0" fontId="59" fillId="19" borderId="5" xfId="0" applyFont="1" applyFill="1" applyBorder="1" applyAlignment="1">
      <alignment horizontal="center"/>
    </xf>
    <xf numFmtId="166" fontId="59" fillId="2" borderId="5" xfId="0" applyNumberFormat="1" applyFont="1" applyFill="1" applyBorder="1" applyAlignment="1">
      <alignment horizontal="center"/>
    </xf>
    <xf numFmtId="0" fontId="23" fillId="0" borderId="13" xfId="0" applyFont="1" applyBorder="1" applyAlignment="1">
      <alignment horizontal="center" vertical="center"/>
    </xf>
    <xf numFmtId="0" fontId="23" fillId="19" borderId="8" xfId="0" applyFont="1" applyFill="1" applyBorder="1"/>
    <xf numFmtId="0" fontId="59" fillId="19" borderId="8" xfId="0" applyFont="1" applyFill="1" applyBorder="1" applyAlignment="1">
      <alignment horizontal="center"/>
    </xf>
    <xf numFmtId="164" fontId="59" fillId="2" borderId="8" xfId="3" applyNumberFormat="1" applyFont="1" applyFill="1" applyBorder="1" applyAlignment="1">
      <alignment horizontal="center"/>
    </xf>
    <xf numFmtId="166" fontId="23" fillId="0" borderId="0" xfId="0" applyNumberFormat="1" applyFont="1"/>
    <xf numFmtId="0" fontId="68" fillId="0" borderId="0" xfId="0" applyFont="1"/>
    <xf numFmtId="0" fontId="66" fillId="0" borderId="0" xfId="0" applyFont="1"/>
    <xf numFmtId="0" fontId="54" fillId="0" borderId="0" xfId="0" applyFont="1"/>
    <xf numFmtId="165" fontId="23" fillId="0" borderId="0" xfId="0" applyNumberFormat="1" applyFont="1" applyAlignment="1">
      <alignment horizontal="center"/>
    </xf>
    <xf numFmtId="9" fontId="23" fillId="0" borderId="0" xfId="0" applyNumberFormat="1" applyFont="1" applyAlignment="1">
      <alignment horizontal="center"/>
    </xf>
    <xf numFmtId="9" fontId="0" fillId="0" borderId="0" xfId="3" applyFont="1" applyAlignment="1">
      <alignment horizontal="center" vertical="center"/>
    </xf>
    <xf numFmtId="165" fontId="69" fillId="0" borderId="0" xfId="0" applyNumberFormat="1" applyFont="1" applyAlignment="1">
      <alignment horizontal="center"/>
    </xf>
    <xf numFmtId="0" fontId="58" fillId="2" borderId="0" xfId="0" applyFont="1" applyFill="1" applyAlignment="1">
      <alignment horizontal="left" indent="1"/>
    </xf>
    <xf numFmtId="0" fontId="70" fillId="37" borderId="78" xfId="0" applyFont="1" applyFill="1" applyBorder="1" applyAlignment="1">
      <alignment horizontal="center"/>
    </xf>
    <xf numFmtId="0" fontId="71" fillId="2" borderId="0" xfId="0" applyFont="1" applyFill="1" applyAlignment="1">
      <alignment horizontal="left"/>
    </xf>
    <xf numFmtId="0" fontId="72" fillId="39" borderId="14" xfId="0" applyFont="1" applyFill="1" applyBorder="1" applyAlignment="1">
      <alignment horizontal="left" vertical="center"/>
    </xf>
    <xf numFmtId="0" fontId="72" fillId="39" borderId="3" xfId="0" applyFont="1" applyFill="1" applyBorder="1" applyAlignment="1">
      <alignment horizontal="center" vertical="center"/>
    </xf>
    <xf numFmtId="0" fontId="17" fillId="2" borderId="40" xfId="0" applyFont="1" applyFill="1" applyBorder="1" applyAlignment="1">
      <alignment horizontal="left" vertical="center"/>
    </xf>
    <xf numFmtId="0" fontId="70" fillId="2" borderId="10" xfId="0" applyFont="1" applyFill="1" applyBorder="1" applyAlignment="1">
      <alignment horizontal="center" vertical="center"/>
    </xf>
    <xf numFmtId="0" fontId="70" fillId="2" borderId="5" xfId="0" applyFont="1" applyFill="1" applyBorder="1" applyAlignment="1">
      <alignment horizontal="center" vertical="center"/>
    </xf>
    <xf numFmtId="0" fontId="17" fillId="2" borderId="13" xfId="0" applyFont="1" applyFill="1" applyBorder="1" applyAlignment="1">
      <alignment horizontal="left" vertical="center"/>
    </xf>
    <xf numFmtId="0" fontId="70" fillId="2" borderId="8" xfId="0" applyFont="1" applyFill="1" applyBorder="1" applyAlignment="1">
      <alignment horizontal="center" vertical="center"/>
    </xf>
    <xf numFmtId="0" fontId="72" fillId="39" borderId="1" xfId="0" applyFont="1" applyFill="1" applyBorder="1" applyAlignment="1">
      <alignment horizontal="left" vertical="center"/>
    </xf>
    <xf numFmtId="0" fontId="72" fillId="39" borderId="2" xfId="0" applyFont="1" applyFill="1" applyBorder="1" applyAlignment="1">
      <alignment horizontal="center" vertical="center"/>
    </xf>
    <xf numFmtId="166" fontId="17" fillId="2" borderId="0" xfId="0" applyNumberFormat="1" applyFont="1" applyFill="1" applyBorder="1" applyAlignment="1">
      <alignment horizontal="center" vertical="center"/>
    </xf>
    <xf numFmtId="166" fontId="17" fillId="2" borderId="5" xfId="0" applyNumberFormat="1" applyFont="1" applyFill="1" applyBorder="1" applyAlignment="1">
      <alignment horizontal="center" vertical="center"/>
    </xf>
    <xf numFmtId="166" fontId="17" fillId="2" borderId="9" xfId="0" applyNumberFormat="1" applyFont="1" applyFill="1" applyBorder="1" applyAlignment="1">
      <alignment horizontal="center" vertical="center"/>
    </xf>
    <xf numFmtId="166" fontId="17" fillId="2" borderId="10" xfId="0" applyNumberFormat="1" applyFont="1" applyFill="1" applyBorder="1" applyAlignment="1">
      <alignment horizontal="center" vertical="center"/>
    </xf>
    <xf numFmtId="166" fontId="17" fillId="0" borderId="5" xfId="0" applyNumberFormat="1" applyFont="1" applyFill="1" applyBorder="1" applyAlignment="1">
      <alignment horizontal="center" vertical="center"/>
    </xf>
    <xf numFmtId="166" fontId="17" fillId="40" borderId="7" xfId="0" applyNumberFormat="1" applyFont="1" applyFill="1" applyBorder="1" applyAlignment="1">
      <alignment horizontal="center" vertical="center"/>
    </xf>
    <xf numFmtId="166" fontId="17" fillId="2" borderId="8" xfId="0" applyNumberFormat="1" applyFont="1" applyFill="1" applyBorder="1" applyAlignment="1">
      <alignment horizontal="center" vertical="center"/>
    </xf>
    <xf numFmtId="0" fontId="17" fillId="2" borderId="1" xfId="0" applyFont="1" applyFill="1" applyBorder="1" applyAlignment="1">
      <alignment horizontal="left" vertical="center"/>
    </xf>
    <xf numFmtId="166" fontId="17" fillId="2" borderId="2" xfId="0" applyNumberFormat="1" applyFont="1" applyFill="1" applyBorder="1" applyAlignment="1">
      <alignment horizontal="center" vertical="center"/>
    </xf>
    <xf numFmtId="166" fontId="17" fillId="2" borderId="3" xfId="0" applyNumberFormat="1" applyFont="1" applyFill="1" applyBorder="1" applyAlignment="1">
      <alignment horizontal="center" vertical="center"/>
    </xf>
    <xf numFmtId="166" fontId="17" fillId="2" borderId="0" xfId="0" applyNumberFormat="1" applyFont="1" applyFill="1" applyAlignment="1">
      <alignment horizontal="center"/>
    </xf>
    <xf numFmtId="6" fontId="54" fillId="2" borderId="9" xfId="0" applyNumberFormat="1" applyFont="1" applyFill="1" applyBorder="1" applyAlignment="1">
      <alignment horizontal="center" vertical="center"/>
    </xf>
    <xf numFmtId="6" fontId="54" fillId="2" borderId="10" xfId="0" applyNumberFormat="1" applyFont="1" applyFill="1" applyBorder="1" applyAlignment="1">
      <alignment horizontal="center" vertical="center"/>
    </xf>
    <xf numFmtId="6" fontId="54" fillId="2" borderId="0" xfId="0" applyNumberFormat="1" applyFont="1" applyFill="1" applyBorder="1" applyAlignment="1">
      <alignment horizontal="center" vertical="center"/>
    </xf>
    <xf numFmtId="6" fontId="54" fillId="2" borderId="5" xfId="0" applyNumberFormat="1" applyFont="1" applyFill="1" applyBorder="1" applyAlignment="1">
      <alignment horizontal="center" vertical="center"/>
    </xf>
    <xf numFmtId="6" fontId="54" fillId="2" borderId="14" xfId="0" applyNumberFormat="1" applyFont="1" applyFill="1" applyBorder="1" applyAlignment="1">
      <alignment horizontal="center"/>
    </xf>
    <xf numFmtId="9" fontId="54" fillId="2" borderId="0" xfId="3" applyFont="1" applyFill="1" applyBorder="1" applyAlignment="1">
      <alignment horizontal="center" vertical="center"/>
    </xf>
    <xf numFmtId="9" fontId="54" fillId="2" borderId="5" xfId="0" applyNumberFormat="1" applyFont="1" applyFill="1" applyBorder="1" applyAlignment="1">
      <alignment horizontal="center" vertical="center"/>
    </xf>
    <xf numFmtId="6" fontId="54" fillId="2" borderId="7" xfId="0" applyNumberFormat="1" applyFont="1" applyFill="1" applyBorder="1" applyAlignment="1">
      <alignment horizontal="center" vertical="center"/>
    </xf>
    <xf numFmtId="6" fontId="54" fillId="2" borderId="8" xfId="0" applyNumberFormat="1" applyFont="1" applyFill="1" applyBorder="1" applyAlignment="1">
      <alignment horizontal="center" vertical="center"/>
    </xf>
    <xf numFmtId="0" fontId="17" fillId="2" borderId="14" xfId="0" applyFont="1" applyFill="1" applyBorder="1" applyAlignment="1">
      <alignment horizontal="center"/>
    </xf>
    <xf numFmtId="0" fontId="56" fillId="2" borderId="14" xfId="0" applyFont="1" applyFill="1" applyBorder="1" applyAlignment="1">
      <alignment horizontal="center"/>
    </xf>
    <xf numFmtId="0" fontId="56" fillId="2" borderId="0" xfId="0" applyFont="1" applyFill="1" applyAlignment="1">
      <alignment horizontal="center"/>
    </xf>
    <xf numFmtId="166" fontId="54" fillId="2" borderId="9" xfId="0" applyNumberFormat="1" applyFont="1" applyFill="1" applyBorder="1" applyAlignment="1">
      <alignment horizontal="center" vertical="center"/>
    </xf>
    <xf numFmtId="38" fontId="54" fillId="2" borderId="12" xfId="0" applyNumberFormat="1" applyFont="1" applyFill="1" applyBorder="1" applyAlignment="1">
      <alignment horizontal="center"/>
    </xf>
    <xf numFmtId="38" fontId="56" fillId="2" borderId="4" xfId="0" applyNumberFormat="1" applyFont="1" applyFill="1" applyBorder="1" applyAlignment="1">
      <alignment horizontal="center"/>
    </xf>
    <xf numFmtId="6" fontId="56" fillId="2" borderId="12" xfId="0" applyNumberFormat="1" applyFont="1" applyFill="1" applyBorder="1" applyAlignment="1">
      <alignment horizontal="center"/>
    </xf>
    <xf numFmtId="6" fontId="56" fillId="2" borderId="10" xfId="0" applyNumberFormat="1" applyFont="1" applyFill="1" applyBorder="1" applyAlignment="1">
      <alignment horizontal="center"/>
    </xf>
    <xf numFmtId="38" fontId="56" fillId="2" borderId="12" xfId="0" applyNumberFormat="1" applyFont="1" applyFill="1" applyBorder="1" applyAlignment="1">
      <alignment horizontal="center"/>
    </xf>
    <xf numFmtId="166" fontId="54" fillId="2" borderId="0" xfId="0" applyNumberFormat="1" applyFont="1" applyFill="1" applyBorder="1" applyAlignment="1">
      <alignment horizontal="center" vertical="center"/>
    </xf>
    <xf numFmtId="38" fontId="54" fillId="2" borderId="40" xfId="0" applyNumberFormat="1" applyFont="1" applyFill="1" applyBorder="1" applyAlignment="1">
      <alignment horizontal="center"/>
    </xf>
    <xf numFmtId="6" fontId="56" fillId="2" borderId="40" xfId="0" applyNumberFormat="1" applyFont="1" applyFill="1" applyBorder="1" applyAlignment="1">
      <alignment horizontal="center"/>
    </xf>
    <xf numFmtId="6" fontId="56" fillId="2" borderId="5" xfId="0" applyNumberFormat="1" applyFont="1" applyFill="1" applyBorder="1" applyAlignment="1">
      <alignment horizontal="center"/>
    </xf>
    <xf numFmtId="38" fontId="56" fillId="2" borderId="40" xfId="0" applyNumberFormat="1" applyFont="1" applyFill="1" applyBorder="1" applyAlignment="1">
      <alignment horizontal="center"/>
    </xf>
    <xf numFmtId="6" fontId="56" fillId="37" borderId="40" xfId="0" applyNumberFormat="1" applyFont="1" applyFill="1" applyBorder="1" applyAlignment="1">
      <alignment horizontal="center"/>
    </xf>
    <xf numFmtId="6" fontId="56" fillId="37" borderId="5" xfId="0" applyNumberFormat="1" applyFont="1" applyFill="1" applyBorder="1" applyAlignment="1">
      <alignment horizontal="center"/>
    </xf>
    <xf numFmtId="38" fontId="56" fillId="2" borderId="0" xfId="0" applyNumberFormat="1" applyFont="1" applyFill="1" applyBorder="1" applyAlignment="1">
      <alignment horizontal="center"/>
    </xf>
    <xf numFmtId="6" fontId="54" fillId="0" borderId="5" xfId="0" applyNumberFormat="1" applyFont="1" applyFill="1" applyBorder="1" applyAlignment="1">
      <alignment horizontal="center"/>
    </xf>
    <xf numFmtId="6" fontId="54" fillId="0" borderId="8" xfId="0" applyNumberFormat="1" applyFont="1" applyFill="1" applyBorder="1" applyAlignment="1">
      <alignment horizontal="center"/>
    </xf>
    <xf numFmtId="38" fontId="54" fillId="2" borderId="13" xfId="0" applyNumberFormat="1" applyFont="1" applyFill="1" applyBorder="1" applyAlignment="1">
      <alignment horizontal="center"/>
    </xf>
    <xf numFmtId="6" fontId="56" fillId="2" borderId="13" xfId="0" applyNumberFormat="1" applyFont="1" applyFill="1" applyBorder="1" applyAlignment="1">
      <alignment horizontal="center"/>
    </xf>
    <xf numFmtId="6" fontId="56" fillId="2" borderId="8" xfId="0" applyNumberFormat="1" applyFont="1" applyFill="1" applyBorder="1" applyAlignment="1">
      <alignment horizontal="center"/>
    </xf>
    <xf numFmtId="38" fontId="56" fillId="2" borderId="13" xfId="0" applyNumberFormat="1" applyFont="1" applyFill="1" applyBorder="1" applyAlignment="1">
      <alignment horizontal="center"/>
    </xf>
    <xf numFmtId="6" fontId="56" fillId="2" borderId="12" xfId="0" applyNumberFormat="1" applyFont="1" applyFill="1" applyBorder="1" applyAlignment="1">
      <alignment horizontal="center" vertical="center"/>
    </xf>
    <xf numFmtId="6" fontId="56" fillId="37" borderId="10" xfId="0" applyNumberFormat="1" applyFont="1" applyFill="1" applyBorder="1" applyAlignment="1">
      <alignment horizontal="center" vertical="center"/>
    </xf>
    <xf numFmtId="6" fontId="56" fillId="37" borderId="40" xfId="0" applyNumberFormat="1" applyFont="1" applyFill="1" applyBorder="1" applyAlignment="1">
      <alignment horizontal="center" vertical="center"/>
    </xf>
    <xf numFmtId="6" fontId="56" fillId="37" borderId="5" xfId="0" applyNumberFormat="1" applyFont="1" applyFill="1" applyBorder="1" applyAlignment="1">
      <alignment horizontal="center" vertical="center"/>
    </xf>
    <xf numFmtId="6" fontId="56" fillId="2" borderId="40" xfId="0" applyNumberFormat="1" applyFont="1" applyFill="1" applyBorder="1" applyAlignment="1">
      <alignment horizontal="center" vertical="center"/>
    </xf>
    <xf numFmtId="6" fontId="56" fillId="2" borderId="13" xfId="0" applyNumberFormat="1" applyFont="1" applyFill="1" applyBorder="1" applyAlignment="1">
      <alignment horizontal="center" vertical="center"/>
    </xf>
    <xf numFmtId="6" fontId="56" fillId="37" borderId="8" xfId="0" applyNumberFormat="1" applyFont="1" applyFill="1" applyBorder="1" applyAlignment="1">
      <alignment horizontal="center" vertical="center"/>
    </xf>
    <xf numFmtId="0" fontId="73" fillId="2" borderId="0" xfId="0" applyFont="1" applyFill="1"/>
    <xf numFmtId="8" fontId="63" fillId="2" borderId="14" xfId="0" applyNumberFormat="1" applyFont="1" applyFill="1" applyBorder="1" applyAlignment="1">
      <alignment horizontal="center" vertical="center"/>
    </xf>
    <xf numFmtId="0" fontId="23" fillId="2" borderId="14" xfId="0" applyFont="1" applyFill="1" applyBorder="1" applyAlignment="1">
      <alignment horizontal="center" vertical="center"/>
    </xf>
    <xf numFmtId="0" fontId="0" fillId="0" borderId="0" xfId="0" applyAlignment="1">
      <alignment horizontal="center" vertical="center"/>
    </xf>
    <xf numFmtId="0" fontId="2" fillId="0" borderId="14" xfId="0" applyFont="1" applyBorder="1" applyAlignment="1">
      <alignment horizontal="center" vertical="center"/>
    </xf>
    <xf numFmtId="0" fontId="0" fillId="0" borderId="10" xfId="0" applyBorder="1" applyAlignment="1">
      <alignment horizontal="center" vertical="center"/>
    </xf>
    <xf numFmtId="3" fontId="0" fillId="0" borderId="12" xfId="0" applyNumberFormat="1" applyBorder="1" applyAlignment="1">
      <alignment horizontal="center" vertical="center"/>
    </xf>
    <xf numFmtId="3" fontId="0" fillId="0" borderId="10" xfId="0" applyNumberFormat="1" applyBorder="1" applyAlignment="1">
      <alignment horizontal="center" vertical="center"/>
    </xf>
    <xf numFmtId="3" fontId="0" fillId="0" borderId="0" xfId="0" applyNumberFormat="1" applyAlignment="1">
      <alignment horizontal="center" vertical="center"/>
    </xf>
    <xf numFmtId="0" fontId="0" fillId="0" borderId="5" xfId="0" applyBorder="1" applyAlignment="1">
      <alignment horizontal="center" vertical="center"/>
    </xf>
    <xf numFmtId="3" fontId="0" fillId="0" borderId="40" xfId="0" applyNumberFormat="1" applyBorder="1" applyAlignment="1">
      <alignment horizontal="center" vertical="center"/>
    </xf>
    <xf numFmtId="3" fontId="0" fillId="0" borderId="5" xfId="0" applyNumberFormat="1" applyBorder="1" applyAlignment="1">
      <alignment horizontal="center" vertical="center"/>
    </xf>
    <xf numFmtId="0" fontId="0" fillId="0" borderId="8" xfId="0" applyBorder="1" applyAlignment="1">
      <alignment horizontal="center" vertical="center"/>
    </xf>
    <xf numFmtId="3" fontId="0" fillId="0" borderId="13" xfId="0" applyNumberFormat="1" applyBorder="1" applyAlignment="1">
      <alignment horizontal="center" vertical="center"/>
    </xf>
    <xf numFmtId="3" fontId="0" fillId="0" borderId="8" xfId="0" applyNumberFormat="1" applyBorder="1" applyAlignment="1">
      <alignment horizontal="center" vertical="center"/>
    </xf>
    <xf numFmtId="0" fontId="0" fillId="0" borderId="5" xfId="0" applyFill="1" applyBorder="1" applyAlignment="1">
      <alignment horizontal="center" vertical="center"/>
    </xf>
    <xf numFmtId="0" fontId="0" fillId="0" borderId="0" xfId="0" applyFill="1" applyBorder="1" applyAlignment="1">
      <alignment horizontal="center" vertical="center"/>
    </xf>
    <xf numFmtId="164" fontId="0" fillId="0" borderId="0" xfId="3" applyNumberFormat="1" applyFont="1" applyAlignment="1">
      <alignment horizontal="center" vertical="center"/>
    </xf>
    <xf numFmtId="3" fontId="0" fillId="0" borderId="0" xfId="0" applyNumberFormat="1" applyFill="1" applyBorder="1" applyAlignment="1">
      <alignment horizontal="center" vertical="center"/>
    </xf>
    <xf numFmtId="2" fontId="0" fillId="0" borderId="0" xfId="0" applyNumberFormat="1" applyAlignment="1">
      <alignment horizontal="center" vertical="center"/>
    </xf>
    <xf numFmtId="165" fontId="0" fillId="0" borderId="12" xfId="0" applyNumberFormat="1" applyBorder="1" applyAlignment="1">
      <alignment horizontal="center" vertical="center"/>
    </xf>
    <xf numFmtId="165" fontId="0" fillId="0" borderId="10" xfId="0" applyNumberFormat="1" applyBorder="1" applyAlignment="1">
      <alignment horizontal="center" vertical="center"/>
    </xf>
    <xf numFmtId="165" fontId="0" fillId="0" borderId="40" xfId="0" applyNumberFormat="1" applyBorder="1" applyAlignment="1">
      <alignment horizontal="center" vertical="center"/>
    </xf>
    <xf numFmtId="165" fontId="0" fillId="0" borderId="5" xfId="0" applyNumberFormat="1" applyBorder="1" applyAlignment="1">
      <alignment horizontal="center" vertical="center"/>
    </xf>
    <xf numFmtId="165" fontId="0" fillId="0" borderId="13" xfId="0" applyNumberFormat="1" applyBorder="1" applyAlignment="1">
      <alignment horizontal="center" vertical="center"/>
    </xf>
    <xf numFmtId="165" fontId="0" fillId="0" borderId="8" xfId="0" applyNumberFormat="1" applyBorder="1" applyAlignment="1">
      <alignment horizontal="center" vertical="center"/>
    </xf>
    <xf numFmtId="165" fontId="0" fillId="0" borderId="0" xfId="0" applyNumberFormat="1" applyAlignment="1">
      <alignment horizontal="center" vertical="center"/>
    </xf>
    <xf numFmtId="3" fontId="2" fillId="0" borderId="0" xfId="0" applyNumberFormat="1" applyFont="1" applyAlignment="1">
      <alignment horizontal="center" vertical="center"/>
    </xf>
    <xf numFmtId="2" fontId="2" fillId="0" borderId="0" xfId="0" applyNumberFormat="1" applyFont="1" applyAlignment="1">
      <alignment horizontal="center" vertical="center"/>
    </xf>
    <xf numFmtId="165" fontId="2" fillId="0" borderId="0" xfId="0" applyNumberFormat="1" applyFont="1" applyAlignment="1">
      <alignment horizontal="center"/>
    </xf>
    <xf numFmtId="3" fontId="0" fillId="37" borderId="14" xfId="0" applyNumberFormat="1" applyFill="1" applyBorder="1" applyAlignment="1">
      <alignment horizontal="center" vertical="center"/>
    </xf>
    <xf numFmtId="0" fontId="2" fillId="0" borderId="13" xfId="0" applyFont="1" applyBorder="1" applyAlignment="1">
      <alignment horizontal="center" vertical="center"/>
    </xf>
    <xf numFmtId="0" fontId="0" fillId="0" borderId="9" xfId="0" applyBorder="1"/>
    <xf numFmtId="164" fontId="0" fillId="37" borderId="14" xfId="3" applyNumberFormat="1" applyFont="1" applyFill="1" applyBorder="1" applyAlignment="1">
      <alignment horizontal="center" vertical="center"/>
    </xf>
    <xf numFmtId="3" fontId="0" fillId="0" borderId="9" xfId="0" applyNumberFormat="1" applyBorder="1" applyAlignment="1">
      <alignment horizontal="center" vertical="center"/>
    </xf>
    <xf numFmtId="0" fontId="0" fillId="0" borderId="0" xfId="0" applyBorder="1" applyAlignment="1">
      <alignment horizontal="center" vertical="center"/>
    </xf>
    <xf numFmtId="9" fontId="0" fillId="0" borderId="0" xfId="3" applyFont="1"/>
    <xf numFmtId="0" fontId="74" fillId="0" borderId="0" xfId="0" applyFont="1"/>
    <xf numFmtId="8" fontId="0" fillId="0" borderId="0" xfId="0" applyNumberFormat="1" applyAlignment="1">
      <alignment horizontal="center" vertical="center"/>
    </xf>
    <xf numFmtId="164" fontId="0" fillId="0" borderId="0" xfId="0" applyNumberFormat="1" applyAlignment="1">
      <alignment horizontal="center" vertical="center"/>
    </xf>
    <xf numFmtId="164" fontId="63" fillId="0" borderId="14" xfId="3" applyNumberFormat="1" applyFont="1" applyBorder="1" applyAlignment="1">
      <alignment horizontal="center" vertical="center"/>
    </xf>
    <xf numFmtId="0" fontId="1" fillId="0" borderId="0" xfId="0" applyFont="1"/>
    <xf numFmtId="0" fontId="22" fillId="2" borderId="0" xfId="0" applyFont="1" applyFill="1" applyAlignment="1">
      <alignment horizontal="center" vertical="center"/>
    </xf>
    <xf numFmtId="166" fontId="17" fillId="40" borderId="0" xfId="0" applyNumberFormat="1" applyFont="1" applyFill="1" applyBorder="1" applyAlignment="1">
      <alignment horizontal="center" vertical="center"/>
    </xf>
    <xf numFmtId="0" fontId="17" fillId="2" borderId="0" xfId="0" applyFont="1" applyFill="1" applyBorder="1"/>
    <xf numFmtId="165" fontId="0" fillId="0" borderId="0" xfId="0" applyNumberFormat="1" applyAlignment="1">
      <alignment horizontal="center"/>
    </xf>
    <xf numFmtId="0" fontId="2" fillId="0" borderId="14" xfId="0" applyFont="1" applyBorder="1" applyAlignment="1">
      <alignment horizontal="center" vertical="center"/>
    </xf>
    <xf numFmtId="165" fontId="0" fillId="0" borderId="0" xfId="0" applyNumberFormat="1" applyAlignment="1">
      <alignment horizontal="center"/>
    </xf>
    <xf numFmtId="8" fontId="75" fillId="0" borderId="0" xfId="0" applyNumberFormat="1" applyFont="1" applyAlignment="1">
      <alignment horizontal="center" vertical="center"/>
    </xf>
    <xf numFmtId="164" fontId="75" fillId="0" borderId="0" xfId="3" applyNumberFormat="1" applyFont="1" applyAlignment="1">
      <alignment horizontal="center" vertical="center"/>
    </xf>
    <xf numFmtId="0" fontId="2" fillId="0" borderId="0" xfId="0" applyFont="1" applyAlignment="1">
      <alignment horizontal="center" vertical="center"/>
    </xf>
    <xf numFmtId="176" fontId="0" fillId="0" borderId="0" xfId="0" applyNumberFormat="1" applyFill="1" applyBorder="1" applyAlignment="1">
      <alignment horizontal="center" vertical="center"/>
    </xf>
    <xf numFmtId="169" fontId="0" fillId="0" borderId="0" xfId="0" applyNumberFormat="1" applyAlignment="1">
      <alignment horizontal="center" vertical="center"/>
    </xf>
    <xf numFmtId="4" fontId="0" fillId="0" borderId="0" xfId="0" applyNumberFormat="1" applyAlignment="1">
      <alignment horizontal="center" vertical="center"/>
    </xf>
    <xf numFmtId="0" fontId="76" fillId="37" borderId="14" xfId="0" applyFont="1" applyFill="1" applyBorder="1" applyAlignment="1">
      <alignment horizontal="center" vertical="center"/>
    </xf>
    <xf numFmtId="0" fontId="30" fillId="37" borderId="14" xfId="0" applyFont="1" applyFill="1" applyBorder="1" applyAlignment="1">
      <alignment horizontal="center" vertical="center"/>
    </xf>
    <xf numFmtId="0" fontId="64" fillId="39" borderId="3" xfId="0" applyFont="1" applyFill="1" applyBorder="1" applyAlignment="1">
      <alignment horizontal="center"/>
    </xf>
    <xf numFmtId="0" fontId="0" fillId="0" borderId="12" xfId="0" applyBorder="1" applyAlignment="1">
      <alignment horizontal="center" vertical="center"/>
    </xf>
    <xf numFmtId="0" fontId="0" fillId="0" borderId="40" xfId="0"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xf>
    <xf numFmtId="3" fontId="0" fillId="0" borderId="0" xfId="0" applyNumberFormat="1" applyBorder="1" applyAlignment="1">
      <alignment horizontal="center" vertical="center"/>
    </xf>
    <xf numFmtId="0" fontId="2" fillId="0" borderId="5" xfId="0" applyFont="1" applyFill="1" applyBorder="1" applyAlignment="1">
      <alignment horizontal="center" vertical="center"/>
    </xf>
    <xf numFmtId="0" fontId="77" fillId="0" borderId="0" xfId="0" applyFont="1" applyAlignment="1">
      <alignment horizontal="center" vertical="center" readingOrder="1"/>
    </xf>
    <xf numFmtId="0" fontId="77" fillId="0" borderId="0" xfId="0" applyFont="1" applyAlignment="1">
      <alignment vertical="center" readingOrder="1"/>
    </xf>
    <xf numFmtId="0" fontId="47" fillId="2" borderId="0" xfId="0" applyFont="1" applyFill="1" applyAlignment="1">
      <alignment horizontal="left" indent="4"/>
    </xf>
    <xf numFmtId="166" fontId="0" fillId="0" borderId="0" xfId="0" applyNumberFormat="1" applyAlignment="1">
      <alignment horizontal="center" vertical="center"/>
    </xf>
    <xf numFmtId="0" fontId="63" fillId="37" borderId="78" xfId="0" applyFont="1" applyFill="1" applyBorder="1" applyAlignment="1">
      <alignment horizontal="center" vertical="center"/>
    </xf>
    <xf numFmtId="0" fontId="59" fillId="0" borderId="0" xfId="0" applyFont="1" applyBorder="1" applyAlignment="1">
      <alignment horizontal="center" vertical="center"/>
    </xf>
    <xf numFmtId="165" fontId="59" fillId="0" borderId="0" xfId="0" applyNumberFormat="1" applyFont="1" applyFill="1" applyBorder="1" applyAlignment="1">
      <alignment horizontal="center" vertical="center"/>
    </xf>
    <xf numFmtId="164" fontId="59" fillId="0" borderId="0" xfId="3" applyNumberFormat="1" applyFont="1" applyBorder="1" applyAlignment="1">
      <alignment horizontal="center" vertical="center"/>
    </xf>
    <xf numFmtId="0" fontId="47" fillId="2" borderId="0" xfId="0" applyFont="1" applyFill="1" applyAlignment="1">
      <alignment horizontal="left" indent="5"/>
    </xf>
    <xf numFmtId="0" fontId="47" fillId="2" borderId="0" xfId="0" applyFont="1" applyFill="1" applyAlignment="1">
      <alignment horizontal="left" vertical="center" indent="2"/>
    </xf>
    <xf numFmtId="0" fontId="47" fillId="2" borderId="0" xfId="0" applyFont="1" applyFill="1" applyAlignment="1">
      <alignment horizontal="left" vertical="center" indent="5"/>
    </xf>
    <xf numFmtId="7" fontId="17" fillId="0" borderId="0" xfId="0" applyNumberFormat="1" applyFont="1"/>
    <xf numFmtId="0" fontId="46" fillId="38" borderId="79" xfId="0" applyFont="1" applyFill="1" applyBorder="1" applyAlignment="1">
      <alignment horizontal="center" vertical="center" textRotation="180"/>
    </xf>
    <xf numFmtId="0" fontId="46" fillId="38" borderId="80" xfId="0" applyFont="1" applyFill="1" applyBorder="1" applyAlignment="1">
      <alignment horizontal="center" vertical="center" textRotation="180"/>
    </xf>
    <xf numFmtId="0" fontId="46" fillId="38" borderId="81" xfId="0" applyFont="1" applyFill="1" applyBorder="1" applyAlignment="1">
      <alignment horizontal="center" vertical="center" textRotation="180"/>
    </xf>
    <xf numFmtId="0" fontId="21" fillId="9" borderId="49" xfId="0" applyFont="1" applyFill="1" applyBorder="1" applyAlignment="1">
      <alignment horizontal="center" vertical="center" textRotation="90" shrinkToFit="1"/>
    </xf>
    <xf numFmtId="0" fontId="21" fillId="9" borderId="50" xfId="0" applyFont="1" applyFill="1" applyBorder="1" applyAlignment="1">
      <alignment horizontal="center" vertical="center" textRotation="90" shrinkToFit="1"/>
    </xf>
    <xf numFmtId="0" fontId="21" fillId="9" borderId="51" xfId="0" applyFont="1" applyFill="1" applyBorder="1" applyAlignment="1">
      <alignment horizontal="center" vertical="center" textRotation="90" shrinkToFit="1"/>
    </xf>
    <xf numFmtId="0" fontId="21" fillId="9" borderId="49" xfId="0" applyFont="1" applyFill="1" applyBorder="1" applyAlignment="1">
      <alignment horizontal="center" textRotation="90" shrinkToFit="1"/>
    </xf>
    <xf numFmtId="0" fontId="21" fillId="9" borderId="50" xfId="0" applyFont="1" applyFill="1" applyBorder="1" applyAlignment="1">
      <alignment horizontal="center" textRotation="90" shrinkToFit="1"/>
    </xf>
    <xf numFmtId="0" fontId="21" fillId="9" borderId="51" xfId="0" applyFont="1" applyFill="1" applyBorder="1" applyAlignment="1">
      <alignment horizontal="center" textRotation="90" shrinkToFit="1"/>
    </xf>
    <xf numFmtId="5" fontId="66" fillId="0" borderId="1" xfId="0" applyNumberFormat="1" applyFont="1" applyBorder="1" applyAlignment="1">
      <alignment horizontal="center"/>
    </xf>
    <xf numFmtId="5" fontId="66" fillId="0" borderId="3" xfId="0" applyNumberFormat="1" applyFont="1" applyBorder="1" applyAlignment="1">
      <alignment horizontal="center"/>
    </xf>
    <xf numFmtId="0" fontId="23" fillId="0" borderId="40" xfId="0" applyFont="1" applyBorder="1" applyAlignment="1">
      <alignment horizontal="center" vertical="center"/>
    </xf>
    <xf numFmtId="0" fontId="64" fillId="39" borderId="1" xfId="0" applyFont="1" applyFill="1" applyBorder="1" applyAlignment="1">
      <alignment horizontal="center"/>
    </xf>
    <xf numFmtId="0" fontId="64" fillId="39" borderId="3" xfId="0" applyFont="1" applyFill="1" applyBorder="1" applyAlignment="1">
      <alignment horizontal="center"/>
    </xf>
    <xf numFmtId="0" fontId="23" fillId="2" borderId="40" xfId="0" applyFont="1" applyFill="1" applyBorder="1" applyAlignment="1">
      <alignment horizontal="center" vertical="center"/>
    </xf>
    <xf numFmtId="0" fontId="23" fillId="2" borderId="13" xfId="0" applyFont="1" applyFill="1" applyBorder="1" applyAlignment="1">
      <alignment horizontal="center" vertical="center"/>
    </xf>
    <xf numFmtId="0" fontId="17" fillId="2" borderId="1" xfId="0" applyFont="1" applyFill="1" applyBorder="1" applyAlignment="1">
      <alignment horizontal="center"/>
    </xf>
    <xf numFmtId="0" fontId="17" fillId="2" borderId="2" xfId="0" applyFont="1" applyFill="1" applyBorder="1" applyAlignment="1">
      <alignment horizontal="center"/>
    </xf>
    <xf numFmtId="0" fontId="17" fillId="2" borderId="3" xfId="0" applyFont="1" applyFill="1" applyBorder="1" applyAlignment="1">
      <alignment horizontal="center"/>
    </xf>
    <xf numFmtId="0" fontId="17" fillId="2" borderId="14" xfId="0" applyFont="1" applyFill="1" applyBorder="1" applyAlignment="1">
      <alignment horizontal="center" vertical="center"/>
    </xf>
    <xf numFmtId="0" fontId="0" fillId="0" borderId="12" xfId="0" applyBorder="1" applyAlignment="1">
      <alignment horizontal="center" vertical="center"/>
    </xf>
    <xf numFmtId="0" fontId="0" fillId="0" borderId="40" xfId="0" applyBorder="1" applyAlignment="1">
      <alignment horizontal="center" vertical="center"/>
    </xf>
    <xf numFmtId="0" fontId="0" fillId="0" borderId="13" xfId="0"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14" xfId="0" applyFont="1" applyBorder="1" applyAlignment="1">
      <alignment horizontal="center" vertical="center"/>
    </xf>
    <xf numFmtId="0" fontId="2" fillId="3" borderId="43" xfId="0" applyFont="1" applyFill="1" applyBorder="1" applyAlignment="1">
      <alignment horizontal="center"/>
    </xf>
    <xf numFmtId="0" fontId="2" fillId="3" borderId="44" xfId="0" applyFont="1" applyFill="1" applyBorder="1" applyAlignment="1">
      <alignment horizontal="center"/>
    </xf>
    <xf numFmtId="0" fontId="2" fillId="3" borderId="21" xfId="0" applyFont="1" applyFill="1" applyBorder="1" applyAlignment="1">
      <alignment horizontal="center"/>
    </xf>
    <xf numFmtId="0" fontId="2" fillId="3" borderId="22" xfId="0" applyFont="1" applyFill="1" applyBorder="1" applyAlignment="1">
      <alignment horizontal="center"/>
    </xf>
    <xf numFmtId="0" fontId="2" fillId="3" borderId="23" xfId="0" applyFont="1" applyFill="1" applyBorder="1" applyAlignment="1">
      <alignment horizontal="center"/>
    </xf>
    <xf numFmtId="0" fontId="0" fillId="2" borderId="24" xfId="0" applyFill="1" applyBorder="1" applyAlignment="1">
      <alignment horizontal="center" vertical="center" wrapText="1"/>
    </xf>
    <xf numFmtId="0" fontId="0" fillId="2" borderId="9" xfId="0" applyFill="1" applyBorder="1" applyAlignment="1">
      <alignment horizontal="center" vertical="center" wrapText="1"/>
    </xf>
    <xf numFmtId="0" fontId="0" fillId="2" borderId="18" xfId="0" applyFill="1" applyBorder="1" applyAlignment="1">
      <alignment horizontal="center" vertical="center" wrapText="1"/>
    </xf>
    <xf numFmtId="0" fontId="0" fillId="2" borderId="19" xfId="0" applyFill="1" applyBorder="1" applyAlignment="1">
      <alignment horizontal="center" vertical="center" wrapText="1"/>
    </xf>
    <xf numFmtId="165" fontId="0" fillId="2" borderId="25" xfId="0" applyNumberFormat="1" applyFill="1" applyBorder="1" applyAlignment="1" applyProtection="1">
      <alignment horizontal="center" vertical="center"/>
      <protection locked="0"/>
    </xf>
    <xf numFmtId="165" fontId="0" fillId="2" borderId="20" xfId="0" applyNumberFormat="1" applyFill="1" applyBorder="1" applyAlignment="1" applyProtection="1">
      <alignment horizontal="center" vertical="center"/>
      <protection locked="0"/>
    </xf>
    <xf numFmtId="0" fontId="0" fillId="4" borderId="18" xfId="0" applyFill="1" applyBorder="1" applyAlignment="1">
      <alignment horizontal="right"/>
    </xf>
    <xf numFmtId="0" fontId="0" fillId="4" borderId="19" xfId="0" applyFill="1" applyBorder="1" applyAlignment="1">
      <alignment horizontal="right"/>
    </xf>
    <xf numFmtId="0" fontId="0" fillId="4" borderId="24" xfId="0" applyFill="1" applyBorder="1" applyAlignment="1">
      <alignment horizontal="right"/>
    </xf>
    <xf numFmtId="0" fontId="0" fillId="4" borderId="9" xfId="0" applyFill="1" applyBorder="1" applyAlignment="1">
      <alignment horizontal="right"/>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37" xfId="0" applyFont="1" applyFill="1" applyBorder="1" applyAlignment="1">
      <alignment horizontal="center"/>
    </xf>
    <xf numFmtId="0" fontId="2" fillId="3" borderId="38" xfId="0" applyFont="1" applyFill="1" applyBorder="1" applyAlignment="1">
      <alignment horizontal="center"/>
    </xf>
    <xf numFmtId="0" fontId="2" fillId="3" borderId="39" xfId="0" applyFont="1" applyFill="1" applyBorder="1" applyAlignment="1">
      <alignment horizontal="center"/>
    </xf>
    <xf numFmtId="165" fontId="0" fillId="4" borderId="6" xfId="0" applyNumberFormat="1" applyFill="1" applyBorder="1" applyAlignment="1" applyProtection="1">
      <alignment horizontal="center"/>
      <protection locked="0"/>
    </xf>
    <xf numFmtId="165" fontId="0" fillId="4" borderId="7" xfId="0" applyNumberFormat="1" applyFill="1" applyBorder="1" applyAlignment="1" applyProtection="1">
      <alignment horizontal="center"/>
      <protection locked="0"/>
    </xf>
    <xf numFmtId="165" fontId="0" fillId="4" borderId="1" xfId="0" applyNumberFormat="1" applyFill="1" applyBorder="1" applyAlignment="1" applyProtection="1">
      <alignment horizontal="center"/>
      <protection locked="0"/>
    </xf>
    <xf numFmtId="165" fontId="0" fillId="4" borderId="3" xfId="0" applyNumberFormat="1" applyFill="1" applyBorder="1" applyAlignment="1" applyProtection="1">
      <alignment horizontal="center"/>
      <protection locked="0"/>
    </xf>
    <xf numFmtId="0" fontId="4" fillId="33" borderId="0" xfId="0" applyFont="1" applyFill="1" applyAlignment="1">
      <alignment horizontal="center"/>
    </xf>
    <xf numFmtId="0" fontId="0" fillId="30" borderId="0" xfId="0" applyFill="1" applyAlignment="1">
      <alignment horizontal="center"/>
    </xf>
    <xf numFmtId="0" fontId="0" fillId="31" borderId="0" xfId="0" applyFill="1" applyAlignment="1">
      <alignment horizontal="center"/>
    </xf>
    <xf numFmtId="0" fontId="0" fillId="32" borderId="0" xfId="0" applyFill="1" applyAlignment="1">
      <alignment horizontal="center"/>
    </xf>
    <xf numFmtId="0" fontId="0" fillId="10" borderId="0" xfId="0" applyFill="1" applyAlignment="1">
      <alignment horizontal="center"/>
    </xf>
    <xf numFmtId="0" fontId="2" fillId="0" borderId="0" xfId="0" applyFont="1" applyAlignment="1">
      <alignment horizontal="center"/>
    </xf>
    <xf numFmtId="0" fontId="0" fillId="0" borderId="4" xfId="0" applyBorder="1" applyAlignment="1">
      <alignment horizontal="center"/>
    </xf>
    <xf numFmtId="0" fontId="0" fillId="0" borderId="0" xfId="0" applyAlignment="1">
      <alignment horizontal="center"/>
    </xf>
    <xf numFmtId="0" fontId="2" fillId="2" borderId="67" xfId="0" applyFont="1" applyFill="1" applyBorder="1" applyAlignment="1">
      <alignment horizontal="center"/>
    </xf>
    <xf numFmtId="43" fontId="0" fillId="0" borderId="0" xfId="1" applyFont="1" applyAlignment="1">
      <alignment horizontal="center"/>
    </xf>
    <xf numFmtId="165" fontId="0" fillId="0" borderId="0" xfId="0" applyNumberFormat="1" applyAlignment="1">
      <alignment horizontal="center"/>
    </xf>
    <xf numFmtId="0" fontId="2" fillId="6" borderId="1" xfId="0" applyFont="1" applyFill="1" applyBorder="1" applyAlignment="1">
      <alignment horizontal="center"/>
    </xf>
    <xf numFmtId="0" fontId="2" fillId="6" borderId="2" xfId="0" applyFont="1" applyFill="1" applyBorder="1" applyAlignment="1">
      <alignment horizontal="center"/>
    </xf>
    <xf numFmtId="0" fontId="2" fillId="6" borderId="3" xfId="0" applyFont="1" applyFill="1" applyBorder="1" applyAlignment="1">
      <alignment horizontal="center"/>
    </xf>
    <xf numFmtId="0" fontId="2" fillId="6" borderId="4" xfId="0" applyFont="1" applyFill="1" applyBorder="1" applyAlignment="1">
      <alignment horizontal="center"/>
    </xf>
    <xf numFmtId="0" fontId="2" fillId="6" borderId="0" xfId="0" applyFont="1" applyFill="1" applyBorder="1" applyAlignment="1">
      <alignment horizontal="center"/>
    </xf>
    <xf numFmtId="0" fontId="2" fillId="6" borderId="11" xfId="0" applyFont="1" applyFill="1" applyBorder="1" applyAlignment="1">
      <alignment horizontal="center"/>
    </xf>
    <xf numFmtId="0" fontId="2" fillId="6" borderId="10" xfId="0" applyFont="1" applyFill="1" applyBorder="1" applyAlignment="1">
      <alignment horizontal="center"/>
    </xf>
  </cellXfs>
  <cellStyles count="5">
    <cellStyle name="Comma" xfId="1" builtinId="3"/>
    <cellStyle name="Currency" xfId="2" builtinId="4"/>
    <cellStyle name="Normal" xfId="0" builtinId="0"/>
    <cellStyle name="Normal 2" xfId="4"/>
    <cellStyle name="Percent" xfId="3" builtinId="5"/>
  </cellStyles>
  <dxfs count="7">
    <dxf>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9" defaultPivotStyle="PivotStyleLight16"/>
  <colors>
    <mruColors>
      <color rgb="FF3D33A6"/>
      <color rgb="FFAFE5EC"/>
      <color rgb="FF6F2E91"/>
      <color rgb="FFB4B4B4"/>
      <color rgb="FFF0F0F0"/>
      <color rgb="FF272727"/>
      <color rgb="FFA9218E"/>
      <color rgb="FFDBE5F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01" Type="http://schemas.openxmlformats.org/officeDocument/2006/relationships/styles" Target="styles.xml"/><Relationship Id="rId102" Type="http://schemas.openxmlformats.org/officeDocument/2006/relationships/sharedStrings" Target="sharedStrings.xml"/><Relationship Id="rId10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externalLink" Target="externalLinks/externalLink1.xml"/><Relationship Id="rId96" Type="http://schemas.openxmlformats.org/officeDocument/2006/relationships/externalLink" Target="externalLinks/externalLink2.xml"/><Relationship Id="rId97" Type="http://schemas.openxmlformats.org/officeDocument/2006/relationships/externalLink" Target="externalLinks/externalLink3.xml"/><Relationship Id="rId98" Type="http://schemas.openxmlformats.org/officeDocument/2006/relationships/externalLink" Target="externalLinks/externalLink4.xml"/><Relationship Id="rId99" Type="http://schemas.openxmlformats.org/officeDocument/2006/relationships/pivotCacheDefinition" Target="pivotCache/pivotCacheDefinition1.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00" Type="http://schemas.openxmlformats.org/officeDocument/2006/relationships/theme" Target="theme/theme1.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 Id="rId3"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 Id="rId3"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 Id="rId3"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 Id="rId3"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 Id="rId3" Type="http://schemas.openxmlformats.org/officeDocument/2006/relationships/chartUserShapes" Target="../drawings/drawing11.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 Id="rId3" Type="http://schemas.openxmlformats.org/officeDocument/2006/relationships/chartUserShapes" Target="../drawings/drawing12.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3.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4.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5.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6.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25.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26.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Chart_Data!$C$16</c:f>
              <c:strCache>
                <c:ptCount val="1"/>
                <c:pt idx="0">
                  <c:v>Plan 1</c:v>
                </c:pt>
              </c:strCache>
            </c:strRef>
          </c:tx>
          <c:dPt>
            <c:idx val="0"/>
            <c:bubble3D val="0"/>
            <c:spPr>
              <a:solidFill>
                <a:srgbClr val="3D33A6"/>
              </a:solidFill>
              <a:ln w="19050">
                <a:solidFill>
                  <a:schemeClr val="lt1"/>
                </a:solidFill>
              </a:ln>
              <a:effectLst/>
            </c:spPr>
            <c:extLst xmlns:c16r2="http://schemas.microsoft.com/office/drawing/2015/06/chart">
              <c:ext xmlns:c16="http://schemas.microsoft.com/office/drawing/2014/chart" uri="{C3380CC4-5D6E-409C-BE32-E72D297353CC}">
                <c16:uniqueId val="{00000001-4BEB-494C-B3BD-A9094982B417}"/>
              </c:ext>
            </c:extLst>
          </c:dPt>
          <c:dPt>
            <c:idx val="1"/>
            <c:bubble3D val="0"/>
            <c:spPr>
              <a:solidFill>
                <a:schemeClr val="bg2"/>
              </a:solidFill>
              <a:ln w="19050">
                <a:solidFill>
                  <a:schemeClr val="lt1"/>
                </a:solidFill>
              </a:ln>
              <a:effectLst/>
            </c:spPr>
            <c:extLst xmlns:c16r2="http://schemas.microsoft.com/office/drawing/2015/06/chart">
              <c:ext xmlns:c16="http://schemas.microsoft.com/office/drawing/2014/chart" uri="{C3380CC4-5D6E-409C-BE32-E72D297353CC}">
                <c16:uniqueId val="{00000003-4BEB-494C-B3BD-A9094982B417}"/>
              </c:ext>
            </c:extLst>
          </c:dPt>
          <c:cat>
            <c:strRef>
              <c:f>Chart_Data!$B$17:$B$18</c:f>
              <c:strCache>
                <c:ptCount val="2"/>
                <c:pt idx="0">
                  <c:v>Subsidy</c:v>
                </c:pt>
                <c:pt idx="1">
                  <c:v>Complement</c:v>
                </c:pt>
              </c:strCache>
            </c:strRef>
          </c:cat>
          <c:val>
            <c:numRef>
              <c:f>Chart_Data!$C$17:$C$18</c:f>
              <c:numCache>
                <c:formatCode>0%</c:formatCode>
                <c:ptCount val="2"/>
                <c:pt idx="0">
                  <c:v>0.857480217504749</c:v>
                </c:pt>
                <c:pt idx="1">
                  <c:v>0.142519782495251</c:v>
                </c:pt>
              </c:numCache>
            </c:numRef>
          </c:val>
          <c:extLst xmlns:c16r2="http://schemas.microsoft.com/office/drawing/2015/06/chart">
            <c:ext xmlns:c16="http://schemas.microsoft.com/office/drawing/2014/chart" uri="{C3380CC4-5D6E-409C-BE32-E72D297353CC}">
              <c16:uniqueId val="{00000004-4BEB-494C-B3BD-A9094982B41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EB84C"/>
              </a:solidFill>
              <a:ln w="19050">
                <a:solidFill>
                  <a:schemeClr val="lt1"/>
                </a:solidFill>
              </a:ln>
              <a:effectLst/>
            </c:spPr>
            <c:extLst xmlns:c16r2="http://schemas.microsoft.com/office/drawing/2015/06/chart">
              <c:ext xmlns:c16="http://schemas.microsoft.com/office/drawing/2014/chart" uri="{C3380CC4-5D6E-409C-BE32-E72D297353CC}">
                <c16:uniqueId val="{00000001-1672-4F01-9765-C04CB489D5EF}"/>
              </c:ext>
            </c:extLst>
          </c:dPt>
          <c:dPt>
            <c:idx val="1"/>
            <c:bubble3D val="0"/>
            <c:spPr>
              <a:solidFill>
                <a:schemeClr val="bg2"/>
              </a:solidFill>
              <a:ln w="19050">
                <a:solidFill>
                  <a:schemeClr val="lt1"/>
                </a:solidFill>
              </a:ln>
              <a:effectLst/>
            </c:spPr>
            <c:extLst xmlns:c16r2="http://schemas.microsoft.com/office/drawing/2015/06/chart">
              <c:ext xmlns:c16="http://schemas.microsoft.com/office/drawing/2014/chart" uri="{C3380CC4-5D6E-409C-BE32-E72D297353CC}">
                <c16:uniqueId val="{00000003-1672-4F01-9765-C04CB489D5EF}"/>
              </c:ext>
            </c:extLst>
          </c:dPt>
          <c:cat>
            <c:strRef>
              <c:f>Chart_Data!$B$17:$B$18</c:f>
              <c:strCache>
                <c:ptCount val="2"/>
                <c:pt idx="0">
                  <c:v>Subsidy</c:v>
                </c:pt>
                <c:pt idx="1">
                  <c:v>Complement</c:v>
                </c:pt>
              </c:strCache>
            </c:strRef>
          </c:cat>
          <c:val>
            <c:numRef>
              <c:f>Chart_Data!$D$17:$D$18</c:f>
              <c:numCache>
                <c:formatCode>0%</c:formatCode>
                <c:ptCount val="2"/>
                <c:pt idx="0">
                  <c:v>0.840592970858989</c:v>
                </c:pt>
                <c:pt idx="1">
                  <c:v>0.159407029141011</c:v>
                </c:pt>
              </c:numCache>
            </c:numRef>
          </c:val>
          <c:extLst xmlns:c16r2="http://schemas.microsoft.com/office/drawing/2015/06/chart">
            <c:ext xmlns:c16="http://schemas.microsoft.com/office/drawing/2014/chart" uri="{C3380CC4-5D6E-409C-BE32-E72D297353CC}">
              <c16:uniqueId val="{00000004-1672-4F01-9765-C04CB489D5EF}"/>
            </c:ext>
          </c:extLst>
        </c:ser>
        <c:ser>
          <c:idx val="1"/>
          <c:order val="1"/>
          <c:dPt>
            <c:idx val="0"/>
            <c:bubble3D val="0"/>
            <c:spPr>
              <a:solidFill>
                <a:srgbClr val="A9218E"/>
              </a:solidFill>
              <a:ln w="19050">
                <a:solidFill>
                  <a:schemeClr val="lt1"/>
                </a:solidFill>
              </a:ln>
              <a:effectLst/>
            </c:spPr>
            <c:extLst xmlns:c16r2="http://schemas.microsoft.com/office/drawing/2015/06/chart">
              <c:ext xmlns:c16="http://schemas.microsoft.com/office/drawing/2014/chart" uri="{C3380CC4-5D6E-409C-BE32-E72D297353CC}">
                <c16:uniqueId val="{00000006-1672-4F01-9765-C04CB489D5EF}"/>
              </c:ext>
            </c:extLst>
          </c:dPt>
          <c:dPt>
            <c:idx val="1"/>
            <c:bubble3D val="0"/>
            <c:spPr>
              <a:solidFill>
                <a:schemeClr val="bg2"/>
              </a:solidFill>
              <a:ln w="19050">
                <a:solidFill>
                  <a:schemeClr val="lt1"/>
                </a:solidFill>
              </a:ln>
              <a:effectLst/>
            </c:spPr>
            <c:extLst xmlns:c16r2="http://schemas.microsoft.com/office/drawing/2015/06/chart">
              <c:ext xmlns:c16="http://schemas.microsoft.com/office/drawing/2014/chart" uri="{C3380CC4-5D6E-409C-BE32-E72D297353CC}">
                <c16:uniqueId val="{00000008-1672-4F01-9765-C04CB489D5EF}"/>
              </c:ext>
            </c:extLst>
          </c:dPt>
          <c:cat>
            <c:strRef>
              <c:f>Chart_Data!$B$17:$B$18</c:f>
              <c:strCache>
                <c:ptCount val="2"/>
                <c:pt idx="0">
                  <c:v>Subsidy</c:v>
                </c:pt>
                <c:pt idx="1">
                  <c:v>Complement</c:v>
                </c:pt>
              </c:strCache>
            </c:strRef>
          </c:cat>
          <c:val>
            <c:numRef>
              <c:f>Chart_Data!$E$17:$E$18</c:f>
              <c:numCache>
                <c:formatCode>0%</c:formatCode>
                <c:ptCount val="2"/>
                <c:pt idx="0">
                  <c:v>0.695344078130677</c:v>
                </c:pt>
                <c:pt idx="1">
                  <c:v>0.304655921869323</c:v>
                </c:pt>
              </c:numCache>
            </c:numRef>
          </c:val>
          <c:extLst xmlns:c16r2="http://schemas.microsoft.com/office/drawing/2015/06/chart">
            <c:ext xmlns:c16="http://schemas.microsoft.com/office/drawing/2014/chart" uri="{C3380CC4-5D6E-409C-BE32-E72D297353CC}">
              <c16:uniqueId val="{00000009-1672-4F01-9765-C04CB489D5E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r>
              <a:rPr lang="en-US" b="0" i="0">
                <a:latin typeface="Source Sans Pro" panose="020B0503030403020204" pitchFamily="34" charset="0"/>
                <a:ea typeface="Source Sans Pro" panose="020B0503030403020204" pitchFamily="34" charset="0"/>
              </a:rPr>
              <a:t>2019 Paid Claims PMPM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title>
    <c:autoTitleDeleted val="0"/>
    <c:plotArea>
      <c:layout/>
      <c:barChart>
        <c:barDir val="col"/>
        <c:grouping val="stacked"/>
        <c:varyColors val="0"/>
        <c:ser>
          <c:idx val="0"/>
          <c:order val="0"/>
          <c:tx>
            <c:strRef>
              <c:f>Chart_Data!$B$7</c:f>
              <c:strCache>
                <c:ptCount val="1"/>
                <c:pt idx="0">
                  <c:v>Core</c:v>
                </c:pt>
              </c:strCache>
            </c:strRef>
          </c:tx>
          <c:spPr>
            <a:solidFill>
              <a:srgbClr val="FEB84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Chart_Data!$C$6:$D$6</c:f>
              <c:strCache>
                <c:ptCount val="2"/>
                <c:pt idx="0">
                  <c:v>Plan 1</c:v>
                </c:pt>
                <c:pt idx="1">
                  <c:v>Bind</c:v>
                </c:pt>
              </c:strCache>
            </c:strRef>
          </c:cat>
          <c:val>
            <c:numRef>
              <c:f>Chart_Data!$C$7:$D$7</c:f>
              <c:numCache>
                <c:formatCode>"$"#,##0.00_);[Red]\("$"#,##0.00\)</c:formatCode>
                <c:ptCount val="2"/>
                <c:pt idx="0">
                  <c:v>498.4415091351998</c:v>
                </c:pt>
                <c:pt idx="1">
                  <c:v>469.4234519234461</c:v>
                </c:pt>
              </c:numCache>
            </c:numRef>
          </c:val>
          <c:extLst xmlns:c16r2="http://schemas.microsoft.com/office/drawing/2015/06/chart">
            <c:ext xmlns:c16="http://schemas.microsoft.com/office/drawing/2014/chart" uri="{C3380CC4-5D6E-409C-BE32-E72D297353CC}">
              <c16:uniqueId val="{00000000-ECAC-41FF-A523-1950BDEDD7A3}"/>
            </c:ext>
          </c:extLst>
        </c:ser>
        <c:ser>
          <c:idx val="1"/>
          <c:order val="1"/>
          <c:tx>
            <c:strRef>
              <c:f>Chart_Data!$B$8</c:f>
              <c:strCache>
                <c:ptCount val="1"/>
                <c:pt idx="0">
                  <c:v>Add-Ins</c:v>
                </c:pt>
              </c:strCache>
            </c:strRef>
          </c:tx>
          <c:spPr>
            <a:solidFill>
              <a:srgbClr val="A921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Chart_Data!$C$6:$D$6</c:f>
              <c:strCache>
                <c:ptCount val="2"/>
                <c:pt idx="0">
                  <c:v>Plan 1</c:v>
                </c:pt>
                <c:pt idx="1">
                  <c:v>Bind</c:v>
                </c:pt>
              </c:strCache>
            </c:strRef>
          </c:cat>
          <c:val>
            <c:numRef>
              <c:f>Chart_Data!$C$8:$D$8</c:f>
              <c:numCache>
                <c:formatCode>"$"#,##0.00_);[Red]\("$"#,##0.00\)</c:formatCode>
                <c:ptCount val="2"/>
                <c:pt idx="0">
                  <c:v>72.487718549286</c:v>
                </c:pt>
                <c:pt idx="1">
                  <c:v>41.52891943101892</c:v>
                </c:pt>
              </c:numCache>
            </c:numRef>
          </c:val>
          <c:extLst xmlns:c16r2="http://schemas.microsoft.com/office/drawing/2015/06/chart">
            <c:ext xmlns:c16="http://schemas.microsoft.com/office/drawing/2014/chart" uri="{C3380CC4-5D6E-409C-BE32-E72D297353CC}">
              <c16:uniqueId val="{00000001-ECAC-41FF-A523-1950BDEDD7A3}"/>
            </c:ext>
          </c:extLst>
        </c:ser>
        <c:dLbls>
          <c:showLegendKey val="0"/>
          <c:showVal val="0"/>
          <c:showCatName val="0"/>
          <c:showSerName val="0"/>
          <c:showPercent val="0"/>
          <c:showBubbleSize val="0"/>
        </c:dLbls>
        <c:gapWidth val="100"/>
        <c:overlap val="100"/>
        <c:axId val="-447567376"/>
        <c:axId val="-447565056"/>
      </c:barChart>
      <c:catAx>
        <c:axId val="-4475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crossAx val="-447565056"/>
        <c:crosses val="autoZero"/>
        <c:auto val="1"/>
        <c:lblAlgn val="ctr"/>
        <c:lblOffset val="100"/>
        <c:noMultiLvlLbl val="0"/>
      </c:catAx>
      <c:valAx>
        <c:axId val="-447565056"/>
        <c:scaling>
          <c:orientation val="minMax"/>
          <c:min val="200.0"/>
        </c:scaling>
        <c:delete val="0"/>
        <c:axPos val="l"/>
        <c:numFmt formatCode="&quot;$&quot;#,##0_);[Red]\(&quot;$&quot;#,##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crossAx val="-447567376"/>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ln>
                  <a:solidFill>
                    <a:srgbClr val="F0F0F0"/>
                  </a:solidFill>
                </a:ln>
                <a:solidFill>
                  <a:srgbClr val="A9218E"/>
                </a:solidFill>
                <a:latin typeface="Source Sans Pro" panose="020B0503030403020204" pitchFamily="34" charset="0"/>
                <a:ea typeface="Source Sans Pro" panose="020B0503030403020204" pitchFamily="34" charset="0"/>
                <a:cs typeface="+mn-cs"/>
              </a:defRPr>
            </a:pPr>
            <a:r>
              <a:rPr lang="en-US" b="1">
                <a:ln>
                  <a:solidFill>
                    <a:srgbClr val="F0F0F0"/>
                  </a:solidFill>
                </a:ln>
                <a:solidFill>
                  <a:srgbClr val="A9218E"/>
                </a:solidFill>
                <a:latin typeface="Source Sans Pro" panose="020B0503030403020204" pitchFamily="34" charset="0"/>
                <a:ea typeface="Source Sans Pro" panose="020B0503030403020204" pitchFamily="34" charset="0"/>
              </a:rPr>
              <a:t>Bind AV</a:t>
            </a:r>
          </a:p>
        </c:rich>
      </c:tx>
      <c:layout>
        <c:manualLayout>
          <c:xMode val="edge"/>
          <c:yMode val="edge"/>
          <c:x val="0.331968352353942"/>
          <c:y val="0.0"/>
        </c:manualLayout>
      </c:layout>
      <c:overlay val="1"/>
      <c:spPr>
        <a:noFill/>
        <a:ln>
          <a:noFill/>
        </a:ln>
        <a:effectLst/>
      </c:spPr>
      <c:txPr>
        <a:bodyPr rot="0" spcFirstLastPara="1" vertOverflow="ellipsis" vert="horz" wrap="square" anchor="ctr" anchorCtr="1"/>
        <a:lstStyle/>
        <a:p>
          <a:pPr>
            <a:defRPr sz="1400" b="0" i="0" u="none" strike="noStrike" baseline="0">
              <a:ln>
                <a:solidFill>
                  <a:srgbClr val="F0F0F0"/>
                </a:solidFill>
              </a:ln>
              <a:solidFill>
                <a:srgbClr val="A9218E"/>
              </a:solidFill>
              <a:latin typeface="Source Sans Pro" panose="020B0503030403020204" pitchFamily="34" charset="0"/>
              <a:ea typeface="Source Sans Pro" panose="020B0503030403020204" pitchFamily="34" charset="0"/>
              <a:cs typeface="+mn-cs"/>
            </a:defRPr>
          </a:pPr>
          <a:endParaRPr lang="en-US"/>
        </a:p>
      </c:txPr>
    </c:title>
    <c:autoTitleDeleted val="0"/>
    <c:plotArea>
      <c:layout>
        <c:manualLayout>
          <c:layoutTarget val="inner"/>
          <c:xMode val="edge"/>
          <c:yMode val="edge"/>
          <c:x val="0.156756756756757"/>
          <c:y val="0.169491525423729"/>
          <c:w val="0.713513513513514"/>
          <c:h val="0.745762711864407"/>
        </c:manualLayout>
      </c:layout>
      <c:doughnutChart>
        <c:varyColors val="1"/>
        <c:ser>
          <c:idx val="0"/>
          <c:order val="0"/>
          <c:dPt>
            <c:idx val="0"/>
            <c:bubble3D val="0"/>
            <c:spPr>
              <a:solidFill>
                <a:srgbClr val="FEB84C"/>
              </a:solidFill>
              <a:ln w="19050">
                <a:solidFill>
                  <a:schemeClr val="lt1"/>
                </a:solidFill>
              </a:ln>
              <a:effectLst/>
            </c:spPr>
            <c:extLst xmlns:c16r2="http://schemas.microsoft.com/office/drawing/2015/06/chart">
              <c:ext xmlns:c16="http://schemas.microsoft.com/office/drawing/2014/chart" uri="{C3380CC4-5D6E-409C-BE32-E72D297353CC}">
                <c16:uniqueId val="{00000001-1338-4A76-AF7C-1D2B4DD97457}"/>
              </c:ext>
            </c:extLst>
          </c:dPt>
          <c:dPt>
            <c:idx val="1"/>
            <c:bubble3D val="0"/>
            <c:spPr>
              <a:solidFill>
                <a:schemeClr val="bg2"/>
              </a:solidFill>
              <a:ln w="19050">
                <a:solidFill>
                  <a:schemeClr val="lt1"/>
                </a:solidFill>
              </a:ln>
              <a:effectLst/>
            </c:spPr>
            <c:extLst xmlns:c16r2="http://schemas.microsoft.com/office/drawing/2015/06/chart">
              <c:ext xmlns:c16="http://schemas.microsoft.com/office/drawing/2014/chart" uri="{C3380CC4-5D6E-409C-BE32-E72D297353CC}">
                <c16:uniqueId val="{00000003-1338-4A76-AF7C-1D2B4DD97457}"/>
              </c:ext>
            </c:extLst>
          </c:dPt>
          <c:cat>
            <c:strRef>
              <c:f>Chart_Data!$B$17:$B$18</c:f>
              <c:strCache>
                <c:ptCount val="2"/>
                <c:pt idx="0">
                  <c:v>Subsidy</c:v>
                </c:pt>
                <c:pt idx="1">
                  <c:v>Complement</c:v>
                </c:pt>
              </c:strCache>
            </c:strRef>
          </c:cat>
          <c:val>
            <c:numRef>
              <c:f>Chart_Data!$D$17:$D$18</c:f>
              <c:numCache>
                <c:formatCode>0%</c:formatCode>
                <c:ptCount val="2"/>
                <c:pt idx="0">
                  <c:v>0.840592970858989</c:v>
                </c:pt>
                <c:pt idx="1">
                  <c:v>0.159407029141011</c:v>
                </c:pt>
              </c:numCache>
            </c:numRef>
          </c:val>
          <c:extLst xmlns:c16r2="http://schemas.microsoft.com/office/drawing/2015/06/chart">
            <c:ext xmlns:c16="http://schemas.microsoft.com/office/drawing/2014/chart" uri="{C3380CC4-5D6E-409C-BE32-E72D297353CC}">
              <c16:uniqueId val="{00000004-1338-4A76-AF7C-1D2B4DD97457}"/>
            </c:ext>
          </c:extLst>
        </c:ser>
        <c:ser>
          <c:idx val="1"/>
          <c:order val="1"/>
          <c:dPt>
            <c:idx val="0"/>
            <c:bubble3D val="0"/>
            <c:spPr>
              <a:solidFill>
                <a:srgbClr val="A9218E"/>
              </a:solidFill>
              <a:ln w="19050">
                <a:solidFill>
                  <a:schemeClr val="lt1"/>
                </a:solidFill>
              </a:ln>
              <a:effectLst/>
            </c:spPr>
            <c:extLst xmlns:c16r2="http://schemas.microsoft.com/office/drawing/2015/06/chart">
              <c:ext xmlns:c16="http://schemas.microsoft.com/office/drawing/2014/chart" uri="{C3380CC4-5D6E-409C-BE32-E72D297353CC}">
                <c16:uniqueId val="{00000006-1338-4A76-AF7C-1D2B4DD97457}"/>
              </c:ext>
            </c:extLst>
          </c:dPt>
          <c:dPt>
            <c:idx val="1"/>
            <c:bubble3D val="0"/>
            <c:spPr>
              <a:solidFill>
                <a:schemeClr val="bg2"/>
              </a:solidFill>
              <a:ln w="19050">
                <a:solidFill>
                  <a:schemeClr val="lt1"/>
                </a:solidFill>
              </a:ln>
              <a:effectLst/>
            </c:spPr>
            <c:extLst xmlns:c16r2="http://schemas.microsoft.com/office/drawing/2015/06/chart">
              <c:ext xmlns:c16="http://schemas.microsoft.com/office/drawing/2014/chart" uri="{C3380CC4-5D6E-409C-BE32-E72D297353CC}">
                <c16:uniqueId val="{00000008-1338-4A76-AF7C-1D2B4DD97457}"/>
              </c:ext>
            </c:extLst>
          </c:dPt>
          <c:cat>
            <c:strRef>
              <c:f>Chart_Data!$B$17:$B$18</c:f>
              <c:strCache>
                <c:ptCount val="2"/>
                <c:pt idx="0">
                  <c:v>Subsidy</c:v>
                </c:pt>
                <c:pt idx="1">
                  <c:v>Complement</c:v>
                </c:pt>
              </c:strCache>
            </c:strRef>
          </c:cat>
          <c:val>
            <c:numRef>
              <c:f>Chart_Data!$E$17:$E$18</c:f>
              <c:numCache>
                <c:formatCode>0%</c:formatCode>
                <c:ptCount val="2"/>
                <c:pt idx="0">
                  <c:v>0.695344078130677</c:v>
                </c:pt>
                <c:pt idx="1">
                  <c:v>0.304655921869323</c:v>
                </c:pt>
              </c:numCache>
            </c:numRef>
          </c:val>
          <c:extLst xmlns:c16r2="http://schemas.microsoft.com/office/drawing/2015/06/chart">
            <c:ext xmlns:c16="http://schemas.microsoft.com/office/drawing/2014/chart" uri="{C3380CC4-5D6E-409C-BE32-E72D297353CC}">
              <c16:uniqueId val="{00000009-1338-4A76-AF7C-1D2B4DD9745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ln w="9525">
                  <a:solidFill>
                    <a:srgbClr val="F0F0F0"/>
                  </a:solidFill>
                </a:ln>
                <a:solidFill>
                  <a:schemeClr val="tx1">
                    <a:lumMod val="65000"/>
                    <a:lumOff val="35000"/>
                  </a:schemeClr>
                </a:solidFill>
                <a:latin typeface="Source Sans Pro" panose="020B0503030403020204" pitchFamily="34" charset="0"/>
                <a:ea typeface="Source Sans Pro" panose="020B0503030403020204" pitchFamily="34" charset="0"/>
                <a:cs typeface="+mn-cs"/>
              </a:defRPr>
            </a:pPr>
            <a:r>
              <a:rPr lang="en-US" sz="1400" b="1">
                <a:ln w="9525">
                  <a:solidFill>
                    <a:srgbClr val="F0F0F0"/>
                  </a:solidFill>
                </a:ln>
                <a:solidFill>
                  <a:srgbClr val="3D33A6"/>
                </a:solidFill>
                <a:latin typeface="Source Sans Pro" panose="020B0503030403020204" pitchFamily="34" charset="0"/>
                <a:ea typeface="Source Sans Pro" panose="020B0503030403020204" pitchFamily="34" charset="0"/>
              </a:rPr>
              <a:t>Current AV</a:t>
            </a:r>
          </a:p>
        </c:rich>
      </c:tx>
      <c:layout>
        <c:manualLayout>
          <c:xMode val="edge"/>
          <c:yMode val="edge"/>
          <c:x val="0.237384076990376"/>
          <c:y val="0.0"/>
        </c:manualLayout>
      </c:layout>
      <c:overlay val="1"/>
      <c:spPr>
        <a:noFill/>
        <a:ln>
          <a:noFill/>
        </a:ln>
        <a:effectLst/>
      </c:spPr>
      <c:txPr>
        <a:bodyPr rot="0" spcFirstLastPara="1" vertOverflow="ellipsis" vert="horz" wrap="square" anchor="ctr" anchorCtr="1"/>
        <a:lstStyle/>
        <a:p>
          <a:pPr>
            <a:defRPr sz="1400" b="0" i="0" u="none" strike="noStrike" baseline="0">
              <a:ln w="9525">
                <a:solidFill>
                  <a:srgbClr val="F0F0F0"/>
                </a:solidFill>
              </a:ln>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title>
    <c:autoTitleDeleted val="0"/>
    <c:plotArea>
      <c:layout>
        <c:manualLayout>
          <c:layoutTarget val="inner"/>
          <c:xMode val="edge"/>
          <c:yMode val="edge"/>
          <c:x val="0.147111913357401"/>
          <c:y val="0.169491525423729"/>
          <c:w val="0.696750902527076"/>
          <c:h val="0.726930320150659"/>
        </c:manualLayout>
      </c:layout>
      <c:doughnutChart>
        <c:varyColors val="1"/>
        <c:ser>
          <c:idx val="0"/>
          <c:order val="0"/>
          <c:tx>
            <c:strRef>
              <c:f>Chart_Data!$C$16</c:f>
              <c:strCache>
                <c:ptCount val="1"/>
                <c:pt idx="0">
                  <c:v>Plan 1</c:v>
                </c:pt>
              </c:strCache>
            </c:strRef>
          </c:tx>
          <c:dPt>
            <c:idx val="0"/>
            <c:bubble3D val="0"/>
            <c:spPr>
              <a:solidFill>
                <a:srgbClr val="3D33A6"/>
              </a:solidFill>
              <a:ln w="19050">
                <a:solidFill>
                  <a:schemeClr val="lt1"/>
                </a:solidFill>
              </a:ln>
              <a:effectLst/>
            </c:spPr>
            <c:extLst xmlns:c16r2="http://schemas.microsoft.com/office/drawing/2015/06/chart">
              <c:ext xmlns:c16="http://schemas.microsoft.com/office/drawing/2014/chart" uri="{C3380CC4-5D6E-409C-BE32-E72D297353CC}">
                <c16:uniqueId val="{00000001-43C5-44F7-B17B-2BAA7D458589}"/>
              </c:ext>
            </c:extLst>
          </c:dPt>
          <c:dPt>
            <c:idx val="1"/>
            <c:bubble3D val="0"/>
            <c:spPr>
              <a:solidFill>
                <a:schemeClr val="bg2"/>
              </a:solidFill>
              <a:ln w="19050">
                <a:solidFill>
                  <a:schemeClr val="lt1"/>
                </a:solidFill>
              </a:ln>
              <a:effectLst/>
            </c:spPr>
            <c:extLst xmlns:c16r2="http://schemas.microsoft.com/office/drawing/2015/06/chart">
              <c:ext xmlns:c16="http://schemas.microsoft.com/office/drawing/2014/chart" uri="{C3380CC4-5D6E-409C-BE32-E72D297353CC}">
                <c16:uniqueId val="{00000003-43C5-44F7-B17B-2BAA7D458589}"/>
              </c:ext>
            </c:extLst>
          </c:dPt>
          <c:cat>
            <c:strRef>
              <c:f>Chart_Data!$B$17:$B$18</c:f>
              <c:strCache>
                <c:ptCount val="2"/>
                <c:pt idx="0">
                  <c:v>Subsidy</c:v>
                </c:pt>
                <c:pt idx="1">
                  <c:v>Complement</c:v>
                </c:pt>
              </c:strCache>
            </c:strRef>
          </c:cat>
          <c:val>
            <c:numRef>
              <c:f>Chart_Data!$C$17:$C$18</c:f>
              <c:numCache>
                <c:formatCode>0%</c:formatCode>
                <c:ptCount val="2"/>
                <c:pt idx="0">
                  <c:v>0.857480217504749</c:v>
                </c:pt>
                <c:pt idx="1">
                  <c:v>0.142519782495251</c:v>
                </c:pt>
              </c:numCache>
            </c:numRef>
          </c:val>
          <c:extLst xmlns:c16r2="http://schemas.microsoft.com/office/drawing/2015/06/chart">
            <c:ext xmlns:c16="http://schemas.microsoft.com/office/drawing/2014/chart" uri="{C3380CC4-5D6E-409C-BE32-E72D297353CC}">
              <c16:uniqueId val="{00000004-43C5-44F7-B17B-2BAA7D45858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r>
              <a:rPr lang="en-US" b="0" i="0">
                <a:latin typeface="Source Sans Pro" panose="020B0503030403020204" pitchFamily="34" charset="0"/>
                <a:ea typeface="Source Sans Pro" panose="020B0503030403020204" pitchFamily="34" charset="0"/>
              </a:rPr>
              <a:t>Allowed Claims PMPM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title>
    <c:autoTitleDeleted val="0"/>
    <c:plotArea>
      <c:layout/>
      <c:barChart>
        <c:barDir val="col"/>
        <c:grouping val="stacked"/>
        <c:varyColors val="0"/>
        <c:ser>
          <c:idx val="0"/>
          <c:order val="0"/>
          <c:tx>
            <c:strRef>
              <c:f>Chart_Data!$B$2</c:f>
              <c:strCache>
                <c:ptCount val="1"/>
                <c:pt idx="0">
                  <c:v>Core</c:v>
                </c:pt>
              </c:strCache>
            </c:strRef>
          </c:tx>
          <c:spPr>
            <a:solidFill>
              <a:srgbClr val="FEB84C"/>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Chart_Data!$C$1:$D$1</c:f>
              <c:strCache>
                <c:ptCount val="2"/>
                <c:pt idx="0">
                  <c:v>Plan 1</c:v>
                </c:pt>
                <c:pt idx="1">
                  <c:v>Bind</c:v>
                </c:pt>
              </c:strCache>
            </c:strRef>
          </c:cat>
          <c:val>
            <c:numRef>
              <c:f>Chart_Data!$C$2:$D$2</c:f>
              <c:numCache>
                <c:formatCode>"$"#,##0.00_);[Red]\("$"#,##0.00\)</c:formatCode>
                <c:ptCount val="2"/>
                <c:pt idx="0">
                  <c:v>581.2863072056112</c:v>
                </c:pt>
                <c:pt idx="1">
                  <c:v>570.9869890794137</c:v>
                </c:pt>
              </c:numCache>
            </c:numRef>
          </c:val>
          <c:extLst xmlns:c16r2="http://schemas.microsoft.com/office/drawing/2015/06/chart">
            <c:ext xmlns:c16="http://schemas.microsoft.com/office/drawing/2014/chart" uri="{C3380CC4-5D6E-409C-BE32-E72D297353CC}">
              <c16:uniqueId val="{00000000-DC51-4D75-B21B-974BCEE0BEE4}"/>
            </c:ext>
          </c:extLst>
        </c:ser>
        <c:ser>
          <c:idx val="1"/>
          <c:order val="1"/>
          <c:tx>
            <c:strRef>
              <c:f>Chart_Data!$B$3</c:f>
              <c:strCache>
                <c:ptCount val="1"/>
                <c:pt idx="0">
                  <c:v>Add-Ins</c:v>
                </c:pt>
              </c:strCache>
            </c:strRef>
          </c:tx>
          <c:spPr>
            <a:solidFill>
              <a:srgbClr val="A921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Chart_Data!$C$1:$D$1</c:f>
              <c:strCache>
                <c:ptCount val="2"/>
                <c:pt idx="0">
                  <c:v>Plan 1</c:v>
                </c:pt>
                <c:pt idx="1">
                  <c:v>Bind</c:v>
                </c:pt>
              </c:strCache>
            </c:strRef>
          </c:cat>
          <c:val>
            <c:numRef>
              <c:f>Chart_Data!$C$3:$D$3</c:f>
              <c:numCache>
                <c:formatCode>"$"#,##0.00_);[Red]\("$"#,##0.00\)</c:formatCode>
                <c:ptCount val="2"/>
                <c:pt idx="0">
                  <c:v>84.53573280118799</c:v>
                </c:pt>
                <c:pt idx="1">
                  <c:v>59.72427282714896</c:v>
                </c:pt>
              </c:numCache>
            </c:numRef>
          </c:val>
          <c:extLst xmlns:c16r2="http://schemas.microsoft.com/office/drawing/2015/06/chart">
            <c:ext xmlns:c16="http://schemas.microsoft.com/office/drawing/2014/chart" uri="{C3380CC4-5D6E-409C-BE32-E72D297353CC}">
              <c16:uniqueId val="{00000001-DC51-4D75-B21B-974BCEE0BEE4}"/>
            </c:ext>
          </c:extLst>
        </c:ser>
        <c:dLbls>
          <c:showLegendKey val="0"/>
          <c:showVal val="0"/>
          <c:showCatName val="0"/>
          <c:showSerName val="0"/>
          <c:showPercent val="0"/>
          <c:showBubbleSize val="0"/>
        </c:dLbls>
        <c:gapWidth val="150"/>
        <c:overlap val="100"/>
        <c:axId val="-448418528"/>
        <c:axId val="-448415776"/>
      </c:barChart>
      <c:catAx>
        <c:axId val="-44841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crossAx val="-448415776"/>
        <c:crosses val="autoZero"/>
        <c:auto val="1"/>
        <c:lblAlgn val="ctr"/>
        <c:lblOffset val="100"/>
        <c:noMultiLvlLbl val="0"/>
      </c:catAx>
      <c:valAx>
        <c:axId val="-448415776"/>
        <c:scaling>
          <c:orientation val="minMax"/>
          <c:max val="700.0"/>
          <c:min val="200.0"/>
        </c:scaling>
        <c:delete val="1"/>
        <c:axPos val="l"/>
        <c:numFmt formatCode="&quot;$&quot;#,##0_);[Red]\(&quot;$&quot;#,##0\)" sourceLinked="0"/>
        <c:majorTickMark val="out"/>
        <c:minorTickMark val="none"/>
        <c:tickLblPos val="nextTo"/>
        <c:crossAx val="-448418528"/>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r>
              <a:rPr lang="en-US" b="0" i="0">
                <a:latin typeface="Source Sans Pro" panose="020B0503030403020204" pitchFamily="34" charset="0"/>
                <a:ea typeface="Source Sans Pro" panose="020B0503030403020204" pitchFamily="34" charset="0"/>
              </a:rPr>
              <a:t>Paid Claims PMPM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title>
    <c:autoTitleDeleted val="0"/>
    <c:plotArea>
      <c:layout/>
      <c:barChart>
        <c:barDir val="col"/>
        <c:grouping val="stacked"/>
        <c:varyColors val="0"/>
        <c:ser>
          <c:idx val="0"/>
          <c:order val="0"/>
          <c:tx>
            <c:strRef>
              <c:f>Chart_Data!$B$7</c:f>
              <c:strCache>
                <c:ptCount val="1"/>
                <c:pt idx="0">
                  <c:v>Core</c:v>
                </c:pt>
              </c:strCache>
            </c:strRef>
          </c:tx>
          <c:spPr>
            <a:solidFill>
              <a:srgbClr val="FEB84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Chart_Data!$C$6:$D$6</c:f>
              <c:strCache>
                <c:ptCount val="2"/>
                <c:pt idx="0">
                  <c:v>Plan 1</c:v>
                </c:pt>
                <c:pt idx="1">
                  <c:v>Bind</c:v>
                </c:pt>
              </c:strCache>
            </c:strRef>
          </c:cat>
          <c:val>
            <c:numRef>
              <c:f>Chart_Data!$C$7:$D$7</c:f>
              <c:numCache>
                <c:formatCode>"$"#,##0.00_);[Red]\("$"#,##0.00\)</c:formatCode>
                <c:ptCount val="2"/>
                <c:pt idx="0">
                  <c:v>498.4415091351998</c:v>
                </c:pt>
                <c:pt idx="1">
                  <c:v>469.4234519234461</c:v>
                </c:pt>
              </c:numCache>
            </c:numRef>
          </c:val>
          <c:extLst xmlns:c16r2="http://schemas.microsoft.com/office/drawing/2015/06/chart">
            <c:ext xmlns:c16="http://schemas.microsoft.com/office/drawing/2014/chart" uri="{C3380CC4-5D6E-409C-BE32-E72D297353CC}">
              <c16:uniqueId val="{00000000-0374-4377-8517-8C96E32650E7}"/>
            </c:ext>
          </c:extLst>
        </c:ser>
        <c:ser>
          <c:idx val="1"/>
          <c:order val="1"/>
          <c:tx>
            <c:strRef>
              <c:f>Chart_Data!$B$8</c:f>
              <c:strCache>
                <c:ptCount val="1"/>
                <c:pt idx="0">
                  <c:v>Add-Ins</c:v>
                </c:pt>
              </c:strCache>
            </c:strRef>
          </c:tx>
          <c:spPr>
            <a:solidFill>
              <a:srgbClr val="A921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Chart_Data!$C$6:$D$6</c:f>
              <c:strCache>
                <c:ptCount val="2"/>
                <c:pt idx="0">
                  <c:v>Plan 1</c:v>
                </c:pt>
                <c:pt idx="1">
                  <c:v>Bind</c:v>
                </c:pt>
              </c:strCache>
            </c:strRef>
          </c:cat>
          <c:val>
            <c:numRef>
              <c:f>Chart_Data!$C$8:$D$8</c:f>
              <c:numCache>
                <c:formatCode>"$"#,##0.00_);[Red]\("$"#,##0.00\)</c:formatCode>
                <c:ptCount val="2"/>
                <c:pt idx="0">
                  <c:v>72.487718549286</c:v>
                </c:pt>
                <c:pt idx="1">
                  <c:v>41.52891943101892</c:v>
                </c:pt>
              </c:numCache>
            </c:numRef>
          </c:val>
          <c:extLst xmlns:c16r2="http://schemas.microsoft.com/office/drawing/2015/06/chart">
            <c:ext xmlns:c16="http://schemas.microsoft.com/office/drawing/2014/chart" uri="{C3380CC4-5D6E-409C-BE32-E72D297353CC}">
              <c16:uniqueId val="{00000001-0374-4377-8517-8C96E32650E7}"/>
            </c:ext>
          </c:extLst>
        </c:ser>
        <c:dLbls>
          <c:showLegendKey val="0"/>
          <c:showVal val="0"/>
          <c:showCatName val="0"/>
          <c:showSerName val="0"/>
          <c:showPercent val="0"/>
          <c:showBubbleSize val="0"/>
        </c:dLbls>
        <c:gapWidth val="150"/>
        <c:overlap val="100"/>
        <c:axId val="-448384304"/>
        <c:axId val="-448381552"/>
      </c:barChart>
      <c:catAx>
        <c:axId val="-44838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crossAx val="-448381552"/>
        <c:crosses val="autoZero"/>
        <c:auto val="1"/>
        <c:lblAlgn val="ctr"/>
        <c:lblOffset val="100"/>
        <c:noMultiLvlLbl val="0"/>
      </c:catAx>
      <c:valAx>
        <c:axId val="-448381552"/>
        <c:scaling>
          <c:orientation val="minMax"/>
          <c:min val="200.0"/>
        </c:scaling>
        <c:delete val="1"/>
        <c:axPos val="l"/>
        <c:numFmt formatCode="&quot;$&quot;#,##0_);[Red]\(&quot;$&quot;#,##0\)" sourceLinked="0"/>
        <c:majorTickMark val="none"/>
        <c:minorTickMark val="none"/>
        <c:tickLblPos val="nextTo"/>
        <c:crossAx val="-448384304"/>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Chart_Data!$B$24</c:f>
          <c:strCache>
            <c:ptCount val="1"/>
            <c:pt idx="0">
              <c:v>Paid Claims PMPM Cost Breakdown from Plan 1 to Bind</c:v>
            </c:pt>
          </c:strCache>
        </c:strRef>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title>
    <c:autoTitleDeleted val="0"/>
    <c:plotArea>
      <c:layout/>
      <c:barChart>
        <c:barDir val="col"/>
        <c:grouping val="stacked"/>
        <c:varyColors val="0"/>
        <c:ser>
          <c:idx val="0"/>
          <c:order val="0"/>
          <c:tx>
            <c:strRef>
              <c:f>'PMPM Cost Breakdown'!$C$20</c:f>
              <c:strCache>
                <c:ptCount val="1"/>
                <c:pt idx="0">
                  <c:v>Base</c:v>
                </c:pt>
              </c:strCache>
            </c:strRef>
          </c:tx>
          <c:spPr>
            <a:noFill/>
            <a:ln>
              <a:noFill/>
            </a:ln>
            <a:effectLst/>
          </c:spPr>
          <c:invertIfNegative val="0"/>
          <c:cat>
            <c:strRef>
              <c:f>'PMPM Cost Breakdown'!$B$21:$B$26</c:f>
              <c:strCache>
                <c:ptCount val="6"/>
                <c:pt idx="0">
                  <c:v>Plan 1</c:v>
                </c:pt>
                <c:pt idx="1">
                  <c:v>Utilization Change on Core</c:v>
                </c:pt>
                <c:pt idx="2">
                  <c:v>Utilization Change on Add-Ins</c:v>
                </c:pt>
                <c:pt idx="3">
                  <c:v>Subsidy Change on Core</c:v>
                </c:pt>
                <c:pt idx="4">
                  <c:v>Subsidy Change on Add-Ins</c:v>
                </c:pt>
                <c:pt idx="5">
                  <c:v>Bind</c:v>
                </c:pt>
              </c:strCache>
            </c:strRef>
          </c:cat>
          <c:val>
            <c:numRef>
              <c:f>'PMPM Cost Breakdown'!$C$21:$C$26</c:f>
              <c:numCache>
                <c:formatCode>"$"#,##0.00</c:formatCode>
                <c:ptCount val="6"/>
                <c:pt idx="1">
                  <c:v>560.6299095582882</c:v>
                </c:pt>
                <c:pt idx="2">
                  <c:v>535.8184495842492</c:v>
                </c:pt>
                <c:pt idx="3">
                  <c:v>517.099710498693</c:v>
                </c:pt>
                <c:pt idx="4">
                  <c:v>510.952371354465</c:v>
                </c:pt>
              </c:numCache>
            </c:numRef>
          </c:val>
          <c:extLst xmlns:c16r2="http://schemas.microsoft.com/office/drawing/2015/06/chart">
            <c:ext xmlns:c16="http://schemas.microsoft.com/office/drawing/2014/chart" uri="{C3380CC4-5D6E-409C-BE32-E72D297353CC}">
              <c16:uniqueId val="{00000000-7A0F-479D-8E1D-0DCF0B99468A}"/>
            </c:ext>
          </c:extLst>
        </c:ser>
        <c:ser>
          <c:idx val="1"/>
          <c:order val="1"/>
          <c:tx>
            <c:strRef>
              <c:f>'PMPM Cost Breakdown'!$D$20</c:f>
              <c:strCache>
                <c:ptCount val="1"/>
                <c:pt idx="0">
                  <c:v>Fall</c:v>
                </c:pt>
              </c:strCache>
            </c:strRef>
          </c:tx>
          <c:spPr>
            <a:solidFill>
              <a:srgbClr val="AFE5EC"/>
            </a:solidFill>
            <a:ln>
              <a:noFill/>
            </a:ln>
            <a:effectLst/>
          </c:spPr>
          <c:invertIfNegative val="0"/>
          <c:dLbls>
            <c:dLbl>
              <c:idx val="1"/>
              <c:tx>
                <c:rich>
                  <a:bodyPr/>
                  <a:lstStyle/>
                  <a:p>
                    <a:r>
                      <a:rPr lang="en-US"/>
                      <a:t>-</a:t>
                    </a:r>
                    <a:fld id="{FB04A51A-FDAF-42A5-835E-6D1306FD83CC}" type="VALUE">
                      <a:rPr lang="en-US"/>
                      <a:pPr/>
                      <a:t>[VALUE]</a:t>
                    </a:fld>
                    <a:endParaRPr lang="en-US"/>
                  </a:p>
                </c:rich>
              </c:tx>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C-7A0F-479D-8E1D-0DCF0B99468A}"/>
                </c:ext>
                <c:ext xmlns:c15="http://schemas.microsoft.com/office/drawing/2012/chart" uri="{CE6537A1-D6FC-4f65-9D91-7224C49458BB}">
                  <c15:dlblFieldTable/>
                  <c15:showDataLabelsRange val="0"/>
                </c:ext>
              </c:extLst>
            </c:dLbl>
            <c:dLbl>
              <c:idx val="2"/>
              <c:tx>
                <c:rich>
                  <a:bodyPr/>
                  <a:lstStyle/>
                  <a:p>
                    <a:r>
                      <a:rPr lang="en-US"/>
                      <a:t>-</a:t>
                    </a:r>
                    <a:fld id="{A9D9B760-16FD-42B2-A1B5-230D52B4AEC8}" type="VALUE">
                      <a:rPr lang="en-US"/>
                      <a:pPr/>
                      <a:t>[VALUE]</a:t>
                    </a:fld>
                    <a:endParaRPr lang="en-US"/>
                  </a:p>
                </c:rich>
              </c:tx>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D-7A0F-479D-8E1D-0DCF0B99468A}"/>
                </c:ext>
                <c:ext xmlns:c15="http://schemas.microsoft.com/office/drawing/2012/chart" uri="{CE6537A1-D6FC-4f65-9D91-7224C49458BB}">
                  <c15:dlblFieldTable/>
                  <c15:showDataLabelsRange val="0"/>
                </c:ext>
              </c:extLst>
            </c:dLbl>
            <c:dLbl>
              <c:idx val="3"/>
              <c:tx>
                <c:rich>
                  <a:bodyPr/>
                  <a:lstStyle/>
                  <a:p>
                    <a:r>
                      <a:rPr lang="en-US"/>
                      <a:t>-</a:t>
                    </a:r>
                    <a:fld id="{C0CB45DB-4A8B-43E2-BE04-F3E337331A69}" type="VALUE">
                      <a:rPr lang="en-US"/>
                      <a:pPr/>
                      <a:t>[VALUE]</a:t>
                    </a:fld>
                    <a:endParaRPr lang="en-US"/>
                  </a:p>
                </c:rich>
              </c:tx>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E-7A0F-479D-8E1D-0DCF0B99468A}"/>
                </c:ext>
                <c:ext xmlns:c15="http://schemas.microsoft.com/office/drawing/2012/chart" uri="{CE6537A1-D6FC-4f65-9D91-7224C49458BB}">
                  <c15:dlblFieldTable/>
                  <c15:showDataLabelsRange val="0"/>
                </c:ext>
              </c:extLst>
            </c:dLbl>
            <c:dLbl>
              <c:idx val="4"/>
              <c:tx>
                <c:rich>
                  <a:bodyPr/>
                  <a:lstStyle/>
                  <a:p>
                    <a:r>
                      <a:rPr lang="en-US"/>
                      <a:t>-</a:t>
                    </a:r>
                    <a:fld id="{90B1E1BD-9EE3-46EC-9699-3BBC20282A33}" type="VALUE">
                      <a:rPr lang="en-US"/>
                      <a:pPr/>
                      <a:t>[VALUE]</a:t>
                    </a:fld>
                    <a:endParaRPr lang="en-US"/>
                  </a:p>
                </c:rich>
              </c:tx>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F-7A0F-479D-8E1D-0DCF0B99468A}"/>
                </c:ex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'PMPM Cost Breakdown'!$B$21:$B$26</c:f>
              <c:strCache>
                <c:ptCount val="6"/>
                <c:pt idx="0">
                  <c:v>Plan 1</c:v>
                </c:pt>
                <c:pt idx="1">
                  <c:v>Utilization Change on Core</c:v>
                </c:pt>
                <c:pt idx="2">
                  <c:v>Utilization Change on Add-Ins</c:v>
                </c:pt>
                <c:pt idx="3">
                  <c:v>Subsidy Change on Core</c:v>
                </c:pt>
                <c:pt idx="4">
                  <c:v>Subsidy Change on Add-Ins</c:v>
                </c:pt>
                <c:pt idx="5">
                  <c:v>Bind</c:v>
                </c:pt>
              </c:strCache>
            </c:strRef>
          </c:cat>
          <c:val>
            <c:numRef>
              <c:f>'PMPM Cost Breakdown'!$D$21:$D$26</c:f>
              <c:numCache>
                <c:formatCode>"$"#,##0.00</c:formatCode>
                <c:ptCount val="6"/>
                <c:pt idx="0">
                  <c:v>0.0</c:v>
                </c:pt>
                <c:pt idx="1">
                  <c:v>10.29931812619759</c:v>
                </c:pt>
                <c:pt idx="2">
                  <c:v>24.81145997403902</c:v>
                </c:pt>
                <c:pt idx="3">
                  <c:v>18.71873908555608</c:v>
                </c:pt>
                <c:pt idx="4">
                  <c:v>6.147339144228056</c:v>
                </c:pt>
                <c:pt idx="5">
                  <c:v>0.0</c:v>
                </c:pt>
              </c:numCache>
            </c:numRef>
          </c:val>
          <c:extLst xmlns:c16r2="http://schemas.microsoft.com/office/drawing/2015/06/chart">
            <c:ext xmlns:c16="http://schemas.microsoft.com/office/drawing/2014/chart" uri="{C3380CC4-5D6E-409C-BE32-E72D297353CC}">
              <c16:uniqueId val="{00000001-7A0F-479D-8E1D-0DCF0B99468A}"/>
            </c:ext>
          </c:extLst>
        </c:ser>
        <c:ser>
          <c:idx val="2"/>
          <c:order val="2"/>
          <c:tx>
            <c:strRef>
              <c:f>'PMPM Cost Breakdown'!$E$20</c:f>
              <c:strCache>
                <c:ptCount val="1"/>
                <c:pt idx="0">
                  <c:v>Rise</c:v>
                </c:pt>
              </c:strCache>
            </c:strRef>
          </c:tx>
          <c:spPr>
            <a:solidFill>
              <a:srgbClr val="B4B4B4"/>
            </a:solidFill>
            <a:ln>
              <a:noFill/>
            </a:ln>
            <a:effectLst/>
          </c:spPr>
          <c:invertIfNegative val="0"/>
          <c:dPt>
            <c:idx val="5"/>
            <c:invertIfNegative val="0"/>
            <c:bubble3D val="0"/>
            <c:spPr>
              <a:solidFill>
                <a:srgbClr val="6F2E91"/>
              </a:solidFill>
              <a:ln>
                <a:noFill/>
              </a:ln>
              <a:effectLst/>
            </c:spPr>
            <c:extLst xmlns:c16r2="http://schemas.microsoft.com/office/drawing/2015/06/chart">
              <c:ext xmlns:c16="http://schemas.microsoft.com/office/drawing/2014/chart" uri="{C3380CC4-5D6E-409C-BE32-E72D297353CC}">
                <c16:uniqueId val="{00000007-7A0F-479D-8E1D-0DCF0B99468A}"/>
              </c:ext>
            </c:extLst>
          </c:dPt>
          <c:dLbls>
            <c:dLbl>
              <c:idx val="1"/>
              <c:delete val="1"/>
              <c:extLst xmlns:c16r2="http://schemas.microsoft.com/office/drawing/2015/06/chart">
                <c:ext xmlns:c16="http://schemas.microsoft.com/office/drawing/2014/chart" uri="{C3380CC4-5D6E-409C-BE32-E72D297353CC}">
                  <c16:uniqueId val="{00000009-7A0F-479D-8E1D-0DCF0B99468A}"/>
                </c:ext>
                <c:ext xmlns:c15="http://schemas.microsoft.com/office/drawing/2012/chart" uri="{CE6537A1-D6FC-4f65-9D91-7224C49458BB}"/>
              </c:extLst>
            </c:dLbl>
            <c:dLbl>
              <c:idx val="2"/>
              <c:delete val="1"/>
              <c:extLst xmlns:c16r2="http://schemas.microsoft.com/office/drawing/2015/06/chart">
                <c:ext xmlns:c16="http://schemas.microsoft.com/office/drawing/2014/chart" uri="{C3380CC4-5D6E-409C-BE32-E72D297353CC}">
                  <c16:uniqueId val="{0000000A-7A0F-479D-8E1D-0DCF0B99468A}"/>
                </c:ext>
                <c:ext xmlns:c15="http://schemas.microsoft.com/office/drawing/2012/chart" uri="{CE6537A1-D6FC-4f65-9D91-7224C49458BB}"/>
              </c:extLst>
            </c:dLbl>
            <c:dLbl>
              <c:idx val="3"/>
              <c:delete val="1"/>
              <c:extLst xmlns:c16r2="http://schemas.microsoft.com/office/drawing/2015/06/chart">
                <c:ext xmlns:c16="http://schemas.microsoft.com/office/drawing/2014/chart" uri="{C3380CC4-5D6E-409C-BE32-E72D297353CC}">
                  <c16:uniqueId val="{0000000B-7A0F-479D-8E1D-0DCF0B99468A}"/>
                </c:ext>
                <c:ext xmlns:c15="http://schemas.microsoft.com/office/drawing/2012/chart" uri="{CE6537A1-D6FC-4f65-9D91-7224C49458BB}"/>
              </c:extLst>
            </c:dLbl>
            <c:dLbl>
              <c:idx val="4"/>
              <c:delete val="1"/>
              <c:extLst xmlns:c16r2="http://schemas.microsoft.com/office/drawing/2015/06/chart">
                <c:ext xmlns:c16="http://schemas.microsoft.com/office/drawing/2014/chart" uri="{C3380CC4-5D6E-409C-BE32-E72D297353CC}">
                  <c16:uniqueId val="{00000008-7A0F-479D-8E1D-0DCF0B99468A}"/>
                </c:ext>
                <c:ext xmlns:c15="http://schemas.microsoft.com/office/drawing/2012/chart" uri="{CE6537A1-D6FC-4f65-9D91-7224C49458BB}"/>
              </c:extLst>
            </c:dLbl>
            <c:dLbl>
              <c:idx val="5"/>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ource Sans Pro" panose="020B0503030403020204" pitchFamily="34" charset="0"/>
                    <a:ea typeface="Source Sans Pro" panose="020B0503030403020204" pitchFamily="34" charset="0"/>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'PMPM Cost Breakdown'!$B$21:$B$26</c:f>
              <c:strCache>
                <c:ptCount val="6"/>
                <c:pt idx="0">
                  <c:v>Plan 1</c:v>
                </c:pt>
                <c:pt idx="1">
                  <c:v>Utilization Change on Core</c:v>
                </c:pt>
                <c:pt idx="2">
                  <c:v>Utilization Change on Add-Ins</c:v>
                </c:pt>
                <c:pt idx="3">
                  <c:v>Subsidy Change on Core</c:v>
                </c:pt>
                <c:pt idx="4">
                  <c:v>Subsidy Change on Add-Ins</c:v>
                </c:pt>
                <c:pt idx="5">
                  <c:v>Bind</c:v>
                </c:pt>
              </c:strCache>
            </c:strRef>
          </c:cat>
          <c:val>
            <c:numRef>
              <c:f>'PMPM Cost Breakdown'!$E$21:$E$26</c:f>
              <c:numCache>
                <c:formatCode>"$"#,##0.00</c:formatCode>
                <c:ptCount val="6"/>
                <c:pt idx="0">
                  <c:v>570.9292276844858</c:v>
                </c:pt>
                <c:pt idx="1">
                  <c:v>0.0</c:v>
                </c:pt>
                <c:pt idx="2">
                  <c:v>0.0</c:v>
                </c:pt>
                <c:pt idx="3">
                  <c:v>0.0</c:v>
                </c:pt>
                <c:pt idx="4">
                  <c:v>0.0</c:v>
                </c:pt>
                <c:pt idx="5">
                  <c:v>510.952371354465</c:v>
                </c:pt>
              </c:numCache>
            </c:numRef>
          </c:val>
          <c:extLst xmlns:c16r2="http://schemas.microsoft.com/office/drawing/2015/06/chart">
            <c:ext xmlns:c16="http://schemas.microsoft.com/office/drawing/2014/chart" uri="{C3380CC4-5D6E-409C-BE32-E72D297353CC}">
              <c16:uniqueId val="{00000002-7A0F-479D-8E1D-0DCF0B99468A}"/>
            </c:ext>
          </c:extLst>
        </c:ser>
        <c:dLbls>
          <c:showLegendKey val="0"/>
          <c:showVal val="0"/>
          <c:showCatName val="0"/>
          <c:showSerName val="0"/>
          <c:showPercent val="0"/>
          <c:showBubbleSize val="0"/>
        </c:dLbls>
        <c:gapWidth val="20"/>
        <c:overlap val="100"/>
        <c:axId val="-447540480"/>
        <c:axId val="-447537648"/>
      </c:barChart>
      <c:catAx>
        <c:axId val="-44754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ource Sans Pro" panose="020B0503030403020204" pitchFamily="34" charset="0"/>
                <a:ea typeface="Source Sans Pro" panose="020B0503030403020204" pitchFamily="34" charset="0"/>
                <a:cs typeface="+mn-cs"/>
              </a:defRPr>
            </a:pPr>
            <a:endParaRPr lang="en-US"/>
          </a:p>
        </c:txPr>
        <c:crossAx val="-447537648"/>
        <c:crosses val="autoZero"/>
        <c:auto val="1"/>
        <c:lblAlgn val="ctr"/>
        <c:lblOffset val="100"/>
        <c:noMultiLvlLbl val="0"/>
      </c:catAx>
      <c:valAx>
        <c:axId val="-447537648"/>
        <c:scaling>
          <c:orientation val="minMax"/>
          <c:min val="450.0"/>
        </c:scaling>
        <c:delete val="1"/>
        <c:axPos val="l"/>
        <c:numFmt formatCode="General" sourceLinked="1"/>
        <c:majorTickMark val="out"/>
        <c:minorTickMark val="none"/>
        <c:tickLblPos val="nextTo"/>
        <c:crossAx val="-4475404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Spend by Individual Cost Percentile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'HRA Graphing Data'!$G$8</c:f>
              <c:strCache>
                <c:ptCount val="1"/>
                <c:pt idx="0">
                  <c:v> Remainder in HRA </c:v>
                </c:pt>
              </c:strCache>
            </c:strRef>
          </c:tx>
          <c:spPr>
            <a:solidFill>
              <a:schemeClr val="tx2"/>
            </a:solidFill>
            <a:ln>
              <a:noFill/>
            </a:ln>
            <a:effectLst/>
          </c:spPr>
          <c:invertIfNegative val="0"/>
          <c:val>
            <c:numRef>
              <c:f>'HRA Graphing Data'!$G$9:$G$108</c:f>
              <c:numCache>
                <c:formatCode>_(* #,##0_);_(* \(#,##0\);_(* "-"??_);_(@_)</c:formatCode>
                <c:ptCount val="100"/>
                <c:pt idx="0">
                  <c:v>3.36457261544084E22</c:v>
                </c:pt>
                <c:pt idx="1">
                  <c:v>3.36457261544084E22</c:v>
                </c:pt>
                <c:pt idx="2">
                  <c:v>3.36457261544084E22</c:v>
                </c:pt>
                <c:pt idx="3">
                  <c:v>3.36457261544084E22</c:v>
                </c:pt>
                <c:pt idx="4">
                  <c:v>3.36457261544084E22</c:v>
                </c:pt>
                <c:pt idx="5">
                  <c:v>3.36457261544084E22</c:v>
                </c:pt>
                <c:pt idx="6">
                  <c:v>3.36457261544084E22</c:v>
                </c:pt>
                <c:pt idx="7">
                  <c:v>3.36457261544084E22</c:v>
                </c:pt>
                <c:pt idx="8">
                  <c:v>3.36457261544084E22</c:v>
                </c:pt>
                <c:pt idx="9">
                  <c:v>3.36457261544084E22</c:v>
                </c:pt>
                <c:pt idx="10">
                  <c:v>3.36457261544084E22</c:v>
                </c:pt>
                <c:pt idx="11">
                  <c:v>3.36457261544084E22</c:v>
                </c:pt>
                <c:pt idx="12">
                  <c:v>3.36457261544084E22</c:v>
                </c:pt>
                <c:pt idx="13">
                  <c:v>3.36457261544084E22</c:v>
                </c:pt>
                <c:pt idx="14">
                  <c:v>3.36457261544084E22</c:v>
                </c:pt>
                <c:pt idx="15">
                  <c:v>3.36457261544084E22</c:v>
                </c:pt>
                <c:pt idx="16">
                  <c:v>3.36457261544084E22</c:v>
                </c:pt>
                <c:pt idx="17">
                  <c:v>3.36457261544084E22</c:v>
                </c:pt>
                <c:pt idx="18">
                  <c:v>3.36457261544084E22</c:v>
                </c:pt>
                <c:pt idx="19">
                  <c:v>3.36457261544084E22</c:v>
                </c:pt>
                <c:pt idx="20">
                  <c:v>3.36457261544084E22</c:v>
                </c:pt>
                <c:pt idx="21">
                  <c:v>3.36457261544084E22</c:v>
                </c:pt>
                <c:pt idx="22">
                  <c:v>3.36457261544084E22</c:v>
                </c:pt>
                <c:pt idx="23">
                  <c:v>3.36457261544084E22</c:v>
                </c:pt>
                <c:pt idx="24">
                  <c:v>3.36457261544084E22</c:v>
                </c:pt>
                <c:pt idx="25">
                  <c:v>3.36457261544084E22</c:v>
                </c:pt>
                <c:pt idx="26">
                  <c:v>3.36457261544084E22</c:v>
                </c:pt>
                <c:pt idx="27">
                  <c:v>3.36457261544084E22</c:v>
                </c:pt>
                <c:pt idx="28">
                  <c:v>3.36457261544084E22</c:v>
                </c:pt>
                <c:pt idx="29">
                  <c:v>3.36457261544084E22</c:v>
                </c:pt>
                <c:pt idx="30">
                  <c:v>3.36457261544084E22</c:v>
                </c:pt>
                <c:pt idx="31">
                  <c:v>3.36457261544084E22</c:v>
                </c:pt>
                <c:pt idx="32">
                  <c:v>3.36457261544084E22</c:v>
                </c:pt>
                <c:pt idx="33">
                  <c:v>3.36457261544084E22</c:v>
                </c:pt>
                <c:pt idx="34">
                  <c:v>3.36457261544084E22</c:v>
                </c:pt>
                <c:pt idx="35">
                  <c:v>3.36457261544084E22</c:v>
                </c:pt>
                <c:pt idx="36">
                  <c:v>3.36457261544084E22</c:v>
                </c:pt>
                <c:pt idx="37">
                  <c:v>3.36457261544084E22</c:v>
                </c:pt>
                <c:pt idx="38">
                  <c:v>3.36457261544084E22</c:v>
                </c:pt>
                <c:pt idx="39">
                  <c:v>3.36457261544084E22</c:v>
                </c:pt>
                <c:pt idx="40">
                  <c:v>3.36457261544084E22</c:v>
                </c:pt>
                <c:pt idx="41">
                  <c:v>3.36457261544084E22</c:v>
                </c:pt>
                <c:pt idx="42">
                  <c:v>3.36457261544084E22</c:v>
                </c:pt>
                <c:pt idx="43">
                  <c:v>3.36457261544084E22</c:v>
                </c:pt>
                <c:pt idx="44">
                  <c:v>3.36457261544084E22</c:v>
                </c:pt>
                <c:pt idx="45">
                  <c:v>3.36457261544084E22</c:v>
                </c:pt>
                <c:pt idx="46">
                  <c:v>3.36457261544084E22</c:v>
                </c:pt>
                <c:pt idx="47">
                  <c:v>3.36457261544084E22</c:v>
                </c:pt>
                <c:pt idx="48">
                  <c:v>3.36457261544084E22</c:v>
                </c:pt>
                <c:pt idx="49">
                  <c:v>3.36457261544084E22</c:v>
                </c:pt>
                <c:pt idx="50">
                  <c:v>3.36457261544084E22</c:v>
                </c:pt>
                <c:pt idx="51">
                  <c:v>3.36457261544084E22</c:v>
                </c:pt>
                <c:pt idx="52">
                  <c:v>3.36457261544084E22</c:v>
                </c:pt>
                <c:pt idx="53">
                  <c:v>3.36457261544084E22</c:v>
                </c:pt>
                <c:pt idx="54">
                  <c:v>3.36457261544084E22</c:v>
                </c:pt>
                <c:pt idx="55">
                  <c:v>3.36457261544084E22</c:v>
                </c:pt>
                <c:pt idx="56">
                  <c:v>3.36457261544084E22</c:v>
                </c:pt>
                <c:pt idx="57">
                  <c:v>3.36457261544084E22</c:v>
                </c:pt>
                <c:pt idx="58">
                  <c:v>3.36457261544084E22</c:v>
                </c:pt>
                <c:pt idx="59">
                  <c:v>3.36457261544084E22</c:v>
                </c:pt>
                <c:pt idx="60">
                  <c:v>3.36457261544084E22</c:v>
                </c:pt>
                <c:pt idx="61">
                  <c:v>3.36457261544084E22</c:v>
                </c:pt>
                <c:pt idx="62">
                  <c:v>3.36457261544084E22</c:v>
                </c:pt>
                <c:pt idx="63">
                  <c:v>3.36457261544084E22</c:v>
                </c:pt>
                <c:pt idx="64">
                  <c:v>3.36457261544084E22</c:v>
                </c:pt>
                <c:pt idx="65">
                  <c:v>3.36457261544084E22</c:v>
                </c:pt>
                <c:pt idx="66">
                  <c:v>3.36457261544084E22</c:v>
                </c:pt>
                <c:pt idx="67">
                  <c:v>3.36457261544084E22</c:v>
                </c:pt>
                <c:pt idx="68">
                  <c:v>3.36457261544084E22</c:v>
                </c:pt>
                <c:pt idx="69">
                  <c:v>3.36457261544084E22</c:v>
                </c:pt>
                <c:pt idx="70">
                  <c:v>3.36457261544084E22</c:v>
                </c:pt>
                <c:pt idx="71">
                  <c:v>3.36457261544084E22</c:v>
                </c:pt>
                <c:pt idx="72">
                  <c:v>3.36457261544084E22</c:v>
                </c:pt>
                <c:pt idx="73">
                  <c:v>3.36457261544084E22</c:v>
                </c:pt>
                <c:pt idx="74">
                  <c:v>3.36457261544084E22</c:v>
                </c:pt>
                <c:pt idx="75">
                  <c:v>3.36457261544084E22</c:v>
                </c:pt>
                <c:pt idx="76">
                  <c:v>3.36457261544084E22</c:v>
                </c:pt>
                <c:pt idx="77">
                  <c:v>3.36457261544084E22</c:v>
                </c:pt>
                <c:pt idx="78">
                  <c:v>3.36457261544084E22</c:v>
                </c:pt>
                <c:pt idx="79">
                  <c:v>3.36457261544084E22</c:v>
                </c:pt>
                <c:pt idx="80">
                  <c:v>3.36457261544084E22</c:v>
                </c:pt>
                <c:pt idx="81">
                  <c:v>3.36457261544084E22</c:v>
                </c:pt>
                <c:pt idx="82">
                  <c:v>3.36457261544084E22</c:v>
                </c:pt>
                <c:pt idx="83">
                  <c:v>3.36457261544084E22</c:v>
                </c:pt>
                <c:pt idx="84">
                  <c:v>3.36457261544084E22</c:v>
                </c:pt>
                <c:pt idx="85">
                  <c:v>3.36457261544084E22</c:v>
                </c:pt>
                <c:pt idx="86">
                  <c:v>3.36457261544084E22</c:v>
                </c:pt>
                <c:pt idx="87">
                  <c:v>3.36457261544084E22</c:v>
                </c:pt>
                <c:pt idx="88">
                  <c:v>3.36457261544084E22</c:v>
                </c:pt>
                <c:pt idx="89">
                  <c:v>3.36457261544084E22</c:v>
                </c:pt>
                <c:pt idx="90">
                  <c:v>3.36457261544084E22</c:v>
                </c:pt>
                <c:pt idx="91">
                  <c:v>3.36457261544084E22</c:v>
                </c:pt>
                <c:pt idx="92">
                  <c:v>3.36457261544084E22</c:v>
                </c:pt>
                <c:pt idx="93">
                  <c:v>3.36457261544084E22</c:v>
                </c:pt>
                <c:pt idx="94">
                  <c:v>3.36457261544084E22</c:v>
                </c:pt>
                <c:pt idx="95">
                  <c:v>3.36457261544084E22</c:v>
                </c:pt>
                <c:pt idx="96">
                  <c:v>3.36457261544084E22</c:v>
                </c:pt>
                <c:pt idx="97">
                  <c:v>3.36457261544084E22</c:v>
                </c:pt>
                <c:pt idx="98">
                  <c:v>3.36457261544084E22</c:v>
                </c:pt>
                <c:pt idx="99">
                  <c:v>3.36457261544084E22</c:v>
                </c:pt>
              </c:numCache>
            </c:numRef>
          </c:val>
          <c:extLst xmlns:c16r2="http://schemas.microsoft.com/office/drawing/2015/06/chart">
            <c:ext xmlns:c16="http://schemas.microsoft.com/office/drawing/2014/chart" uri="{C3380CC4-5D6E-409C-BE32-E72D297353CC}">
              <c16:uniqueId val="{00000000-F4B3-4C15-8115-74C98223D49C}"/>
            </c:ext>
          </c:extLst>
        </c:ser>
        <c:ser>
          <c:idx val="2"/>
          <c:order val="1"/>
          <c:tx>
            <c:strRef>
              <c:f>'HRA Graphing Data'!$H$8</c:f>
              <c:strCache>
                <c:ptCount val="1"/>
                <c:pt idx="0">
                  <c:v>Copay + Additional Premium</c:v>
                </c:pt>
              </c:strCache>
            </c:strRef>
          </c:tx>
          <c:spPr>
            <a:solidFill>
              <a:schemeClr val="accent2"/>
            </a:solidFill>
            <a:ln>
              <a:noFill/>
            </a:ln>
            <a:effectLst/>
          </c:spPr>
          <c:invertIfNegative val="0"/>
          <c:val>
            <c:numRef>
              <c:f>'HRA Graphing Data'!$H$9:$H$108</c:f>
              <c:numCache>
                <c:formatCode>_(* #,##0_);_(* \(#,##0\);_(* "-"??_);_(@_)</c:formatCode>
                <c:ptCount val="100"/>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68.19</c:v>
                </c:pt>
                <c:pt idx="22">
                  <c:v>258.16</c:v>
                </c:pt>
                <c:pt idx="23">
                  <c:v>240.57</c:v>
                </c:pt>
                <c:pt idx="24">
                  <c:v>256.94</c:v>
                </c:pt>
                <c:pt idx="25">
                  <c:v>279.72</c:v>
                </c:pt>
                <c:pt idx="26">
                  <c:v>291.98</c:v>
                </c:pt>
                <c:pt idx="27">
                  <c:v>307.42</c:v>
                </c:pt>
                <c:pt idx="28">
                  <c:v>324.38</c:v>
                </c:pt>
                <c:pt idx="29">
                  <c:v>335.12</c:v>
                </c:pt>
                <c:pt idx="30">
                  <c:v>345.39</c:v>
                </c:pt>
                <c:pt idx="31">
                  <c:v>362.78</c:v>
                </c:pt>
                <c:pt idx="32">
                  <c:v>373.43</c:v>
                </c:pt>
                <c:pt idx="33">
                  <c:v>384.7</c:v>
                </c:pt>
                <c:pt idx="34">
                  <c:v>400.61</c:v>
                </c:pt>
                <c:pt idx="35">
                  <c:v>418.29</c:v>
                </c:pt>
                <c:pt idx="36">
                  <c:v>439.61</c:v>
                </c:pt>
                <c:pt idx="37">
                  <c:v>451.0</c:v>
                </c:pt>
                <c:pt idx="38">
                  <c:v>472.33</c:v>
                </c:pt>
                <c:pt idx="39">
                  <c:v>492.3</c:v>
                </c:pt>
                <c:pt idx="40">
                  <c:v>510.53</c:v>
                </c:pt>
                <c:pt idx="41">
                  <c:v>526.66</c:v>
                </c:pt>
                <c:pt idx="42">
                  <c:v>545.45</c:v>
                </c:pt>
                <c:pt idx="43">
                  <c:v>572.47</c:v>
                </c:pt>
                <c:pt idx="44">
                  <c:v>592.2</c:v>
                </c:pt>
                <c:pt idx="45">
                  <c:v>613.5</c:v>
                </c:pt>
                <c:pt idx="46">
                  <c:v>641.02</c:v>
                </c:pt>
                <c:pt idx="47">
                  <c:v>667.95</c:v>
                </c:pt>
                <c:pt idx="48">
                  <c:v>691.85</c:v>
                </c:pt>
                <c:pt idx="49">
                  <c:v>716.23</c:v>
                </c:pt>
                <c:pt idx="50">
                  <c:v>745.38</c:v>
                </c:pt>
                <c:pt idx="51">
                  <c:v>773.2</c:v>
                </c:pt>
                <c:pt idx="52">
                  <c:v>803.78</c:v>
                </c:pt>
                <c:pt idx="53">
                  <c:v>831.4299999999999</c:v>
                </c:pt>
                <c:pt idx="54">
                  <c:v>852.07</c:v>
                </c:pt>
                <c:pt idx="55">
                  <c:v>884.4</c:v>
                </c:pt>
                <c:pt idx="56">
                  <c:v>928.2</c:v>
                </c:pt>
                <c:pt idx="57">
                  <c:v>965.58</c:v>
                </c:pt>
                <c:pt idx="58">
                  <c:v>996.9299999999999</c:v>
                </c:pt>
                <c:pt idx="59">
                  <c:v>1033.84</c:v>
                </c:pt>
                <c:pt idx="60">
                  <c:v>1082.19</c:v>
                </c:pt>
                <c:pt idx="61">
                  <c:v>1130.12</c:v>
                </c:pt>
                <c:pt idx="62">
                  <c:v>1175.41</c:v>
                </c:pt>
                <c:pt idx="63">
                  <c:v>1212.65</c:v>
                </c:pt>
                <c:pt idx="64">
                  <c:v>1269.09</c:v>
                </c:pt>
                <c:pt idx="65">
                  <c:v>1313.66</c:v>
                </c:pt>
                <c:pt idx="66">
                  <c:v>1356.83</c:v>
                </c:pt>
                <c:pt idx="67">
                  <c:v>1430.2</c:v>
                </c:pt>
                <c:pt idx="68">
                  <c:v>1486.2</c:v>
                </c:pt>
                <c:pt idx="69">
                  <c:v>1546.11</c:v>
                </c:pt>
                <c:pt idx="70">
                  <c:v>1614.5</c:v>
                </c:pt>
                <c:pt idx="71">
                  <c:v>1678.14</c:v>
                </c:pt>
                <c:pt idx="72">
                  <c:v>1757.21</c:v>
                </c:pt>
                <c:pt idx="73">
                  <c:v>1835.22</c:v>
                </c:pt>
                <c:pt idx="74">
                  <c:v>1919.24</c:v>
                </c:pt>
                <c:pt idx="75">
                  <c:v>2009.09</c:v>
                </c:pt>
                <c:pt idx="76">
                  <c:v>2094.14</c:v>
                </c:pt>
                <c:pt idx="77">
                  <c:v>2209.91</c:v>
                </c:pt>
                <c:pt idx="78">
                  <c:v>2306.62</c:v>
                </c:pt>
                <c:pt idx="79">
                  <c:v>2426.99</c:v>
                </c:pt>
                <c:pt idx="80">
                  <c:v>2539.63</c:v>
                </c:pt>
                <c:pt idx="81">
                  <c:v>2672.22</c:v>
                </c:pt>
                <c:pt idx="82">
                  <c:v>2814.23</c:v>
                </c:pt>
                <c:pt idx="83">
                  <c:v>2959.21</c:v>
                </c:pt>
                <c:pt idx="84">
                  <c:v>3116.53</c:v>
                </c:pt>
                <c:pt idx="85">
                  <c:v>3327.96</c:v>
                </c:pt>
                <c:pt idx="86">
                  <c:v>3555.44</c:v>
                </c:pt>
                <c:pt idx="87">
                  <c:v>3770.39</c:v>
                </c:pt>
                <c:pt idx="88">
                  <c:v>4060.76</c:v>
                </c:pt>
                <c:pt idx="89">
                  <c:v>4470.44</c:v>
                </c:pt>
                <c:pt idx="90">
                  <c:v>4913.2</c:v>
                </c:pt>
                <c:pt idx="91">
                  <c:v>5529.69</c:v>
                </c:pt>
                <c:pt idx="92">
                  <c:v>6333.93</c:v>
                </c:pt>
                <c:pt idx="93">
                  <c:v>7294.93</c:v>
                </c:pt>
                <c:pt idx="94">
                  <c:v>8562.77</c:v>
                </c:pt>
                <c:pt idx="95">
                  <c:v>8911.74</c:v>
                </c:pt>
                <c:pt idx="96">
                  <c:v>8911.74</c:v>
                </c:pt>
                <c:pt idx="97">
                  <c:v>8911.74</c:v>
                </c:pt>
                <c:pt idx="98">
                  <c:v>8911.74</c:v>
                </c:pt>
                <c:pt idx="99">
                  <c:v>8911.74</c:v>
                </c:pt>
              </c:numCache>
            </c:numRef>
          </c:val>
          <c:extLst xmlns:c16r2="http://schemas.microsoft.com/office/drawing/2015/06/chart">
            <c:ext xmlns:c16="http://schemas.microsoft.com/office/drawing/2014/chart" uri="{C3380CC4-5D6E-409C-BE32-E72D297353CC}">
              <c16:uniqueId val="{00000001-F4B3-4C15-8115-74C98223D49C}"/>
            </c:ext>
          </c:extLst>
        </c:ser>
        <c:dLbls>
          <c:showLegendKey val="0"/>
          <c:showVal val="0"/>
          <c:showCatName val="0"/>
          <c:showSerName val="0"/>
          <c:showPercent val="0"/>
          <c:showBubbleSize val="0"/>
        </c:dLbls>
        <c:gapWidth val="3"/>
        <c:overlap val="-17"/>
        <c:axId val="-445257424"/>
        <c:axId val="-445254672"/>
      </c:barChart>
      <c:catAx>
        <c:axId val="-445257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5254672"/>
        <c:crosses val="autoZero"/>
        <c:auto val="1"/>
        <c:lblAlgn val="ctr"/>
        <c:lblOffset val="100"/>
        <c:noMultiLvlLbl val="0"/>
      </c:catAx>
      <c:valAx>
        <c:axId val="-445254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5257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bg1"/>
                </a:solidFill>
              </a:defRPr>
            </a:pPr>
            <a:r>
              <a:rPr lang="en-US">
                <a:solidFill>
                  <a:schemeClr val="bg1"/>
                </a:solidFill>
              </a:rPr>
              <a:t>Spend Type by Individual Cost Percentile</a:t>
            </a:r>
          </a:p>
        </c:rich>
      </c:tx>
      <c:layout>
        <c:manualLayout>
          <c:xMode val="edge"/>
          <c:yMode val="edge"/>
          <c:x val="0.402203292132723"/>
          <c:y val="0.0251967026811808"/>
        </c:manualLayout>
      </c:layout>
      <c:overlay val="0"/>
    </c:title>
    <c:autoTitleDeleted val="0"/>
    <c:plotArea>
      <c:layout>
        <c:manualLayout>
          <c:layoutTarget val="inner"/>
          <c:xMode val="edge"/>
          <c:yMode val="edge"/>
          <c:x val="0.0590885711074529"/>
          <c:y val="0.16655606232849"/>
          <c:w val="0.804162687975817"/>
          <c:h val="0.720658622487746"/>
        </c:manualLayout>
      </c:layout>
      <c:barChart>
        <c:barDir val="col"/>
        <c:grouping val="stacked"/>
        <c:varyColors val="0"/>
        <c:ser>
          <c:idx val="1"/>
          <c:order val="0"/>
          <c:tx>
            <c:v>PPP</c:v>
          </c:tx>
          <c:spPr>
            <a:solidFill>
              <a:schemeClr val="accent2">
                <a:lumMod val="60000"/>
                <a:lumOff val="40000"/>
              </a:schemeClr>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Data'!$AC$78:$AC$108</c:f>
              <c:numCache>
                <c:formatCode>_(* #,##0_);_(* \(#,##0\);_(* "-"??_);_(@_)</c:formatCode>
                <c:ptCount val="31"/>
                <c:pt idx="0">
                  <c:v>856.1903495187196</c:v>
                </c:pt>
                <c:pt idx="1">
                  <c:v>896.8386635854074</c:v>
                </c:pt>
                <c:pt idx="2">
                  <c:v>928.3302943283306</c:v>
                </c:pt>
                <c:pt idx="3">
                  <c:v>982.1631691760428</c:v>
                </c:pt>
                <c:pt idx="4">
                  <c:v>1020.420688685632</c:v>
                </c:pt>
                <c:pt idx="5">
                  <c:v>1071.021503990875</c:v>
                </c:pt>
                <c:pt idx="6">
                  <c:v>1115.632224871112</c:v>
                </c:pt>
                <c:pt idx="7">
                  <c:v>1161.435678247963</c:v>
                </c:pt>
                <c:pt idx="8">
                  <c:v>1229.835677061192</c:v>
                </c:pt>
                <c:pt idx="9">
                  <c:v>1268.144431869405</c:v>
                </c:pt>
                <c:pt idx="10">
                  <c:v>1338.133394947508</c:v>
                </c:pt>
                <c:pt idx="11">
                  <c:v>1389.957440621562</c:v>
                </c:pt>
                <c:pt idx="12">
                  <c:v>1444.40260210119</c:v>
                </c:pt>
                <c:pt idx="13">
                  <c:v>1529.841983620711</c:v>
                </c:pt>
                <c:pt idx="14">
                  <c:v>1571.368293326018</c:v>
                </c:pt>
                <c:pt idx="15">
                  <c:v>1635.778417817301</c:v>
                </c:pt>
                <c:pt idx="16">
                  <c:v>1731.038787109419</c:v>
                </c:pt>
                <c:pt idx="17">
                  <c:v>1806.73812149271</c:v>
                </c:pt>
                <c:pt idx="18">
                  <c:v>1886.353965518909</c:v>
                </c:pt>
                <c:pt idx="19">
                  <c:v>1953.305656698132</c:v>
                </c:pt>
                <c:pt idx="20">
                  <c:v>2074.6284949463</c:v>
                </c:pt>
                <c:pt idx="21">
                  <c:v>2133.809235889162</c:v>
                </c:pt>
                <c:pt idx="22">
                  <c:v>2237.890823487373</c:v>
                </c:pt>
                <c:pt idx="23">
                  <c:v>2352.83952311062</c:v>
                </c:pt>
                <c:pt idx="24">
                  <c:v>2482.698127067867</c:v>
                </c:pt>
                <c:pt idx="25">
                  <c:v>2615.798193396003</c:v>
                </c:pt>
                <c:pt idx="26">
                  <c:v>2895.897303967101</c:v>
                </c:pt>
                <c:pt idx="27">
                  <c:v>3233.813923620605</c:v>
                </c:pt>
                <c:pt idx="28">
                  <c:v>3900.982567629372</c:v>
                </c:pt>
                <c:pt idx="29">
                  <c:v>4843.46593023771</c:v>
                </c:pt>
                <c:pt idx="30">
                  <c:v>10535.83095175201</c:v>
                </c:pt>
              </c:numCache>
            </c:numRef>
          </c:val>
          <c:extLst xmlns:c16r2="http://schemas.microsoft.com/office/drawing/2015/06/chart">
            <c:ext xmlns:c16="http://schemas.microsoft.com/office/drawing/2014/chart" uri="{C3380CC4-5D6E-409C-BE32-E72D297353CC}">
              <c16:uniqueId val="{00000000-956A-452A-A523-B6AA0C4D9FAA}"/>
            </c:ext>
          </c:extLst>
        </c:ser>
        <c:ser>
          <c:idx val="2"/>
          <c:order val="1"/>
          <c:tx>
            <c:v>Chronic</c:v>
          </c:tx>
          <c:spPr>
            <a:solidFill>
              <a:schemeClr val="accent3"/>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Data'!$AD$78:$AD$108</c:f>
              <c:numCache>
                <c:formatCode>General</c:formatCode>
                <c:ptCount val="31"/>
                <c:pt idx="0">
                  <c:v>419.9244989111915</c:v>
                </c:pt>
                <c:pt idx="1">
                  <c:v>426.70845360077</c:v>
                </c:pt>
                <c:pt idx="2">
                  <c:v>438.2952173835216</c:v>
                </c:pt>
                <c:pt idx="3">
                  <c:v>445.7331748967515</c:v>
                </c:pt>
                <c:pt idx="4">
                  <c:v>461.0138992671246</c:v>
                </c:pt>
                <c:pt idx="5">
                  <c:v>468.1178521631377</c:v>
                </c:pt>
                <c:pt idx="6">
                  <c:v>483.6089781575848</c:v>
                </c:pt>
                <c:pt idx="7">
                  <c:v>495.9793018009073</c:v>
                </c:pt>
                <c:pt idx="8">
                  <c:v>507.9617126442596</c:v>
                </c:pt>
                <c:pt idx="9">
                  <c:v>531.0500788575866</c:v>
                </c:pt>
                <c:pt idx="10">
                  <c:v>536.9311484282484</c:v>
                </c:pt>
                <c:pt idx="11">
                  <c:v>562.3903775642438</c:v>
                </c:pt>
                <c:pt idx="12">
                  <c:v>586.6070568974845</c:v>
                </c:pt>
                <c:pt idx="13">
                  <c:v>598.1057672270676</c:v>
                </c:pt>
                <c:pt idx="14">
                  <c:v>635.3848143322716</c:v>
                </c:pt>
                <c:pt idx="15">
                  <c:v>660.4122448832384</c:v>
                </c:pt>
                <c:pt idx="16">
                  <c:v>690.8588484105246</c:v>
                </c:pt>
                <c:pt idx="17">
                  <c:v>734.9429307434672</c:v>
                </c:pt>
                <c:pt idx="18">
                  <c:v>772.1698174345559</c:v>
                </c:pt>
                <c:pt idx="19">
                  <c:v>810.720258334677</c:v>
                </c:pt>
                <c:pt idx="20">
                  <c:v>864.4761506800453</c:v>
                </c:pt>
                <c:pt idx="21">
                  <c:v>924.5028968853187</c:v>
                </c:pt>
                <c:pt idx="22">
                  <c:v>968.0667721519956</c:v>
                </c:pt>
                <c:pt idx="23">
                  <c:v>1027.112271593131</c:v>
                </c:pt>
                <c:pt idx="24">
                  <c:v>1085.330421078936</c:v>
                </c:pt>
                <c:pt idx="25">
                  <c:v>1163.831938626646</c:v>
                </c:pt>
                <c:pt idx="26">
                  <c:v>1267.85536320696</c:v>
                </c:pt>
                <c:pt idx="27">
                  <c:v>1455.639300726385</c:v>
                </c:pt>
                <c:pt idx="28">
                  <c:v>1771.657546161224</c:v>
                </c:pt>
                <c:pt idx="29">
                  <c:v>2630.100267426932</c:v>
                </c:pt>
                <c:pt idx="30">
                  <c:v>4713.119020098133</c:v>
                </c:pt>
              </c:numCache>
            </c:numRef>
          </c:val>
          <c:extLst xmlns:c16r2="http://schemas.microsoft.com/office/drawing/2015/06/chart">
            <c:ext xmlns:c16="http://schemas.microsoft.com/office/drawing/2014/chart" uri="{C3380CC4-5D6E-409C-BE32-E72D297353CC}">
              <c16:uniqueId val="{00000001-956A-452A-A523-B6AA0C4D9FAA}"/>
            </c:ext>
          </c:extLst>
        </c:ser>
        <c:ser>
          <c:idx val="4"/>
          <c:order val="2"/>
          <c:tx>
            <c:v>Planned Care</c:v>
          </c:tx>
          <c:spPr>
            <a:ln>
              <a:noFill/>
            </a:ln>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Data'!$AE$78:$AE$108</c:f>
              <c:numCache>
                <c:formatCode>General</c:formatCode>
                <c:ptCount val="31"/>
                <c:pt idx="0">
                  <c:v>453.719545991579</c:v>
                </c:pt>
                <c:pt idx="1">
                  <c:v>474.6797079801546</c:v>
                </c:pt>
                <c:pt idx="2">
                  <c:v>495.2410779376581</c:v>
                </c:pt>
                <c:pt idx="3">
                  <c:v>513.0381998266905</c:v>
                </c:pt>
                <c:pt idx="4">
                  <c:v>537.5101293798878</c:v>
                </c:pt>
                <c:pt idx="5">
                  <c:v>563.8269434406486</c:v>
                </c:pt>
                <c:pt idx="6">
                  <c:v>593.5734911926576</c:v>
                </c:pt>
                <c:pt idx="7">
                  <c:v>620.4571685140776</c:v>
                </c:pt>
                <c:pt idx="8">
                  <c:v>655.8404317977724</c:v>
                </c:pt>
                <c:pt idx="9">
                  <c:v>691.156155174034</c:v>
                </c:pt>
                <c:pt idx="10">
                  <c:v>735.6591022089368</c:v>
                </c:pt>
                <c:pt idx="11">
                  <c:v>771.013070213795</c:v>
                </c:pt>
                <c:pt idx="12">
                  <c:v>824.9423573941926</c:v>
                </c:pt>
                <c:pt idx="13">
                  <c:v>870.0150058382731</c:v>
                </c:pt>
                <c:pt idx="14">
                  <c:v>936.1828166374207</c:v>
                </c:pt>
                <c:pt idx="15">
                  <c:v>1004.07019520623</c:v>
                </c:pt>
                <c:pt idx="16">
                  <c:v>1089.78781243676</c:v>
                </c:pt>
                <c:pt idx="17">
                  <c:v>1197.491189776932</c:v>
                </c:pt>
                <c:pt idx="18">
                  <c:v>1295.599680976183</c:v>
                </c:pt>
                <c:pt idx="19">
                  <c:v>1480.464956153172</c:v>
                </c:pt>
                <c:pt idx="20">
                  <c:v>1715.059452096257</c:v>
                </c:pt>
                <c:pt idx="21">
                  <c:v>2038.615641602229</c:v>
                </c:pt>
                <c:pt idx="22">
                  <c:v>2507.464649192171</c:v>
                </c:pt>
                <c:pt idx="23">
                  <c:v>3137.707823083533</c:v>
                </c:pt>
                <c:pt idx="24">
                  <c:v>3910.631425255336</c:v>
                </c:pt>
                <c:pt idx="25">
                  <c:v>4966.87162916876</c:v>
                </c:pt>
                <c:pt idx="26">
                  <c:v>6294.271472511954</c:v>
                </c:pt>
                <c:pt idx="27">
                  <c:v>7733.988506352115</c:v>
                </c:pt>
                <c:pt idx="28">
                  <c:v>9972.041860420506</c:v>
                </c:pt>
                <c:pt idx="29">
                  <c:v>14622.9799979536</c:v>
                </c:pt>
                <c:pt idx="30">
                  <c:v>36681.52468033062</c:v>
                </c:pt>
              </c:numCache>
            </c:numRef>
          </c:val>
          <c:extLst xmlns:c16r2="http://schemas.microsoft.com/office/drawing/2015/06/chart">
            <c:ext xmlns:c16="http://schemas.microsoft.com/office/drawing/2014/chart" uri="{C3380CC4-5D6E-409C-BE32-E72D297353CC}">
              <c16:uniqueId val="{00000002-956A-452A-A523-B6AA0C4D9FAA}"/>
            </c:ext>
          </c:extLst>
        </c:ser>
        <c:dLbls>
          <c:showLegendKey val="0"/>
          <c:showVal val="0"/>
          <c:showCatName val="0"/>
          <c:showSerName val="0"/>
          <c:showPercent val="0"/>
          <c:showBubbleSize val="0"/>
        </c:dLbls>
        <c:gapWidth val="100"/>
        <c:overlap val="100"/>
        <c:axId val="-448280512"/>
        <c:axId val="-448277760"/>
      </c:barChart>
      <c:catAx>
        <c:axId val="-448280512"/>
        <c:scaling>
          <c:orientation val="minMax"/>
        </c:scaling>
        <c:delete val="0"/>
        <c:axPos val="b"/>
        <c:numFmt formatCode="General" sourceLinked="1"/>
        <c:majorTickMark val="out"/>
        <c:minorTickMark val="none"/>
        <c:tickLblPos val="low"/>
        <c:txPr>
          <a:bodyPr/>
          <a:lstStyle/>
          <a:p>
            <a:pPr>
              <a:defRPr>
                <a:solidFill>
                  <a:schemeClr val="bg1"/>
                </a:solidFill>
              </a:defRPr>
            </a:pPr>
            <a:endParaRPr lang="en-US"/>
          </a:p>
        </c:txPr>
        <c:crossAx val="-448277760"/>
        <c:crosses val="autoZero"/>
        <c:auto val="1"/>
        <c:lblAlgn val="ctr"/>
        <c:lblOffset val="100"/>
        <c:noMultiLvlLbl val="0"/>
      </c:catAx>
      <c:valAx>
        <c:axId val="-448277760"/>
        <c:scaling>
          <c:orientation val="minMax"/>
        </c:scaling>
        <c:delete val="0"/>
        <c:axPos val="l"/>
        <c:numFmt formatCode="&quot;$&quot;#,##0" sourceLinked="0"/>
        <c:majorTickMark val="out"/>
        <c:minorTickMark val="none"/>
        <c:tickLblPos val="nextTo"/>
        <c:txPr>
          <a:bodyPr/>
          <a:lstStyle/>
          <a:p>
            <a:pPr>
              <a:defRPr>
                <a:solidFill>
                  <a:schemeClr val="bg1"/>
                </a:solidFill>
              </a:defRPr>
            </a:pPr>
            <a:endParaRPr lang="en-US"/>
          </a:p>
        </c:txPr>
        <c:crossAx val="-448280512"/>
        <c:crosses val="autoZero"/>
        <c:crossBetween val="between"/>
      </c:valAx>
      <c:spPr>
        <a:noFill/>
      </c:spPr>
    </c:plotArea>
    <c:legend>
      <c:legendPos val="r"/>
      <c:layout>
        <c:manualLayout>
          <c:xMode val="edge"/>
          <c:yMode val="edge"/>
          <c:x val="0.882126746910055"/>
          <c:y val="0.341432814043822"/>
          <c:w val="0.0951247940640989"/>
          <c:h val="0.362771860937358"/>
        </c:manualLayout>
      </c:layout>
      <c:overlay val="0"/>
      <c:txPr>
        <a:bodyPr/>
        <a:lstStyle/>
        <a:p>
          <a:pPr>
            <a:defRPr>
              <a:solidFill>
                <a:schemeClr val="bg1"/>
              </a:solidFill>
            </a:defRPr>
          </a:pPr>
          <a:endParaRPr lang="en-US"/>
        </a:p>
      </c:txPr>
    </c:legend>
    <c:plotVisOnly val="1"/>
    <c:dispBlanksAs val="gap"/>
    <c:showDLblsOverMax val="0"/>
  </c:chart>
  <c:spPr>
    <a:noFill/>
    <a:ln>
      <a:noFill/>
    </a:ln>
  </c:spPr>
  <c:txPr>
    <a:bodyPr/>
    <a:lstStyle/>
    <a:p>
      <a:pPr>
        <a:defRPr sz="11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Financial Impact by Individual, Based on Cost Percentile by Type (Prorated With</a:t>
            </a:r>
            <a:r>
              <a:rPr lang="en-US" baseline="0"/>
              <a:t> a Cap on</a:t>
            </a:r>
            <a:r>
              <a:rPr lang="en-US"/>
              <a:t> Spend)</a:t>
            </a:r>
          </a:p>
        </c:rich>
      </c:tx>
      <c:layout>
        <c:manualLayout>
          <c:xMode val="edge"/>
          <c:yMode val="edge"/>
          <c:x val="0.226797295639549"/>
          <c:y val="0.0159861591695502"/>
        </c:manualLayout>
      </c:layout>
      <c:overlay val="0"/>
    </c:title>
    <c:autoTitleDeleted val="0"/>
    <c:plotArea>
      <c:layout>
        <c:manualLayout>
          <c:layoutTarget val="inner"/>
          <c:xMode val="edge"/>
          <c:yMode val="edge"/>
          <c:x val="0.0590885711074529"/>
          <c:y val="0.16655606232849"/>
          <c:w val="0.749999893881175"/>
          <c:h val="0.720658622487746"/>
        </c:manualLayout>
      </c:layout>
      <c:barChart>
        <c:barDir val="col"/>
        <c:grouping val="stacked"/>
        <c:varyColors val="0"/>
        <c:ser>
          <c:idx val="0"/>
          <c:order val="0"/>
          <c:tx>
            <c:v>Discretionary</c:v>
          </c:tx>
          <c:spPr>
            <a:solidFill>
              <a:schemeClr val="accent1">
                <a:lumMod val="60000"/>
                <a:lumOff val="40000"/>
              </a:schemeClr>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Data'!$N$78:$N$108</c:f>
              <c:numCache>
                <c:formatCode>_(* #,##0_);_(* \(#,##0\);_(* "-"??_);_(@_)</c:formatCode>
                <c:ptCount val="31"/>
                <c:pt idx="0">
                  <c:v>217.7245650658091</c:v>
                </c:pt>
                <c:pt idx="1">
                  <c:v>238.6847270543846</c:v>
                </c:pt>
                <c:pt idx="2">
                  <c:v>259.2460970118881</c:v>
                </c:pt>
                <c:pt idx="3">
                  <c:v>277.0432189009205</c:v>
                </c:pt>
                <c:pt idx="4">
                  <c:v>301.5151484541179</c:v>
                </c:pt>
                <c:pt idx="5">
                  <c:v>327.8319625148787</c:v>
                </c:pt>
                <c:pt idx="6">
                  <c:v>357.5785102668876</c:v>
                </c:pt>
                <c:pt idx="7">
                  <c:v>384.4621875883076</c:v>
                </c:pt>
                <c:pt idx="8">
                  <c:v>419.8454508720024</c:v>
                </c:pt>
                <c:pt idx="9">
                  <c:v>455.161174248264</c:v>
                </c:pt>
                <c:pt idx="10">
                  <c:v>499.6641212831668</c:v>
                </c:pt>
                <c:pt idx="11">
                  <c:v>535.0180892880251</c:v>
                </c:pt>
                <c:pt idx="12">
                  <c:v>588.9473764684226</c:v>
                </c:pt>
                <c:pt idx="13">
                  <c:v>634.020024912503</c:v>
                </c:pt>
                <c:pt idx="14">
                  <c:v>700.1878357116506</c:v>
                </c:pt>
                <c:pt idx="15">
                  <c:v>768.0752142804597</c:v>
                </c:pt>
                <c:pt idx="16">
                  <c:v>853.79283151099</c:v>
                </c:pt>
                <c:pt idx="17">
                  <c:v>961.496208851162</c:v>
                </c:pt>
                <c:pt idx="18">
                  <c:v>1059.604700050413</c:v>
                </c:pt>
                <c:pt idx="19">
                  <c:v>1244.469975227402</c:v>
                </c:pt>
                <c:pt idx="20">
                  <c:v>1479.064471170487</c:v>
                </c:pt>
                <c:pt idx="21">
                  <c:v>1802.620660676459</c:v>
                </c:pt>
                <c:pt idx="22">
                  <c:v>2271.469668266401</c:v>
                </c:pt>
                <c:pt idx="23">
                  <c:v>2901.712842157763</c:v>
                </c:pt>
                <c:pt idx="24">
                  <c:v>3674.636444329566</c:v>
                </c:pt>
                <c:pt idx="25">
                  <c:v>4730.876648242992</c:v>
                </c:pt>
                <c:pt idx="26">
                  <c:v>5424.814913170611</c:v>
                </c:pt>
                <c:pt idx="27">
                  <c:v>5635.87961628329</c:v>
                </c:pt>
                <c:pt idx="28">
                  <c:v>5793.410048613846</c:v>
                </c:pt>
                <c:pt idx="29">
                  <c:v>6040.313032597635</c:v>
                </c:pt>
                <c:pt idx="30">
                  <c:v>6479.61338486029</c:v>
                </c:pt>
              </c:numCache>
            </c:numRef>
          </c:val>
          <c:extLst xmlns:c16r2="http://schemas.microsoft.com/office/drawing/2015/06/chart">
            <c:ext xmlns:c16="http://schemas.microsoft.com/office/drawing/2014/chart" uri="{C3380CC4-5D6E-409C-BE32-E72D297353CC}">
              <c16:uniqueId val="{00000000-D45E-4A5A-B83F-1143425D61F8}"/>
            </c:ext>
          </c:extLst>
        </c:ser>
        <c:ser>
          <c:idx val="1"/>
          <c:order val="1"/>
          <c:tx>
            <c:v>PPP</c:v>
          </c:tx>
          <c:spPr>
            <a:solidFill>
              <a:schemeClr val="accent2">
                <a:lumMod val="60000"/>
                <a:lumOff val="40000"/>
              </a:schemeClr>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Data'!$K$78:$K$108</c:f>
              <c:numCache>
                <c:formatCode>_(* #,##0_);_(* \(#,##0\);_(* "-"??_);_(@_)</c:formatCode>
                <c:ptCount val="31"/>
                <c:pt idx="0">
                  <c:v>856.1304093557123</c:v>
                </c:pt>
                <c:pt idx="1">
                  <c:v>896.7963487795077</c:v>
                </c:pt>
                <c:pt idx="2">
                  <c:v>928.3302943283306</c:v>
                </c:pt>
                <c:pt idx="3">
                  <c:v>982.1172675252824</c:v>
                </c:pt>
                <c:pt idx="4">
                  <c:v>1020.274405196059</c:v>
                </c:pt>
                <c:pt idx="5">
                  <c:v>1070.995072032923</c:v>
                </c:pt>
                <c:pt idx="6">
                  <c:v>1115.494634100059</c:v>
                </c:pt>
                <c:pt idx="7">
                  <c:v>1161.377152895984</c:v>
                </c:pt>
                <c:pt idx="8">
                  <c:v>1229.742210260732</c:v>
                </c:pt>
                <c:pt idx="9">
                  <c:v>1267.979529367063</c:v>
                </c:pt>
                <c:pt idx="10">
                  <c:v>1337.885109760129</c:v>
                </c:pt>
                <c:pt idx="11">
                  <c:v>1389.73289227676</c:v>
                </c:pt>
                <c:pt idx="12">
                  <c:v>1444.282721775176</c:v>
                </c:pt>
                <c:pt idx="13">
                  <c:v>1529.755829599846</c:v>
                </c:pt>
                <c:pt idx="14">
                  <c:v>1570.81283512868</c:v>
                </c:pt>
                <c:pt idx="15">
                  <c:v>1635.083680939499</c:v>
                </c:pt>
                <c:pt idx="16">
                  <c:v>1730.00525719152</c:v>
                </c:pt>
                <c:pt idx="17">
                  <c:v>1804.213510375431</c:v>
                </c:pt>
                <c:pt idx="18">
                  <c:v>1880.003467254106</c:v>
                </c:pt>
                <c:pt idx="19">
                  <c:v>1946.400170013033</c:v>
                </c:pt>
                <c:pt idx="20">
                  <c:v>2068.28706302969</c:v>
                </c:pt>
                <c:pt idx="21">
                  <c:v>2127.90894560808</c:v>
                </c:pt>
                <c:pt idx="22">
                  <c:v>2231.2135303778</c:v>
                </c:pt>
                <c:pt idx="23">
                  <c:v>2343.736243869428</c:v>
                </c:pt>
                <c:pt idx="24">
                  <c:v>2470.022797501912</c:v>
                </c:pt>
                <c:pt idx="25">
                  <c:v>2597.425492153259</c:v>
                </c:pt>
                <c:pt idx="26">
                  <c:v>2538.377595128063</c:v>
                </c:pt>
                <c:pt idx="27">
                  <c:v>2323.650653878448</c:v>
                </c:pt>
                <c:pt idx="28">
                  <c:v>2101.876312307241</c:v>
                </c:pt>
                <c:pt idx="29">
                  <c:v>1734.354877377647</c:v>
                </c:pt>
                <c:pt idx="30">
                  <c:v>1240.0077692744</c:v>
                </c:pt>
              </c:numCache>
            </c:numRef>
          </c:val>
          <c:extLst xmlns:c16r2="http://schemas.microsoft.com/office/drawing/2015/06/chart">
            <c:ext xmlns:c16="http://schemas.microsoft.com/office/drawing/2014/chart" uri="{C3380CC4-5D6E-409C-BE32-E72D297353CC}">
              <c16:uniqueId val="{00000001-D45E-4A5A-B83F-1143425D61F8}"/>
            </c:ext>
          </c:extLst>
        </c:ser>
        <c:ser>
          <c:idx val="2"/>
          <c:order val="2"/>
          <c:tx>
            <c:v>Chronic</c:v>
          </c:tx>
          <c:spPr>
            <a:solidFill>
              <a:schemeClr val="accent3"/>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Data'!$L$78:$L$108</c:f>
              <c:numCache>
                <c:formatCode>_(* #,##0_);_(* \(#,##0\);_(* "-"??_);_(@_)</c:formatCode>
                <c:ptCount val="31"/>
                <c:pt idx="0">
                  <c:v>183.9295179854215</c:v>
                </c:pt>
                <c:pt idx="1">
                  <c:v>190.7134726749999</c:v>
                </c:pt>
                <c:pt idx="2">
                  <c:v>202.3002364577516</c:v>
                </c:pt>
                <c:pt idx="3">
                  <c:v>209.7381939709815</c:v>
                </c:pt>
                <c:pt idx="4">
                  <c:v>225.0189183413546</c:v>
                </c:pt>
                <c:pt idx="5">
                  <c:v>232.1228712373677</c:v>
                </c:pt>
                <c:pt idx="6">
                  <c:v>247.6139972318149</c:v>
                </c:pt>
                <c:pt idx="7">
                  <c:v>259.9843208751373</c:v>
                </c:pt>
                <c:pt idx="8">
                  <c:v>271.9667317184897</c:v>
                </c:pt>
                <c:pt idx="9">
                  <c:v>295.0550979318166</c:v>
                </c:pt>
                <c:pt idx="10">
                  <c:v>300.9361675024784</c:v>
                </c:pt>
                <c:pt idx="11">
                  <c:v>326.3953966384738</c:v>
                </c:pt>
                <c:pt idx="12">
                  <c:v>350.6120759717145</c:v>
                </c:pt>
                <c:pt idx="13">
                  <c:v>362.1107863012977</c:v>
                </c:pt>
                <c:pt idx="14">
                  <c:v>399.3898334065016</c:v>
                </c:pt>
                <c:pt idx="15">
                  <c:v>424.4172639574684</c:v>
                </c:pt>
                <c:pt idx="16">
                  <c:v>454.8638674847545</c:v>
                </c:pt>
                <c:pt idx="17">
                  <c:v>498.9479498176972</c:v>
                </c:pt>
                <c:pt idx="18">
                  <c:v>536.1748365087858</c:v>
                </c:pt>
                <c:pt idx="19">
                  <c:v>574.725277408907</c:v>
                </c:pt>
                <c:pt idx="20">
                  <c:v>628.4811697542752</c:v>
                </c:pt>
                <c:pt idx="21">
                  <c:v>688.5079159595487</c:v>
                </c:pt>
                <c:pt idx="22">
                  <c:v>732.0717912262255</c:v>
                </c:pt>
                <c:pt idx="23">
                  <c:v>791.1172906673608</c:v>
                </c:pt>
                <c:pt idx="24">
                  <c:v>849.3354401531658</c:v>
                </c:pt>
                <c:pt idx="25">
                  <c:v>927.8369577008757</c:v>
                </c:pt>
                <c:pt idx="26">
                  <c:v>923.9676660322489</c:v>
                </c:pt>
                <c:pt idx="27">
                  <c:v>916.747732279367</c:v>
                </c:pt>
                <c:pt idx="28">
                  <c:v>913.7921218777966</c:v>
                </c:pt>
                <c:pt idx="29">
                  <c:v>1005.154682954647</c:v>
                </c:pt>
                <c:pt idx="30">
                  <c:v>795.9832958711186</c:v>
                </c:pt>
              </c:numCache>
            </c:numRef>
          </c:val>
          <c:extLst xmlns:c16r2="http://schemas.microsoft.com/office/drawing/2015/06/chart">
            <c:ext xmlns:c16="http://schemas.microsoft.com/office/drawing/2014/chart" uri="{C3380CC4-5D6E-409C-BE32-E72D297353CC}">
              <c16:uniqueId val="{00000002-D45E-4A5A-B83F-1143425D61F8}"/>
            </c:ext>
          </c:extLst>
        </c:ser>
        <c:ser>
          <c:idx val="3"/>
          <c:order val="3"/>
          <c:tx>
            <c:v>Shoppable</c:v>
          </c:tx>
          <c:spPr>
            <a:solidFill>
              <a:schemeClr val="accent6"/>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Data'!$M$78:$M$108</c:f>
              <c:numCache>
                <c:formatCode>_(* #,##0_);_(* \(#,##0\);_(* "-"??_);_(@_)</c:formatCode>
                <c:ptCount val="31"/>
                <c:pt idx="0">
                  <c:v>0.059940163007354</c:v>
                </c:pt>
                <c:pt idx="1">
                  <c:v>0.0423148058996397</c:v>
                </c:pt>
                <c:pt idx="2">
                  <c:v>0.0</c:v>
                </c:pt>
                <c:pt idx="3">
                  <c:v>0.0459016507604521</c:v>
                </c:pt>
                <c:pt idx="4">
                  <c:v>0.146283489573466</c:v>
                </c:pt>
                <c:pt idx="5">
                  <c:v>0.026431957952224</c:v>
                </c:pt>
                <c:pt idx="6">
                  <c:v>0.137590771053287</c:v>
                </c:pt>
                <c:pt idx="7">
                  <c:v>0.0585253519789224</c:v>
                </c:pt>
                <c:pt idx="8">
                  <c:v>0.0934668004596851</c:v>
                </c:pt>
                <c:pt idx="9">
                  <c:v>0.164902502342205</c:v>
                </c:pt>
                <c:pt idx="10">
                  <c:v>0.248285187379454</c:v>
                </c:pt>
                <c:pt idx="11">
                  <c:v>0.224548344801813</c:v>
                </c:pt>
                <c:pt idx="12">
                  <c:v>0.119880326014708</c:v>
                </c:pt>
                <c:pt idx="13">
                  <c:v>0.0861540208651247</c:v>
                </c:pt>
                <c:pt idx="14">
                  <c:v>0.555458197337932</c:v>
                </c:pt>
                <c:pt idx="15">
                  <c:v>0.69473687780197</c:v>
                </c:pt>
                <c:pt idx="16">
                  <c:v>1.033529917900097</c:v>
                </c:pt>
                <c:pt idx="17">
                  <c:v>2.524611117279082</c:v>
                </c:pt>
                <c:pt idx="18">
                  <c:v>6.350498264802947</c:v>
                </c:pt>
                <c:pt idx="19">
                  <c:v>6.905486685098695</c:v>
                </c:pt>
                <c:pt idx="20">
                  <c:v>6.341431916609767</c:v>
                </c:pt>
                <c:pt idx="21">
                  <c:v>5.900290281081948</c:v>
                </c:pt>
                <c:pt idx="22">
                  <c:v>6.677293109572497</c:v>
                </c:pt>
                <c:pt idx="23">
                  <c:v>9.103279241191615</c:v>
                </c:pt>
                <c:pt idx="24">
                  <c:v>12.67532956595477</c:v>
                </c:pt>
                <c:pt idx="25">
                  <c:v>18.37270124274401</c:v>
                </c:pt>
                <c:pt idx="26">
                  <c:v>24.57982566907722</c:v>
                </c:pt>
                <c:pt idx="27">
                  <c:v>35.46199755889381</c:v>
                </c:pt>
                <c:pt idx="28">
                  <c:v>102.6615172011138</c:v>
                </c:pt>
                <c:pt idx="29">
                  <c:v>131.9174070700705</c:v>
                </c:pt>
                <c:pt idx="30">
                  <c:v>396.1355499941917</c:v>
                </c:pt>
              </c:numCache>
            </c:numRef>
          </c:val>
          <c:extLst xmlns:c16r2="http://schemas.microsoft.com/office/drawing/2015/06/chart">
            <c:ext xmlns:c16="http://schemas.microsoft.com/office/drawing/2014/chart" uri="{C3380CC4-5D6E-409C-BE32-E72D297353CC}">
              <c16:uniqueId val="{00000003-D45E-4A5A-B83F-1143425D61F8}"/>
            </c:ext>
          </c:extLst>
        </c:ser>
        <c:dLbls>
          <c:showLegendKey val="0"/>
          <c:showVal val="0"/>
          <c:showCatName val="0"/>
          <c:showSerName val="0"/>
          <c:showPercent val="0"/>
          <c:showBubbleSize val="0"/>
        </c:dLbls>
        <c:gapWidth val="150"/>
        <c:overlap val="100"/>
        <c:axId val="-448229792"/>
        <c:axId val="-448227312"/>
      </c:barChart>
      <c:lineChart>
        <c:grouping val="standard"/>
        <c:varyColors val="0"/>
        <c:ser>
          <c:idx val="5"/>
          <c:order val="4"/>
          <c:tx>
            <c:v>Remaining HRA Balance</c:v>
          </c:tx>
          <c:spPr>
            <a:ln w="28575">
              <a:noFill/>
            </a:ln>
          </c:spPr>
          <c:marker>
            <c:symbol val="triangle"/>
            <c:size val="8"/>
            <c:spPr>
              <a:solidFill>
                <a:schemeClr val="tx2">
                  <a:lumMod val="75000"/>
                </a:schemeClr>
              </a:solidFill>
              <a:ln>
                <a:solidFill>
                  <a:schemeClr val="tx2">
                    <a:lumMod val="75000"/>
                  </a:schemeClr>
                </a:solidFill>
              </a:ln>
            </c:spPr>
          </c:marker>
          <c:cat>
            <c:numRef>
              <c:f>'HRA Graphing Data'!$A$78:$A$108</c:f>
              <c:numCache>
                <c:formatCode>General</c:formatCode>
                <c:ptCount val="31"/>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Data'!$G$78:$G$108</c:f>
              <c:numCache>
                <c:formatCode>_(* #,##0_);_(* \(#,##0\);_(* "-"??_);_(@_)</c:formatCode>
                <c:ptCount val="31"/>
                <c:pt idx="0">
                  <c:v>3.36457261544084E22</c:v>
                </c:pt>
                <c:pt idx="1">
                  <c:v>3.36457261544084E22</c:v>
                </c:pt>
                <c:pt idx="2">
                  <c:v>3.36457261544084E22</c:v>
                </c:pt>
                <c:pt idx="3">
                  <c:v>3.36457261544084E22</c:v>
                </c:pt>
                <c:pt idx="4">
                  <c:v>3.36457261544084E22</c:v>
                </c:pt>
                <c:pt idx="5">
                  <c:v>3.36457261544084E22</c:v>
                </c:pt>
                <c:pt idx="6">
                  <c:v>3.36457261544084E22</c:v>
                </c:pt>
                <c:pt idx="7">
                  <c:v>3.36457261544084E22</c:v>
                </c:pt>
                <c:pt idx="8">
                  <c:v>3.36457261544084E22</c:v>
                </c:pt>
                <c:pt idx="9">
                  <c:v>3.36457261544084E22</c:v>
                </c:pt>
                <c:pt idx="10">
                  <c:v>3.36457261544084E22</c:v>
                </c:pt>
                <c:pt idx="11">
                  <c:v>3.36457261544084E22</c:v>
                </c:pt>
                <c:pt idx="12">
                  <c:v>3.36457261544084E22</c:v>
                </c:pt>
                <c:pt idx="13">
                  <c:v>3.36457261544084E22</c:v>
                </c:pt>
                <c:pt idx="14">
                  <c:v>3.36457261544084E22</c:v>
                </c:pt>
                <c:pt idx="15">
                  <c:v>3.36457261544084E22</c:v>
                </c:pt>
                <c:pt idx="16">
                  <c:v>3.36457261544084E22</c:v>
                </c:pt>
                <c:pt idx="17">
                  <c:v>3.36457261544084E22</c:v>
                </c:pt>
                <c:pt idx="18">
                  <c:v>3.36457261544084E22</c:v>
                </c:pt>
                <c:pt idx="19">
                  <c:v>3.36457261544084E22</c:v>
                </c:pt>
                <c:pt idx="20">
                  <c:v>3.36457261544084E22</c:v>
                </c:pt>
                <c:pt idx="21">
                  <c:v>3.36457261544084E22</c:v>
                </c:pt>
                <c:pt idx="22">
                  <c:v>3.36457261544084E22</c:v>
                </c:pt>
                <c:pt idx="23">
                  <c:v>3.36457261544084E22</c:v>
                </c:pt>
                <c:pt idx="24">
                  <c:v>3.36457261544084E22</c:v>
                </c:pt>
                <c:pt idx="25">
                  <c:v>3.36457261544084E22</c:v>
                </c:pt>
                <c:pt idx="26">
                  <c:v>3.36457261544084E22</c:v>
                </c:pt>
                <c:pt idx="27">
                  <c:v>3.36457261544084E22</c:v>
                </c:pt>
                <c:pt idx="28">
                  <c:v>3.36457261544084E22</c:v>
                </c:pt>
                <c:pt idx="29">
                  <c:v>3.36457261544084E22</c:v>
                </c:pt>
                <c:pt idx="30">
                  <c:v>3.36457261544084E22</c:v>
                </c:pt>
              </c:numCache>
            </c:numRef>
          </c:val>
          <c:smooth val="0"/>
          <c:extLst xmlns:c16r2="http://schemas.microsoft.com/office/drawing/2015/06/chart">
            <c:ext xmlns:c16="http://schemas.microsoft.com/office/drawing/2014/chart" uri="{C3380CC4-5D6E-409C-BE32-E72D297353CC}">
              <c16:uniqueId val="{00000004-D45E-4A5A-B83F-1143425D61F8}"/>
            </c:ext>
          </c:extLst>
        </c:ser>
        <c:ser>
          <c:idx val="6"/>
          <c:order val="5"/>
          <c:tx>
            <c:v>Out of Pocket Spend</c:v>
          </c:tx>
          <c:spPr>
            <a:ln w="28575">
              <a:noFill/>
            </a:ln>
          </c:spPr>
          <c:marker>
            <c:symbol val="diamond"/>
            <c:size val="8"/>
            <c:spPr>
              <a:solidFill>
                <a:schemeClr val="accent2">
                  <a:lumMod val="75000"/>
                </a:schemeClr>
              </a:solidFill>
              <a:ln>
                <a:solidFill>
                  <a:schemeClr val="accent2">
                    <a:lumMod val="75000"/>
                  </a:schemeClr>
                </a:solidFill>
              </a:ln>
            </c:spPr>
          </c:marker>
          <c:cat>
            <c:numRef>
              <c:f>'HRA Graphing Data'!$A$78:$A$108</c:f>
              <c:numCache>
                <c:formatCode>General</c:formatCode>
                <c:ptCount val="31"/>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Data'!$H$78:$H$108</c:f>
              <c:numCache>
                <c:formatCode>_(* #,##0_);_(* \(#,##0\);_(* "-"??_);_(@_)</c:formatCode>
                <c:ptCount val="31"/>
                <c:pt idx="0">
                  <c:v>1546.11</c:v>
                </c:pt>
                <c:pt idx="1">
                  <c:v>1614.5</c:v>
                </c:pt>
                <c:pt idx="2">
                  <c:v>1678.14</c:v>
                </c:pt>
                <c:pt idx="3">
                  <c:v>1757.21</c:v>
                </c:pt>
                <c:pt idx="4">
                  <c:v>1835.22</c:v>
                </c:pt>
                <c:pt idx="5">
                  <c:v>1919.24</c:v>
                </c:pt>
                <c:pt idx="6">
                  <c:v>2009.09</c:v>
                </c:pt>
                <c:pt idx="7">
                  <c:v>2094.14</c:v>
                </c:pt>
                <c:pt idx="8">
                  <c:v>2209.91</c:v>
                </c:pt>
                <c:pt idx="9">
                  <c:v>2306.62</c:v>
                </c:pt>
                <c:pt idx="10">
                  <c:v>2426.99</c:v>
                </c:pt>
                <c:pt idx="11">
                  <c:v>2539.63</c:v>
                </c:pt>
                <c:pt idx="12">
                  <c:v>2672.22</c:v>
                </c:pt>
                <c:pt idx="13">
                  <c:v>2814.23</c:v>
                </c:pt>
                <c:pt idx="14">
                  <c:v>2959.21</c:v>
                </c:pt>
                <c:pt idx="15">
                  <c:v>3116.53</c:v>
                </c:pt>
                <c:pt idx="16">
                  <c:v>3327.96</c:v>
                </c:pt>
                <c:pt idx="17">
                  <c:v>3555.44</c:v>
                </c:pt>
                <c:pt idx="18">
                  <c:v>3770.39</c:v>
                </c:pt>
                <c:pt idx="19">
                  <c:v>4060.76</c:v>
                </c:pt>
                <c:pt idx="20">
                  <c:v>4470.44</c:v>
                </c:pt>
                <c:pt idx="21">
                  <c:v>4913.2</c:v>
                </c:pt>
                <c:pt idx="22">
                  <c:v>5529.69</c:v>
                </c:pt>
                <c:pt idx="23">
                  <c:v>6333.93</c:v>
                </c:pt>
                <c:pt idx="24">
                  <c:v>7294.93</c:v>
                </c:pt>
                <c:pt idx="25">
                  <c:v>8562.77</c:v>
                </c:pt>
                <c:pt idx="26">
                  <c:v>8911.74</c:v>
                </c:pt>
                <c:pt idx="27">
                  <c:v>8911.74</c:v>
                </c:pt>
                <c:pt idx="28">
                  <c:v>8911.74</c:v>
                </c:pt>
                <c:pt idx="29">
                  <c:v>8911.74</c:v>
                </c:pt>
                <c:pt idx="30">
                  <c:v>8911.74</c:v>
                </c:pt>
              </c:numCache>
            </c:numRef>
          </c:val>
          <c:smooth val="0"/>
          <c:extLst xmlns:c16r2="http://schemas.microsoft.com/office/drawing/2015/06/chart">
            <c:ext xmlns:c16="http://schemas.microsoft.com/office/drawing/2014/chart" uri="{C3380CC4-5D6E-409C-BE32-E72D297353CC}">
              <c16:uniqueId val="{00000005-D45E-4A5A-B83F-1143425D61F8}"/>
            </c:ext>
          </c:extLst>
        </c:ser>
        <c:dLbls>
          <c:showLegendKey val="0"/>
          <c:showVal val="0"/>
          <c:showCatName val="0"/>
          <c:showSerName val="0"/>
          <c:showPercent val="0"/>
          <c:showBubbleSize val="0"/>
        </c:dLbls>
        <c:marker val="1"/>
        <c:smooth val="0"/>
        <c:axId val="-448229792"/>
        <c:axId val="-448227312"/>
      </c:lineChart>
      <c:catAx>
        <c:axId val="-448229792"/>
        <c:scaling>
          <c:orientation val="minMax"/>
        </c:scaling>
        <c:delete val="0"/>
        <c:axPos val="b"/>
        <c:numFmt formatCode="General" sourceLinked="1"/>
        <c:majorTickMark val="out"/>
        <c:minorTickMark val="none"/>
        <c:tickLblPos val="low"/>
        <c:crossAx val="-448227312"/>
        <c:crosses val="autoZero"/>
        <c:auto val="1"/>
        <c:lblAlgn val="ctr"/>
        <c:lblOffset val="100"/>
        <c:noMultiLvlLbl val="0"/>
      </c:catAx>
      <c:valAx>
        <c:axId val="-448227312"/>
        <c:scaling>
          <c:orientation val="minMax"/>
          <c:max val="10000.0"/>
          <c:min val="0.0"/>
        </c:scaling>
        <c:delete val="0"/>
        <c:axPos val="l"/>
        <c:majorGridlines/>
        <c:numFmt formatCode="_(* #,##0_);_(* \(#,##0\);_(* &quot;-&quot;??_);_(@_)" sourceLinked="1"/>
        <c:majorTickMark val="out"/>
        <c:minorTickMark val="none"/>
        <c:tickLblPos val="nextTo"/>
        <c:crossAx val="-448229792"/>
        <c:crosses val="autoZero"/>
        <c:crossBetween val="between"/>
      </c:valAx>
    </c:plotArea>
    <c:legend>
      <c:legendPos val="r"/>
      <c:layout>
        <c:manualLayout>
          <c:xMode val="edge"/>
          <c:yMode val="edge"/>
          <c:x val="0.831213695303013"/>
          <c:y val="0.236011065198173"/>
          <c:w val="0.168786226348572"/>
          <c:h val="0.670000746995158"/>
        </c:manualLayout>
      </c:layout>
      <c:overlay val="0"/>
    </c:legend>
    <c:plotVisOnly val="1"/>
    <c:dispBlanksAs val="gap"/>
    <c:showDLblsOverMax val="0"/>
  </c:chart>
  <c:txPr>
    <a:bodyPr/>
    <a:lstStyle/>
    <a:p>
      <a:pPr>
        <a:defRPr sz="11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 Spend by </a:t>
            </a:r>
            <a:r>
              <a:rPr lang="en-US" baseline="0"/>
              <a:t>Employer &amp;</a:t>
            </a:r>
            <a:r>
              <a:rPr lang="en-US"/>
              <a:t> Individual Based on Cost Percentile by Type of Spend </a:t>
            </a:r>
          </a:p>
        </c:rich>
      </c:tx>
      <c:layout>
        <c:manualLayout>
          <c:xMode val="edge"/>
          <c:yMode val="edge"/>
          <c:x val="0.225653534597285"/>
          <c:y val="0.0190563541366247"/>
        </c:manualLayout>
      </c:layout>
      <c:overlay val="0"/>
    </c:title>
    <c:autoTitleDeleted val="0"/>
    <c:plotArea>
      <c:layout>
        <c:manualLayout>
          <c:layoutTarget val="inner"/>
          <c:xMode val="edge"/>
          <c:yMode val="edge"/>
          <c:x val="0.0590885711074529"/>
          <c:y val="0.16655606232849"/>
          <c:w val="0.749999893881175"/>
          <c:h val="0.720658622487746"/>
        </c:manualLayout>
      </c:layout>
      <c:barChart>
        <c:barDir val="col"/>
        <c:grouping val="stacked"/>
        <c:varyColors val="0"/>
        <c:ser>
          <c:idx val="0"/>
          <c:order val="0"/>
          <c:tx>
            <c:v>Planned Services</c:v>
          </c:tx>
          <c:spPr>
            <a:solidFill>
              <a:schemeClr val="accent1">
                <a:lumMod val="60000"/>
                <a:lumOff val="40000"/>
              </a:schemeClr>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Data'!$S$78:$S$108</c:f>
              <c:numCache>
                <c:formatCode>_(* #,##0_);_(* \(#,##0\);_(* "-"??_);_(@_)</c:formatCode>
                <c:ptCount val="31"/>
                <c:pt idx="0">
                  <c:v>313.1177382730107</c:v>
                </c:pt>
                <c:pt idx="1">
                  <c:v>343.261321353381</c:v>
                </c:pt>
                <c:pt idx="2">
                  <c:v>372.8313868852246</c:v>
                </c:pt>
                <c:pt idx="3">
                  <c:v>398.4260851774386</c:v>
                </c:pt>
                <c:pt idx="4">
                  <c:v>433.6200708930951</c:v>
                </c:pt>
                <c:pt idx="5">
                  <c:v>471.4672531564566</c:v>
                </c:pt>
                <c:pt idx="6">
                  <c:v>514.2468621120372</c:v>
                </c:pt>
                <c:pt idx="7">
                  <c:v>552.9092713665928</c:v>
                </c:pt>
                <c:pt idx="8">
                  <c:v>603.7952491098953</c:v>
                </c:pt>
                <c:pt idx="9">
                  <c:v>654.5840952178573</c:v>
                </c:pt>
                <c:pt idx="10">
                  <c:v>718.5854269823299</c:v>
                </c:pt>
                <c:pt idx="11">
                  <c:v>769.4292741031711</c:v>
                </c:pt>
                <c:pt idx="12">
                  <c:v>846.986973775221</c:v>
                </c:pt>
                <c:pt idx="13">
                  <c:v>911.8076141770939</c:v>
                </c:pt>
                <c:pt idx="14">
                  <c:v>1006.965986672376</c:v>
                </c:pt>
                <c:pt idx="15">
                  <c:v>1104.597333086246</c:v>
                </c:pt>
                <c:pt idx="16">
                  <c:v>1227.87100424624</c:v>
                </c:pt>
                <c:pt idx="17">
                  <c:v>1382.76320902307</c:v>
                </c:pt>
                <c:pt idx="18">
                  <c:v>1523.856653671365</c:v>
                </c:pt>
                <c:pt idx="19">
                  <c:v>1789.718233558505</c:v>
                </c:pt>
                <c:pt idx="20">
                  <c:v>2127.097242485647</c:v>
                </c:pt>
                <c:pt idx="21">
                  <c:v>2592.415348560271</c:v>
                </c:pt>
                <c:pt idx="22">
                  <c:v>3266.684422441464</c:v>
                </c:pt>
                <c:pt idx="23">
                  <c:v>4173.060407674086</c:v>
                </c:pt>
                <c:pt idx="24">
                  <c:v>5284.630386453062</c:v>
                </c:pt>
                <c:pt idx="25">
                  <c:v>6803.64843396842</c:v>
                </c:pt>
                <c:pt idx="26">
                  <c:v>8712.631173724683</c:v>
                </c:pt>
                <c:pt idx="27">
                  <c:v>10783.14141336117</c:v>
                </c:pt>
                <c:pt idx="28">
                  <c:v>14001.76860018506</c:v>
                </c:pt>
                <c:pt idx="29">
                  <c:v>20690.45450952135</c:v>
                </c:pt>
                <c:pt idx="30">
                  <c:v>52413.66230856951</c:v>
                </c:pt>
              </c:numCache>
            </c:numRef>
          </c:val>
          <c:extLst xmlns:c16r2="http://schemas.microsoft.com/office/drawing/2015/06/chart">
            <c:ext xmlns:c16="http://schemas.microsoft.com/office/drawing/2014/chart" uri="{C3380CC4-5D6E-409C-BE32-E72D297353CC}">
              <c16:uniqueId val="{00000000-4B37-471E-92AB-C0AEBCA4F37B}"/>
            </c:ext>
          </c:extLst>
        </c:ser>
        <c:ser>
          <c:idx val="1"/>
          <c:order val="1"/>
          <c:tx>
            <c:v>PPP</c:v>
          </c:tx>
          <c:spPr>
            <a:solidFill>
              <a:schemeClr val="accent2">
                <a:lumMod val="60000"/>
                <a:lumOff val="40000"/>
              </a:schemeClr>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Data'!$P$78:$P$108</c:f>
              <c:numCache>
                <c:formatCode>_(* #,##0_);_(* \(#,##0\);_(* "-"??_);_(@_)</c:formatCode>
                <c:ptCount val="31"/>
                <c:pt idx="0">
                  <c:v>5299.454398849546</c:v>
                </c:pt>
                <c:pt idx="1">
                  <c:v>5340.120338273341</c:v>
                </c:pt>
                <c:pt idx="2">
                  <c:v>5371.654283822165</c:v>
                </c:pt>
                <c:pt idx="3">
                  <c:v>5425.441257019116</c:v>
                </c:pt>
                <c:pt idx="4">
                  <c:v>5463.598394689893</c:v>
                </c:pt>
                <c:pt idx="5">
                  <c:v>5514.319061526757</c:v>
                </c:pt>
                <c:pt idx="6">
                  <c:v>5558.818623593892</c:v>
                </c:pt>
                <c:pt idx="7">
                  <c:v>5604.701142389818</c:v>
                </c:pt>
                <c:pt idx="8">
                  <c:v>5673.066199754565</c:v>
                </c:pt>
                <c:pt idx="9">
                  <c:v>5711.303518860897</c:v>
                </c:pt>
                <c:pt idx="10">
                  <c:v>5781.209099253963</c:v>
                </c:pt>
                <c:pt idx="11">
                  <c:v>5833.056881770594</c:v>
                </c:pt>
                <c:pt idx="12">
                  <c:v>5887.60671126901</c:v>
                </c:pt>
                <c:pt idx="13">
                  <c:v>5973.07981909368</c:v>
                </c:pt>
                <c:pt idx="14">
                  <c:v>6014.136824622514</c:v>
                </c:pt>
                <c:pt idx="15">
                  <c:v>6078.407670433333</c:v>
                </c:pt>
                <c:pt idx="16">
                  <c:v>6173.329246685353</c:v>
                </c:pt>
                <c:pt idx="17">
                  <c:v>6247.537499869266</c:v>
                </c:pt>
                <c:pt idx="18">
                  <c:v>6323.32745674794</c:v>
                </c:pt>
                <c:pt idx="19">
                  <c:v>6389.724159506868</c:v>
                </c:pt>
                <c:pt idx="20">
                  <c:v>6511.611052523523</c:v>
                </c:pt>
                <c:pt idx="21">
                  <c:v>6571.232935101914</c:v>
                </c:pt>
                <c:pt idx="22">
                  <c:v>6674.537519871635</c:v>
                </c:pt>
                <c:pt idx="23">
                  <c:v>6787.060233363262</c:v>
                </c:pt>
                <c:pt idx="24">
                  <c:v>6913.346786995746</c:v>
                </c:pt>
                <c:pt idx="25">
                  <c:v>7040.749481647093</c:v>
                </c:pt>
                <c:pt idx="26">
                  <c:v>7311.771254629798</c:v>
                </c:pt>
                <c:pt idx="27">
                  <c:v>7629.959150224075</c:v>
                </c:pt>
                <c:pt idx="28">
                  <c:v>8171.779956070818</c:v>
                </c:pt>
                <c:pt idx="29">
                  <c:v>8972.585382854078</c:v>
                </c:pt>
                <c:pt idx="30">
                  <c:v>12751.03281500348</c:v>
                </c:pt>
              </c:numCache>
            </c:numRef>
          </c:val>
          <c:extLst xmlns:c16r2="http://schemas.microsoft.com/office/drawing/2015/06/chart">
            <c:ext xmlns:c16="http://schemas.microsoft.com/office/drawing/2014/chart" uri="{C3380CC4-5D6E-409C-BE32-E72D297353CC}">
              <c16:uniqueId val="{00000001-4B37-471E-92AB-C0AEBCA4F37B}"/>
            </c:ext>
          </c:extLst>
        </c:ser>
        <c:ser>
          <c:idx val="2"/>
          <c:order val="2"/>
          <c:tx>
            <c:v>Chronic</c:v>
          </c:tx>
          <c:spPr>
            <a:solidFill>
              <a:schemeClr val="accent3"/>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Data'!$Q$78:$Q$108</c:f>
              <c:numCache>
                <c:formatCode>_(* #,##0_);_(* \(#,##0\);_(* "-"??_);_(@_)</c:formatCode>
                <c:ptCount val="31"/>
                <c:pt idx="0">
                  <c:v>412.073207565358</c:v>
                </c:pt>
                <c:pt idx="1">
                  <c:v>436.5619872261876</c:v>
                </c:pt>
                <c:pt idx="2">
                  <c:v>469.3066366303526</c:v>
                </c:pt>
                <c:pt idx="3">
                  <c:v>497.9290309401742</c:v>
                </c:pt>
                <c:pt idx="4">
                  <c:v>534.6637308055321</c:v>
                </c:pt>
                <c:pt idx="5">
                  <c:v>561.4676083562557</c:v>
                </c:pt>
                <c:pt idx="6">
                  <c:v>608.9901448533278</c:v>
                </c:pt>
                <c:pt idx="7">
                  <c:v>652.8977521664748</c:v>
                </c:pt>
                <c:pt idx="8">
                  <c:v>688.9556613088829</c:v>
                </c:pt>
                <c:pt idx="9">
                  <c:v>763.1544511255911</c:v>
                </c:pt>
                <c:pt idx="10">
                  <c:v>779.7407179719914</c:v>
                </c:pt>
                <c:pt idx="11">
                  <c:v>868.7955163779756</c:v>
                </c:pt>
                <c:pt idx="12">
                  <c:v>947.876781576499</c:v>
                </c:pt>
                <c:pt idx="13">
                  <c:v>999.2348219710054</c:v>
                </c:pt>
                <c:pt idx="14">
                  <c:v>1125.554081284143</c:v>
                </c:pt>
                <c:pt idx="15">
                  <c:v>1235.463571064549</c:v>
                </c:pt>
                <c:pt idx="16">
                  <c:v>1346.297028756054</c:v>
                </c:pt>
                <c:pt idx="17">
                  <c:v>1507.406969121484</c:v>
                </c:pt>
                <c:pt idx="18">
                  <c:v>1656.129490388587</c:v>
                </c:pt>
                <c:pt idx="19">
                  <c:v>1824.344561553122</c:v>
                </c:pt>
                <c:pt idx="20">
                  <c:v>2043.54197469023</c:v>
                </c:pt>
                <c:pt idx="21">
                  <c:v>2306.40389647044</c:v>
                </c:pt>
                <c:pt idx="22">
                  <c:v>2511.018280817174</c:v>
                </c:pt>
                <c:pt idx="23">
                  <c:v>2789.55364099351</c:v>
                </c:pt>
                <c:pt idx="24">
                  <c:v>3052.833873199411</c:v>
                </c:pt>
                <c:pt idx="25">
                  <c:v>3430.660373215078</c:v>
                </c:pt>
                <c:pt idx="26">
                  <c:v>3920.735588085762</c:v>
                </c:pt>
                <c:pt idx="27">
                  <c:v>4847.334806275281</c:v>
                </c:pt>
                <c:pt idx="28">
                  <c:v>6416.645025445104</c:v>
                </c:pt>
                <c:pt idx="29">
                  <c:v>11380.53235370312</c:v>
                </c:pt>
                <c:pt idx="30">
                  <c:v>6043.158236755612</c:v>
                </c:pt>
              </c:numCache>
            </c:numRef>
          </c:val>
          <c:extLst xmlns:c16r2="http://schemas.microsoft.com/office/drawing/2015/06/chart">
            <c:ext xmlns:c16="http://schemas.microsoft.com/office/drawing/2014/chart" uri="{C3380CC4-5D6E-409C-BE32-E72D297353CC}">
              <c16:uniqueId val="{00000002-4B37-471E-92AB-C0AEBCA4F37B}"/>
            </c:ext>
          </c:extLst>
        </c:ser>
        <c:ser>
          <c:idx val="3"/>
          <c:order val="3"/>
          <c:tx>
            <c:v>Shoppable</c:v>
          </c:tx>
          <c:spPr>
            <a:solidFill>
              <a:schemeClr val="accent6"/>
            </a:solidFill>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Data'!$R$78:$R$108</c:f>
              <c:numCache>
                <c:formatCode>_(* #,##0_);_(* \(#,##0\);_(* "-"??_);_(@_)</c:formatCode>
                <c:ptCount val="31"/>
                <c:pt idx="0">
                  <c:v>0.335985259086508</c:v>
                </c:pt>
                <c:pt idx="1">
                  <c:v>0.237189061725465</c:v>
                </c:pt>
                <c:pt idx="2">
                  <c:v>0.0</c:v>
                </c:pt>
                <c:pt idx="3">
                  <c:v>0.257294562601652</c:v>
                </c:pt>
                <c:pt idx="4">
                  <c:v>0.819969344067171</c:v>
                </c:pt>
                <c:pt idx="5">
                  <c:v>0.148160228387301</c:v>
                </c:pt>
                <c:pt idx="6">
                  <c:v>0.771243662693733</c:v>
                </c:pt>
                <c:pt idx="7">
                  <c:v>0.328054755963122</c:v>
                </c:pt>
                <c:pt idx="8">
                  <c:v>0.52391360972077</c:v>
                </c:pt>
                <c:pt idx="9">
                  <c:v>0.924335323657054</c:v>
                </c:pt>
                <c:pt idx="10">
                  <c:v>1.39172399312283</c:v>
                </c:pt>
                <c:pt idx="11">
                  <c:v>1.258670814699442</c:v>
                </c:pt>
                <c:pt idx="12">
                  <c:v>0.671970518173013</c:v>
                </c:pt>
                <c:pt idx="13">
                  <c:v>0.48292296132331</c:v>
                </c:pt>
                <c:pt idx="14">
                  <c:v>3.113534514769547</c:v>
                </c:pt>
                <c:pt idx="15">
                  <c:v>3.894239491083932</c:v>
                </c:pt>
                <c:pt idx="16">
                  <c:v>5.793291172676943</c:v>
                </c:pt>
                <c:pt idx="17">
                  <c:v>14.15131487426253</c:v>
                </c:pt>
                <c:pt idx="18">
                  <c:v>35.59673010175924</c:v>
                </c:pt>
                <c:pt idx="19">
                  <c:v>38.70763135440016</c:v>
                </c:pt>
                <c:pt idx="20">
                  <c:v>35.54591009737786</c:v>
                </c:pt>
                <c:pt idx="21">
                  <c:v>33.07315928606501</c:v>
                </c:pt>
                <c:pt idx="22">
                  <c:v>37.42852776594913</c:v>
                </c:pt>
                <c:pt idx="23">
                  <c:v>51.02701562578894</c:v>
                </c:pt>
                <c:pt idx="24">
                  <c:v>71.04958803167891</c:v>
                </c:pt>
                <c:pt idx="25">
                  <c:v>102.9853186486161</c:v>
                </c:pt>
                <c:pt idx="26">
                  <c:v>153.866922375274</c:v>
                </c:pt>
                <c:pt idx="27">
                  <c:v>264.4532159706573</c:v>
                </c:pt>
                <c:pt idx="28">
                  <c:v>967.0710229264706</c:v>
                </c:pt>
                <c:pt idx="29">
                  <c:v>1761.224651924613</c:v>
                </c:pt>
                <c:pt idx="30">
                  <c:v>12489.39195861168</c:v>
                </c:pt>
              </c:numCache>
            </c:numRef>
          </c:val>
          <c:extLst xmlns:c16r2="http://schemas.microsoft.com/office/drawing/2015/06/chart">
            <c:ext xmlns:c16="http://schemas.microsoft.com/office/drawing/2014/chart" uri="{C3380CC4-5D6E-409C-BE32-E72D297353CC}">
              <c16:uniqueId val="{00000003-4B37-471E-92AB-C0AEBCA4F37B}"/>
            </c:ext>
          </c:extLst>
        </c:ser>
        <c:ser>
          <c:idx val="4"/>
          <c:order val="4"/>
          <c:tx>
            <c:v>Planned Services &amp; Chronic Subsidy</c:v>
          </c:tx>
          <c:spPr>
            <a:ln>
              <a:noFill/>
            </a:ln>
          </c:spPr>
          <c:invertIfNegative val="0"/>
          <c:cat>
            <c:numRef>
              <c:f>'HRA Graphing Data'!$A$78:$A$110</c:f>
              <c:numCache>
                <c:formatCode>General</c:formatCode>
                <c:ptCount val="33"/>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Data'!$T$78:$T$108</c:f>
              <c:numCache>
                <c:formatCode>_(* #,##0_);_(* \(#,##0\);_(* "-"??_);_(@_)</c:formatCode>
                <c:ptCount val="31"/>
                <c:pt idx="0">
                  <c:v>471.98996185154</c:v>
                </c:pt>
                <c:pt idx="1">
                  <c:v>471.98996185154</c:v>
                </c:pt>
                <c:pt idx="2">
                  <c:v>471.98996185154</c:v>
                </c:pt>
                <c:pt idx="3">
                  <c:v>471.98996185154</c:v>
                </c:pt>
                <c:pt idx="4">
                  <c:v>471.98996185154</c:v>
                </c:pt>
                <c:pt idx="5">
                  <c:v>471.98996185154</c:v>
                </c:pt>
                <c:pt idx="6">
                  <c:v>471.98996185154</c:v>
                </c:pt>
                <c:pt idx="7">
                  <c:v>471.98996185154</c:v>
                </c:pt>
                <c:pt idx="8">
                  <c:v>471.98996185154</c:v>
                </c:pt>
                <c:pt idx="9">
                  <c:v>471.98996185154</c:v>
                </c:pt>
                <c:pt idx="10">
                  <c:v>471.98996185154</c:v>
                </c:pt>
                <c:pt idx="11">
                  <c:v>471.98996185154</c:v>
                </c:pt>
                <c:pt idx="12">
                  <c:v>471.98996185154</c:v>
                </c:pt>
                <c:pt idx="13">
                  <c:v>471.98996185154</c:v>
                </c:pt>
                <c:pt idx="14">
                  <c:v>471.98996185154</c:v>
                </c:pt>
                <c:pt idx="15">
                  <c:v>471.98996185154</c:v>
                </c:pt>
                <c:pt idx="16">
                  <c:v>471.98996185154</c:v>
                </c:pt>
                <c:pt idx="17">
                  <c:v>471.98996185154</c:v>
                </c:pt>
                <c:pt idx="18">
                  <c:v>471.98996185154</c:v>
                </c:pt>
                <c:pt idx="19">
                  <c:v>471.98996185154</c:v>
                </c:pt>
                <c:pt idx="20">
                  <c:v>471.98996185154</c:v>
                </c:pt>
                <c:pt idx="21">
                  <c:v>471.98996185154</c:v>
                </c:pt>
                <c:pt idx="22">
                  <c:v>471.98996185154</c:v>
                </c:pt>
                <c:pt idx="23">
                  <c:v>471.98996185154</c:v>
                </c:pt>
                <c:pt idx="24">
                  <c:v>471.98996185154</c:v>
                </c:pt>
                <c:pt idx="25">
                  <c:v>471.98996185154</c:v>
                </c:pt>
                <c:pt idx="26">
                  <c:v>471.98996185154</c:v>
                </c:pt>
                <c:pt idx="27">
                  <c:v>471.98996185154</c:v>
                </c:pt>
                <c:pt idx="28">
                  <c:v>471.98996185154</c:v>
                </c:pt>
                <c:pt idx="29">
                  <c:v>471.98996185154</c:v>
                </c:pt>
                <c:pt idx="30">
                  <c:v>471.98996185154</c:v>
                </c:pt>
              </c:numCache>
            </c:numRef>
          </c:val>
          <c:extLst xmlns:c16r2="http://schemas.microsoft.com/office/drawing/2015/06/chart">
            <c:ext xmlns:c16="http://schemas.microsoft.com/office/drawing/2014/chart" uri="{C3380CC4-5D6E-409C-BE32-E72D297353CC}">
              <c16:uniqueId val="{00000004-4B37-471E-92AB-C0AEBCA4F37B}"/>
            </c:ext>
          </c:extLst>
        </c:ser>
        <c:dLbls>
          <c:showLegendKey val="0"/>
          <c:showVal val="0"/>
          <c:showCatName val="0"/>
          <c:showSerName val="0"/>
          <c:showPercent val="0"/>
          <c:showBubbleSize val="0"/>
        </c:dLbls>
        <c:gapWidth val="150"/>
        <c:overlap val="100"/>
        <c:axId val="-445224096"/>
        <c:axId val="-445221616"/>
      </c:barChart>
      <c:lineChart>
        <c:grouping val="standard"/>
        <c:varyColors val="0"/>
        <c:ser>
          <c:idx val="5"/>
          <c:order val="5"/>
          <c:tx>
            <c:v>Remaining HRA Balance</c:v>
          </c:tx>
          <c:spPr>
            <a:ln w="28575">
              <a:noFill/>
            </a:ln>
          </c:spPr>
          <c:marker>
            <c:symbol val="triangle"/>
            <c:size val="8"/>
            <c:spPr>
              <a:solidFill>
                <a:schemeClr val="tx2">
                  <a:lumMod val="75000"/>
                </a:schemeClr>
              </a:solidFill>
              <a:ln>
                <a:solidFill>
                  <a:schemeClr val="tx2">
                    <a:lumMod val="75000"/>
                  </a:schemeClr>
                </a:solidFill>
              </a:ln>
            </c:spPr>
          </c:marker>
          <c:cat>
            <c:numRef>
              <c:f>'HRA Graphing Data'!$A$78:$A$108</c:f>
              <c:numCache>
                <c:formatCode>General</c:formatCode>
                <c:ptCount val="31"/>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Data'!$G$78:$G$108</c:f>
              <c:numCache>
                <c:formatCode>_(* #,##0_);_(* \(#,##0\);_(* "-"??_);_(@_)</c:formatCode>
                <c:ptCount val="31"/>
                <c:pt idx="0">
                  <c:v>3.36457261544084E22</c:v>
                </c:pt>
                <c:pt idx="1">
                  <c:v>3.36457261544084E22</c:v>
                </c:pt>
                <c:pt idx="2">
                  <c:v>3.36457261544084E22</c:v>
                </c:pt>
                <c:pt idx="3">
                  <c:v>3.36457261544084E22</c:v>
                </c:pt>
                <c:pt idx="4">
                  <c:v>3.36457261544084E22</c:v>
                </c:pt>
                <c:pt idx="5">
                  <c:v>3.36457261544084E22</c:v>
                </c:pt>
                <c:pt idx="6">
                  <c:v>3.36457261544084E22</c:v>
                </c:pt>
                <c:pt idx="7">
                  <c:v>3.36457261544084E22</c:v>
                </c:pt>
                <c:pt idx="8">
                  <c:v>3.36457261544084E22</c:v>
                </c:pt>
                <c:pt idx="9">
                  <c:v>3.36457261544084E22</c:v>
                </c:pt>
                <c:pt idx="10">
                  <c:v>3.36457261544084E22</c:v>
                </c:pt>
                <c:pt idx="11">
                  <c:v>3.36457261544084E22</c:v>
                </c:pt>
                <c:pt idx="12">
                  <c:v>3.36457261544084E22</c:v>
                </c:pt>
                <c:pt idx="13">
                  <c:v>3.36457261544084E22</c:v>
                </c:pt>
                <c:pt idx="14">
                  <c:v>3.36457261544084E22</c:v>
                </c:pt>
                <c:pt idx="15">
                  <c:v>3.36457261544084E22</c:v>
                </c:pt>
                <c:pt idx="16">
                  <c:v>3.36457261544084E22</c:v>
                </c:pt>
                <c:pt idx="17">
                  <c:v>3.36457261544084E22</c:v>
                </c:pt>
                <c:pt idx="18">
                  <c:v>3.36457261544084E22</c:v>
                </c:pt>
                <c:pt idx="19">
                  <c:v>3.36457261544084E22</c:v>
                </c:pt>
                <c:pt idx="20">
                  <c:v>3.36457261544084E22</c:v>
                </c:pt>
                <c:pt idx="21">
                  <c:v>3.36457261544084E22</c:v>
                </c:pt>
                <c:pt idx="22">
                  <c:v>3.36457261544084E22</c:v>
                </c:pt>
                <c:pt idx="23">
                  <c:v>3.36457261544084E22</c:v>
                </c:pt>
                <c:pt idx="24">
                  <c:v>3.36457261544084E22</c:v>
                </c:pt>
                <c:pt idx="25">
                  <c:v>3.36457261544084E22</c:v>
                </c:pt>
                <c:pt idx="26">
                  <c:v>3.36457261544084E22</c:v>
                </c:pt>
                <c:pt idx="27">
                  <c:v>3.36457261544084E22</c:v>
                </c:pt>
                <c:pt idx="28">
                  <c:v>3.36457261544084E22</c:v>
                </c:pt>
                <c:pt idx="29">
                  <c:v>3.36457261544084E22</c:v>
                </c:pt>
                <c:pt idx="30">
                  <c:v>3.36457261544084E22</c:v>
                </c:pt>
              </c:numCache>
            </c:numRef>
          </c:val>
          <c:smooth val="0"/>
          <c:extLst xmlns:c16r2="http://schemas.microsoft.com/office/drawing/2015/06/chart">
            <c:ext xmlns:c16="http://schemas.microsoft.com/office/drawing/2014/chart" uri="{C3380CC4-5D6E-409C-BE32-E72D297353CC}">
              <c16:uniqueId val="{00000005-4B37-471E-92AB-C0AEBCA4F37B}"/>
            </c:ext>
          </c:extLst>
        </c:ser>
        <c:ser>
          <c:idx val="6"/>
          <c:order val="6"/>
          <c:tx>
            <c:v>Out of Pocket Spend</c:v>
          </c:tx>
          <c:spPr>
            <a:ln w="28575">
              <a:noFill/>
            </a:ln>
          </c:spPr>
          <c:marker>
            <c:symbol val="diamond"/>
            <c:size val="8"/>
            <c:spPr>
              <a:solidFill>
                <a:schemeClr val="accent2">
                  <a:lumMod val="75000"/>
                </a:schemeClr>
              </a:solidFill>
              <a:ln>
                <a:solidFill>
                  <a:schemeClr val="accent2">
                    <a:lumMod val="75000"/>
                  </a:schemeClr>
                </a:solidFill>
              </a:ln>
            </c:spPr>
          </c:marker>
          <c:cat>
            <c:numRef>
              <c:f>'HRA Graphing Data'!$A$78:$A$108</c:f>
              <c:numCache>
                <c:formatCode>General</c:formatCode>
                <c:ptCount val="31"/>
                <c:pt idx="0">
                  <c:v>70.0</c:v>
                </c:pt>
                <c:pt idx="1">
                  <c:v>71.0</c:v>
                </c:pt>
                <c:pt idx="2">
                  <c:v>72.0</c:v>
                </c:pt>
                <c:pt idx="3">
                  <c:v>73.0</c:v>
                </c:pt>
                <c:pt idx="4">
                  <c:v>74.0</c:v>
                </c:pt>
                <c:pt idx="5">
                  <c:v>75.0</c:v>
                </c:pt>
                <c:pt idx="6">
                  <c:v>76.0</c:v>
                </c:pt>
                <c:pt idx="7">
                  <c:v>77.0</c:v>
                </c:pt>
                <c:pt idx="8">
                  <c:v>78.0</c:v>
                </c:pt>
                <c:pt idx="9">
                  <c:v>79.0</c:v>
                </c:pt>
                <c:pt idx="10">
                  <c:v>80.0</c:v>
                </c:pt>
                <c:pt idx="11">
                  <c:v>81.0</c:v>
                </c:pt>
                <c:pt idx="12">
                  <c:v>82.0</c:v>
                </c:pt>
                <c:pt idx="13">
                  <c:v>83.0</c:v>
                </c:pt>
                <c:pt idx="14">
                  <c:v>84.0</c:v>
                </c:pt>
                <c:pt idx="15">
                  <c:v>85.0</c:v>
                </c:pt>
                <c:pt idx="16">
                  <c:v>86.0</c:v>
                </c:pt>
                <c:pt idx="17">
                  <c:v>87.0</c:v>
                </c:pt>
                <c:pt idx="18">
                  <c:v>88.0</c:v>
                </c:pt>
                <c:pt idx="19">
                  <c:v>89.0</c:v>
                </c:pt>
                <c:pt idx="20">
                  <c:v>90.0</c:v>
                </c:pt>
                <c:pt idx="21">
                  <c:v>91.0</c:v>
                </c:pt>
                <c:pt idx="22">
                  <c:v>92.0</c:v>
                </c:pt>
                <c:pt idx="23">
                  <c:v>93.0</c:v>
                </c:pt>
                <c:pt idx="24">
                  <c:v>94.0</c:v>
                </c:pt>
                <c:pt idx="25">
                  <c:v>95.0</c:v>
                </c:pt>
                <c:pt idx="26">
                  <c:v>96.0</c:v>
                </c:pt>
                <c:pt idx="27">
                  <c:v>97.0</c:v>
                </c:pt>
                <c:pt idx="28">
                  <c:v>98.0</c:v>
                </c:pt>
                <c:pt idx="29">
                  <c:v>99.0</c:v>
                </c:pt>
                <c:pt idx="30">
                  <c:v>100.0</c:v>
                </c:pt>
              </c:numCache>
            </c:numRef>
          </c:cat>
          <c:val>
            <c:numRef>
              <c:f>'HRA Graphing Data'!$H$78:$H$108</c:f>
              <c:numCache>
                <c:formatCode>_(* #,##0_);_(* \(#,##0\);_(* "-"??_);_(@_)</c:formatCode>
                <c:ptCount val="31"/>
                <c:pt idx="0">
                  <c:v>1546.11</c:v>
                </c:pt>
                <c:pt idx="1">
                  <c:v>1614.5</c:v>
                </c:pt>
                <c:pt idx="2">
                  <c:v>1678.14</c:v>
                </c:pt>
                <c:pt idx="3">
                  <c:v>1757.21</c:v>
                </c:pt>
                <c:pt idx="4">
                  <c:v>1835.22</c:v>
                </c:pt>
                <c:pt idx="5">
                  <c:v>1919.24</c:v>
                </c:pt>
                <c:pt idx="6">
                  <c:v>2009.09</c:v>
                </c:pt>
                <c:pt idx="7">
                  <c:v>2094.14</c:v>
                </c:pt>
                <c:pt idx="8">
                  <c:v>2209.91</c:v>
                </c:pt>
                <c:pt idx="9">
                  <c:v>2306.62</c:v>
                </c:pt>
                <c:pt idx="10">
                  <c:v>2426.99</c:v>
                </c:pt>
                <c:pt idx="11">
                  <c:v>2539.63</c:v>
                </c:pt>
                <c:pt idx="12">
                  <c:v>2672.22</c:v>
                </c:pt>
                <c:pt idx="13">
                  <c:v>2814.23</c:v>
                </c:pt>
                <c:pt idx="14">
                  <c:v>2959.21</c:v>
                </c:pt>
                <c:pt idx="15">
                  <c:v>3116.53</c:v>
                </c:pt>
                <c:pt idx="16">
                  <c:v>3327.96</c:v>
                </c:pt>
                <c:pt idx="17">
                  <c:v>3555.44</c:v>
                </c:pt>
                <c:pt idx="18">
                  <c:v>3770.39</c:v>
                </c:pt>
                <c:pt idx="19">
                  <c:v>4060.76</c:v>
                </c:pt>
                <c:pt idx="20">
                  <c:v>4470.44</c:v>
                </c:pt>
                <c:pt idx="21">
                  <c:v>4913.2</c:v>
                </c:pt>
                <c:pt idx="22">
                  <c:v>5529.69</c:v>
                </c:pt>
                <c:pt idx="23">
                  <c:v>6333.93</c:v>
                </c:pt>
                <c:pt idx="24">
                  <c:v>7294.93</c:v>
                </c:pt>
                <c:pt idx="25">
                  <c:v>8562.77</c:v>
                </c:pt>
                <c:pt idx="26">
                  <c:v>8911.74</c:v>
                </c:pt>
                <c:pt idx="27">
                  <c:v>8911.74</c:v>
                </c:pt>
                <c:pt idx="28">
                  <c:v>8911.74</c:v>
                </c:pt>
                <c:pt idx="29">
                  <c:v>8911.74</c:v>
                </c:pt>
                <c:pt idx="30">
                  <c:v>8911.74</c:v>
                </c:pt>
              </c:numCache>
            </c:numRef>
          </c:val>
          <c:smooth val="0"/>
          <c:extLst xmlns:c16r2="http://schemas.microsoft.com/office/drawing/2015/06/chart">
            <c:ext xmlns:c16="http://schemas.microsoft.com/office/drawing/2014/chart" uri="{C3380CC4-5D6E-409C-BE32-E72D297353CC}">
              <c16:uniqueId val="{00000006-4B37-471E-92AB-C0AEBCA4F37B}"/>
            </c:ext>
          </c:extLst>
        </c:ser>
        <c:dLbls>
          <c:showLegendKey val="0"/>
          <c:showVal val="0"/>
          <c:showCatName val="0"/>
          <c:showSerName val="0"/>
          <c:showPercent val="0"/>
          <c:showBubbleSize val="0"/>
        </c:dLbls>
        <c:marker val="1"/>
        <c:smooth val="0"/>
        <c:axId val="-445224096"/>
        <c:axId val="-445221616"/>
      </c:lineChart>
      <c:catAx>
        <c:axId val="-445224096"/>
        <c:scaling>
          <c:orientation val="minMax"/>
        </c:scaling>
        <c:delete val="0"/>
        <c:axPos val="b"/>
        <c:numFmt formatCode="General" sourceLinked="1"/>
        <c:majorTickMark val="out"/>
        <c:minorTickMark val="none"/>
        <c:tickLblPos val="low"/>
        <c:crossAx val="-445221616"/>
        <c:crosses val="autoZero"/>
        <c:auto val="1"/>
        <c:lblAlgn val="ctr"/>
        <c:lblOffset val="100"/>
        <c:noMultiLvlLbl val="0"/>
      </c:catAx>
      <c:valAx>
        <c:axId val="-445221616"/>
        <c:scaling>
          <c:orientation val="minMax"/>
        </c:scaling>
        <c:delete val="0"/>
        <c:axPos val="l"/>
        <c:majorGridlines/>
        <c:numFmt formatCode="_(* #,##0_);_(* \(#,##0\);_(* &quot;-&quot;??_);_(@_)" sourceLinked="1"/>
        <c:majorTickMark val="out"/>
        <c:minorTickMark val="none"/>
        <c:tickLblPos val="nextTo"/>
        <c:crossAx val="-445224096"/>
        <c:crosses val="autoZero"/>
        <c:crossBetween val="between"/>
      </c:valAx>
    </c:plotArea>
    <c:legend>
      <c:legendPos val="r"/>
      <c:layout>
        <c:manualLayout>
          <c:xMode val="edge"/>
          <c:yMode val="edge"/>
          <c:x val="0.831213695303013"/>
          <c:y val="0.236011065198173"/>
          <c:w val="0.168786226348572"/>
          <c:h val="0.670000746995158"/>
        </c:manualLayout>
      </c:layout>
      <c:overlay val="0"/>
    </c:legend>
    <c:plotVisOnly val="1"/>
    <c:dispBlanksAs val="gap"/>
    <c:showDLblsOverMax val="0"/>
  </c:chart>
  <c:txPr>
    <a:bodyPr/>
    <a:lstStyle/>
    <a:p>
      <a:pPr>
        <a:defRPr sz="11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Change in Spend by Cost Percentile From Current Plan to</a:t>
            </a:r>
            <a:r>
              <a:rPr lang="en-US" sz="1600" b="1" baseline="0"/>
              <a:t> BIND Plan</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1"/>
          <c:tx>
            <c:v>Change in Payroll</c:v>
          </c:tx>
          <c:spPr>
            <a:solidFill>
              <a:schemeClr val="tx2">
                <a:lumMod val="40000"/>
                <a:lumOff val="60000"/>
              </a:schemeClr>
            </a:solidFill>
            <a:ln>
              <a:noFill/>
            </a:ln>
            <a:effectLst/>
          </c:spPr>
          <c:invertIfNegative val="0"/>
          <c:val>
            <c:numRef>
              <c:f>'HRA Graphing Data'!$W$9:$W$108</c:f>
              <c:numCache>
                <c:formatCode>_(* #,##0_);_(* \(#,##0\);_(* "-"??_);_(@_)</c:formatCode>
                <c:ptCount val="100"/>
                <c:pt idx="0">
                  <c:v>1315.933486957957</c:v>
                </c:pt>
                <c:pt idx="1">
                  <c:v>1315.933486957957</c:v>
                </c:pt>
                <c:pt idx="2">
                  <c:v>1315.933486957957</c:v>
                </c:pt>
                <c:pt idx="3">
                  <c:v>1315.933486957957</c:v>
                </c:pt>
                <c:pt idx="4">
                  <c:v>1315.933486957957</c:v>
                </c:pt>
                <c:pt idx="5">
                  <c:v>1315.933486957957</c:v>
                </c:pt>
                <c:pt idx="6">
                  <c:v>1315.933486957957</c:v>
                </c:pt>
                <c:pt idx="7">
                  <c:v>1315.933486957957</c:v>
                </c:pt>
                <c:pt idx="8">
                  <c:v>1315.933486957957</c:v>
                </c:pt>
                <c:pt idx="9">
                  <c:v>1315.933486957957</c:v>
                </c:pt>
                <c:pt idx="10">
                  <c:v>1315.933486957957</c:v>
                </c:pt>
                <c:pt idx="11">
                  <c:v>1315.933486957957</c:v>
                </c:pt>
                <c:pt idx="12">
                  <c:v>1315.933486957957</c:v>
                </c:pt>
                <c:pt idx="13">
                  <c:v>1315.933486957957</c:v>
                </c:pt>
                <c:pt idx="14">
                  <c:v>1315.933486957957</c:v>
                </c:pt>
                <c:pt idx="15">
                  <c:v>1315.933486957957</c:v>
                </c:pt>
                <c:pt idx="16">
                  <c:v>1315.933486957957</c:v>
                </c:pt>
                <c:pt idx="17">
                  <c:v>1315.933486957957</c:v>
                </c:pt>
                <c:pt idx="18">
                  <c:v>1315.933486957957</c:v>
                </c:pt>
                <c:pt idx="19">
                  <c:v>1315.933486957957</c:v>
                </c:pt>
                <c:pt idx="20">
                  <c:v>1315.933486957957</c:v>
                </c:pt>
                <c:pt idx="21">
                  <c:v>1323.379451301881</c:v>
                </c:pt>
                <c:pt idx="22">
                  <c:v>1308.068874540006</c:v>
                </c:pt>
                <c:pt idx="23">
                  <c:v>1314.270336742829</c:v>
                </c:pt>
                <c:pt idx="24">
                  <c:v>1312.631114056654</c:v>
                </c:pt>
                <c:pt idx="25">
                  <c:v>1309.821489348291</c:v>
                </c:pt>
                <c:pt idx="26">
                  <c:v>1307.46808165686</c:v>
                </c:pt>
                <c:pt idx="27">
                  <c:v>1307.780437166553</c:v>
                </c:pt>
                <c:pt idx="28">
                  <c:v>1307.213349273748</c:v>
                </c:pt>
                <c:pt idx="29">
                  <c:v>1307.376646575995</c:v>
                </c:pt>
                <c:pt idx="30">
                  <c:v>1307.468074952281</c:v>
                </c:pt>
                <c:pt idx="31">
                  <c:v>1307.256563043447</c:v>
                </c:pt>
                <c:pt idx="32">
                  <c:v>1307.632607585634</c:v>
                </c:pt>
                <c:pt idx="33">
                  <c:v>1307.716931998407</c:v>
                </c:pt>
                <c:pt idx="34">
                  <c:v>1308.561077601312</c:v>
                </c:pt>
                <c:pt idx="35">
                  <c:v>1307.711449198726</c:v>
                </c:pt>
                <c:pt idx="36">
                  <c:v>1307.12772556389</c:v>
                </c:pt>
                <c:pt idx="37">
                  <c:v>1306.05205716792</c:v>
                </c:pt>
                <c:pt idx="38">
                  <c:v>1304.123577162746</c:v>
                </c:pt>
                <c:pt idx="39">
                  <c:v>1302.886365090043</c:v>
                </c:pt>
                <c:pt idx="40">
                  <c:v>1301.398882881645</c:v>
                </c:pt>
                <c:pt idx="41">
                  <c:v>1299.238462131633</c:v>
                </c:pt>
                <c:pt idx="42">
                  <c:v>1298.073053494276</c:v>
                </c:pt>
                <c:pt idx="43">
                  <c:v>1295.032340772185</c:v>
                </c:pt>
                <c:pt idx="44">
                  <c:v>1292.116831061529</c:v>
                </c:pt>
                <c:pt idx="45">
                  <c:v>1289.635558683585</c:v>
                </c:pt>
                <c:pt idx="46">
                  <c:v>1286.397050447011</c:v>
                </c:pt>
                <c:pt idx="47">
                  <c:v>1282.785357369461</c:v>
                </c:pt>
                <c:pt idx="48">
                  <c:v>1279.475678002087</c:v>
                </c:pt>
                <c:pt idx="49">
                  <c:v>1276.078054597368</c:v>
                </c:pt>
                <c:pt idx="50">
                  <c:v>1268.893295094696</c:v>
                </c:pt>
                <c:pt idx="51">
                  <c:v>1263.898040061145</c:v>
                </c:pt>
                <c:pt idx="52">
                  <c:v>1259.80544326374</c:v>
                </c:pt>
                <c:pt idx="53">
                  <c:v>1255.407265102059</c:v>
                </c:pt>
                <c:pt idx="54">
                  <c:v>1248.642712822867</c:v>
                </c:pt>
                <c:pt idx="55">
                  <c:v>1241.09749295648</c:v>
                </c:pt>
                <c:pt idx="56">
                  <c:v>1230.475102466739</c:v>
                </c:pt>
                <c:pt idx="57">
                  <c:v>1224.135145866588</c:v>
                </c:pt>
                <c:pt idx="58">
                  <c:v>1217.408669423922</c:v>
                </c:pt>
                <c:pt idx="59">
                  <c:v>1205.78393319623</c:v>
                </c:pt>
                <c:pt idx="60">
                  <c:v>1193.398417167</c:v>
                </c:pt>
                <c:pt idx="61">
                  <c:v>1181.213835498281</c:v>
                </c:pt>
                <c:pt idx="62">
                  <c:v>1168.008748325786</c:v>
                </c:pt>
                <c:pt idx="63">
                  <c:v>1156.621290428394</c:v>
                </c:pt>
                <c:pt idx="64">
                  <c:v>1140.889160314689</c:v>
                </c:pt>
                <c:pt idx="65">
                  <c:v>1128.205702660428</c:v>
                </c:pt>
                <c:pt idx="66">
                  <c:v>1116.741574224255</c:v>
                </c:pt>
                <c:pt idx="67">
                  <c:v>1098.291774338183</c:v>
                </c:pt>
                <c:pt idx="68">
                  <c:v>1076.862715912442</c:v>
                </c:pt>
                <c:pt idx="69">
                  <c:v>1057.899556949321</c:v>
                </c:pt>
                <c:pt idx="70">
                  <c:v>1033.829338349393</c:v>
                </c:pt>
                <c:pt idx="71">
                  <c:v>1009.568613445021</c:v>
                </c:pt>
                <c:pt idx="72">
                  <c:v>987.9957569015597</c:v>
                </c:pt>
                <c:pt idx="73">
                  <c:v>959.6562505652498</c:v>
                </c:pt>
                <c:pt idx="74">
                  <c:v>929.960383492021</c:v>
                </c:pt>
                <c:pt idx="75">
                  <c:v>894.4708942475715</c:v>
                </c:pt>
                <c:pt idx="76">
                  <c:v>862.0860710116512</c:v>
                </c:pt>
                <c:pt idx="77">
                  <c:v>822.4257931918978</c:v>
                </c:pt>
                <c:pt idx="78">
                  <c:v>778.0325269423241</c:v>
                </c:pt>
                <c:pt idx="79">
                  <c:v>731.5726616850388</c:v>
                </c:pt>
                <c:pt idx="80">
                  <c:v>685.0152372800376</c:v>
                </c:pt>
                <c:pt idx="81">
                  <c:v>621.489028878309</c:v>
                </c:pt>
                <c:pt idx="82">
                  <c:v>569.4097906436597</c:v>
                </c:pt>
                <c:pt idx="83">
                  <c:v>487.147594035411</c:v>
                </c:pt>
                <c:pt idx="84">
                  <c:v>404.1678356680213</c:v>
                </c:pt>
                <c:pt idx="85">
                  <c:v>303.9889632364825</c:v>
                </c:pt>
                <c:pt idx="86">
                  <c:v>174.4221505078352</c:v>
                </c:pt>
                <c:pt idx="87">
                  <c:v>53.5286306045864</c:v>
                </c:pt>
                <c:pt idx="88">
                  <c:v>-154.6696815894775</c:v>
                </c:pt>
                <c:pt idx="89">
                  <c:v>-418.0013282919515</c:v>
                </c:pt>
                <c:pt idx="90">
                  <c:v>-776.9934412801267</c:v>
                </c:pt>
                <c:pt idx="91">
                  <c:v>-1274.894603234443</c:v>
                </c:pt>
                <c:pt idx="92">
                  <c:v>-1945.842899913467</c:v>
                </c:pt>
                <c:pt idx="93">
                  <c:v>-2757.856961756074</c:v>
                </c:pt>
                <c:pt idx="94">
                  <c:v>-3871.549520035636</c:v>
                </c:pt>
                <c:pt idx="95">
                  <c:v>-4172.327390167925</c:v>
                </c:pt>
                <c:pt idx="96">
                  <c:v>-4172.327390167925</c:v>
                </c:pt>
                <c:pt idx="97">
                  <c:v>-4172.327390167925</c:v>
                </c:pt>
                <c:pt idx="98">
                  <c:v>-4172.327390167925</c:v>
                </c:pt>
                <c:pt idx="99">
                  <c:v>-4172.327390167925</c:v>
                </c:pt>
              </c:numCache>
            </c:numRef>
          </c:val>
          <c:extLst xmlns:c16r2="http://schemas.microsoft.com/office/drawing/2015/06/chart">
            <c:ext xmlns:c16="http://schemas.microsoft.com/office/drawing/2014/chart" uri="{C3380CC4-5D6E-409C-BE32-E72D297353CC}">
              <c16:uniqueId val="{00000000-48B7-4886-8127-0BAA05598C27}"/>
            </c:ext>
          </c:extLst>
        </c:ser>
        <c:ser>
          <c:idx val="3"/>
          <c:order val="2"/>
          <c:tx>
            <c:v>Change in Copay</c:v>
          </c:tx>
          <c:spPr>
            <a:solidFill>
              <a:schemeClr val="accent1"/>
            </a:solidFill>
            <a:ln>
              <a:noFill/>
            </a:ln>
            <a:effectLst/>
          </c:spPr>
          <c:invertIfNegative val="0"/>
          <c:val>
            <c:numRef>
              <c:f>'HRA Graphing Data'!$X$9:$X$108</c:f>
              <c:numCache>
                <c:formatCode>_(* #,##0_);_(* \(#,##0\);_(* "-"??_);_(@_)</c:formatCode>
                <c:ptCount val="100"/>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-71.91165824628296</c:v>
                </c:pt>
                <c:pt idx="22">
                  <c:v>-215.3059031558964</c:v>
                </c:pt>
                <c:pt idx="23">
                  <c:v>-191.4420969661788</c:v>
                </c:pt>
                <c:pt idx="24">
                  <c:v>-202.5449457758602</c:v>
                </c:pt>
                <c:pt idx="25">
                  <c:v>-218.8354543602869</c:v>
                </c:pt>
                <c:pt idx="26">
                  <c:v>-224.9686592378229</c:v>
                </c:pt>
                <c:pt idx="27">
                  <c:v>-236.7996532708869</c:v>
                </c:pt>
                <c:pt idx="28">
                  <c:v>-249.0666637863381</c:v>
                </c:pt>
                <c:pt idx="29">
                  <c:v>-255.6752426393268</c:v>
                </c:pt>
                <c:pt idx="30">
                  <c:v>-261.5621444802294</c:v>
                </c:pt>
                <c:pt idx="31">
                  <c:v>-274.1436478854645</c:v>
                </c:pt>
                <c:pt idx="32">
                  <c:v>-280.3607282822119</c:v>
                </c:pt>
                <c:pt idx="33">
                  <c:v>-286.6918229123487</c:v>
                </c:pt>
                <c:pt idx="34">
                  <c:v>-298.2608258819518</c:v>
                </c:pt>
                <c:pt idx="35">
                  <c:v>-309.6175267796123</c:v>
                </c:pt>
                <c:pt idx="36">
                  <c:v>-324.7097272940478</c:v>
                </c:pt>
                <c:pt idx="37">
                  <c:v>-329.2180412122633</c:v>
                </c:pt>
                <c:pt idx="38">
                  <c:v>-342.5962495016807</c:v>
                </c:pt>
                <c:pt idx="39">
                  <c:v>-355.0945804115398</c:v>
                </c:pt>
                <c:pt idx="40">
                  <c:v>-365.3667269200728</c:v>
                </c:pt>
                <c:pt idx="41">
                  <c:v>-372.587318399054</c:v>
                </c:pt>
                <c:pt idx="42">
                  <c:v>-383.1572043136892</c:v>
                </c:pt>
                <c:pt idx="43">
                  <c:v>-399.7667001207792</c:v>
                </c:pt>
                <c:pt idx="44">
                  <c:v>-408.8346735744595</c:v>
                </c:pt>
                <c:pt idx="45">
                  <c:v>-419.5929038047986</c:v>
                </c:pt>
                <c:pt idx="46">
                  <c:v>-435.5178454023218</c:v>
                </c:pt>
                <c:pt idx="47">
                  <c:v>-450.1211154345318</c:v>
                </c:pt>
                <c:pt idx="48">
                  <c:v>-461.5426143117902</c:v>
                </c:pt>
                <c:pt idx="49">
                  <c:v>-472.8994284561019</c:v>
                </c:pt>
                <c:pt idx="50">
                  <c:v>-484.7594028781654</c:v>
                </c:pt>
                <c:pt idx="51">
                  <c:v>-496.9634002738093</c:v>
                </c:pt>
                <c:pt idx="52">
                  <c:v>-512.363202204659</c:v>
                </c:pt>
                <c:pt idx="53">
                  <c:v>-523.9722457361507</c:v>
                </c:pt>
                <c:pt idx="54">
                  <c:v>-525.6641185796477</c:v>
                </c:pt>
                <c:pt idx="55">
                  <c:v>-537.9244850810243</c:v>
                </c:pt>
                <c:pt idx="56">
                  <c:v>-557.850327420574</c:v>
                </c:pt>
                <c:pt idx="57">
                  <c:v>-574.931111208141</c:v>
                </c:pt>
                <c:pt idx="58">
                  <c:v>-584.8514815416401</c:v>
                </c:pt>
                <c:pt idx="59">
                  <c:v>-594.8321266760356</c:v>
                </c:pt>
                <c:pt idx="60">
                  <c:v>-614.6850245361492</c:v>
                </c:pt>
                <c:pt idx="61">
                  <c:v>-633.316880745288</c:v>
                </c:pt>
                <c:pt idx="62">
                  <c:v>-647.1958130734007</c:v>
                </c:pt>
                <c:pt idx="63">
                  <c:v>-653.937932204826</c:v>
                </c:pt>
                <c:pt idx="64">
                  <c:v>-674.6625132454432</c:v>
                </c:pt>
                <c:pt idx="65">
                  <c:v>-685.4117393082668</c:v>
                </c:pt>
                <c:pt idx="66">
                  <c:v>-694.589455534547</c:v>
                </c:pt>
                <c:pt idx="67">
                  <c:v>-725.7627946427857</c:v>
                </c:pt>
                <c:pt idx="68">
                  <c:v>-735.1266326912847</c:v>
                </c:pt>
                <c:pt idx="69">
                  <c:v>-749.1677489636531</c:v>
                </c:pt>
                <c:pt idx="70">
                  <c:v>-764.7652351315663</c:v>
                </c:pt>
                <c:pt idx="71">
                  <c:v>-773.4350747129899</c:v>
                </c:pt>
                <c:pt idx="72">
                  <c:v>-798.3376574276249</c:v>
                </c:pt>
                <c:pt idx="73">
                  <c:v>-812.571456926638</c:v>
                </c:pt>
                <c:pt idx="74">
                  <c:v>-828.5339425507842</c:v>
                </c:pt>
                <c:pt idx="75">
                  <c:v>-841.664138592936</c:v>
                </c:pt>
                <c:pt idx="76">
                  <c:v>-849.8575350166304</c:v>
                </c:pt>
                <c:pt idx="77">
                  <c:v>-877.8463152259417</c:v>
                </c:pt>
                <c:pt idx="78">
                  <c:v>-877.586878125693</c:v>
                </c:pt>
                <c:pt idx="79">
                  <c:v>-894.3721442315264</c:v>
                </c:pt>
                <c:pt idx="80">
                  <c:v>-897.6998964324368</c:v>
                </c:pt>
                <c:pt idx="81">
                  <c:v>-896.6755472481227</c:v>
                </c:pt>
                <c:pt idx="82">
                  <c:v>-909.1216802309796</c:v>
                </c:pt>
                <c:pt idx="83">
                  <c:v>-885.4268935347802</c:v>
                </c:pt>
                <c:pt idx="84">
                  <c:v>-862.2096100194085</c:v>
                </c:pt>
                <c:pt idx="85">
                  <c:v>-862.5420895072282</c:v>
                </c:pt>
                <c:pt idx="86">
                  <c:v>-833.0641526640774</c:v>
                </c:pt>
                <c:pt idx="87">
                  <c:v>-779.6651464958741</c:v>
                </c:pt>
                <c:pt idx="88">
                  <c:v>-689.3243246427662</c:v>
                </c:pt>
                <c:pt idx="89">
                  <c:v>-629.688252036845</c:v>
                </c:pt>
                <c:pt idx="90">
                  <c:v>-467.1063479446802</c:v>
                </c:pt>
                <c:pt idx="91">
                  <c:v>-289.059442879257</c:v>
                </c:pt>
                <c:pt idx="92">
                  <c:v>-58.48957500787265</c:v>
                </c:pt>
                <c:pt idx="93">
                  <c:v>250.2780704225488</c:v>
                </c:pt>
                <c:pt idx="94">
                  <c:v>624.710330527841</c:v>
                </c:pt>
                <c:pt idx="95">
                  <c:v>316.091805334423</c:v>
                </c:pt>
                <c:pt idx="96">
                  <c:v>0.0</c:v>
                </c:pt>
                <c:pt idx="97">
                  <c:v>0.0</c:v>
                </c:pt>
                <c:pt idx="98">
                  <c:v>0.0</c:v>
                </c:pt>
                <c:pt idx="99">
                  <c:v>0.0</c:v>
                </c:pt>
              </c:numCache>
            </c:numRef>
          </c:val>
          <c:extLst xmlns:c16r2="http://schemas.microsoft.com/office/drawing/2015/06/chart">
            <c:ext xmlns:c16="http://schemas.microsoft.com/office/drawing/2014/chart" uri="{C3380CC4-5D6E-409C-BE32-E72D297353CC}">
              <c16:uniqueId val="{00000001-48B7-4886-8127-0BAA05598C27}"/>
            </c:ext>
          </c:extLst>
        </c:ser>
        <c:ser>
          <c:idx val="1"/>
          <c:order val="3"/>
          <c:tx>
            <c:strRef>
              <c:f>'HRA Graphing Data'!$G$8</c:f>
              <c:strCache>
                <c:ptCount val="1"/>
                <c:pt idx="0">
                  <c:v> Remainder in HRA </c:v>
                </c:pt>
              </c:strCache>
            </c:strRef>
          </c:tx>
          <c:spPr>
            <a:solidFill>
              <a:schemeClr val="accent2">
                <a:lumMod val="75000"/>
              </a:schemeClr>
            </a:solidFill>
            <a:ln>
              <a:noFill/>
            </a:ln>
            <a:effectLst/>
          </c:spPr>
          <c:invertIfNegative val="0"/>
          <c:val>
            <c:numRef>
              <c:f>'HRA Graphing Data'!$G$9:$G$108</c:f>
              <c:numCache>
                <c:formatCode>_(* #,##0_);_(* \(#,##0\);_(* "-"??_);_(@_)</c:formatCode>
                <c:ptCount val="100"/>
                <c:pt idx="0">
                  <c:v>3.36457261544084E22</c:v>
                </c:pt>
                <c:pt idx="1">
                  <c:v>3.36457261544084E22</c:v>
                </c:pt>
                <c:pt idx="2">
                  <c:v>3.36457261544084E22</c:v>
                </c:pt>
                <c:pt idx="3">
                  <c:v>3.36457261544084E22</c:v>
                </c:pt>
                <c:pt idx="4">
                  <c:v>3.36457261544084E22</c:v>
                </c:pt>
                <c:pt idx="5">
                  <c:v>3.36457261544084E22</c:v>
                </c:pt>
                <c:pt idx="6">
                  <c:v>3.36457261544084E22</c:v>
                </c:pt>
                <c:pt idx="7">
                  <c:v>3.36457261544084E22</c:v>
                </c:pt>
                <c:pt idx="8">
                  <c:v>3.36457261544084E22</c:v>
                </c:pt>
                <c:pt idx="9">
                  <c:v>3.36457261544084E22</c:v>
                </c:pt>
                <c:pt idx="10">
                  <c:v>3.36457261544084E22</c:v>
                </c:pt>
                <c:pt idx="11">
                  <c:v>3.36457261544084E22</c:v>
                </c:pt>
                <c:pt idx="12">
                  <c:v>3.36457261544084E22</c:v>
                </c:pt>
                <c:pt idx="13">
                  <c:v>3.36457261544084E22</c:v>
                </c:pt>
                <c:pt idx="14">
                  <c:v>3.36457261544084E22</c:v>
                </c:pt>
                <c:pt idx="15">
                  <c:v>3.36457261544084E22</c:v>
                </c:pt>
                <c:pt idx="16">
                  <c:v>3.36457261544084E22</c:v>
                </c:pt>
                <c:pt idx="17">
                  <c:v>3.36457261544084E22</c:v>
                </c:pt>
                <c:pt idx="18">
                  <c:v>3.36457261544084E22</c:v>
                </c:pt>
                <c:pt idx="19">
                  <c:v>3.36457261544084E22</c:v>
                </c:pt>
                <c:pt idx="20">
                  <c:v>3.36457261544084E22</c:v>
                </c:pt>
                <c:pt idx="21">
                  <c:v>3.36457261544084E22</c:v>
                </c:pt>
                <c:pt idx="22">
                  <c:v>3.36457261544084E22</c:v>
                </c:pt>
                <c:pt idx="23">
                  <c:v>3.36457261544084E22</c:v>
                </c:pt>
                <c:pt idx="24">
                  <c:v>3.36457261544084E22</c:v>
                </c:pt>
                <c:pt idx="25">
                  <c:v>3.36457261544084E22</c:v>
                </c:pt>
                <c:pt idx="26">
                  <c:v>3.36457261544084E22</c:v>
                </c:pt>
                <c:pt idx="27">
                  <c:v>3.36457261544084E22</c:v>
                </c:pt>
                <c:pt idx="28">
                  <c:v>3.36457261544084E22</c:v>
                </c:pt>
                <c:pt idx="29">
                  <c:v>3.36457261544084E22</c:v>
                </c:pt>
                <c:pt idx="30">
                  <c:v>3.36457261544084E22</c:v>
                </c:pt>
                <c:pt idx="31">
                  <c:v>3.36457261544084E22</c:v>
                </c:pt>
                <c:pt idx="32">
                  <c:v>3.36457261544084E22</c:v>
                </c:pt>
                <c:pt idx="33">
                  <c:v>3.36457261544084E22</c:v>
                </c:pt>
                <c:pt idx="34">
                  <c:v>3.36457261544084E22</c:v>
                </c:pt>
                <c:pt idx="35">
                  <c:v>3.36457261544084E22</c:v>
                </c:pt>
                <c:pt idx="36">
                  <c:v>3.36457261544084E22</c:v>
                </c:pt>
                <c:pt idx="37">
                  <c:v>3.36457261544084E22</c:v>
                </c:pt>
                <c:pt idx="38">
                  <c:v>3.36457261544084E22</c:v>
                </c:pt>
                <c:pt idx="39">
                  <c:v>3.36457261544084E22</c:v>
                </c:pt>
                <c:pt idx="40">
                  <c:v>3.36457261544084E22</c:v>
                </c:pt>
                <c:pt idx="41">
                  <c:v>3.36457261544084E22</c:v>
                </c:pt>
                <c:pt idx="42">
                  <c:v>3.36457261544084E22</c:v>
                </c:pt>
                <c:pt idx="43">
                  <c:v>3.36457261544084E22</c:v>
                </c:pt>
                <c:pt idx="44">
                  <c:v>3.36457261544084E22</c:v>
                </c:pt>
                <c:pt idx="45">
                  <c:v>3.36457261544084E22</c:v>
                </c:pt>
                <c:pt idx="46">
                  <c:v>3.36457261544084E22</c:v>
                </c:pt>
                <c:pt idx="47">
                  <c:v>3.36457261544084E22</c:v>
                </c:pt>
                <c:pt idx="48">
                  <c:v>3.36457261544084E22</c:v>
                </c:pt>
                <c:pt idx="49">
                  <c:v>3.36457261544084E22</c:v>
                </c:pt>
                <c:pt idx="50">
                  <c:v>3.36457261544084E22</c:v>
                </c:pt>
                <c:pt idx="51">
                  <c:v>3.36457261544084E22</c:v>
                </c:pt>
                <c:pt idx="52">
                  <c:v>3.36457261544084E22</c:v>
                </c:pt>
                <c:pt idx="53">
                  <c:v>3.36457261544084E22</c:v>
                </c:pt>
                <c:pt idx="54">
                  <c:v>3.36457261544084E22</c:v>
                </c:pt>
                <c:pt idx="55">
                  <c:v>3.36457261544084E22</c:v>
                </c:pt>
                <c:pt idx="56">
                  <c:v>3.36457261544084E22</c:v>
                </c:pt>
                <c:pt idx="57">
                  <c:v>3.36457261544084E22</c:v>
                </c:pt>
                <c:pt idx="58">
                  <c:v>3.36457261544084E22</c:v>
                </c:pt>
                <c:pt idx="59">
                  <c:v>3.36457261544084E22</c:v>
                </c:pt>
                <c:pt idx="60">
                  <c:v>3.36457261544084E22</c:v>
                </c:pt>
                <c:pt idx="61">
                  <c:v>3.36457261544084E22</c:v>
                </c:pt>
                <c:pt idx="62">
                  <c:v>3.36457261544084E22</c:v>
                </c:pt>
                <c:pt idx="63">
                  <c:v>3.36457261544084E22</c:v>
                </c:pt>
                <c:pt idx="64">
                  <c:v>3.36457261544084E22</c:v>
                </c:pt>
                <c:pt idx="65">
                  <c:v>3.36457261544084E22</c:v>
                </c:pt>
                <c:pt idx="66">
                  <c:v>3.36457261544084E22</c:v>
                </c:pt>
                <c:pt idx="67">
                  <c:v>3.36457261544084E22</c:v>
                </c:pt>
                <c:pt idx="68">
                  <c:v>3.36457261544084E22</c:v>
                </c:pt>
                <c:pt idx="69">
                  <c:v>3.36457261544084E22</c:v>
                </c:pt>
                <c:pt idx="70">
                  <c:v>3.36457261544084E22</c:v>
                </c:pt>
                <c:pt idx="71">
                  <c:v>3.36457261544084E22</c:v>
                </c:pt>
                <c:pt idx="72">
                  <c:v>3.36457261544084E22</c:v>
                </c:pt>
                <c:pt idx="73">
                  <c:v>3.36457261544084E22</c:v>
                </c:pt>
                <c:pt idx="74">
                  <c:v>3.36457261544084E22</c:v>
                </c:pt>
                <c:pt idx="75">
                  <c:v>3.36457261544084E22</c:v>
                </c:pt>
                <c:pt idx="76">
                  <c:v>3.36457261544084E22</c:v>
                </c:pt>
                <c:pt idx="77">
                  <c:v>3.36457261544084E22</c:v>
                </c:pt>
                <c:pt idx="78">
                  <c:v>3.36457261544084E22</c:v>
                </c:pt>
                <c:pt idx="79">
                  <c:v>3.36457261544084E22</c:v>
                </c:pt>
                <c:pt idx="80">
                  <c:v>3.36457261544084E22</c:v>
                </c:pt>
                <c:pt idx="81">
                  <c:v>3.36457261544084E22</c:v>
                </c:pt>
                <c:pt idx="82">
                  <c:v>3.36457261544084E22</c:v>
                </c:pt>
                <c:pt idx="83">
                  <c:v>3.36457261544084E22</c:v>
                </c:pt>
                <c:pt idx="84">
                  <c:v>3.36457261544084E22</c:v>
                </c:pt>
                <c:pt idx="85">
                  <c:v>3.36457261544084E22</c:v>
                </c:pt>
                <c:pt idx="86">
                  <c:v>3.36457261544084E22</c:v>
                </c:pt>
                <c:pt idx="87">
                  <c:v>3.36457261544084E22</c:v>
                </c:pt>
                <c:pt idx="88">
                  <c:v>3.36457261544084E22</c:v>
                </c:pt>
                <c:pt idx="89">
                  <c:v>3.36457261544084E22</c:v>
                </c:pt>
                <c:pt idx="90">
                  <c:v>3.36457261544084E22</c:v>
                </c:pt>
                <c:pt idx="91">
                  <c:v>3.36457261544084E22</c:v>
                </c:pt>
                <c:pt idx="92">
                  <c:v>3.36457261544084E22</c:v>
                </c:pt>
                <c:pt idx="93">
                  <c:v>3.36457261544084E22</c:v>
                </c:pt>
                <c:pt idx="94">
                  <c:v>3.36457261544084E22</c:v>
                </c:pt>
                <c:pt idx="95">
                  <c:v>3.36457261544084E22</c:v>
                </c:pt>
                <c:pt idx="96">
                  <c:v>3.36457261544084E22</c:v>
                </c:pt>
                <c:pt idx="97">
                  <c:v>3.36457261544084E22</c:v>
                </c:pt>
                <c:pt idx="98">
                  <c:v>3.36457261544084E22</c:v>
                </c:pt>
                <c:pt idx="99">
                  <c:v>3.36457261544084E22</c:v>
                </c:pt>
              </c:numCache>
            </c:numRef>
          </c:val>
          <c:extLst xmlns:c16r2="http://schemas.microsoft.com/office/drawing/2015/06/chart">
            <c:ext xmlns:c16="http://schemas.microsoft.com/office/drawing/2014/chart" uri="{C3380CC4-5D6E-409C-BE32-E72D297353CC}">
              <c16:uniqueId val="{00000002-48B7-4886-8127-0BAA05598C27}"/>
            </c:ext>
          </c:extLst>
        </c:ser>
        <c:dLbls>
          <c:showLegendKey val="0"/>
          <c:showVal val="0"/>
          <c:showCatName val="0"/>
          <c:showSerName val="0"/>
          <c:showPercent val="0"/>
          <c:showBubbleSize val="0"/>
        </c:dLbls>
        <c:gapWidth val="150"/>
        <c:overlap val="100"/>
        <c:axId val="-445180048"/>
        <c:axId val="-445177568"/>
      </c:barChart>
      <c:lineChart>
        <c:grouping val="stacked"/>
        <c:varyColors val="0"/>
        <c:ser>
          <c:idx val="2"/>
          <c:order val="0"/>
          <c:tx>
            <c:v>Change in Total OOP</c:v>
          </c:tx>
          <c:spPr>
            <a:ln w="28575" cap="rnd">
              <a:solidFill>
                <a:schemeClr val="accent3"/>
              </a:solidFill>
              <a:round/>
            </a:ln>
            <a:effectLst/>
          </c:spPr>
          <c:marker>
            <c:symbol val="diamond"/>
            <c:size val="6"/>
            <c:spPr>
              <a:solidFill>
                <a:schemeClr val="accent3">
                  <a:lumMod val="50000"/>
                </a:schemeClr>
              </a:solidFill>
              <a:ln w="9525">
                <a:solidFill>
                  <a:schemeClr val="accent3">
                    <a:lumMod val="75000"/>
                  </a:schemeClr>
                </a:solidFill>
                <a:bevel/>
              </a:ln>
              <a:effectLst/>
            </c:spPr>
          </c:marker>
          <c:val>
            <c:numRef>
              <c:f>'HRA Graphing Data'!$AA$9:$AA$108</c:f>
              <c:numCache>
                <c:formatCode>_(* #,##0_);_(* \(#,##0\);_(* "-"??_);_(@_)</c:formatCode>
                <c:ptCount val="100"/>
                <c:pt idx="0">
                  <c:v>3.36457261544084E22</c:v>
                </c:pt>
                <c:pt idx="1">
                  <c:v>3.36457261544084E22</c:v>
                </c:pt>
                <c:pt idx="2">
                  <c:v>3.36457261544084E22</c:v>
                </c:pt>
                <c:pt idx="3">
                  <c:v>3.36457261544084E22</c:v>
                </c:pt>
                <c:pt idx="4">
                  <c:v>3.36457261544084E22</c:v>
                </c:pt>
                <c:pt idx="5">
                  <c:v>3.36457261544084E22</c:v>
                </c:pt>
                <c:pt idx="6">
                  <c:v>3.36457261544084E22</c:v>
                </c:pt>
                <c:pt idx="7">
                  <c:v>3.36457261544084E22</c:v>
                </c:pt>
                <c:pt idx="8">
                  <c:v>3.36457261544084E22</c:v>
                </c:pt>
                <c:pt idx="9">
                  <c:v>3.36457261544084E22</c:v>
                </c:pt>
                <c:pt idx="10">
                  <c:v>3.36457261544084E22</c:v>
                </c:pt>
                <c:pt idx="11">
                  <c:v>3.36457261544084E22</c:v>
                </c:pt>
                <c:pt idx="12">
                  <c:v>3.36457261544084E22</c:v>
                </c:pt>
                <c:pt idx="13">
                  <c:v>3.36457261544084E22</c:v>
                </c:pt>
                <c:pt idx="14">
                  <c:v>3.36457261544084E22</c:v>
                </c:pt>
                <c:pt idx="15">
                  <c:v>3.36457261544084E22</c:v>
                </c:pt>
                <c:pt idx="16">
                  <c:v>3.36457261544084E22</c:v>
                </c:pt>
                <c:pt idx="17">
                  <c:v>3.36457261544084E22</c:v>
                </c:pt>
                <c:pt idx="18">
                  <c:v>3.36457261544084E22</c:v>
                </c:pt>
                <c:pt idx="19">
                  <c:v>3.36457261544084E22</c:v>
                </c:pt>
                <c:pt idx="20">
                  <c:v>3.36457261544084E22</c:v>
                </c:pt>
                <c:pt idx="21">
                  <c:v>3.36457261544084E22</c:v>
                </c:pt>
                <c:pt idx="22">
                  <c:v>3.36457261544084E22</c:v>
                </c:pt>
                <c:pt idx="23">
                  <c:v>3.36457261544084E22</c:v>
                </c:pt>
                <c:pt idx="24">
                  <c:v>3.36457261544084E22</c:v>
                </c:pt>
                <c:pt idx="25">
                  <c:v>3.36457261544084E22</c:v>
                </c:pt>
                <c:pt idx="26">
                  <c:v>3.36457261544084E22</c:v>
                </c:pt>
                <c:pt idx="27">
                  <c:v>3.36457261544084E22</c:v>
                </c:pt>
                <c:pt idx="28">
                  <c:v>3.36457261544084E22</c:v>
                </c:pt>
                <c:pt idx="29">
                  <c:v>3.36457261544084E22</c:v>
                </c:pt>
                <c:pt idx="30">
                  <c:v>3.36457261544084E22</c:v>
                </c:pt>
                <c:pt idx="31">
                  <c:v>3.36457261544084E22</c:v>
                </c:pt>
                <c:pt idx="32">
                  <c:v>3.36457261544084E22</c:v>
                </c:pt>
                <c:pt idx="33">
                  <c:v>3.36457261544084E22</c:v>
                </c:pt>
                <c:pt idx="34">
                  <c:v>3.36457261544084E22</c:v>
                </c:pt>
                <c:pt idx="35">
                  <c:v>3.36457261544084E22</c:v>
                </c:pt>
                <c:pt idx="36">
                  <c:v>3.36457261544084E22</c:v>
                </c:pt>
                <c:pt idx="37">
                  <c:v>3.36457261544084E22</c:v>
                </c:pt>
                <c:pt idx="38">
                  <c:v>3.36457261544084E22</c:v>
                </c:pt>
                <c:pt idx="39">
                  <c:v>3.36457261544084E22</c:v>
                </c:pt>
                <c:pt idx="40">
                  <c:v>3.36457261544084E22</c:v>
                </c:pt>
                <c:pt idx="41">
                  <c:v>3.36457261544084E22</c:v>
                </c:pt>
                <c:pt idx="42">
                  <c:v>3.36457261544084E22</c:v>
                </c:pt>
                <c:pt idx="43">
                  <c:v>3.36457261544084E22</c:v>
                </c:pt>
                <c:pt idx="44">
                  <c:v>3.36457261544084E22</c:v>
                </c:pt>
                <c:pt idx="45">
                  <c:v>3.36457261544084E22</c:v>
                </c:pt>
                <c:pt idx="46">
                  <c:v>3.36457261544084E22</c:v>
                </c:pt>
                <c:pt idx="47">
                  <c:v>3.36457261544084E22</c:v>
                </c:pt>
                <c:pt idx="48">
                  <c:v>3.36457261544084E22</c:v>
                </c:pt>
                <c:pt idx="49">
                  <c:v>3.36457261544084E22</c:v>
                </c:pt>
                <c:pt idx="50">
                  <c:v>3.36457261544084E22</c:v>
                </c:pt>
                <c:pt idx="51">
                  <c:v>3.36457261544084E22</c:v>
                </c:pt>
                <c:pt idx="52">
                  <c:v>3.36457261544084E22</c:v>
                </c:pt>
                <c:pt idx="53">
                  <c:v>3.36457261544084E22</c:v>
                </c:pt>
                <c:pt idx="54">
                  <c:v>3.36457261544084E22</c:v>
                </c:pt>
                <c:pt idx="55">
                  <c:v>3.36457261544084E22</c:v>
                </c:pt>
                <c:pt idx="56">
                  <c:v>3.36457261544084E22</c:v>
                </c:pt>
                <c:pt idx="57">
                  <c:v>3.36457261544084E22</c:v>
                </c:pt>
                <c:pt idx="58">
                  <c:v>3.36457261544084E22</c:v>
                </c:pt>
                <c:pt idx="59">
                  <c:v>3.36457261544084E22</c:v>
                </c:pt>
                <c:pt idx="60">
                  <c:v>3.36457261544084E22</c:v>
                </c:pt>
                <c:pt idx="61">
                  <c:v>3.36457261544084E22</c:v>
                </c:pt>
                <c:pt idx="62">
                  <c:v>3.36457261544084E22</c:v>
                </c:pt>
                <c:pt idx="63">
                  <c:v>3.36457261544084E22</c:v>
                </c:pt>
                <c:pt idx="64">
                  <c:v>3.36457261544084E22</c:v>
                </c:pt>
                <c:pt idx="65">
                  <c:v>3.36457261544084E22</c:v>
                </c:pt>
                <c:pt idx="66">
                  <c:v>3.36457261544084E22</c:v>
                </c:pt>
                <c:pt idx="67">
                  <c:v>3.36457261544084E22</c:v>
                </c:pt>
                <c:pt idx="68">
                  <c:v>3.36457261544084E22</c:v>
                </c:pt>
                <c:pt idx="69">
                  <c:v>3.36457261544084E22</c:v>
                </c:pt>
                <c:pt idx="70">
                  <c:v>3.36457261544084E22</c:v>
                </c:pt>
                <c:pt idx="71">
                  <c:v>3.36457261544084E22</c:v>
                </c:pt>
                <c:pt idx="72">
                  <c:v>3.36457261544084E22</c:v>
                </c:pt>
                <c:pt idx="73">
                  <c:v>3.36457261544084E22</c:v>
                </c:pt>
                <c:pt idx="74">
                  <c:v>3.36457261544084E22</c:v>
                </c:pt>
                <c:pt idx="75">
                  <c:v>3.36457261544084E22</c:v>
                </c:pt>
                <c:pt idx="76">
                  <c:v>3.36457261544084E22</c:v>
                </c:pt>
                <c:pt idx="77">
                  <c:v>3.36457261544084E22</c:v>
                </c:pt>
                <c:pt idx="78">
                  <c:v>3.36457261544084E22</c:v>
                </c:pt>
                <c:pt idx="79">
                  <c:v>3.36457261544084E22</c:v>
                </c:pt>
                <c:pt idx="80">
                  <c:v>3.36457261544084E22</c:v>
                </c:pt>
                <c:pt idx="81">
                  <c:v>3.36457261544084E22</c:v>
                </c:pt>
                <c:pt idx="82">
                  <c:v>3.36457261544084E22</c:v>
                </c:pt>
                <c:pt idx="83">
                  <c:v>3.36457261544084E22</c:v>
                </c:pt>
                <c:pt idx="84">
                  <c:v>3.36457261544084E22</c:v>
                </c:pt>
                <c:pt idx="85">
                  <c:v>3.36457261544084E22</c:v>
                </c:pt>
                <c:pt idx="86">
                  <c:v>3.36457261544084E22</c:v>
                </c:pt>
                <c:pt idx="87">
                  <c:v>3.36457261544084E22</c:v>
                </c:pt>
                <c:pt idx="88">
                  <c:v>3.36457261544084E22</c:v>
                </c:pt>
                <c:pt idx="89">
                  <c:v>3.36457261544084E22</c:v>
                </c:pt>
                <c:pt idx="90">
                  <c:v>3.36457261544084E22</c:v>
                </c:pt>
                <c:pt idx="91">
                  <c:v>3.36457261544084E22</c:v>
                </c:pt>
                <c:pt idx="92">
                  <c:v>3.36457261544084E22</c:v>
                </c:pt>
                <c:pt idx="93">
                  <c:v>3.36457261544084E22</c:v>
                </c:pt>
                <c:pt idx="94">
                  <c:v>3.36457261544084E22</c:v>
                </c:pt>
                <c:pt idx="95">
                  <c:v>3.36457261544084E22</c:v>
                </c:pt>
                <c:pt idx="96">
                  <c:v>3.36457261544084E22</c:v>
                </c:pt>
                <c:pt idx="97">
                  <c:v>3.36457261544084E22</c:v>
                </c:pt>
                <c:pt idx="98">
                  <c:v>3.36457261544084E22</c:v>
                </c:pt>
                <c:pt idx="99">
                  <c:v>3.36457261544084E22</c:v>
                </c:pt>
              </c:numCache>
            </c:numRef>
          </c:val>
          <c:smooth val="0"/>
          <c:extLst xmlns:c16r2="http://schemas.microsoft.com/office/drawing/2015/06/chart">
            <c:ext xmlns:c16="http://schemas.microsoft.com/office/drawing/2014/chart" uri="{C3380CC4-5D6E-409C-BE32-E72D297353CC}">
              <c16:uniqueId val="{00000003-48B7-4886-8127-0BAA05598C27}"/>
            </c:ext>
          </c:extLst>
        </c:ser>
        <c:dLbls>
          <c:showLegendKey val="0"/>
          <c:showVal val="0"/>
          <c:showCatName val="0"/>
          <c:showSerName val="0"/>
          <c:showPercent val="0"/>
          <c:showBubbleSize val="0"/>
        </c:dLbls>
        <c:marker val="1"/>
        <c:smooth val="0"/>
        <c:axId val="-445180048"/>
        <c:axId val="-445177568"/>
      </c:lineChart>
      <c:catAx>
        <c:axId val="-445180048"/>
        <c:scaling>
          <c:orientation val="minMax"/>
        </c:scaling>
        <c:delete val="0"/>
        <c:axPos val="b"/>
        <c:majorTickMark val="none"/>
        <c:minorTickMark val="none"/>
        <c:tickLblPos val="low"/>
        <c:spPr>
          <a:noFill/>
          <a:ln w="1587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5177568"/>
        <c:crosses val="autoZero"/>
        <c:auto val="1"/>
        <c:lblAlgn val="ctr"/>
        <c:lblOffset val="100"/>
        <c:noMultiLvlLbl val="0"/>
      </c:catAx>
      <c:valAx>
        <c:axId val="-44517756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5180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Change in Spend by Cost Percentile From Current Plan to</a:t>
            </a:r>
            <a:r>
              <a:rPr lang="en-US" sz="2000" b="1" baseline="0"/>
              <a:t> Bind Plan</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1"/>
          <c:tx>
            <c:v>Change in Payroll</c:v>
          </c:tx>
          <c:spPr>
            <a:solidFill>
              <a:srgbClr val="FEB84C"/>
            </a:solidFill>
            <a:ln>
              <a:noFill/>
            </a:ln>
            <a:effectLst/>
          </c:spPr>
          <c:invertIfNegative val="0"/>
          <c:val>
            <c:numRef>
              <c:f>'HRA Graphing Data'!$W$9:$W$108</c:f>
              <c:numCache>
                <c:formatCode>_(* #,##0_);_(* \(#,##0\);_(* "-"??_);_(@_)</c:formatCode>
                <c:ptCount val="100"/>
                <c:pt idx="0">
                  <c:v>1315.933486957957</c:v>
                </c:pt>
                <c:pt idx="1">
                  <c:v>1315.933486957957</c:v>
                </c:pt>
                <c:pt idx="2">
                  <c:v>1315.933486957957</c:v>
                </c:pt>
                <c:pt idx="3">
                  <c:v>1315.933486957957</c:v>
                </c:pt>
                <c:pt idx="4">
                  <c:v>1315.933486957957</c:v>
                </c:pt>
                <c:pt idx="5">
                  <c:v>1315.933486957957</c:v>
                </c:pt>
                <c:pt idx="6">
                  <c:v>1315.933486957957</c:v>
                </c:pt>
                <c:pt idx="7">
                  <c:v>1315.933486957957</c:v>
                </c:pt>
                <c:pt idx="8">
                  <c:v>1315.933486957957</c:v>
                </c:pt>
                <c:pt idx="9">
                  <c:v>1315.933486957957</c:v>
                </c:pt>
                <c:pt idx="10">
                  <c:v>1315.933486957957</c:v>
                </c:pt>
                <c:pt idx="11">
                  <c:v>1315.933486957957</c:v>
                </c:pt>
                <c:pt idx="12">
                  <c:v>1315.933486957957</c:v>
                </c:pt>
                <c:pt idx="13">
                  <c:v>1315.933486957957</c:v>
                </c:pt>
                <c:pt idx="14">
                  <c:v>1315.933486957957</c:v>
                </c:pt>
                <c:pt idx="15">
                  <c:v>1315.933486957957</c:v>
                </c:pt>
                <c:pt idx="16">
                  <c:v>1315.933486957957</c:v>
                </c:pt>
                <c:pt idx="17">
                  <c:v>1315.933486957957</c:v>
                </c:pt>
                <c:pt idx="18">
                  <c:v>1315.933486957957</c:v>
                </c:pt>
                <c:pt idx="19">
                  <c:v>1315.933486957957</c:v>
                </c:pt>
                <c:pt idx="20">
                  <c:v>1315.933486957957</c:v>
                </c:pt>
                <c:pt idx="21">
                  <c:v>1323.379451301881</c:v>
                </c:pt>
                <c:pt idx="22">
                  <c:v>1308.068874540006</c:v>
                </c:pt>
                <c:pt idx="23">
                  <c:v>1314.270336742829</c:v>
                </c:pt>
                <c:pt idx="24">
                  <c:v>1312.631114056654</c:v>
                </c:pt>
                <c:pt idx="25">
                  <c:v>1309.821489348291</c:v>
                </c:pt>
                <c:pt idx="26">
                  <c:v>1307.46808165686</c:v>
                </c:pt>
                <c:pt idx="27">
                  <c:v>1307.780437166553</c:v>
                </c:pt>
                <c:pt idx="28">
                  <c:v>1307.213349273748</c:v>
                </c:pt>
                <c:pt idx="29">
                  <c:v>1307.376646575995</c:v>
                </c:pt>
                <c:pt idx="30">
                  <c:v>1307.468074952281</c:v>
                </c:pt>
                <c:pt idx="31">
                  <c:v>1307.256563043447</c:v>
                </c:pt>
                <c:pt idx="32">
                  <c:v>1307.632607585634</c:v>
                </c:pt>
                <c:pt idx="33">
                  <c:v>1307.716931998407</c:v>
                </c:pt>
                <c:pt idx="34">
                  <c:v>1308.561077601312</c:v>
                </c:pt>
                <c:pt idx="35">
                  <c:v>1307.711449198726</c:v>
                </c:pt>
                <c:pt idx="36">
                  <c:v>1307.12772556389</c:v>
                </c:pt>
                <c:pt idx="37">
                  <c:v>1306.05205716792</c:v>
                </c:pt>
                <c:pt idx="38">
                  <c:v>1304.123577162746</c:v>
                </c:pt>
                <c:pt idx="39">
                  <c:v>1302.886365090043</c:v>
                </c:pt>
                <c:pt idx="40">
                  <c:v>1301.398882881645</c:v>
                </c:pt>
                <c:pt idx="41">
                  <c:v>1299.238462131633</c:v>
                </c:pt>
                <c:pt idx="42">
                  <c:v>1298.073053494276</c:v>
                </c:pt>
                <c:pt idx="43">
                  <c:v>1295.032340772185</c:v>
                </c:pt>
                <c:pt idx="44">
                  <c:v>1292.116831061529</c:v>
                </c:pt>
                <c:pt idx="45">
                  <c:v>1289.635558683585</c:v>
                </c:pt>
                <c:pt idx="46">
                  <c:v>1286.397050447011</c:v>
                </c:pt>
                <c:pt idx="47">
                  <c:v>1282.785357369461</c:v>
                </c:pt>
                <c:pt idx="48">
                  <c:v>1279.475678002087</c:v>
                </c:pt>
                <c:pt idx="49">
                  <c:v>1276.078054597368</c:v>
                </c:pt>
                <c:pt idx="50">
                  <c:v>1268.893295094696</c:v>
                </c:pt>
                <c:pt idx="51">
                  <c:v>1263.898040061145</c:v>
                </c:pt>
                <c:pt idx="52">
                  <c:v>1259.80544326374</c:v>
                </c:pt>
                <c:pt idx="53">
                  <c:v>1255.407265102059</c:v>
                </c:pt>
                <c:pt idx="54">
                  <c:v>1248.642712822867</c:v>
                </c:pt>
                <c:pt idx="55">
                  <c:v>1241.09749295648</c:v>
                </c:pt>
                <c:pt idx="56">
                  <c:v>1230.475102466739</c:v>
                </c:pt>
                <c:pt idx="57">
                  <c:v>1224.135145866588</c:v>
                </c:pt>
                <c:pt idx="58">
                  <c:v>1217.408669423922</c:v>
                </c:pt>
                <c:pt idx="59">
                  <c:v>1205.78393319623</c:v>
                </c:pt>
                <c:pt idx="60">
                  <c:v>1193.398417167</c:v>
                </c:pt>
                <c:pt idx="61">
                  <c:v>1181.213835498281</c:v>
                </c:pt>
                <c:pt idx="62">
                  <c:v>1168.008748325786</c:v>
                </c:pt>
                <c:pt idx="63">
                  <c:v>1156.621290428394</c:v>
                </c:pt>
                <c:pt idx="64">
                  <c:v>1140.889160314689</c:v>
                </c:pt>
                <c:pt idx="65">
                  <c:v>1128.205702660428</c:v>
                </c:pt>
                <c:pt idx="66">
                  <c:v>1116.741574224255</c:v>
                </c:pt>
                <c:pt idx="67">
                  <c:v>1098.291774338183</c:v>
                </c:pt>
                <c:pt idx="68">
                  <c:v>1076.862715912442</c:v>
                </c:pt>
                <c:pt idx="69">
                  <c:v>1057.899556949321</c:v>
                </c:pt>
                <c:pt idx="70">
                  <c:v>1033.829338349393</c:v>
                </c:pt>
                <c:pt idx="71">
                  <c:v>1009.568613445021</c:v>
                </c:pt>
                <c:pt idx="72">
                  <c:v>987.9957569015597</c:v>
                </c:pt>
                <c:pt idx="73">
                  <c:v>959.6562505652498</c:v>
                </c:pt>
                <c:pt idx="74">
                  <c:v>929.960383492021</c:v>
                </c:pt>
                <c:pt idx="75">
                  <c:v>894.4708942475715</c:v>
                </c:pt>
                <c:pt idx="76">
                  <c:v>862.0860710116512</c:v>
                </c:pt>
                <c:pt idx="77">
                  <c:v>822.4257931918978</c:v>
                </c:pt>
                <c:pt idx="78">
                  <c:v>778.0325269423241</c:v>
                </c:pt>
                <c:pt idx="79">
                  <c:v>731.5726616850388</c:v>
                </c:pt>
                <c:pt idx="80">
                  <c:v>685.0152372800376</c:v>
                </c:pt>
                <c:pt idx="81">
                  <c:v>621.489028878309</c:v>
                </c:pt>
                <c:pt idx="82">
                  <c:v>569.4097906436597</c:v>
                </c:pt>
                <c:pt idx="83">
                  <c:v>487.147594035411</c:v>
                </c:pt>
                <c:pt idx="84">
                  <c:v>404.1678356680213</c:v>
                </c:pt>
                <c:pt idx="85">
                  <c:v>303.9889632364825</c:v>
                </c:pt>
                <c:pt idx="86">
                  <c:v>174.4221505078352</c:v>
                </c:pt>
                <c:pt idx="87">
                  <c:v>53.5286306045864</c:v>
                </c:pt>
                <c:pt idx="88">
                  <c:v>-154.6696815894775</c:v>
                </c:pt>
                <c:pt idx="89">
                  <c:v>-418.0013282919515</c:v>
                </c:pt>
                <c:pt idx="90">
                  <c:v>-776.9934412801267</c:v>
                </c:pt>
                <c:pt idx="91">
                  <c:v>-1274.894603234443</c:v>
                </c:pt>
                <c:pt idx="92">
                  <c:v>-1945.842899913467</c:v>
                </c:pt>
                <c:pt idx="93">
                  <c:v>-2757.856961756074</c:v>
                </c:pt>
                <c:pt idx="94">
                  <c:v>-3871.549520035636</c:v>
                </c:pt>
                <c:pt idx="95">
                  <c:v>-4172.327390167925</c:v>
                </c:pt>
                <c:pt idx="96">
                  <c:v>-4172.327390167925</c:v>
                </c:pt>
                <c:pt idx="97">
                  <c:v>-4172.327390167925</c:v>
                </c:pt>
                <c:pt idx="98">
                  <c:v>-4172.327390167925</c:v>
                </c:pt>
                <c:pt idx="99">
                  <c:v>-4172.327390167925</c:v>
                </c:pt>
              </c:numCache>
            </c:numRef>
          </c:val>
          <c:extLst xmlns:c16r2="http://schemas.microsoft.com/office/drawing/2015/06/chart">
            <c:ext xmlns:c16="http://schemas.microsoft.com/office/drawing/2014/chart" uri="{C3380CC4-5D6E-409C-BE32-E72D297353CC}">
              <c16:uniqueId val="{00000000-CB4F-4D68-B4F8-707C01705E8D}"/>
            </c:ext>
          </c:extLst>
        </c:ser>
        <c:ser>
          <c:idx val="3"/>
          <c:order val="2"/>
          <c:tx>
            <c:v>Change in Copay</c:v>
          </c:tx>
          <c:spPr>
            <a:solidFill>
              <a:srgbClr val="FF5025"/>
            </a:solidFill>
            <a:ln>
              <a:noFill/>
            </a:ln>
            <a:effectLst/>
          </c:spPr>
          <c:invertIfNegative val="0"/>
          <c:val>
            <c:numRef>
              <c:f>'HRA Graphing Data'!$X$9:$X$108</c:f>
              <c:numCache>
                <c:formatCode>_(* #,##0_);_(* \(#,##0\);_(* "-"??_);_(@_)</c:formatCode>
                <c:ptCount val="100"/>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-71.91165824628296</c:v>
                </c:pt>
                <c:pt idx="22">
                  <c:v>-215.3059031558964</c:v>
                </c:pt>
                <c:pt idx="23">
                  <c:v>-191.4420969661788</c:v>
                </c:pt>
                <c:pt idx="24">
                  <c:v>-202.5449457758602</c:v>
                </c:pt>
                <c:pt idx="25">
                  <c:v>-218.8354543602869</c:v>
                </c:pt>
                <c:pt idx="26">
                  <c:v>-224.9686592378229</c:v>
                </c:pt>
                <c:pt idx="27">
                  <c:v>-236.7996532708869</c:v>
                </c:pt>
                <c:pt idx="28">
                  <c:v>-249.0666637863381</c:v>
                </c:pt>
                <c:pt idx="29">
                  <c:v>-255.6752426393268</c:v>
                </c:pt>
                <c:pt idx="30">
                  <c:v>-261.5621444802294</c:v>
                </c:pt>
                <c:pt idx="31">
                  <c:v>-274.1436478854645</c:v>
                </c:pt>
                <c:pt idx="32">
                  <c:v>-280.3607282822119</c:v>
                </c:pt>
                <c:pt idx="33">
                  <c:v>-286.6918229123487</c:v>
                </c:pt>
                <c:pt idx="34">
                  <c:v>-298.2608258819518</c:v>
                </c:pt>
                <c:pt idx="35">
                  <c:v>-309.6175267796123</c:v>
                </c:pt>
                <c:pt idx="36">
                  <c:v>-324.7097272940478</c:v>
                </c:pt>
                <c:pt idx="37">
                  <c:v>-329.2180412122633</c:v>
                </c:pt>
                <c:pt idx="38">
                  <c:v>-342.5962495016807</c:v>
                </c:pt>
                <c:pt idx="39">
                  <c:v>-355.0945804115398</c:v>
                </c:pt>
                <c:pt idx="40">
                  <c:v>-365.3667269200728</c:v>
                </c:pt>
                <c:pt idx="41">
                  <c:v>-372.587318399054</c:v>
                </c:pt>
                <c:pt idx="42">
                  <c:v>-383.1572043136892</c:v>
                </c:pt>
                <c:pt idx="43">
                  <c:v>-399.7667001207792</c:v>
                </c:pt>
                <c:pt idx="44">
                  <c:v>-408.8346735744595</c:v>
                </c:pt>
                <c:pt idx="45">
                  <c:v>-419.5929038047986</c:v>
                </c:pt>
                <c:pt idx="46">
                  <c:v>-435.5178454023218</c:v>
                </c:pt>
                <c:pt idx="47">
                  <c:v>-450.1211154345318</c:v>
                </c:pt>
                <c:pt idx="48">
                  <c:v>-461.5426143117902</c:v>
                </c:pt>
                <c:pt idx="49">
                  <c:v>-472.8994284561019</c:v>
                </c:pt>
                <c:pt idx="50">
                  <c:v>-484.7594028781654</c:v>
                </c:pt>
                <c:pt idx="51">
                  <c:v>-496.9634002738093</c:v>
                </c:pt>
                <c:pt idx="52">
                  <c:v>-512.363202204659</c:v>
                </c:pt>
                <c:pt idx="53">
                  <c:v>-523.9722457361507</c:v>
                </c:pt>
                <c:pt idx="54">
                  <c:v>-525.6641185796477</c:v>
                </c:pt>
                <c:pt idx="55">
                  <c:v>-537.9244850810243</c:v>
                </c:pt>
                <c:pt idx="56">
                  <c:v>-557.850327420574</c:v>
                </c:pt>
                <c:pt idx="57">
                  <c:v>-574.931111208141</c:v>
                </c:pt>
                <c:pt idx="58">
                  <c:v>-584.8514815416401</c:v>
                </c:pt>
                <c:pt idx="59">
                  <c:v>-594.8321266760356</c:v>
                </c:pt>
                <c:pt idx="60">
                  <c:v>-614.6850245361492</c:v>
                </c:pt>
                <c:pt idx="61">
                  <c:v>-633.316880745288</c:v>
                </c:pt>
                <c:pt idx="62">
                  <c:v>-647.1958130734007</c:v>
                </c:pt>
                <c:pt idx="63">
                  <c:v>-653.937932204826</c:v>
                </c:pt>
                <c:pt idx="64">
                  <c:v>-674.6625132454432</c:v>
                </c:pt>
                <c:pt idx="65">
                  <c:v>-685.4117393082668</c:v>
                </c:pt>
                <c:pt idx="66">
                  <c:v>-694.589455534547</c:v>
                </c:pt>
                <c:pt idx="67">
                  <c:v>-725.7627946427857</c:v>
                </c:pt>
                <c:pt idx="68">
                  <c:v>-735.1266326912847</c:v>
                </c:pt>
                <c:pt idx="69">
                  <c:v>-749.1677489636531</c:v>
                </c:pt>
                <c:pt idx="70">
                  <c:v>-764.7652351315663</c:v>
                </c:pt>
                <c:pt idx="71">
                  <c:v>-773.4350747129899</c:v>
                </c:pt>
                <c:pt idx="72">
                  <c:v>-798.3376574276249</c:v>
                </c:pt>
                <c:pt idx="73">
                  <c:v>-812.571456926638</c:v>
                </c:pt>
                <c:pt idx="74">
                  <c:v>-828.5339425507842</c:v>
                </c:pt>
                <c:pt idx="75">
                  <c:v>-841.664138592936</c:v>
                </c:pt>
                <c:pt idx="76">
                  <c:v>-849.8575350166304</c:v>
                </c:pt>
                <c:pt idx="77">
                  <c:v>-877.8463152259417</c:v>
                </c:pt>
                <c:pt idx="78">
                  <c:v>-877.586878125693</c:v>
                </c:pt>
                <c:pt idx="79">
                  <c:v>-894.3721442315264</c:v>
                </c:pt>
                <c:pt idx="80">
                  <c:v>-897.6998964324368</c:v>
                </c:pt>
                <c:pt idx="81">
                  <c:v>-896.6755472481227</c:v>
                </c:pt>
                <c:pt idx="82">
                  <c:v>-909.1216802309796</c:v>
                </c:pt>
                <c:pt idx="83">
                  <c:v>-885.4268935347802</c:v>
                </c:pt>
                <c:pt idx="84">
                  <c:v>-862.2096100194085</c:v>
                </c:pt>
                <c:pt idx="85">
                  <c:v>-862.5420895072282</c:v>
                </c:pt>
                <c:pt idx="86">
                  <c:v>-833.0641526640774</c:v>
                </c:pt>
                <c:pt idx="87">
                  <c:v>-779.6651464958741</c:v>
                </c:pt>
                <c:pt idx="88">
                  <c:v>-689.3243246427662</c:v>
                </c:pt>
                <c:pt idx="89">
                  <c:v>-629.688252036845</c:v>
                </c:pt>
                <c:pt idx="90">
                  <c:v>-467.1063479446802</c:v>
                </c:pt>
                <c:pt idx="91">
                  <c:v>-289.059442879257</c:v>
                </c:pt>
                <c:pt idx="92">
                  <c:v>-58.48957500787265</c:v>
                </c:pt>
                <c:pt idx="93">
                  <c:v>250.2780704225488</c:v>
                </c:pt>
                <c:pt idx="94">
                  <c:v>624.710330527841</c:v>
                </c:pt>
                <c:pt idx="95">
                  <c:v>316.091805334423</c:v>
                </c:pt>
                <c:pt idx="96">
                  <c:v>0.0</c:v>
                </c:pt>
                <c:pt idx="97">
                  <c:v>0.0</c:v>
                </c:pt>
                <c:pt idx="98">
                  <c:v>0.0</c:v>
                </c:pt>
                <c:pt idx="99">
                  <c:v>0.0</c:v>
                </c:pt>
              </c:numCache>
            </c:numRef>
          </c:val>
          <c:extLst xmlns:c16r2="http://schemas.microsoft.com/office/drawing/2015/06/chart">
            <c:ext xmlns:c16="http://schemas.microsoft.com/office/drawing/2014/chart" uri="{C3380CC4-5D6E-409C-BE32-E72D297353CC}">
              <c16:uniqueId val="{00000001-CB4F-4D68-B4F8-707C01705E8D}"/>
            </c:ext>
          </c:extLst>
        </c:ser>
        <c:dLbls>
          <c:showLegendKey val="0"/>
          <c:showVal val="0"/>
          <c:showCatName val="0"/>
          <c:showSerName val="0"/>
          <c:showPercent val="0"/>
          <c:showBubbleSize val="0"/>
        </c:dLbls>
        <c:gapWidth val="50"/>
        <c:overlap val="100"/>
        <c:axId val="-445149488"/>
        <c:axId val="-445146736"/>
      </c:barChart>
      <c:lineChart>
        <c:grouping val="stacked"/>
        <c:varyColors val="0"/>
        <c:ser>
          <c:idx val="2"/>
          <c:order val="0"/>
          <c:tx>
            <c:v>Change in Total OOP</c:v>
          </c:tx>
          <c:spPr>
            <a:ln w="44450" cap="rnd">
              <a:solidFill>
                <a:srgbClr val="A9218E"/>
              </a:solidFill>
              <a:round/>
            </a:ln>
            <a:effectLst/>
          </c:spPr>
          <c:marker>
            <c:symbol val="none"/>
          </c:marker>
          <c:cat>
            <c:numRef>
              <c:f>'HRA Graphing Data'!$AF$9:$AF$108</c:f>
              <c:numCache>
                <c:formatCode>General</c:formatCode>
                <c:ptCount val="100"/>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numCache>
            </c:numRef>
          </c:cat>
          <c:val>
            <c:numRef>
              <c:f>'HRA Graphing Data'!$Y$9:$Y$108</c:f>
              <c:numCache>
                <c:formatCode>_(* #,##0_);_(* \(#,##0\);_(* "-"??_);_(@_)</c:formatCode>
                <c:ptCount val="100"/>
                <c:pt idx="0">
                  <c:v>1315.933486957957</c:v>
                </c:pt>
                <c:pt idx="1">
                  <c:v>1315.933486957957</c:v>
                </c:pt>
                <c:pt idx="2">
                  <c:v>1315.933486957957</c:v>
                </c:pt>
                <c:pt idx="3">
                  <c:v>1315.933486957957</c:v>
                </c:pt>
                <c:pt idx="4">
                  <c:v>1315.933486957957</c:v>
                </c:pt>
                <c:pt idx="5">
                  <c:v>1315.933486957957</c:v>
                </c:pt>
                <c:pt idx="6">
                  <c:v>1315.933486957957</c:v>
                </c:pt>
                <c:pt idx="7">
                  <c:v>1315.933486957957</c:v>
                </c:pt>
                <c:pt idx="8">
                  <c:v>1315.933486957957</c:v>
                </c:pt>
                <c:pt idx="9">
                  <c:v>1315.933486957957</c:v>
                </c:pt>
                <c:pt idx="10">
                  <c:v>1315.933486957957</c:v>
                </c:pt>
                <c:pt idx="11">
                  <c:v>1315.933486957957</c:v>
                </c:pt>
                <c:pt idx="12">
                  <c:v>1315.933486957957</c:v>
                </c:pt>
                <c:pt idx="13">
                  <c:v>1315.933486957957</c:v>
                </c:pt>
                <c:pt idx="14">
                  <c:v>1315.933486957957</c:v>
                </c:pt>
                <c:pt idx="15">
                  <c:v>1315.933486957957</c:v>
                </c:pt>
                <c:pt idx="16">
                  <c:v>1315.933486957957</c:v>
                </c:pt>
                <c:pt idx="17">
                  <c:v>1315.933486957957</c:v>
                </c:pt>
                <c:pt idx="18">
                  <c:v>1315.933486957957</c:v>
                </c:pt>
                <c:pt idx="19">
                  <c:v>1315.933486957957</c:v>
                </c:pt>
                <c:pt idx="20">
                  <c:v>1315.933486957957</c:v>
                </c:pt>
                <c:pt idx="21">
                  <c:v>1251.467793055598</c:v>
                </c:pt>
                <c:pt idx="22">
                  <c:v>1092.76297138411</c:v>
                </c:pt>
                <c:pt idx="23">
                  <c:v>1122.82823977665</c:v>
                </c:pt>
                <c:pt idx="24">
                  <c:v>1110.086168280794</c:v>
                </c:pt>
                <c:pt idx="25">
                  <c:v>1090.986034988004</c:v>
                </c:pt>
                <c:pt idx="26">
                  <c:v>1082.499422419037</c:v>
                </c:pt>
                <c:pt idx="27">
                  <c:v>1070.980783895666</c:v>
                </c:pt>
                <c:pt idx="28">
                  <c:v>1058.14668548741</c:v>
                </c:pt>
                <c:pt idx="29">
                  <c:v>1051.701403936669</c:v>
                </c:pt>
                <c:pt idx="30">
                  <c:v>1045.905930472051</c:v>
                </c:pt>
                <c:pt idx="31">
                  <c:v>1033.112915157982</c:v>
                </c:pt>
                <c:pt idx="32">
                  <c:v>1027.271879303422</c:v>
                </c:pt>
                <c:pt idx="33">
                  <c:v>1021.025109086058</c:v>
                </c:pt>
                <c:pt idx="34">
                  <c:v>1010.300251719361</c:v>
                </c:pt>
                <c:pt idx="35">
                  <c:v>998.093922419114</c:v>
                </c:pt>
                <c:pt idx="36">
                  <c:v>982.4179982698424</c:v>
                </c:pt>
                <c:pt idx="37">
                  <c:v>976.834015955657</c:v>
                </c:pt>
                <c:pt idx="38">
                  <c:v>961.5273276610648</c:v>
                </c:pt>
                <c:pt idx="39">
                  <c:v>947.7917846785027</c:v>
                </c:pt>
                <c:pt idx="40">
                  <c:v>936.0321559615718</c:v>
                </c:pt>
                <c:pt idx="41">
                  <c:v>926.6511437325793</c:v>
                </c:pt>
                <c:pt idx="42">
                  <c:v>914.9158491805872</c:v>
                </c:pt>
                <c:pt idx="43">
                  <c:v>895.2656406514061</c:v>
                </c:pt>
                <c:pt idx="44">
                  <c:v>883.2821574870695</c:v>
                </c:pt>
                <c:pt idx="45">
                  <c:v>870.0426548787864</c:v>
                </c:pt>
                <c:pt idx="46">
                  <c:v>850.8792050446888</c:v>
                </c:pt>
                <c:pt idx="47">
                  <c:v>832.6642419349294</c:v>
                </c:pt>
                <c:pt idx="48">
                  <c:v>817.9330636902966</c:v>
                </c:pt>
                <c:pt idx="49">
                  <c:v>803.1786261412662</c:v>
                </c:pt>
                <c:pt idx="50">
                  <c:v>784.133892216531</c:v>
                </c:pt>
                <c:pt idx="51">
                  <c:v>766.9346397873358</c:v>
                </c:pt>
                <c:pt idx="52">
                  <c:v>747.4422410590801</c:v>
                </c:pt>
                <c:pt idx="53">
                  <c:v>731.435019365908</c:v>
                </c:pt>
                <c:pt idx="54">
                  <c:v>722.9785942432197</c:v>
                </c:pt>
                <c:pt idx="55">
                  <c:v>703.173007875456</c:v>
                </c:pt>
                <c:pt idx="56">
                  <c:v>672.624775046165</c:v>
                </c:pt>
                <c:pt idx="57">
                  <c:v>649.2040346584467</c:v>
                </c:pt>
                <c:pt idx="58">
                  <c:v>632.5571878822816</c:v>
                </c:pt>
                <c:pt idx="59">
                  <c:v>610.9518065201934</c:v>
                </c:pt>
                <c:pt idx="60">
                  <c:v>578.7133926308506</c:v>
                </c:pt>
                <c:pt idx="61">
                  <c:v>547.8969547529927</c:v>
                </c:pt>
                <c:pt idx="62">
                  <c:v>520.8129352523857</c:v>
                </c:pt>
                <c:pt idx="63">
                  <c:v>502.6833582235679</c:v>
                </c:pt>
                <c:pt idx="64">
                  <c:v>466.2266470692463</c:v>
                </c:pt>
                <c:pt idx="65">
                  <c:v>442.7939633521609</c:v>
                </c:pt>
                <c:pt idx="66">
                  <c:v>422.1521186897084</c:v>
                </c:pt>
                <c:pt idx="67">
                  <c:v>372.528979695397</c:v>
                </c:pt>
                <c:pt idx="68">
                  <c:v>341.7360832211572</c:v>
                </c:pt>
                <c:pt idx="69">
                  <c:v>308.7318079856682</c:v>
                </c:pt>
                <c:pt idx="70">
                  <c:v>269.064103217827</c:v>
                </c:pt>
                <c:pt idx="71">
                  <c:v>236.1335387320315</c:v>
                </c:pt>
                <c:pt idx="72">
                  <c:v>189.6580994739348</c:v>
                </c:pt>
                <c:pt idx="73">
                  <c:v>147.0847936386117</c:v>
                </c:pt>
                <c:pt idx="74">
                  <c:v>101.4264409412368</c:v>
                </c:pt>
                <c:pt idx="75">
                  <c:v>52.80675565463559</c:v>
                </c:pt>
                <c:pt idx="76">
                  <c:v>12.22853599502082</c:v>
                </c:pt>
                <c:pt idx="77">
                  <c:v>-55.42052203404387</c:v>
                </c:pt>
                <c:pt idx="78">
                  <c:v>-99.55435118336879</c:v>
                </c:pt>
                <c:pt idx="79">
                  <c:v>-162.7994825464876</c:v>
                </c:pt>
                <c:pt idx="80">
                  <c:v>-212.6846591523993</c:v>
                </c:pt>
                <c:pt idx="81">
                  <c:v>-275.1865183698137</c:v>
                </c:pt>
                <c:pt idx="82">
                  <c:v>-339.7118895873198</c:v>
                </c:pt>
                <c:pt idx="83">
                  <c:v>-398.2792994993692</c:v>
                </c:pt>
                <c:pt idx="84">
                  <c:v>-458.0417743513872</c:v>
                </c:pt>
                <c:pt idx="85">
                  <c:v>-558.5531262707457</c:v>
                </c:pt>
                <c:pt idx="86">
                  <c:v>-658.6420021562422</c:v>
                </c:pt>
                <c:pt idx="87">
                  <c:v>-726.1365158912877</c:v>
                </c:pt>
                <c:pt idx="88">
                  <c:v>-843.9940062322437</c:v>
                </c:pt>
                <c:pt idx="89">
                  <c:v>-1047.689580328796</c:v>
                </c:pt>
                <c:pt idx="90">
                  <c:v>-1244.099789224807</c:v>
                </c:pt>
                <c:pt idx="91">
                  <c:v>-1563.9540461137</c:v>
                </c:pt>
                <c:pt idx="92">
                  <c:v>-2004.33247492134</c:v>
                </c:pt>
                <c:pt idx="93">
                  <c:v>-2507.578891333525</c:v>
                </c:pt>
                <c:pt idx="94">
                  <c:v>-3246.839189507795</c:v>
                </c:pt>
                <c:pt idx="95">
                  <c:v>-3856.235584833502</c:v>
                </c:pt>
                <c:pt idx="96">
                  <c:v>-4172.327390167925</c:v>
                </c:pt>
                <c:pt idx="97">
                  <c:v>-4172.327390167925</c:v>
                </c:pt>
                <c:pt idx="98">
                  <c:v>-4172.327390167925</c:v>
                </c:pt>
                <c:pt idx="99">
                  <c:v>-4172.327390167925</c:v>
                </c:pt>
              </c:numCache>
            </c:numRef>
          </c:val>
          <c:smooth val="0"/>
          <c:extLst xmlns:c16r2="http://schemas.microsoft.com/office/drawing/2015/06/chart">
            <c:ext xmlns:c16="http://schemas.microsoft.com/office/drawing/2014/chart" uri="{C3380CC4-5D6E-409C-BE32-E72D297353CC}">
              <c16:uniqueId val="{00000002-CB4F-4D68-B4F8-707C01705E8D}"/>
            </c:ext>
          </c:extLst>
        </c:ser>
        <c:dLbls>
          <c:showLegendKey val="0"/>
          <c:showVal val="0"/>
          <c:showCatName val="0"/>
          <c:showSerName val="0"/>
          <c:showPercent val="0"/>
          <c:showBubbleSize val="0"/>
        </c:dLbls>
        <c:marker val="1"/>
        <c:smooth val="0"/>
        <c:axId val="-445149488"/>
        <c:axId val="-445146736"/>
      </c:lineChart>
      <c:catAx>
        <c:axId val="-445149488"/>
        <c:scaling>
          <c:orientation val="minMax"/>
        </c:scaling>
        <c:delete val="0"/>
        <c:axPos val="b"/>
        <c:majorTickMark val="none"/>
        <c:minorTickMark val="none"/>
        <c:tickLblPos val="low"/>
        <c:spPr>
          <a:noFill/>
          <a:ln w="15875" cap="flat" cmpd="sng" algn="ctr">
            <a:solidFill>
              <a:schemeClr val="tx1"/>
            </a:solidFill>
            <a:round/>
          </a:ln>
          <a:effectLst/>
        </c:spPr>
        <c:txPr>
          <a:bodyPr rot="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5146736"/>
        <c:crosses val="autoZero"/>
        <c:auto val="1"/>
        <c:lblAlgn val="ctr"/>
        <c:lblOffset val="100"/>
        <c:tickLblSkip val="10"/>
        <c:noMultiLvlLbl val="0"/>
      </c:catAx>
      <c:valAx>
        <c:axId val="-445146736"/>
        <c:scaling>
          <c:orientation val="minMax"/>
          <c:min val="-4000.0"/>
        </c:scaling>
        <c:delete val="0"/>
        <c:axPos val="l"/>
        <c:numFmt formatCode="&quot;$&quot;#,##0_);\(&quot;$&quot;#,##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45149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Change in Payroll</c:v>
          </c:tx>
          <c:spPr>
            <a:solidFill>
              <a:schemeClr val="accent3"/>
            </a:solidFill>
            <a:ln>
              <a:noFill/>
            </a:ln>
            <a:effectLst/>
          </c:spPr>
          <c:invertIfNegative val="0"/>
          <c:cat>
            <c:numRef>
              <c:f>'HRA Graphing Data'!$A$93:$A$108</c:f>
              <c:numCache>
                <c:formatCode>General</c:formatCode>
                <c:ptCount val="16"/>
                <c:pt idx="0">
                  <c:v>85.0</c:v>
                </c:pt>
                <c:pt idx="1">
                  <c:v>86.0</c:v>
                </c:pt>
                <c:pt idx="2">
                  <c:v>87.0</c:v>
                </c:pt>
                <c:pt idx="3">
                  <c:v>88.0</c:v>
                </c:pt>
                <c:pt idx="4">
                  <c:v>89.0</c:v>
                </c:pt>
                <c:pt idx="5">
                  <c:v>90.0</c:v>
                </c:pt>
                <c:pt idx="6">
                  <c:v>91.0</c:v>
                </c:pt>
                <c:pt idx="7">
                  <c:v>92.0</c:v>
                </c:pt>
                <c:pt idx="8">
                  <c:v>93.0</c:v>
                </c:pt>
                <c:pt idx="9">
                  <c:v>94.0</c:v>
                </c:pt>
                <c:pt idx="10">
                  <c:v>95.0</c:v>
                </c:pt>
                <c:pt idx="11">
                  <c:v>96.0</c:v>
                </c:pt>
                <c:pt idx="12">
                  <c:v>97.0</c:v>
                </c:pt>
                <c:pt idx="13">
                  <c:v>98.0</c:v>
                </c:pt>
                <c:pt idx="14">
                  <c:v>99.0</c:v>
                </c:pt>
                <c:pt idx="15">
                  <c:v>100.0</c:v>
                </c:pt>
              </c:numCache>
            </c:numRef>
          </c:cat>
          <c:val>
            <c:numRef>
              <c:f>'HRA Graphing Data'!$W$93:$W$108</c:f>
              <c:numCache>
                <c:formatCode>_(* #,##0_);_(* \(#,##0\);_(* "-"??_);_(@_)</c:formatCode>
                <c:ptCount val="16"/>
                <c:pt idx="0">
                  <c:v>404.1678356680213</c:v>
                </c:pt>
                <c:pt idx="1">
                  <c:v>303.9889632364825</c:v>
                </c:pt>
                <c:pt idx="2">
                  <c:v>174.4221505078352</c:v>
                </c:pt>
                <c:pt idx="3">
                  <c:v>53.5286306045864</c:v>
                </c:pt>
                <c:pt idx="4">
                  <c:v>-154.6696815894775</c:v>
                </c:pt>
                <c:pt idx="5">
                  <c:v>-418.0013282919515</c:v>
                </c:pt>
                <c:pt idx="6">
                  <c:v>-776.9934412801267</c:v>
                </c:pt>
                <c:pt idx="7">
                  <c:v>-1274.894603234443</c:v>
                </c:pt>
                <c:pt idx="8">
                  <c:v>-1945.842899913467</c:v>
                </c:pt>
                <c:pt idx="9">
                  <c:v>-2757.856961756074</c:v>
                </c:pt>
                <c:pt idx="10">
                  <c:v>-3871.549520035636</c:v>
                </c:pt>
                <c:pt idx="11">
                  <c:v>-4172.327390167925</c:v>
                </c:pt>
                <c:pt idx="12">
                  <c:v>-4172.327390167925</c:v>
                </c:pt>
                <c:pt idx="13">
                  <c:v>-4172.327390167925</c:v>
                </c:pt>
                <c:pt idx="14">
                  <c:v>-4172.327390167925</c:v>
                </c:pt>
                <c:pt idx="15">
                  <c:v>-4172.327390167925</c:v>
                </c:pt>
              </c:numCache>
            </c:numRef>
          </c:val>
          <c:extLst xmlns:c16r2="http://schemas.microsoft.com/office/drawing/2015/06/chart">
            <c:ext xmlns:c16="http://schemas.microsoft.com/office/drawing/2014/chart" uri="{C3380CC4-5D6E-409C-BE32-E72D297353CC}">
              <c16:uniqueId val="{00000000-F81B-4F09-B785-C213F330965B}"/>
            </c:ext>
          </c:extLst>
        </c:ser>
        <c:ser>
          <c:idx val="3"/>
          <c:order val="1"/>
          <c:tx>
            <c:v>Change in Copay</c:v>
          </c:tx>
          <c:spPr>
            <a:solidFill>
              <a:schemeClr val="accent2"/>
            </a:solidFill>
            <a:ln>
              <a:noFill/>
            </a:ln>
            <a:effectLst/>
          </c:spPr>
          <c:invertIfNegative val="0"/>
          <c:cat>
            <c:numRef>
              <c:f>'HRA Graphing Data'!$A$93:$A$108</c:f>
              <c:numCache>
                <c:formatCode>General</c:formatCode>
                <c:ptCount val="16"/>
                <c:pt idx="0">
                  <c:v>85.0</c:v>
                </c:pt>
                <c:pt idx="1">
                  <c:v>86.0</c:v>
                </c:pt>
                <c:pt idx="2">
                  <c:v>87.0</c:v>
                </c:pt>
                <c:pt idx="3">
                  <c:v>88.0</c:v>
                </c:pt>
                <c:pt idx="4">
                  <c:v>89.0</c:v>
                </c:pt>
                <c:pt idx="5">
                  <c:v>90.0</c:v>
                </c:pt>
                <c:pt idx="6">
                  <c:v>91.0</c:v>
                </c:pt>
                <c:pt idx="7">
                  <c:v>92.0</c:v>
                </c:pt>
                <c:pt idx="8">
                  <c:v>93.0</c:v>
                </c:pt>
                <c:pt idx="9">
                  <c:v>94.0</c:v>
                </c:pt>
                <c:pt idx="10">
                  <c:v>95.0</c:v>
                </c:pt>
                <c:pt idx="11">
                  <c:v>96.0</c:v>
                </c:pt>
                <c:pt idx="12">
                  <c:v>97.0</c:v>
                </c:pt>
                <c:pt idx="13">
                  <c:v>98.0</c:v>
                </c:pt>
                <c:pt idx="14">
                  <c:v>99.0</c:v>
                </c:pt>
                <c:pt idx="15">
                  <c:v>100.0</c:v>
                </c:pt>
              </c:numCache>
            </c:numRef>
          </c:cat>
          <c:val>
            <c:numRef>
              <c:f>'HRA Graphing Data'!$X$93:$X$108</c:f>
              <c:numCache>
                <c:formatCode>_(* #,##0_);_(* \(#,##0\);_(* "-"??_);_(@_)</c:formatCode>
                <c:ptCount val="16"/>
                <c:pt idx="0">
                  <c:v>-862.2096100194085</c:v>
                </c:pt>
                <c:pt idx="1">
                  <c:v>-862.5420895072282</c:v>
                </c:pt>
                <c:pt idx="2">
                  <c:v>-833.0641526640774</c:v>
                </c:pt>
                <c:pt idx="3">
                  <c:v>-779.6651464958741</c:v>
                </c:pt>
                <c:pt idx="4">
                  <c:v>-689.3243246427662</c:v>
                </c:pt>
                <c:pt idx="5">
                  <c:v>-629.688252036845</c:v>
                </c:pt>
                <c:pt idx="6">
                  <c:v>-467.1063479446802</c:v>
                </c:pt>
                <c:pt idx="7">
                  <c:v>-289.059442879257</c:v>
                </c:pt>
                <c:pt idx="8">
                  <c:v>-58.48957500787265</c:v>
                </c:pt>
                <c:pt idx="9">
                  <c:v>250.2780704225488</c:v>
                </c:pt>
                <c:pt idx="10">
                  <c:v>624.710330527841</c:v>
                </c:pt>
                <c:pt idx="11">
                  <c:v>316.091805334423</c:v>
                </c:pt>
                <c:pt idx="12">
                  <c:v>0.0</c:v>
                </c:pt>
                <c:pt idx="13">
                  <c:v>0.0</c:v>
                </c:pt>
                <c:pt idx="14">
                  <c:v>0.0</c:v>
                </c:pt>
                <c:pt idx="15">
                  <c:v>0.0</c:v>
                </c:pt>
              </c:numCache>
            </c:numRef>
          </c:val>
          <c:extLst xmlns:c16r2="http://schemas.microsoft.com/office/drawing/2015/06/chart">
            <c:ext xmlns:c16="http://schemas.microsoft.com/office/drawing/2014/chart" uri="{C3380CC4-5D6E-409C-BE32-E72D297353CC}">
              <c16:uniqueId val="{00000001-F81B-4F09-B785-C213F330965B}"/>
            </c:ext>
          </c:extLst>
        </c:ser>
        <c:ser>
          <c:idx val="1"/>
          <c:order val="2"/>
          <c:tx>
            <c:strRef>
              <c:f>'HRA Graphing Data'!$G$8</c:f>
              <c:strCache>
                <c:ptCount val="1"/>
                <c:pt idx="0">
                  <c:v> Remainder in HRA </c:v>
                </c:pt>
              </c:strCache>
            </c:strRef>
          </c:tx>
          <c:spPr>
            <a:solidFill>
              <a:schemeClr val="accent2">
                <a:lumMod val="75000"/>
              </a:schemeClr>
            </a:solidFill>
            <a:ln>
              <a:noFill/>
            </a:ln>
            <a:effectLst/>
          </c:spPr>
          <c:invertIfNegative val="0"/>
          <c:cat>
            <c:numRef>
              <c:f>'HRA Graphing Data'!$A$93:$A$108</c:f>
              <c:numCache>
                <c:formatCode>General</c:formatCode>
                <c:ptCount val="16"/>
                <c:pt idx="0">
                  <c:v>85.0</c:v>
                </c:pt>
                <c:pt idx="1">
                  <c:v>86.0</c:v>
                </c:pt>
                <c:pt idx="2">
                  <c:v>87.0</c:v>
                </c:pt>
                <c:pt idx="3">
                  <c:v>88.0</c:v>
                </c:pt>
                <c:pt idx="4">
                  <c:v>89.0</c:v>
                </c:pt>
                <c:pt idx="5">
                  <c:v>90.0</c:v>
                </c:pt>
                <c:pt idx="6">
                  <c:v>91.0</c:v>
                </c:pt>
                <c:pt idx="7">
                  <c:v>92.0</c:v>
                </c:pt>
                <c:pt idx="8">
                  <c:v>93.0</c:v>
                </c:pt>
                <c:pt idx="9">
                  <c:v>94.0</c:v>
                </c:pt>
                <c:pt idx="10">
                  <c:v>95.0</c:v>
                </c:pt>
                <c:pt idx="11">
                  <c:v>96.0</c:v>
                </c:pt>
                <c:pt idx="12">
                  <c:v>97.0</c:v>
                </c:pt>
                <c:pt idx="13">
                  <c:v>98.0</c:v>
                </c:pt>
                <c:pt idx="14">
                  <c:v>99.0</c:v>
                </c:pt>
                <c:pt idx="15">
                  <c:v>100.0</c:v>
                </c:pt>
              </c:numCache>
            </c:numRef>
          </c:cat>
          <c:val>
            <c:numRef>
              <c:f>'HRA Graphing Data'!$Z$93:$Z$108</c:f>
              <c:numCache>
                <c:formatCode>_(* #,##0_);_(* \(#,##0\);_(* "-"??_);_(@_)</c:formatCode>
                <c:ptCount val="16"/>
                <c:pt idx="0">
                  <c:v>3.36457261544084E22</c:v>
                </c:pt>
                <c:pt idx="1">
                  <c:v>3.36457261544084E22</c:v>
                </c:pt>
                <c:pt idx="2">
                  <c:v>3.36457261544084E22</c:v>
                </c:pt>
                <c:pt idx="3">
                  <c:v>3.36457261544084E22</c:v>
                </c:pt>
                <c:pt idx="4">
                  <c:v>3.36457261544084E22</c:v>
                </c:pt>
                <c:pt idx="5">
                  <c:v>3.36457261544084E22</c:v>
                </c:pt>
                <c:pt idx="6">
                  <c:v>3.36457261544084E22</c:v>
                </c:pt>
                <c:pt idx="7">
                  <c:v>3.36457261544084E22</c:v>
                </c:pt>
                <c:pt idx="8">
                  <c:v>3.36457261544084E22</c:v>
                </c:pt>
                <c:pt idx="9">
                  <c:v>3.36457261544084E22</c:v>
                </c:pt>
                <c:pt idx="10">
                  <c:v>3.36457261544084E22</c:v>
                </c:pt>
                <c:pt idx="11">
                  <c:v>3.36457261544084E22</c:v>
                </c:pt>
                <c:pt idx="12">
                  <c:v>3.36457261544084E22</c:v>
                </c:pt>
                <c:pt idx="13">
                  <c:v>3.36457261544084E22</c:v>
                </c:pt>
                <c:pt idx="14">
                  <c:v>3.36457261544084E22</c:v>
                </c:pt>
                <c:pt idx="15">
                  <c:v>3.36457261544084E22</c:v>
                </c:pt>
              </c:numCache>
            </c:numRef>
          </c:val>
          <c:extLst xmlns:c16r2="http://schemas.microsoft.com/office/drawing/2015/06/chart">
            <c:ext xmlns:c16="http://schemas.microsoft.com/office/drawing/2014/chart" uri="{C3380CC4-5D6E-409C-BE32-E72D297353CC}">
              <c16:uniqueId val="{00000002-F81B-4F09-B785-C213F330965B}"/>
            </c:ext>
          </c:extLst>
        </c:ser>
        <c:dLbls>
          <c:showLegendKey val="0"/>
          <c:showVal val="0"/>
          <c:showCatName val="0"/>
          <c:showSerName val="0"/>
          <c:showPercent val="0"/>
          <c:showBubbleSize val="0"/>
        </c:dLbls>
        <c:gapWidth val="150"/>
        <c:overlap val="100"/>
        <c:axId val="-445111664"/>
        <c:axId val="-445108912"/>
      </c:barChart>
      <c:catAx>
        <c:axId val="-445111664"/>
        <c:scaling>
          <c:orientation val="minMax"/>
        </c:scaling>
        <c:delete val="1"/>
        <c:axPos val="b"/>
        <c:numFmt formatCode="General" sourceLinked="0"/>
        <c:majorTickMark val="none"/>
        <c:minorTickMark val="none"/>
        <c:tickLblPos val="low"/>
        <c:crossAx val="-445108912"/>
        <c:crosses val="autoZero"/>
        <c:auto val="1"/>
        <c:lblAlgn val="ctr"/>
        <c:lblOffset val="100"/>
        <c:noMultiLvlLbl val="0"/>
      </c:catAx>
      <c:valAx>
        <c:axId val="-445108912"/>
        <c:scaling>
          <c:orientation val="minMax"/>
        </c:scaling>
        <c:delete val="0"/>
        <c:axPos val="l"/>
        <c:numFmt formatCode="&quot;$&quot;#,##0_);\(&quot;$&quot;#,##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5111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10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Differences</a:t>
            </a:r>
            <a:r>
              <a:rPr lang="en-US" baseline="0"/>
              <a:t> in Spend From HDHP to BIND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'Employer Summary'!$A$2</c:f>
              <c:strCache>
                <c:ptCount val="1"/>
                <c:pt idx="0">
                  <c:v>Employer</c:v>
                </c:pt>
              </c:strCache>
            </c:strRef>
          </c:tx>
          <c:spPr>
            <a:solidFill>
              <a:schemeClr val="accent1"/>
            </a:solidFill>
            <a:ln>
              <a:noFill/>
            </a:ln>
            <a:effectLst/>
          </c:spPr>
          <c:invertIfNegative val="0"/>
          <c:cat>
            <c:strRef>
              <c:f>'Employer Summary'!$B$1:$C$1</c:f>
              <c:strCache>
                <c:ptCount val="2"/>
                <c:pt idx="0">
                  <c:v>Current HDHP Plan</c:v>
                </c:pt>
                <c:pt idx="1">
                  <c:v>Bind ODHI Plan</c:v>
                </c:pt>
              </c:strCache>
            </c:strRef>
          </c:cat>
          <c:val>
            <c:numRef>
              <c:f>'Employer Summary'!$B$2:$C$2</c:f>
              <c:numCache>
                <c:formatCode>_(* #,##0.00_);_(* \(#,##0.00\);_(* "-"??_);_(@_)</c:formatCode>
                <c:ptCount val="2"/>
                <c:pt idx="0">
                  <c:v>485.2898435318129</c:v>
                </c:pt>
                <c:pt idx="1">
                  <c:v>-2.80381051286736E21</c:v>
                </c:pt>
              </c:numCache>
            </c:numRef>
          </c:val>
          <c:extLst xmlns:c16r2="http://schemas.microsoft.com/office/drawing/2015/06/chart">
            <c:ext xmlns:c16="http://schemas.microsoft.com/office/drawing/2014/chart" uri="{C3380CC4-5D6E-409C-BE32-E72D297353CC}">
              <c16:uniqueId val="{00000000-4D1C-4831-8C36-B1CAC9470768}"/>
            </c:ext>
          </c:extLst>
        </c:ser>
        <c:ser>
          <c:idx val="1"/>
          <c:order val="1"/>
          <c:tx>
            <c:strRef>
              <c:f>'Employer Summary'!$A$3</c:f>
              <c:strCache>
                <c:ptCount val="1"/>
                <c:pt idx="0">
                  <c:v>Employer HRA</c:v>
                </c:pt>
              </c:strCache>
            </c:strRef>
          </c:tx>
          <c:spPr>
            <a:solidFill>
              <a:schemeClr val="accent2"/>
            </a:solidFill>
            <a:ln>
              <a:noFill/>
            </a:ln>
            <a:effectLst/>
          </c:spPr>
          <c:invertIfNegative val="0"/>
          <c:cat>
            <c:strRef>
              <c:f>'Employer Summary'!$B$1:$C$1</c:f>
              <c:strCache>
                <c:ptCount val="2"/>
                <c:pt idx="0">
                  <c:v>Current HDHP Plan</c:v>
                </c:pt>
                <c:pt idx="1">
                  <c:v>Bind ODHI Plan</c:v>
                </c:pt>
              </c:strCache>
            </c:strRef>
          </c:cat>
          <c:val>
            <c:numRef>
              <c:f>'Employer Summary'!$B$3:$C$3</c:f>
              <c:numCache>
                <c:formatCode>_(* #,##0.00_);_(* \(#,##0.00\);_(* "-"??_);_(@_)</c:formatCode>
                <c:ptCount val="2"/>
                <c:pt idx="0">
                  <c:v>0.0</c:v>
                </c:pt>
                <c:pt idx="1">
                  <c:v>23.16286386593102</c:v>
                </c:pt>
              </c:numCache>
            </c:numRef>
          </c:val>
          <c:extLst xmlns:c16r2="http://schemas.microsoft.com/office/drawing/2015/06/chart">
            <c:ext xmlns:c16="http://schemas.microsoft.com/office/drawing/2014/chart" uri="{C3380CC4-5D6E-409C-BE32-E72D297353CC}">
              <c16:uniqueId val="{00000001-4D1C-4831-8C36-B1CAC9470768}"/>
            </c:ext>
          </c:extLst>
        </c:ser>
        <c:ser>
          <c:idx val="2"/>
          <c:order val="2"/>
          <c:tx>
            <c:strRef>
              <c:f>'Employer Summary'!$A$4</c:f>
              <c:strCache>
                <c:ptCount val="1"/>
                <c:pt idx="0">
                  <c:v>Employee Remaining HRA</c:v>
                </c:pt>
              </c:strCache>
            </c:strRef>
          </c:tx>
          <c:spPr>
            <a:solidFill>
              <a:schemeClr val="accent3"/>
            </a:solidFill>
            <a:ln>
              <a:noFill/>
            </a:ln>
            <a:effectLst/>
          </c:spPr>
          <c:invertIfNegative val="0"/>
          <c:cat>
            <c:strRef>
              <c:f>'Employer Summary'!$B$1:$C$1</c:f>
              <c:strCache>
                <c:ptCount val="2"/>
                <c:pt idx="0">
                  <c:v>Current HDHP Plan</c:v>
                </c:pt>
                <c:pt idx="1">
                  <c:v>Bind ODHI Plan</c:v>
                </c:pt>
              </c:strCache>
            </c:strRef>
          </c:cat>
          <c:val>
            <c:numRef>
              <c:f>'Employer Summary'!$B$4:$C$4</c:f>
              <c:numCache>
                <c:formatCode>_(* #,##0.00_);_(* \(#,##0.00\);_(* "-"??_);_(@_)</c:formatCode>
                <c:ptCount val="2"/>
                <c:pt idx="0">
                  <c:v>0.0</c:v>
                </c:pt>
                <c:pt idx="1">
                  <c:v>2.80381051286737E21</c:v>
                </c:pt>
              </c:numCache>
            </c:numRef>
          </c:val>
          <c:extLst xmlns:c16r2="http://schemas.microsoft.com/office/drawing/2015/06/chart">
            <c:ext xmlns:c16="http://schemas.microsoft.com/office/drawing/2014/chart" uri="{C3380CC4-5D6E-409C-BE32-E72D297353CC}">
              <c16:uniqueId val="{00000002-4D1C-4831-8C36-B1CAC9470768}"/>
            </c:ext>
          </c:extLst>
        </c:ser>
        <c:ser>
          <c:idx val="3"/>
          <c:order val="3"/>
          <c:tx>
            <c:strRef>
              <c:f>'Employer Summary'!$A$5</c:f>
              <c:strCache>
                <c:ptCount val="1"/>
                <c:pt idx="0">
                  <c:v>Employee Base Payroll</c:v>
                </c:pt>
              </c:strCache>
            </c:strRef>
          </c:tx>
          <c:spPr>
            <a:solidFill>
              <a:schemeClr val="accent4"/>
            </a:solidFill>
            <a:ln>
              <a:noFill/>
            </a:ln>
            <a:effectLst/>
          </c:spPr>
          <c:invertIfNegative val="0"/>
          <c:cat>
            <c:strRef>
              <c:f>'Employer Summary'!$B$1:$C$1</c:f>
              <c:strCache>
                <c:ptCount val="2"/>
                <c:pt idx="0">
                  <c:v>Current HDHP Plan</c:v>
                </c:pt>
                <c:pt idx="1">
                  <c:v>Bind ODHI Plan</c:v>
                </c:pt>
              </c:strCache>
            </c:strRef>
          </c:cat>
          <c:val>
            <c:numRef>
              <c:f>'Employer Summary'!$B$5:$C$5</c:f>
              <c:numCache>
                <c:formatCode>_(* #,##0.00_);_(* \(#,##0.00\);_(* "-"??_);_(@_)</c:formatCode>
                <c:ptCount val="2"/>
                <c:pt idx="0">
                  <c:v>85.63938415267285</c:v>
                </c:pt>
                <c:pt idx="1">
                  <c:v>-24.02173976049016</c:v>
                </c:pt>
              </c:numCache>
            </c:numRef>
          </c:val>
          <c:extLst xmlns:c16r2="http://schemas.microsoft.com/office/drawing/2015/06/chart">
            <c:ext xmlns:c16="http://schemas.microsoft.com/office/drawing/2014/chart" uri="{C3380CC4-5D6E-409C-BE32-E72D297353CC}">
              <c16:uniqueId val="{00000003-4D1C-4831-8C36-B1CAC9470768}"/>
            </c:ext>
          </c:extLst>
        </c:ser>
        <c:ser>
          <c:idx val="4"/>
          <c:order val="4"/>
          <c:tx>
            <c:strRef>
              <c:f>'Employer Summary'!$A$6</c:f>
              <c:strCache>
                <c:ptCount val="1"/>
                <c:pt idx="0">
                  <c:v>Employee Other Payroll</c:v>
                </c:pt>
              </c:strCache>
            </c:strRef>
          </c:tx>
          <c:spPr>
            <a:solidFill>
              <a:schemeClr val="accent5"/>
            </a:solidFill>
            <a:ln>
              <a:noFill/>
            </a:ln>
            <a:effectLst/>
          </c:spPr>
          <c:invertIfNegative val="0"/>
          <c:cat>
            <c:strRef>
              <c:f>'Employer Summary'!$B$1:$C$1</c:f>
              <c:strCache>
                <c:ptCount val="2"/>
                <c:pt idx="0">
                  <c:v>Current HDHP Plan</c:v>
                </c:pt>
                <c:pt idx="1">
                  <c:v>Bind ODHI Plan</c:v>
                </c:pt>
              </c:strCache>
            </c:strRef>
          </c:cat>
          <c:val>
            <c:numRef>
              <c:f>'Employer Summary'!$B$6:$C$6</c:f>
              <c:numCache>
                <c:formatCode>_(* #,##0.00_);_(* \(#,##0.00\);_(* "-"??_);_(@_)</c:formatCode>
                <c:ptCount val="2"/>
                <c:pt idx="0">
                  <c:v>0.0</c:v>
                </c:pt>
                <c:pt idx="1">
                  <c:v>98.39750580493915</c:v>
                </c:pt>
              </c:numCache>
            </c:numRef>
          </c:val>
          <c:extLst xmlns:c16r2="http://schemas.microsoft.com/office/drawing/2015/06/chart">
            <c:ext xmlns:c16="http://schemas.microsoft.com/office/drawing/2014/chart" uri="{C3380CC4-5D6E-409C-BE32-E72D297353CC}">
              <c16:uniqueId val="{00000004-4D1C-4831-8C36-B1CAC9470768}"/>
            </c:ext>
          </c:extLst>
        </c:ser>
        <c:ser>
          <c:idx val="5"/>
          <c:order val="5"/>
          <c:tx>
            <c:strRef>
              <c:f>'Employer Summary'!$A$7</c:f>
              <c:strCache>
                <c:ptCount val="1"/>
                <c:pt idx="0">
                  <c:v>Employee Copay</c:v>
                </c:pt>
              </c:strCache>
            </c:strRef>
          </c:tx>
          <c:spPr>
            <a:solidFill>
              <a:schemeClr val="accent6"/>
            </a:solidFill>
            <a:ln>
              <a:noFill/>
            </a:ln>
            <a:effectLst/>
          </c:spPr>
          <c:invertIfNegative val="0"/>
          <c:cat>
            <c:strRef>
              <c:f>'Employer Summary'!$B$1:$C$1</c:f>
              <c:strCache>
                <c:ptCount val="2"/>
                <c:pt idx="0">
                  <c:v>Current HDHP Plan</c:v>
                </c:pt>
                <c:pt idx="1">
                  <c:v>Bind ODHI Plan</c:v>
                </c:pt>
              </c:strCache>
            </c:strRef>
          </c:cat>
          <c:val>
            <c:numRef>
              <c:f>'Employer Summary'!$B$7:$C$7</c:f>
              <c:numCache>
                <c:formatCode>_(* #,##0.00_);_(* \(#,##0.00\);_(* "-"??_);_(@_)</c:formatCode>
                <c:ptCount val="2"/>
                <c:pt idx="0">
                  <c:v>94.89281232231355</c:v>
                </c:pt>
                <c:pt idx="1">
                  <c:v>94.773284268238</c:v>
                </c:pt>
              </c:numCache>
            </c:numRef>
          </c:val>
          <c:extLst xmlns:c16r2="http://schemas.microsoft.com/office/drawing/2015/06/chart">
            <c:ext xmlns:c16="http://schemas.microsoft.com/office/drawing/2014/chart" uri="{C3380CC4-5D6E-409C-BE32-E72D297353CC}">
              <c16:uniqueId val="{00000005-4D1C-4831-8C36-B1CAC9470768}"/>
            </c:ext>
          </c:extLst>
        </c:ser>
        <c:dLbls>
          <c:showLegendKey val="0"/>
          <c:showVal val="0"/>
          <c:showCatName val="0"/>
          <c:showSerName val="0"/>
          <c:showPercent val="0"/>
          <c:showBubbleSize val="0"/>
        </c:dLbls>
        <c:gapWidth val="150"/>
        <c:overlap val="100"/>
        <c:axId val="-445064288"/>
        <c:axId val="-445061536"/>
      </c:barChart>
      <c:catAx>
        <c:axId val="-44506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61536"/>
        <c:crosses val="autoZero"/>
        <c:auto val="1"/>
        <c:lblAlgn val="ctr"/>
        <c:lblOffset val="100"/>
        <c:noMultiLvlLbl val="0"/>
      </c:catAx>
      <c:valAx>
        <c:axId val="-44506153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6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'Assumptions-Output Override'!$B$52</c:f>
              <c:strCache>
                <c:ptCount val="1"/>
                <c:pt idx="0">
                  <c:v>Total PMPM Current</c:v>
                </c:pt>
              </c:strCache>
            </c:strRef>
          </c:tx>
          <c:invertIfNegative val="0"/>
          <c:cat>
            <c:strRef>
              <c:f>'Assumptions-Output Override'!$D$58:$I$58</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Override'!$D$52:$I$52</c:f>
              <c:numCache>
                <c:formatCode>"$"#,##0.00</c:formatCode>
                <c:ptCount val="6"/>
                <c:pt idx="0">
                  <c:v>665.8220400067993</c:v>
                </c:pt>
                <c:pt idx="1">
                  <c:v>94.89281232231355</c:v>
                </c:pt>
                <c:pt idx="2">
                  <c:v>570.9292276844858</c:v>
                </c:pt>
                <c:pt idx="3">
                  <c:v>485.2898435318129</c:v>
                </c:pt>
                <c:pt idx="4">
                  <c:v>85.63938415267285</c:v>
                </c:pt>
                <c:pt idx="5">
                  <c:v>180.5321964749864</c:v>
                </c:pt>
              </c:numCache>
            </c:numRef>
          </c:val>
          <c:extLst xmlns:c16r2="http://schemas.microsoft.com/office/drawing/2015/06/chart">
            <c:ext xmlns:c16="http://schemas.microsoft.com/office/drawing/2014/chart" uri="{C3380CC4-5D6E-409C-BE32-E72D297353CC}">
              <c16:uniqueId val="{00000000-29D6-4116-971B-6634434D2267}"/>
            </c:ext>
          </c:extLst>
        </c:ser>
        <c:ser>
          <c:idx val="1"/>
          <c:order val="1"/>
          <c:tx>
            <c:strRef>
              <c:f>'Assumptions-Output Override'!$B$65</c:f>
              <c:strCache>
                <c:ptCount val="1"/>
                <c:pt idx="0">
                  <c:v>Total PMPM New</c:v>
                </c:pt>
              </c:strCache>
            </c:strRef>
          </c:tx>
          <c:invertIfNegative val="0"/>
          <c:cat>
            <c:strRef>
              <c:f>'Assumptions-Output Override'!$D$58:$I$58</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Override'!$D$65:$I$65</c:f>
              <c:numCache>
                <c:formatCode>"$"#,##0.00</c:formatCode>
                <c:ptCount val="6"/>
                <c:pt idx="0">
                  <c:v>630.7112619065626</c:v>
                </c:pt>
                <c:pt idx="1">
                  <c:v>101.5635371559675</c:v>
                </c:pt>
                <c:pt idx="2">
                  <c:v>529.1477247505951</c:v>
                </c:pt>
                <c:pt idx="3">
                  <c:v>440.5388535659482</c:v>
                </c:pt>
                <c:pt idx="4">
                  <c:v>88.60887118464699</c:v>
                </c:pt>
                <c:pt idx="5">
                  <c:v>190.1724083406145</c:v>
                </c:pt>
              </c:numCache>
            </c:numRef>
          </c:val>
          <c:extLst xmlns:c16r2="http://schemas.microsoft.com/office/drawing/2015/06/chart">
            <c:ext xmlns:c16="http://schemas.microsoft.com/office/drawing/2014/chart" uri="{C3380CC4-5D6E-409C-BE32-E72D297353CC}">
              <c16:uniqueId val="{00000001-29D6-4116-971B-6634434D2267}"/>
            </c:ext>
          </c:extLst>
        </c:ser>
        <c:dLbls>
          <c:showLegendKey val="0"/>
          <c:showVal val="0"/>
          <c:showCatName val="0"/>
          <c:showSerName val="0"/>
          <c:showPercent val="0"/>
          <c:showBubbleSize val="0"/>
        </c:dLbls>
        <c:gapWidth val="150"/>
        <c:axId val="-482985968"/>
        <c:axId val="-482983648"/>
      </c:barChart>
      <c:catAx>
        <c:axId val="-482985968"/>
        <c:scaling>
          <c:orientation val="minMax"/>
        </c:scaling>
        <c:delete val="0"/>
        <c:axPos val="b"/>
        <c:numFmt formatCode="General" sourceLinked="0"/>
        <c:majorTickMark val="out"/>
        <c:minorTickMark val="none"/>
        <c:tickLblPos val="nextTo"/>
        <c:crossAx val="-482983648"/>
        <c:crosses val="autoZero"/>
        <c:auto val="1"/>
        <c:lblAlgn val="ctr"/>
        <c:lblOffset val="100"/>
        <c:noMultiLvlLbl val="0"/>
      </c:catAx>
      <c:valAx>
        <c:axId val="-482983648"/>
        <c:scaling>
          <c:orientation val="minMax"/>
        </c:scaling>
        <c:delete val="0"/>
        <c:axPos val="l"/>
        <c:majorGridlines/>
        <c:numFmt formatCode="&quot;$&quot;#,##0.00" sourceLinked="1"/>
        <c:majorTickMark val="out"/>
        <c:minorTickMark val="none"/>
        <c:tickLblPos val="nextTo"/>
        <c:crossAx val="-482985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'Assumptions-Output Override'!$B$54</c:f>
              <c:strCache>
                <c:ptCount val="1"/>
                <c:pt idx="0">
                  <c:v>Total Cost Current</c:v>
                </c:pt>
              </c:strCache>
            </c:strRef>
          </c:tx>
          <c:invertIfNegative val="0"/>
          <c:cat>
            <c:strRef>
              <c:f>'Assumptions-Output Override'!$D$58:$I$58</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Override'!$D$54:$I$54</c:f>
              <c:numCache>
                <c:formatCode>"$"#,##0</c:formatCode>
                <c:ptCount val="6"/>
                <c:pt idx="0">
                  <c:v>8.92595700256795E7</c:v>
                </c:pt>
                <c:pt idx="1">
                  <c:v>1.27212545056795E7</c:v>
                </c:pt>
                <c:pt idx="2">
                  <c:v>7.653831552E7</c:v>
                </c:pt>
                <c:pt idx="3">
                  <c:v>6.5057568192E7</c:v>
                </c:pt>
                <c:pt idx="4">
                  <c:v>1.1480747328E7</c:v>
                </c:pt>
                <c:pt idx="5">
                  <c:v>2.42020018336795E7</c:v>
                </c:pt>
              </c:numCache>
            </c:numRef>
          </c:val>
          <c:extLst xmlns:c16r2="http://schemas.microsoft.com/office/drawing/2015/06/chart">
            <c:ext xmlns:c16="http://schemas.microsoft.com/office/drawing/2014/chart" uri="{C3380CC4-5D6E-409C-BE32-E72D297353CC}">
              <c16:uniqueId val="{00000000-1A22-4FC9-BBE1-79A15A5F8200}"/>
            </c:ext>
          </c:extLst>
        </c:ser>
        <c:ser>
          <c:idx val="1"/>
          <c:order val="1"/>
          <c:tx>
            <c:strRef>
              <c:f>'Assumptions-Output Override'!$B$67</c:f>
              <c:strCache>
                <c:ptCount val="1"/>
                <c:pt idx="0">
                  <c:v>Total Cost New</c:v>
                </c:pt>
              </c:strCache>
            </c:strRef>
          </c:tx>
          <c:invertIfNegative val="0"/>
          <c:cat>
            <c:strRef>
              <c:f>'Assumptions-Output Override'!$D$58:$I$58</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Override'!$D$67:$I$67</c:f>
              <c:numCache>
                <c:formatCode>"$"#,##0</c:formatCode>
                <c:ptCount val="6"/>
                <c:pt idx="0">
                  <c:v>8.45526472021842E7</c:v>
                </c:pt>
                <c:pt idx="1">
                  <c:v>1.36155265402993E7</c:v>
                </c:pt>
                <c:pt idx="2">
                  <c:v>7.0937120661885E7</c:v>
                </c:pt>
                <c:pt idx="3">
                  <c:v>5.90582862779682E7</c:v>
                </c:pt>
                <c:pt idx="4">
                  <c:v>1.18788343839168E7</c:v>
                </c:pt>
                <c:pt idx="5">
                  <c:v>2.54943609242161E7</c:v>
                </c:pt>
              </c:numCache>
            </c:numRef>
          </c:val>
          <c:extLst xmlns:c16r2="http://schemas.microsoft.com/office/drawing/2015/06/chart">
            <c:ext xmlns:c16="http://schemas.microsoft.com/office/drawing/2014/chart" uri="{C3380CC4-5D6E-409C-BE32-E72D297353CC}">
              <c16:uniqueId val="{00000001-1A22-4FC9-BBE1-79A15A5F8200}"/>
            </c:ext>
          </c:extLst>
        </c:ser>
        <c:dLbls>
          <c:showLegendKey val="0"/>
          <c:showVal val="0"/>
          <c:showCatName val="0"/>
          <c:showSerName val="0"/>
          <c:showPercent val="0"/>
          <c:showBubbleSize val="0"/>
        </c:dLbls>
        <c:gapWidth val="150"/>
        <c:axId val="-482957888"/>
        <c:axId val="-482955568"/>
      </c:barChart>
      <c:catAx>
        <c:axId val="-482957888"/>
        <c:scaling>
          <c:orientation val="minMax"/>
        </c:scaling>
        <c:delete val="0"/>
        <c:axPos val="b"/>
        <c:numFmt formatCode="General" sourceLinked="0"/>
        <c:majorTickMark val="out"/>
        <c:minorTickMark val="none"/>
        <c:tickLblPos val="low"/>
        <c:crossAx val="-482955568"/>
        <c:crosses val="autoZero"/>
        <c:auto val="1"/>
        <c:lblAlgn val="ctr"/>
        <c:lblOffset val="100"/>
        <c:noMultiLvlLbl val="0"/>
      </c:catAx>
      <c:valAx>
        <c:axId val="-482955568"/>
        <c:scaling>
          <c:orientation val="minMax"/>
        </c:scaling>
        <c:delete val="0"/>
        <c:axPos val="l"/>
        <c:majorGridlines/>
        <c:numFmt formatCode="&quot;$&quot;#,##0" sourceLinked="1"/>
        <c:majorTickMark val="out"/>
        <c:minorTickMark val="none"/>
        <c:tickLblPos val="nextTo"/>
        <c:crossAx val="-4829578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'Assumptions-Output Target'!$B$50</c:f>
              <c:strCache>
                <c:ptCount val="1"/>
                <c:pt idx="0">
                  <c:v>Total PMPM Current</c:v>
                </c:pt>
              </c:strCache>
            </c:strRef>
          </c:tx>
          <c:invertIfNegative val="0"/>
          <c:cat>
            <c:strRef>
              <c:f>'Assumptions-Output Target'!$D$56:$I$56</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Target'!$D$50,'Assumptions-Output Target'!$E$50,'Assumptions-Output Target'!$F$50,'Assumptions-Output Target'!$G$50,'Assumptions-Output Target'!$H$50,'Assumptions-Output Target'!$I$50)</c:f>
              <c:numCache>
                <c:formatCode>"$"#,##0.00</c:formatCode>
                <c:ptCount val="6"/>
                <c:pt idx="0">
                  <c:v>665.8220400067993</c:v>
                </c:pt>
                <c:pt idx="1">
                  <c:v>94.89281232231355</c:v>
                </c:pt>
                <c:pt idx="2">
                  <c:v>570.9292276844858</c:v>
                </c:pt>
                <c:pt idx="3">
                  <c:v>485.2898435318129</c:v>
                </c:pt>
                <c:pt idx="4">
                  <c:v>85.63938415267285</c:v>
                </c:pt>
                <c:pt idx="5">
                  <c:v>180.5321964749864</c:v>
                </c:pt>
              </c:numCache>
            </c:numRef>
          </c:val>
          <c:extLst xmlns:c16r2="http://schemas.microsoft.com/office/drawing/2015/06/chart">
            <c:ext xmlns:c16="http://schemas.microsoft.com/office/drawing/2014/chart" uri="{C3380CC4-5D6E-409C-BE32-E72D297353CC}">
              <c16:uniqueId val="{00000000-0F33-4D53-A942-D58AF5E90C1C}"/>
            </c:ext>
          </c:extLst>
        </c:ser>
        <c:ser>
          <c:idx val="1"/>
          <c:order val="1"/>
          <c:tx>
            <c:strRef>
              <c:f>'Assumptions-Output Target'!$B$63</c:f>
              <c:strCache>
                <c:ptCount val="1"/>
                <c:pt idx="0">
                  <c:v>Total PMPM New</c:v>
                </c:pt>
              </c:strCache>
            </c:strRef>
          </c:tx>
          <c:invertIfNegative val="0"/>
          <c:cat>
            <c:strRef>
              <c:f>'Assumptions-Output Target'!$D$56:$I$56</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Target'!$D$63,'Assumptions-Output Target'!$E$63,'Assumptions-Output Target'!$F$63,'Assumptions-Output Target'!$G$63,'Assumptions-Output Target'!$H$63,'Assumptions-Output Target'!$I$63)</c:f>
              <c:numCache>
                <c:formatCode>"$"#,##0.00</c:formatCode>
                <c:ptCount val="6"/>
                <c:pt idx="0">
                  <c:v>632.504482351325</c:v>
                </c:pt>
                <c:pt idx="1">
                  <c:v>99.14905427641706</c:v>
                </c:pt>
                <c:pt idx="2">
                  <c:v>533.3554280749079</c:v>
                </c:pt>
                <c:pt idx="3">
                  <c:v>444.115401391614</c:v>
                </c:pt>
                <c:pt idx="4">
                  <c:v>89.2400266832939</c:v>
                </c:pt>
                <c:pt idx="5">
                  <c:v>188.389080959711</c:v>
                </c:pt>
              </c:numCache>
            </c:numRef>
          </c:val>
          <c:extLst xmlns:c16r2="http://schemas.microsoft.com/office/drawing/2015/06/chart">
            <c:ext xmlns:c16="http://schemas.microsoft.com/office/drawing/2014/chart" uri="{C3380CC4-5D6E-409C-BE32-E72D297353CC}">
              <c16:uniqueId val="{00000001-0F33-4D53-A942-D58AF5E90C1C}"/>
            </c:ext>
          </c:extLst>
        </c:ser>
        <c:dLbls>
          <c:showLegendKey val="0"/>
          <c:showVal val="0"/>
          <c:showCatName val="0"/>
          <c:showSerName val="0"/>
          <c:showPercent val="0"/>
          <c:showBubbleSize val="0"/>
        </c:dLbls>
        <c:gapWidth val="150"/>
        <c:axId val="-482918320"/>
        <c:axId val="-482916000"/>
      </c:barChart>
      <c:catAx>
        <c:axId val="-482918320"/>
        <c:scaling>
          <c:orientation val="minMax"/>
        </c:scaling>
        <c:delete val="0"/>
        <c:axPos val="b"/>
        <c:numFmt formatCode="General" sourceLinked="0"/>
        <c:majorTickMark val="out"/>
        <c:minorTickMark val="none"/>
        <c:tickLblPos val="nextTo"/>
        <c:crossAx val="-482916000"/>
        <c:crosses val="autoZero"/>
        <c:auto val="1"/>
        <c:lblAlgn val="ctr"/>
        <c:lblOffset val="100"/>
        <c:noMultiLvlLbl val="0"/>
      </c:catAx>
      <c:valAx>
        <c:axId val="-482916000"/>
        <c:scaling>
          <c:orientation val="minMax"/>
        </c:scaling>
        <c:delete val="0"/>
        <c:axPos val="l"/>
        <c:majorGridlines/>
        <c:numFmt formatCode="&quot;$&quot;#,##0" sourceLinked="0"/>
        <c:majorTickMark val="out"/>
        <c:minorTickMark val="none"/>
        <c:tickLblPos val="nextTo"/>
        <c:crossAx val="-482918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'Assumptions-Output Target'!$B$52</c:f>
              <c:strCache>
                <c:ptCount val="1"/>
                <c:pt idx="0">
                  <c:v>Total Cost Current</c:v>
                </c:pt>
              </c:strCache>
            </c:strRef>
          </c:tx>
          <c:invertIfNegative val="0"/>
          <c:cat>
            <c:strRef>
              <c:f>'Assumptions-Output Target'!$D$56:$I$56</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Target'!$D$52:$I$52</c:f>
              <c:numCache>
                <c:formatCode>"$"#,##0</c:formatCode>
                <c:ptCount val="6"/>
                <c:pt idx="0">
                  <c:v>8.92595700256795E7</c:v>
                </c:pt>
                <c:pt idx="1">
                  <c:v>1.27212545056795E7</c:v>
                </c:pt>
                <c:pt idx="2">
                  <c:v>7.653831552E7</c:v>
                </c:pt>
                <c:pt idx="3">
                  <c:v>6.5057568192E7</c:v>
                </c:pt>
                <c:pt idx="4">
                  <c:v>1.1480747328E7</c:v>
                </c:pt>
                <c:pt idx="5">
                  <c:v>2.42020018336795E7</c:v>
                </c:pt>
              </c:numCache>
            </c:numRef>
          </c:val>
          <c:extLst xmlns:c16r2="http://schemas.microsoft.com/office/drawing/2015/06/chart">
            <c:ext xmlns:c16="http://schemas.microsoft.com/office/drawing/2014/chart" uri="{C3380CC4-5D6E-409C-BE32-E72D297353CC}">
              <c16:uniqueId val="{00000000-0E70-4ACC-B83E-FF2EA22196D3}"/>
            </c:ext>
          </c:extLst>
        </c:ser>
        <c:ser>
          <c:idx val="1"/>
          <c:order val="1"/>
          <c:tx>
            <c:strRef>
              <c:f>'Assumptions-Output Target'!$B$65</c:f>
              <c:strCache>
                <c:ptCount val="1"/>
                <c:pt idx="0">
                  <c:v>Total Cost New</c:v>
                </c:pt>
              </c:strCache>
            </c:strRef>
          </c:tx>
          <c:invertIfNegative val="0"/>
          <c:cat>
            <c:strRef>
              <c:f>'Assumptions-Output Target'!$D$56:$I$56</c:f>
              <c:strCache>
                <c:ptCount val="6"/>
                <c:pt idx="0">
                  <c:v>Total Allowed</c:v>
                </c:pt>
                <c:pt idx="1">
                  <c:v>EE Cost-Share</c:v>
                </c:pt>
                <c:pt idx="2">
                  <c:v>Plan Paid</c:v>
                </c:pt>
                <c:pt idx="3">
                  <c:v>ER Contribution</c:v>
                </c:pt>
                <c:pt idx="4">
                  <c:v>EE Contribution</c:v>
                </c:pt>
                <c:pt idx="5">
                  <c:v>EE Contribution + Cost Share</c:v>
                </c:pt>
              </c:strCache>
            </c:strRef>
          </c:cat>
          <c:val>
            <c:numRef>
              <c:f>'Assumptions-Output Target'!$D$65:$I$65</c:f>
              <c:numCache>
                <c:formatCode>"$"#,##0</c:formatCode>
                <c:ptCount val="6"/>
                <c:pt idx="0">
                  <c:v>8.47930449004327E7</c:v>
                </c:pt>
                <c:pt idx="1">
                  <c:v>1.3291842897053E7</c:v>
                </c:pt>
                <c:pt idx="2">
                  <c:v>7.15012020033797E7</c:v>
                </c:pt>
                <c:pt idx="3">
                  <c:v>5.95377554182387E7</c:v>
                </c:pt>
                <c:pt idx="4">
                  <c:v>1.1963446585141E7</c:v>
                </c:pt>
                <c:pt idx="5">
                  <c:v>2.52552894821941E7</c:v>
                </c:pt>
              </c:numCache>
            </c:numRef>
          </c:val>
          <c:extLst xmlns:c16r2="http://schemas.microsoft.com/office/drawing/2015/06/chart">
            <c:ext xmlns:c16="http://schemas.microsoft.com/office/drawing/2014/chart" uri="{C3380CC4-5D6E-409C-BE32-E72D297353CC}">
              <c16:uniqueId val="{00000001-0E70-4ACC-B83E-FF2EA22196D3}"/>
            </c:ext>
          </c:extLst>
        </c:ser>
        <c:dLbls>
          <c:showLegendKey val="0"/>
          <c:showVal val="0"/>
          <c:showCatName val="0"/>
          <c:showSerName val="0"/>
          <c:showPercent val="0"/>
          <c:showBubbleSize val="0"/>
        </c:dLbls>
        <c:gapWidth val="150"/>
        <c:axId val="-482891424"/>
        <c:axId val="-482889104"/>
      </c:barChart>
      <c:catAx>
        <c:axId val="-482891424"/>
        <c:scaling>
          <c:orientation val="minMax"/>
        </c:scaling>
        <c:delete val="0"/>
        <c:axPos val="b"/>
        <c:numFmt formatCode="General" sourceLinked="0"/>
        <c:majorTickMark val="out"/>
        <c:minorTickMark val="none"/>
        <c:tickLblPos val="low"/>
        <c:crossAx val="-482889104"/>
        <c:crosses val="autoZero"/>
        <c:auto val="1"/>
        <c:lblAlgn val="ctr"/>
        <c:lblOffset val="100"/>
        <c:noMultiLvlLbl val="0"/>
      </c:catAx>
      <c:valAx>
        <c:axId val="-482889104"/>
        <c:scaling>
          <c:orientation val="minMax"/>
        </c:scaling>
        <c:delete val="0"/>
        <c:axPos val="l"/>
        <c:majorGridlines/>
        <c:numFmt formatCode="&quot;$&quot;#,##0" sourceLinked="1"/>
        <c:majorTickMark val="out"/>
        <c:minorTickMark val="none"/>
        <c:tickLblPos val="nextTo"/>
        <c:crossAx val="-482891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Current Product</c:v>
          </c:tx>
          <c:invertIfNegative val="0"/>
          <c:val>
            <c:numRef>
              <c:f>'Winners-Losers Values PMPM'!$CJ$6:$CJ$105</c:f>
              <c:numCache>
                <c:formatCode>"$"#,##0.00</c:formatCode>
                <c:ptCount val="100"/>
                <c:pt idx="0">
                  <c:v>85.6393841526729</c:v>
                </c:pt>
                <c:pt idx="1">
                  <c:v>85.6393841526729</c:v>
                </c:pt>
                <c:pt idx="2">
                  <c:v>85.6393841526729</c:v>
                </c:pt>
                <c:pt idx="3">
                  <c:v>85.6393841526729</c:v>
                </c:pt>
                <c:pt idx="4">
                  <c:v>85.6393841526729</c:v>
                </c:pt>
                <c:pt idx="5">
                  <c:v>85.6393841526729</c:v>
                </c:pt>
                <c:pt idx="6">
                  <c:v>85.6393841526729</c:v>
                </c:pt>
                <c:pt idx="7">
                  <c:v>85.6393841526729</c:v>
                </c:pt>
                <c:pt idx="8">
                  <c:v>85.6393841526729</c:v>
                </c:pt>
                <c:pt idx="9">
                  <c:v>85.6393841526729</c:v>
                </c:pt>
                <c:pt idx="10">
                  <c:v>85.6393841526729</c:v>
                </c:pt>
                <c:pt idx="11">
                  <c:v>85.6393841526729</c:v>
                </c:pt>
                <c:pt idx="12">
                  <c:v>85.6393841526729</c:v>
                </c:pt>
                <c:pt idx="13">
                  <c:v>85.6393841526729</c:v>
                </c:pt>
                <c:pt idx="14">
                  <c:v>85.6393841526729</c:v>
                </c:pt>
                <c:pt idx="15">
                  <c:v>85.6393841526729</c:v>
                </c:pt>
                <c:pt idx="16">
                  <c:v>85.6393841526729</c:v>
                </c:pt>
                <c:pt idx="17">
                  <c:v>85.6393841526729</c:v>
                </c:pt>
                <c:pt idx="18">
                  <c:v>85.6393841526729</c:v>
                </c:pt>
                <c:pt idx="19">
                  <c:v>85.6393841526729</c:v>
                </c:pt>
                <c:pt idx="20">
                  <c:v>85.6393841526729</c:v>
                </c:pt>
                <c:pt idx="21">
                  <c:v>85.9499289458564</c:v>
                </c:pt>
                <c:pt idx="22">
                  <c:v>88.55515162326507</c:v>
                </c:pt>
                <c:pt idx="23">
                  <c:v>89.59502951757166</c:v>
                </c:pt>
                <c:pt idx="24">
                  <c:v>89.89750291103192</c:v>
                </c:pt>
                <c:pt idx="25">
                  <c:v>90.20396009200063</c:v>
                </c:pt>
                <c:pt idx="26">
                  <c:v>90.5179305522597</c:v>
                </c:pt>
                <c:pt idx="27">
                  <c:v>90.84458950838262</c:v>
                </c:pt>
                <c:pt idx="28">
                  <c:v>91.18915396415552</c:v>
                </c:pt>
                <c:pt idx="29">
                  <c:v>91.5471228353073</c:v>
                </c:pt>
                <c:pt idx="30">
                  <c:v>91.9194693356382</c:v>
                </c:pt>
                <c:pt idx="31">
                  <c:v>92.30271435881221</c:v>
                </c:pt>
                <c:pt idx="32">
                  <c:v>92.70321187080841</c:v>
                </c:pt>
                <c:pt idx="33">
                  <c:v>93.12166835456877</c:v>
                </c:pt>
                <c:pt idx="34">
                  <c:v>93.55407238230455</c:v>
                </c:pt>
                <c:pt idx="35">
                  <c:v>94.0101046232981</c:v>
                </c:pt>
                <c:pt idx="36">
                  <c:v>94.4806038221113</c:v>
                </c:pt>
                <c:pt idx="37">
                  <c:v>94.96471367995468</c:v>
                </c:pt>
                <c:pt idx="38">
                  <c:v>95.46638876071603</c:v>
                </c:pt>
                <c:pt idx="39">
                  <c:v>95.98549481315767</c:v>
                </c:pt>
                <c:pt idx="40">
                  <c:v>96.5247059418719</c:v>
                </c:pt>
                <c:pt idx="41">
                  <c:v>97.08749523950758</c:v>
                </c:pt>
                <c:pt idx="42">
                  <c:v>97.67573071743843</c:v>
                </c:pt>
                <c:pt idx="43">
                  <c:v>98.28942957908506</c:v>
                </c:pt>
                <c:pt idx="44">
                  <c:v>98.93536489607651</c:v>
                </c:pt>
                <c:pt idx="45">
                  <c:v>99.60657742236621</c:v>
                </c:pt>
                <c:pt idx="46">
                  <c:v>100.3033436349339</c:v>
                </c:pt>
                <c:pt idx="47">
                  <c:v>101.0296217363823</c:v>
                </c:pt>
                <c:pt idx="48">
                  <c:v>101.7932741805533</c:v>
                </c:pt>
                <c:pt idx="49">
                  <c:v>102.595229386201</c:v>
                </c:pt>
                <c:pt idx="50">
                  <c:v>103.4376909849181</c:v>
                </c:pt>
                <c:pt idx="51">
                  <c:v>104.3226994136016</c:v>
                </c:pt>
                <c:pt idx="52">
                  <c:v>105.2465008836759</c:v>
                </c:pt>
                <c:pt idx="53">
                  <c:v>106.2173649547867</c:v>
                </c:pt>
                <c:pt idx="54">
                  <c:v>107.2319142060777</c:v>
                </c:pt>
                <c:pt idx="55">
                  <c:v>108.2759508530929</c:v>
                </c:pt>
                <c:pt idx="56">
                  <c:v>109.3800199831403</c:v>
                </c:pt>
                <c:pt idx="57">
                  <c:v>110.5439134352839</c:v>
                </c:pt>
                <c:pt idx="58">
                  <c:v>111.7692510554443</c:v>
                </c:pt>
                <c:pt idx="59">
                  <c:v>113.0445617855376</c:v>
                </c:pt>
                <c:pt idx="60">
                  <c:v>114.3868463893031</c:v>
                </c:pt>
                <c:pt idx="61">
                  <c:v>115.8133716929949</c:v>
                </c:pt>
                <c:pt idx="62">
                  <c:v>117.3297751920353</c:v>
                </c:pt>
                <c:pt idx="63">
                  <c:v>118.9223895623634</c:v>
                </c:pt>
                <c:pt idx="64">
                  <c:v>120.5882626487161</c:v>
                </c:pt>
                <c:pt idx="65">
                  <c:v>122.3493788764333</c:v>
                </c:pt>
                <c:pt idx="66">
                  <c:v>124.2268258954607</c:v>
                </c:pt>
                <c:pt idx="67">
                  <c:v>126.2052631353208</c:v>
                </c:pt>
                <c:pt idx="68">
                  <c:v>128.306071378462</c:v>
                </c:pt>
                <c:pt idx="69">
                  <c:v>130.5480200463015</c:v>
                </c:pt>
                <c:pt idx="70">
                  <c:v>132.9417472110515</c:v>
                </c:pt>
                <c:pt idx="71">
                  <c:v>135.5008472108335</c:v>
                </c:pt>
                <c:pt idx="72">
                  <c:v>138.2168901268233</c:v>
                </c:pt>
                <c:pt idx="73">
                  <c:v>141.169962426643</c:v>
                </c:pt>
                <c:pt idx="74">
                  <c:v>144.3668982236966</c:v>
                </c:pt>
                <c:pt idx="75">
                  <c:v>147.8026240020374</c:v>
                </c:pt>
                <c:pt idx="76">
                  <c:v>151.5092268922024</c:v>
                </c:pt>
                <c:pt idx="77">
                  <c:v>155.51894480147</c:v>
                </c:pt>
                <c:pt idx="78">
                  <c:v>159.9005294055098</c:v>
                </c:pt>
                <c:pt idx="79">
                  <c:v>164.6611834322221</c:v>
                </c:pt>
                <c:pt idx="80">
                  <c:v>169.8905222829718</c:v>
                </c:pt>
                <c:pt idx="81">
                  <c:v>175.7312946809595</c:v>
                </c:pt>
                <c:pt idx="82">
                  <c:v>182.1884087705993</c:v>
                </c:pt>
                <c:pt idx="83">
                  <c:v>189.3888885787334</c:v>
                </c:pt>
                <c:pt idx="84">
                  <c:v>197.5190934753201</c:v>
                </c:pt>
                <c:pt idx="85">
                  <c:v>206.7618633195349</c:v>
                </c:pt>
                <c:pt idx="86">
                  <c:v>217.378356500444</c:v>
                </c:pt>
                <c:pt idx="87">
                  <c:v>229.6664155155683</c:v>
                </c:pt>
                <c:pt idx="88">
                  <c:v>244.0422419251831</c:v>
                </c:pt>
                <c:pt idx="89">
                  <c:v>261.2070462951888</c:v>
                </c:pt>
                <c:pt idx="90">
                  <c:v>281.7365019416968</c:v>
                </c:pt>
                <c:pt idx="91">
                  <c:v>306.4565197388583</c:v>
                </c:pt>
                <c:pt idx="92">
                  <c:v>336.7780984178669</c:v>
                </c:pt>
                <c:pt idx="93">
                  <c:v>374.9242600180895</c:v>
                </c:pt>
                <c:pt idx="94">
                  <c:v>424.3402889944326</c:v>
                </c:pt>
                <c:pt idx="95">
                  <c:v>493.0994880380927</c:v>
                </c:pt>
                <c:pt idx="96">
                  <c:v>594.8266113317443</c:v>
                </c:pt>
                <c:pt idx="97">
                  <c:v>763.5688666268732</c:v>
                </c:pt>
                <c:pt idx="98">
                  <c:v>1104.51044354578</c:v>
                </c:pt>
                <c:pt idx="99">
                  <c:v>2990.392859503522</c:v>
                </c:pt>
              </c:numCache>
            </c:numRef>
          </c:val>
          <c:extLst xmlns:c16r2="http://schemas.microsoft.com/office/drawing/2015/06/chart">
            <c:ext xmlns:c16="http://schemas.microsoft.com/office/drawing/2014/chart" uri="{C3380CC4-5D6E-409C-BE32-E72D297353CC}">
              <c16:uniqueId val="{00000000-4550-483D-9684-701360CFA778}"/>
            </c:ext>
          </c:extLst>
        </c:ser>
        <c:ser>
          <c:idx val="1"/>
          <c:order val="1"/>
          <c:tx>
            <c:v>New Product</c:v>
          </c:tx>
          <c:invertIfNegative val="0"/>
          <c:val>
            <c:numRef>
              <c:f>'Winners-Losers Values PMPM'!$CK$6:$CK$105</c:f>
              <c:numCache>
                <c:formatCode>"$"#,##0.00</c:formatCode>
                <c:ptCount val="100"/>
                <c:pt idx="0">
                  <c:v>46.0411312967806</c:v>
                </c:pt>
                <c:pt idx="1">
                  <c:v>46.0411312967806</c:v>
                </c:pt>
                <c:pt idx="2">
                  <c:v>46.0411312967806</c:v>
                </c:pt>
                <c:pt idx="3">
                  <c:v>46.0411312967806</c:v>
                </c:pt>
                <c:pt idx="4">
                  <c:v>46.0411312967806</c:v>
                </c:pt>
                <c:pt idx="5">
                  <c:v>46.0411312967806</c:v>
                </c:pt>
                <c:pt idx="6">
                  <c:v>46.0411312967806</c:v>
                </c:pt>
                <c:pt idx="7">
                  <c:v>46.0411312967806</c:v>
                </c:pt>
                <c:pt idx="8">
                  <c:v>46.0411312967806</c:v>
                </c:pt>
                <c:pt idx="9">
                  <c:v>46.0411312967806</c:v>
                </c:pt>
                <c:pt idx="10">
                  <c:v>46.0411312967806</c:v>
                </c:pt>
                <c:pt idx="11">
                  <c:v>46.0411312967806</c:v>
                </c:pt>
                <c:pt idx="12">
                  <c:v>46.0411312967806</c:v>
                </c:pt>
                <c:pt idx="13">
                  <c:v>46.0411312967806</c:v>
                </c:pt>
                <c:pt idx="14">
                  <c:v>46.0411312967806</c:v>
                </c:pt>
                <c:pt idx="15">
                  <c:v>46.0411312967806</c:v>
                </c:pt>
                <c:pt idx="16">
                  <c:v>46.0411312967806</c:v>
                </c:pt>
                <c:pt idx="17">
                  <c:v>46.0411312967806</c:v>
                </c:pt>
                <c:pt idx="18">
                  <c:v>46.0411312967806</c:v>
                </c:pt>
                <c:pt idx="19">
                  <c:v>46.0411312967806</c:v>
                </c:pt>
                <c:pt idx="20">
                  <c:v>46.0411312967806</c:v>
                </c:pt>
                <c:pt idx="21">
                  <c:v>51.723817248494</c:v>
                </c:pt>
                <c:pt idx="22">
                  <c:v>67.55439211140487</c:v>
                </c:pt>
                <c:pt idx="23">
                  <c:v>66.0693208922189</c:v>
                </c:pt>
                <c:pt idx="24">
                  <c:v>67.35825939761912</c:v>
                </c:pt>
                <c:pt idx="25">
                  <c:v>69.12327434635004</c:v>
                </c:pt>
                <c:pt idx="26">
                  <c:v>70.03594900816907</c:v>
                </c:pt>
                <c:pt idx="27">
                  <c:v>71.34352087652661</c:v>
                </c:pt>
                <c:pt idx="28">
                  <c:v>72.74019855789757</c:v>
                </c:pt>
                <c:pt idx="29">
                  <c:v>73.64547082302754</c:v>
                </c:pt>
                <c:pt idx="30">
                  <c:v>74.50461875394542</c:v>
                </c:pt>
                <c:pt idx="31">
                  <c:v>75.96277466209871</c:v>
                </c:pt>
                <c:pt idx="32">
                  <c:v>76.87264706957443</c:v>
                </c:pt>
                <c:pt idx="33">
                  <c:v>77.82779539004621</c:v>
                </c:pt>
                <c:pt idx="34">
                  <c:v>79.20041483029671</c:v>
                </c:pt>
                <c:pt idx="35">
                  <c:v>80.64363977715834</c:v>
                </c:pt>
                <c:pt idx="36">
                  <c:v>82.40284230871701</c:v>
                </c:pt>
                <c:pt idx="37">
                  <c:v>83.32556334016035</c:v>
                </c:pt>
                <c:pt idx="38">
                  <c:v>85.02396524832323</c:v>
                </c:pt>
                <c:pt idx="39">
                  <c:v>86.64696622572267</c:v>
                </c:pt>
                <c:pt idx="40">
                  <c:v>88.11625204892746</c:v>
                </c:pt>
                <c:pt idx="41">
                  <c:v>89.38238055200193</c:v>
                </c:pt>
                <c:pt idx="42">
                  <c:v>90.89778453736548</c:v>
                </c:pt>
                <c:pt idx="43">
                  <c:v>93.03877546762867</c:v>
                </c:pt>
                <c:pt idx="44">
                  <c:v>94.56437284786649</c:v>
                </c:pt>
                <c:pt idx="45">
                  <c:v>96.25484136818081</c:v>
                </c:pt>
                <c:pt idx="46">
                  <c:v>98.41463621512784</c:v>
                </c:pt>
                <c:pt idx="47">
                  <c:v>100.5069230783305</c:v>
                </c:pt>
                <c:pt idx="48">
                  <c:v>102.3801760740312</c:v>
                </c:pt>
                <c:pt idx="49">
                  <c:v>104.3036038513986</c:v>
                </c:pt>
                <c:pt idx="50">
                  <c:v>106.4268971699116</c:v>
                </c:pt>
                <c:pt idx="51">
                  <c:v>108.5327573609278</c:v>
                </c:pt>
                <c:pt idx="52">
                  <c:v>110.9615591326237</c:v>
                </c:pt>
                <c:pt idx="53">
                  <c:v>113.1016439453296</c:v>
                </c:pt>
                <c:pt idx="54">
                  <c:v>114.5234299160618</c:v>
                </c:pt>
                <c:pt idx="55">
                  <c:v>116.92720567942</c:v>
                </c:pt>
                <c:pt idx="56">
                  <c:v>120.1206643146456</c:v>
                </c:pt>
                <c:pt idx="57">
                  <c:v>123.0099985145638</c:v>
                </c:pt>
                <c:pt idx="58">
                  <c:v>125.3694843952593</c:v>
                </c:pt>
                <c:pt idx="59">
                  <c:v>128.077399929693</c:v>
                </c:pt>
                <c:pt idx="60">
                  <c:v>131.4719560912387</c:v>
                </c:pt>
                <c:pt idx="61">
                  <c:v>134.9699436057327</c:v>
                </c:pt>
                <c:pt idx="62">
                  <c:v>138.205079521453</c:v>
                </c:pt>
                <c:pt idx="63">
                  <c:v>140.8787091352222</c:v>
                </c:pt>
                <c:pt idx="64">
                  <c:v>144.9197133357764</c:v>
                </c:pt>
                <c:pt idx="65">
                  <c:v>148.1346919072697</c:v>
                </c:pt>
                <c:pt idx="66">
                  <c:v>151.3197844047006</c:v>
                </c:pt>
                <c:pt idx="67">
                  <c:v>156.6990776432824</c:v>
                </c:pt>
                <c:pt idx="68">
                  <c:v>160.452378955777</c:v>
                </c:pt>
                <c:pt idx="69">
                  <c:v>164.688957783216</c:v>
                </c:pt>
                <c:pt idx="70">
                  <c:v>169.4069319372211</c:v>
                </c:pt>
                <c:pt idx="71">
                  <c:v>173.747522778889</c:v>
                </c:pt>
                <c:pt idx="72">
                  <c:v>179.5032235092326</c:v>
                </c:pt>
                <c:pt idx="73">
                  <c:v>184.8582485127677</c:v>
                </c:pt>
                <c:pt idx="74">
                  <c:v>190.6278432130892</c:v>
                </c:pt>
                <c:pt idx="75">
                  <c:v>196.7224188862771</c:v>
                </c:pt>
                <c:pt idx="76">
                  <c:v>202.5517946323862</c:v>
                </c:pt>
                <c:pt idx="77">
                  <c:v>210.5422216420686</c:v>
                </c:pt>
                <c:pt idx="78">
                  <c:v>216.948075288172</c:v>
                </c:pt>
                <c:pt idx="79">
                  <c:v>224.8954434030332</c:v>
                </c:pt>
                <c:pt idx="80">
                  <c:v>232.626539563536</c:v>
                </c:pt>
                <c:pt idx="81">
                  <c:v>241.1507273389127</c:v>
                </c:pt>
                <c:pt idx="82">
                  <c:v>250.874567656154</c:v>
                </c:pt>
                <c:pt idx="83">
                  <c:v>259.8575608650411</c:v>
                </c:pt>
                <c:pt idx="84">
                  <c:v>269.7893544389838</c:v>
                </c:pt>
                <c:pt idx="85">
                  <c:v>283.3946066680561</c:v>
                </c:pt>
                <c:pt idx="86">
                  <c:v>297.3089603474636</c:v>
                </c:pt>
                <c:pt idx="87">
                  <c:v>310.6279340279914</c:v>
                </c:pt>
                <c:pt idx="88">
                  <c:v>326.169470427116</c:v>
                </c:pt>
                <c:pt idx="89">
                  <c:v>349.3247407252486</c:v>
                </c:pt>
                <c:pt idx="90">
                  <c:v>371.072191034981</c:v>
                </c:pt>
                <c:pt idx="91">
                  <c:v>400.4943184646591</c:v>
                </c:pt>
                <c:pt idx="92">
                  <c:v>438.0049026651294</c:v>
                </c:pt>
                <c:pt idx="93">
                  <c:v>481.8984968359816</c:v>
                </c:pt>
                <c:pt idx="94">
                  <c:v>538.0967824591295</c:v>
                </c:pt>
                <c:pt idx="95">
                  <c:v>618.5722350895031</c:v>
                </c:pt>
                <c:pt idx="96">
                  <c:v>714.9467153369413</c:v>
                </c:pt>
                <c:pt idx="97">
                  <c:v>878.5934421868666</c:v>
                </c:pt>
                <c:pt idx="98">
                  <c:v>1198.482930159971</c:v>
                </c:pt>
                <c:pt idx="99">
                  <c:v>2651.82017106469</c:v>
                </c:pt>
              </c:numCache>
            </c:numRef>
          </c:val>
          <c:extLst xmlns:c16r2="http://schemas.microsoft.com/office/drawing/2015/06/chart">
            <c:ext xmlns:c16="http://schemas.microsoft.com/office/drawing/2014/chart" uri="{C3380CC4-5D6E-409C-BE32-E72D297353CC}">
              <c16:uniqueId val="{00000001-4550-483D-9684-701360CFA778}"/>
            </c:ext>
          </c:extLst>
        </c:ser>
        <c:dLbls>
          <c:showLegendKey val="0"/>
          <c:showVal val="0"/>
          <c:showCatName val="0"/>
          <c:showSerName val="0"/>
          <c:showPercent val="0"/>
          <c:showBubbleSize val="0"/>
        </c:dLbls>
        <c:gapWidth val="0"/>
        <c:axId val="-482870592"/>
        <c:axId val="-682011936"/>
      </c:barChart>
      <c:catAx>
        <c:axId val="-482870592"/>
        <c:scaling>
          <c:orientation val="minMax"/>
        </c:scaling>
        <c:delete val="0"/>
        <c:axPos val="b"/>
        <c:majorTickMark val="out"/>
        <c:minorTickMark val="none"/>
        <c:tickLblPos val="nextTo"/>
        <c:crossAx val="-682011936"/>
        <c:crosses val="autoZero"/>
        <c:auto val="1"/>
        <c:lblAlgn val="ctr"/>
        <c:lblOffset val="100"/>
        <c:noMultiLvlLbl val="0"/>
      </c:catAx>
      <c:valAx>
        <c:axId val="-682011936"/>
        <c:scaling>
          <c:orientation val="minMax"/>
        </c:scaling>
        <c:delete val="0"/>
        <c:axPos val="l"/>
        <c:numFmt formatCode="&quot;$&quot;#,##0.00" sourceLinked="1"/>
        <c:majorTickMark val="out"/>
        <c:minorTickMark val="none"/>
        <c:tickLblPos val="nextTo"/>
        <c:crossAx val="-482870592"/>
        <c:crosses val="autoZero"/>
        <c:crossBetween val="between"/>
      </c:valAx>
      <c:spPr>
        <a:noFill/>
        <a:ln>
          <a:noFill/>
        </a:ln>
      </c:spPr>
    </c:plotArea>
    <c:legend>
      <c:legendPos val="r"/>
      <c:overlay val="0"/>
    </c:legend>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Winners-Losers</c:v>
          </c:tx>
          <c:invertIfNegative val="0"/>
          <c:val>
            <c:numRef>
              <c:f>'Winners-Losers Values PMPM'!$CL$6:$CL$105</c:f>
              <c:numCache>
                <c:formatCode>"$"#,##0.00</c:formatCode>
                <c:ptCount val="100"/>
                <c:pt idx="0">
                  <c:v>39.59825285589231</c:v>
                </c:pt>
                <c:pt idx="1">
                  <c:v>39.59825285589231</c:v>
                </c:pt>
                <c:pt idx="2">
                  <c:v>39.59825285589231</c:v>
                </c:pt>
                <c:pt idx="3">
                  <c:v>39.59825285589231</c:v>
                </c:pt>
                <c:pt idx="4">
                  <c:v>39.59825285589231</c:v>
                </c:pt>
                <c:pt idx="5">
                  <c:v>39.59825285589231</c:v>
                </c:pt>
                <c:pt idx="6">
                  <c:v>39.59825285589231</c:v>
                </c:pt>
                <c:pt idx="7">
                  <c:v>39.59825285589231</c:v>
                </c:pt>
                <c:pt idx="8">
                  <c:v>39.59825285589231</c:v>
                </c:pt>
                <c:pt idx="9">
                  <c:v>39.59825285589231</c:v>
                </c:pt>
                <c:pt idx="10">
                  <c:v>39.59825285589231</c:v>
                </c:pt>
                <c:pt idx="11">
                  <c:v>39.59825285589231</c:v>
                </c:pt>
                <c:pt idx="12">
                  <c:v>39.59825285589231</c:v>
                </c:pt>
                <c:pt idx="13">
                  <c:v>39.59825285589231</c:v>
                </c:pt>
                <c:pt idx="14">
                  <c:v>39.59825285589231</c:v>
                </c:pt>
                <c:pt idx="15">
                  <c:v>39.59825285589231</c:v>
                </c:pt>
                <c:pt idx="16">
                  <c:v>39.59825285589231</c:v>
                </c:pt>
                <c:pt idx="17">
                  <c:v>39.59825285589231</c:v>
                </c:pt>
                <c:pt idx="18">
                  <c:v>39.59825285589231</c:v>
                </c:pt>
                <c:pt idx="19">
                  <c:v>39.59825285589231</c:v>
                </c:pt>
                <c:pt idx="20">
                  <c:v>39.59825285589231</c:v>
                </c:pt>
                <c:pt idx="21">
                  <c:v>34.22611169736242</c:v>
                </c:pt>
                <c:pt idx="22">
                  <c:v>21.00075951186021</c:v>
                </c:pt>
                <c:pt idx="23">
                  <c:v>23.52570862535276</c:v>
                </c:pt>
                <c:pt idx="24">
                  <c:v>22.5392435134128</c:v>
                </c:pt>
                <c:pt idx="25">
                  <c:v>21.08068574565058</c:v>
                </c:pt>
                <c:pt idx="26">
                  <c:v>20.48198154409063</c:v>
                </c:pt>
                <c:pt idx="27">
                  <c:v>19.50106863185601</c:v>
                </c:pt>
                <c:pt idx="28">
                  <c:v>18.44895540625795</c:v>
                </c:pt>
                <c:pt idx="29">
                  <c:v>17.90165201227978</c:v>
                </c:pt>
                <c:pt idx="30">
                  <c:v>17.41485058169279</c:v>
                </c:pt>
                <c:pt idx="31">
                  <c:v>16.3399396967135</c:v>
                </c:pt>
                <c:pt idx="32">
                  <c:v>15.830564801234</c:v>
                </c:pt>
                <c:pt idx="33">
                  <c:v>15.29387296452256</c:v>
                </c:pt>
                <c:pt idx="34">
                  <c:v>14.35365755200785</c:v>
                </c:pt>
                <c:pt idx="35">
                  <c:v>13.36646484613975</c:v>
                </c:pt>
                <c:pt idx="36">
                  <c:v>12.07776151339429</c:v>
                </c:pt>
                <c:pt idx="37">
                  <c:v>11.63915033979433</c:v>
                </c:pt>
                <c:pt idx="38">
                  <c:v>10.44242351239279</c:v>
                </c:pt>
                <c:pt idx="39">
                  <c:v>9.338528587434993</c:v>
                </c:pt>
                <c:pt idx="40">
                  <c:v>8.408453892944436</c:v>
                </c:pt>
                <c:pt idx="41">
                  <c:v>7.705114687505656</c:v>
                </c:pt>
                <c:pt idx="42">
                  <c:v>6.777946180072944</c:v>
                </c:pt>
                <c:pt idx="43">
                  <c:v>5.250654111456399</c:v>
                </c:pt>
                <c:pt idx="44">
                  <c:v>4.370992048210013</c:v>
                </c:pt>
                <c:pt idx="45">
                  <c:v>3.351736054185409</c:v>
                </c:pt>
                <c:pt idx="46">
                  <c:v>1.888707419806025</c:v>
                </c:pt>
                <c:pt idx="47">
                  <c:v>0.522698658051766</c:v>
                </c:pt>
                <c:pt idx="48">
                  <c:v>-0.586901893477872</c:v>
                </c:pt>
                <c:pt idx="49">
                  <c:v>-1.708374465197565</c:v>
                </c:pt>
                <c:pt idx="50">
                  <c:v>-2.989206184993492</c:v>
                </c:pt>
                <c:pt idx="51">
                  <c:v>-4.210057947326177</c:v>
                </c:pt>
                <c:pt idx="52">
                  <c:v>-5.715058248947727</c:v>
                </c:pt>
                <c:pt idx="53">
                  <c:v>-6.884278990542838</c:v>
                </c:pt>
                <c:pt idx="54">
                  <c:v>-7.29151570998414</c:v>
                </c:pt>
                <c:pt idx="55">
                  <c:v>-8.651254826327033</c:v>
                </c:pt>
                <c:pt idx="56">
                  <c:v>-10.74064433150534</c:v>
                </c:pt>
                <c:pt idx="57">
                  <c:v>-12.46608507927992</c:v>
                </c:pt>
                <c:pt idx="58">
                  <c:v>-13.60023333981498</c:v>
                </c:pt>
                <c:pt idx="59">
                  <c:v>-15.03283814415543</c:v>
                </c:pt>
                <c:pt idx="60">
                  <c:v>-17.08510970193554</c:v>
                </c:pt>
                <c:pt idx="61">
                  <c:v>-19.15657191273776</c:v>
                </c:pt>
                <c:pt idx="62">
                  <c:v>-20.8753043294177</c:v>
                </c:pt>
                <c:pt idx="63">
                  <c:v>-21.9563195728588</c:v>
                </c:pt>
                <c:pt idx="64">
                  <c:v>-24.33145068706033</c:v>
                </c:pt>
                <c:pt idx="65">
                  <c:v>-25.78531303083639</c:v>
                </c:pt>
                <c:pt idx="66">
                  <c:v>-27.09295850923996</c:v>
                </c:pt>
                <c:pt idx="67">
                  <c:v>-30.49381450796156</c:v>
                </c:pt>
                <c:pt idx="68">
                  <c:v>-32.14630757731499</c:v>
                </c:pt>
                <c:pt idx="69">
                  <c:v>-34.14093773691442</c:v>
                </c:pt>
                <c:pt idx="70">
                  <c:v>-36.46518472616952</c:v>
                </c:pt>
                <c:pt idx="71">
                  <c:v>-38.24667556805551</c:v>
                </c:pt>
                <c:pt idx="72">
                  <c:v>-41.28633338240936</c:v>
                </c:pt>
                <c:pt idx="73">
                  <c:v>-43.68828608612472</c:v>
                </c:pt>
                <c:pt idx="74">
                  <c:v>-46.26094498939264</c:v>
                </c:pt>
                <c:pt idx="75">
                  <c:v>-48.91979488423965</c:v>
                </c:pt>
                <c:pt idx="76">
                  <c:v>-51.04256774018381</c:v>
                </c:pt>
                <c:pt idx="77">
                  <c:v>-55.02327684059867</c:v>
                </c:pt>
                <c:pt idx="78">
                  <c:v>-57.04754588266229</c:v>
                </c:pt>
                <c:pt idx="79">
                  <c:v>-60.23425997081108</c:v>
                </c:pt>
                <c:pt idx="80">
                  <c:v>-62.73601728056414</c:v>
                </c:pt>
                <c:pt idx="81">
                  <c:v>-65.41943265795319</c:v>
                </c:pt>
                <c:pt idx="82">
                  <c:v>-68.68615888555473</c:v>
                </c:pt>
                <c:pt idx="83">
                  <c:v>-70.46867228630776</c:v>
                </c:pt>
                <c:pt idx="84">
                  <c:v>-72.27026096366361</c:v>
                </c:pt>
                <c:pt idx="85">
                  <c:v>-76.63274334852127</c:v>
                </c:pt>
                <c:pt idx="86">
                  <c:v>-79.9306038470197</c:v>
                </c:pt>
                <c:pt idx="87">
                  <c:v>-80.96151851242305</c:v>
                </c:pt>
                <c:pt idx="88">
                  <c:v>-82.12722850193284</c:v>
                </c:pt>
                <c:pt idx="89">
                  <c:v>-88.11769443005988</c:v>
                </c:pt>
                <c:pt idx="90">
                  <c:v>-89.3356890932842</c:v>
                </c:pt>
                <c:pt idx="91">
                  <c:v>-94.03779872580083</c:v>
                </c:pt>
                <c:pt idx="92">
                  <c:v>-101.2268042472625</c:v>
                </c:pt>
                <c:pt idx="93">
                  <c:v>-106.9742368178921</c:v>
                </c:pt>
                <c:pt idx="94">
                  <c:v>-113.756493464697</c:v>
                </c:pt>
                <c:pt idx="95">
                  <c:v>-125.4727470514104</c:v>
                </c:pt>
                <c:pt idx="96">
                  <c:v>-120.120104005197</c:v>
                </c:pt>
                <c:pt idx="97">
                  <c:v>-115.0245755599934</c:v>
                </c:pt>
                <c:pt idx="98">
                  <c:v>-93.97248661419053</c:v>
                </c:pt>
                <c:pt idx="99">
                  <c:v>338.5726884388318</c:v>
                </c:pt>
              </c:numCache>
            </c:numRef>
          </c:val>
          <c:extLst xmlns:c16r2="http://schemas.microsoft.com/office/drawing/2015/06/chart">
            <c:ext xmlns:c16="http://schemas.microsoft.com/office/drawing/2014/chart" uri="{C3380CC4-5D6E-409C-BE32-E72D297353CC}">
              <c16:uniqueId val="{00000000-850F-4FBA-87EC-1DD6D3B5913C}"/>
            </c:ext>
          </c:extLst>
        </c:ser>
        <c:dLbls>
          <c:showLegendKey val="0"/>
          <c:showVal val="0"/>
          <c:showCatName val="0"/>
          <c:showSerName val="0"/>
          <c:showPercent val="0"/>
          <c:showBubbleSize val="0"/>
        </c:dLbls>
        <c:gapWidth val="150"/>
        <c:axId val="-483224608"/>
        <c:axId val="-482859264"/>
      </c:barChart>
      <c:catAx>
        <c:axId val="-483224608"/>
        <c:scaling>
          <c:orientation val="minMax"/>
        </c:scaling>
        <c:delete val="0"/>
        <c:axPos val="b"/>
        <c:majorTickMark val="out"/>
        <c:minorTickMark val="none"/>
        <c:tickLblPos val="nextTo"/>
        <c:crossAx val="-482859264"/>
        <c:crossesAt val="0.0"/>
        <c:auto val="1"/>
        <c:lblAlgn val="ctr"/>
        <c:lblOffset val="100"/>
        <c:noMultiLvlLbl val="0"/>
      </c:catAx>
      <c:valAx>
        <c:axId val="-482859264"/>
        <c:scaling>
          <c:orientation val="minMax"/>
        </c:scaling>
        <c:delete val="0"/>
        <c:axPos val="l"/>
        <c:numFmt formatCode="&quot;$&quot;#,##0.00" sourceLinked="1"/>
        <c:majorTickMark val="out"/>
        <c:minorTickMark val="none"/>
        <c:tickLblPos val="nextTo"/>
        <c:crossAx val="-483224608"/>
        <c:crosses val="autoZero"/>
        <c:crossBetween val="between"/>
      </c:valAx>
      <c:spPr>
        <a:noFill/>
        <a:ln>
          <a:noFill/>
        </a:ln>
      </c:spPr>
    </c:plotArea>
    <c:legend>
      <c:legendPos val="r"/>
      <c:overlay val="0"/>
    </c:legend>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1"/>
          <a:lstStyle/>
          <a:p>
            <a:pPr>
              <a:defRPr/>
            </a:pPr>
            <a:r>
              <a:rPr lang="en-US"/>
              <a:t>Net</a:t>
            </a:r>
            <a:r>
              <a:rPr lang="en-US" baseline="0"/>
              <a:t> </a:t>
            </a:r>
            <a:r>
              <a:rPr lang="en-US"/>
              <a:t>Impact of New Product on Employee (PMPM)</a:t>
            </a:r>
          </a:p>
        </c:rich>
      </c:tx>
      <c:layout>
        <c:manualLayout>
          <c:xMode val="edge"/>
          <c:yMode val="edge"/>
          <c:x val="0.178279699277347"/>
          <c:y val="0.012526053728578"/>
        </c:manualLayout>
      </c:layout>
      <c:overlay val="0"/>
    </c:title>
    <c:autoTitleDeleted val="0"/>
    <c:plotArea>
      <c:layout>
        <c:manualLayout>
          <c:layoutTarget val="inner"/>
          <c:xMode val="edge"/>
          <c:yMode val="edge"/>
          <c:x val="0.0590885711074529"/>
          <c:y val="0.16655606232849"/>
          <c:w val="0.915493879036704"/>
          <c:h val="0.778991916720824"/>
        </c:manualLayout>
      </c:layout>
      <c:barChart>
        <c:barDir val="col"/>
        <c:grouping val="clustered"/>
        <c:varyColors val="0"/>
        <c:ser>
          <c:idx val="0"/>
          <c:order val="0"/>
          <c:tx>
            <c:v>Winners-Losers</c:v>
          </c:tx>
          <c:invertIfNegative val="0"/>
          <c:val>
            <c:numRef>
              <c:f>'Winners-Losers Values PMPM'!$CL$6:$CL$105</c:f>
              <c:numCache>
                <c:formatCode>"$"#,##0.00</c:formatCode>
                <c:ptCount val="100"/>
                <c:pt idx="0">
                  <c:v>39.59825285589231</c:v>
                </c:pt>
                <c:pt idx="1">
                  <c:v>39.59825285589231</c:v>
                </c:pt>
                <c:pt idx="2">
                  <c:v>39.59825285589231</c:v>
                </c:pt>
                <c:pt idx="3">
                  <c:v>39.59825285589231</c:v>
                </c:pt>
                <c:pt idx="4">
                  <c:v>39.59825285589231</c:v>
                </c:pt>
                <c:pt idx="5">
                  <c:v>39.59825285589231</c:v>
                </c:pt>
                <c:pt idx="6">
                  <c:v>39.59825285589231</c:v>
                </c:pt>
                <c:pt idx="7">
                  <c:v>39.59825285589231</c:v>
                </c:pt>
                <c:pt idx="8">
                  <c:v>39.59825285589231</c:v>
                </c:pt>
                <c:pt idx="9">
                  <c:v>39.59825285589231</c:v>
                </c:pt>
                <c:pt idx="10">
                  <c:v>39.59825285589231</c:v>
                </c:pt>
                <c:pt idx="11">
                  <c:v>39.59825285589231</c:v>
                </c:pt>
                <c:pt idx="12">
                  <c:v>39.59825285589231</c:v>
                </c:pt>
                <c:pt idx="13">
                  <c:v>39.59825285589231</c:v>
                </c:pt>
                <c:pt idx="14">
                  <c:v>39.59825285589231</c:v>
                </c:pt>
                <c:pt idx="15">
                  <c:v>39.59825285589231</c:v>
                </c:pt>
                <c:pt idx="16">
                  <c:v>39.59825285589231</c:v>
                </c:pt>
                <c:pt idx="17">
                  <c:v>39.59825285589231</c:v>
                </c:pt>
                <c:pt idx="18">
                  <c:v>39.59825285589231</c:v>
                </c:pt>
                <c:pt idx="19">
                  <c:v>39.59825285589231</c:v>
                </c:pt>
                <c:pt idx="20">
                  <c:v>39.59825285589231</c:v>
                </c:pt>
                <c:pt idx="21">
                  <c:v>34.22611169736242</c:v>
                </c:pt>
                <c:pt idx="22">
                  <c:v>21.00075951186021</c:v>
                </c:pt>
                <c:pt idx="23">
                  <c:v>23.52570862535276</c:v>
                </c:pt>
                <c:pt idx="24">
                  <c:v>22.5392435134128</c:v>
                </c:pt>
                <c:pt idx="25">
                  <c:v>21.08068574565058</c:v>
                </c:pt>
                <c:pt idx="26">
                  <c:v>20.48198154409063</c:v>
                </c:pt>
                <c:pt idx="27">
                  <c:v>19.50106863185601</c:v>
                </c:pt>
                <c:pt idx="28">
                  <c:v>18.44895540625795</c:v>
                </c:pt>
                <c:pt idx="29">
                  <c:v>17.90165201227978</c:v>
                </c:pt>
                <c:pt idx="30">
                  <c:v>17.41485058169279</c:v>
                </c:pt>
                <c:pt idx="31">
                  <c:v>16.3399396967135</c:v>
                </c:pt>
                <c:pt idx="32">
                  <c:v>15.830564801234</c:v>
                </c:pt>
                <c:pt idx="33">
                  <c:v>15.29387296452256</c:v>
                </c:pt>
                <c:pt idx="34">
                  <c:v>14.35365755200785</c:v>
                </c:pt>
                <c:pt idx="35">
                  <c:v>13.36646484613975</c:v>
                </c:pt>
                <c:pt idx="36">
                  <c:v>12.07776151339429</c:v>
                </c:pt>
                <c:pt idx="37">
                  <c:v>11.63915033979433</c:v>
                </c:pt>
                <c:pt idx="38">
                  <c:v>10.44242351239279</c:v>
                </c:pt>
                <c:pt idx="39">
                  <c:v>9.338528587434993</c:v>
                </c:pt>
                <c:pt idx="40">
                  <c:v>8.408453892944436</c:v>
                </c:pt>
                <c:pt idx="41">
                  <c:v>7.705114687505656</c:v>
                </c:pt>
                <c:pt idx="42">
                  <c:v>6.777946180072944</c:v>
                </c:pt>
                <c:pt idx="43">
                  <c:v>5.250654111456399</c:v>
                </c:pt>
                <c:pt idx="44">
                  <c:v>4.370992048210013</c:v>
                </c:pt>
                <c:pt idx="45">
                  <c:v>3.351736054185409</c:v>
                </c:pt>
                <c:pt idx="46">
                  <c:v>1.888707419806025</c:v>
                </c:pt>
                <c:pt idx="47">
                  <c:v>0.522698658051766</c:v>
                </c:pt>
                <c:pt idx="48">
                  <c:v>-0.586901893477872</c:v>
                </c:pt>
                <c:pt idx="49">
                  <c:v>-1.708374465197565</c:v>
                </c:pt>
                <c:pt idx="50">
                  <c:v>-2.989206184993492</c:v>
                </c:pt>
                <c:pt idx="51">
                  <c:v>-4.210057947326177</c:v>
                </c:pt>
                <c:pt idx="52">
                  <c:v>-5.715058248947727</c:v>
                </c:pt>
                <c:pt idx="53">
                  <c:v>-6.884278990542838</c:v>
                </c:pt>
                <c:pt idx="54">
                  <c:v>-7.29151570998414</c:v>
                </c:pt>
                <c:pt idx="55">
                  <c:v>-8.651254826327033</c:v>
                </c:pt>
                <c:pt idx="56">
                  <c:v>-10.74064433150534</c:v>
                </c:pt>
                <c:pt idx="57">
                  <c:v>-12.46608507927992</c:v>
                </c:pt>
                <c:pt idx="58">
                  <c:v>-13.60023333981498</c:v>
                </c:pt>
                <c:pt idx="59">
                  <c:v>-15.03283814415543</c:v>
                </c:pt>
                <c:pt idx="60">
                  <c:v>-17.08510970193554</c:v>
                </c:pt>
                <c:pt idx="61">
                  <c:v>-19.15657191273776</c:v>
                </c:pt>
                <c:pt idx="62">
                  <c:v>-20.8753043294177</c:v>
                </c:pt>
                <c:pt idx="63">
                  <c:v>-21.9563195728588</c:v>
                </c:pt>
                <c:pt idx="64">
                  <c:v>-24.33145068706033</c:v>
                </c:pt>
                <c:pt idx="65">
                  <c:v>-25.78531303083639</c:v>
                </c:pt>
                <c:pt idx="66">
                  <c:v>-27.09295850923996</c:v>
                </c:pt>
                <c:pt idx="67">
                  <c:v>-30.49381450796156</c:v>
                </c:pt>
                <c:pt idx="68">
                  <c:v>-32.14630757731499</c:v>
                </c:pt>
                <c:pt idx="69">
                  <c:v>-34.14093773691442</c:v>
                </c:pt>
                <c:pt idx="70">
                  <c:v>-36.46518472616952</c:v>
                </c:pt>
                <c:pt idx="71">
                  <c:v>-38.24667556805551</c:v>
                </c:pt>
                <c:pt idx="72">
                  <c:v>-41.28633338240936</c:v>
                </c:pt>
                <c:pt idx="73">
                  <c:v>-43.68828608612472</c:v>
                </c:pt>
                <c:pt idx="74">
                  <c:v>-46.26094498939264</c:v>
                </c:pt>
                <c:pt idx="75">
                  <c:v>-48.91979488423965</c:v>
                </c:pt>
                <c:pt idx="76">
                  <c:v>-51.04256774018381</c:v>
                </c:pt>
                <c:pt idx="77">
                  <c:v>-55.02327684059867</c:v>
                </c:pt>
                <c:pt idx="78">
                  <c:v>-57.04754588266229</c:v>
                </c:pt>
                <c:pt idx="79">
                  <c:v>-60.23425997081108</c:v>
                </c:pt>
                <c:pt idx="80">
                  <c:v>-62.73601728056414</c:v>
                </c:pt>
                <c:pt idx="81">
                  <c:v>-65.41943265795319</c:v>
                </c:pt>
                <c:pt idx="82">
                  <c:v>-68.68615888555473</c:v>
                </c:pt>
                <c:pt idx="83">
                  <c:v>-70.46867228630776</c:v>
                </c:pt>
                <c:pt idx="84">
                  <c:v>-72.27026096366361</c:v>
                </c:pt>
                <c:pt idx="85">
                  <c:v>-76.63274334852127</c:v>
                </c:pt>
                <c:pt idx="86">
                  <c:v>-79.9306038470197</c:v>
                </c:pt>
                <c:pt idx="87">
                  <c:v>-80.96151851242305</c:v>
                </c:pt>
                <c:pt idx="88">
                  <c:v>-82.12722850193284</c:v>
                </c:pt>
                <c:pt idx="89">
                  <c:v>-88.11769443005988</c:v>
                </c:pt>
                <c:pt idx="90">
                  <c:v>-89.3356890932842</c:v>
                </c:pt>
                <c:pt idx="91">
                  <c:v>-94.03779872580083</c:v>
                </c:pt>
                <c:pt idx="92">
                  <c:v>-101.2268042472625</c:v>
                </c:pt>
                <c:pt idx="93">
                  <c:v>-106.9742368178921</c:v>
                </c:pt>
                <c:pt idx="94">
                  <c:v>-113.756493464697</c:v>
                </c:pt>
                <c:pt idx="95">
                  <c:v>-125.4727470514104</c:v>
                </c:pt>
                <c:pt idx="96">
                  <c:v>-120.120104005197</c:v>
                </c:pt>
                <c:pt idx="97">
                  <c:v>-115.0245755599934</c:v>
                </c:pt>
                <c:pt idx="98">
                  <c:v>-93.97248661419053</c:v>
                </c:pt>
                <c:pt idx="99">
                  <c:v>338.5726884388318</c:v>
                </c:pt>
              </c:numCache>
            </c:numRef>
          </c:val>
          <c:extLst xmlns:c16r2="http://schemas.microsoft.com/office/drawing/2015/06/chart">
            <c:ext xmlns:c16="http://schemas.microsoft.com/office/drawing/2014/chart" uri="{C3380CC4-5D6E-409C-BE32-E72D297353CC}">
              <c16:uniqueId val="{00000000-B633-4F9C-AD9D-6C07CD4F0A0C}"/>
            </c:ext>
          </c:extLst>
        </c:ser>
        <c:dLbls>
          <c:showLegendKey val="0"/>
          <c:showVal val="0"/>
          <c:showCatName val="0"/>
          <c:showSerName val="0"/>
          <c:showPercent val="0"/>
          <c:showBubbleSize val="0"/>
        </c:dLbls>
        <c:gapWidth val="150"/>
        <c:axId val="-682110288"/>
        <c:axId val="-520361296"/>
      </c:barChart>
      <c:catAx>
        <c:axId val="-682110288"/>
        <c:scaling>
          <c:orientation val="minMax"/>
        </c:scaling>
        <c:delete val="0"/>
        <c:axPos val="b"/>
        <c:majorTickMark val="out"/>
        <c:minorTickMark val="none"/>
        <c:tickLblPos val="nextTo"/>
        <c:crossAx val="-520361296"/>
        <c:crossesAt val="0.0"/>
        <c:auto val="1"/>
        <c:lblAlgn val="ctr"/>
        <c:lblOffset val="100"/>
        <c:noMultiLvlLbl val="0"/>
      </c:catAx>
      <c:valAx>
        <c:axId val="-520361296"/>
        <c:scaling>
          <c:orientation val="minMax"/>
        </c:scaling>
        <c:delete val="0"/>
        <c:axPos val="l"/>
        <c:numFmt formatCode="&quot;$&quot;#,##0.00" sourceLinked="1"/>
        <c:majorTickMark val="out"/>
        <c:minorTickMark val="none"/>
        <c:tickLblPos val="nextTo"/>
        <c:crossAx val="-682110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 Impact of New Product on Employee (PMPM) </a:t>
            </a:r>
          </a:p>
        </c:rich>
      </c:tx>
      <c:layout>
        <c:manualLayout>
          <c:xMode val="edge"/>
          <c:yMode val="edge"/>
          <c:x val="0.226797295639549"/>
          <c:y val="0.0159861591695502"/>
        </c:manualLayout>
      </c:layout>
      <c:overlay val="0"/>
    </c:title>
    <c:autoTitleDeleted val="0"/>
    <c:plotArea>
      <c:layout>
        <c:manualLayout>
          <c:layoutTarget val="inner"/>
          <c:xMode val="edge"/>
          <c:yMode val="edge"/>
          <c:x val="0.0590885711074529"/>
          <c:y val="0.16655606232849"/>
          <c:w val="0.749999893881175"/>
          <c:h val="0.778991916720824"/>
        </c:manualLayout>
      </c:layout>
      <c:barChart>
        <c:barDir val="col"/>
        <c:grouping val="stacked"/>
        <c:varyColors val="0"/>
        <c:ser>
          <c:idx val="0"/>
          <c:order val="0"/>
          <c:tx>
            <c:v>Discretionary</c:v>
          </c:tx>
          <c:spPr>
            <a:solidFill>
              <a:schemeClr val="accent1">
                <a:lumMod val="60000"/>
                <a:lumOff val="40000"/>
              </a:schemeClr>
            </a:solidFill>
          </c:spPr>
          <c:invertIfNegative val="0"/>
          <c:cat>
            <c:strRef>
              <c:f>'Winners-Losers Values PMPM'!$A$86:$A$110</c:f>
              <c:strCache>
                <c:ptCount val="24"/>
                <c:pt idx="0">
                  <c:v>81</c:v>
                </c:pt>
                <c:pt idx="1">
                  <c:v>82</c:v>
                </c:pt>
                <c:pt idx="2">
                  <c:v>83</c:v>
                </c:pt>
                <c:pt idx="3">
                  <c:v>84</c:v>
                </c:pt>
                <c:pt idx="4">
                  <c:v>85</c:v>
                </c:pt>
                <c:pt idx="5">
                  <c:v>86</c:v>
                </c:pt>
                <c:pt idx="6">
                  <c:v>87</c:v>
                </c:pt>
                <c:pt idx="7">
                  <c:v>88</c:v>
                </c:pt>
                <c:pt idx="8">
                  <c:v>89</c:v>
                </c:pt>
                <c:pt idx="9">
                  <c:v>90</c:v>
                </c:pt>
                <c:pt idx="10">
                  <c:v>91</c:v>
                </c:pt>
                <c:pt idx="11">
                  <c:v>92</c:v>
                </c:pt>
                <c:pt idx="12">
                  <c:v>93</c:v>
                </c:pt>
                <c:pt idx="13">
                  <c:v>94</c:v>
                </c:pt>
                <c:pt idx="14">
                  <c:v>95</c:v>
                </c:pt>
                <c:pt idx="15">
                  <c:v>96</c:v>
                </c:pt>
                <c:pt idx="16">
                  <c:v>97</c:v>
                </c:pt>
                <c:pt idx="17">
                  <c:v>98</c:v>
                </c:pt>
                <c:pt idx="18">
                  <c:v>99</c:v>
                </c:pt>
                <c:pt idx="19">
                  <c:v>100</c:v>
                </c:pt>
                <c:pt idx="21">
                  <c:v>Total</c:v>
                </c:pt>
                <c:pt idx="23">
                  <c:v>Total MMOS</c:v>
                </c:pt>
              </c:strCache>
            </c:strRef>
          </c:cat>
          <c:val>
            <c:numRef>
              <c:f>'Winners-Losers Values PMPM'!$CZ$86:$CZ$105</c:f>
              <c:numCache>
                <c:formatCode>"$"#,##0.00</c:formatCode>
                <c:ptCount val="20"/>
                <c:pt idx="0">
                  <c:v>16.15338087548465</c:v>
                </c:pt>
                <c:pt idx="1">
                  <c:v>15.48813839175986</c:v>
                </c:pt>
                <c:pt idx="2">
                  <c:v>14.93214660757968</c:v>
                </c:pt>
                <c:pt idx="3">
                  <c:v>14.11593632370526</c:v>
                </c:pt>
                <c:pt idx="4">
                  <c:v>13.27851438297739</c:v>
                </c:pt>
                <c:pt idx="5">
                  <c:v>12.22114827326666</c:v>
                </c:pt>
                <c:pt idx="6">
                  <c:v>10.89257773222366</c:v>
                </c:pt>
                <c:pt idx="7">
                  <c:v>9.682364510944424</c:v>
                </c:pt>
                <c:pt idx="8">
                  <c:v>7.40196658167401</c:v>
                </c:pt>
                <c:pt idx="9">
                  <c:v>4.508135913612271</c:v>
                </c:pt>
                <c:pt idx="10">
                  <c:v>0.516921966884624</c:v>
                </c:pt>
                <c:pt idx="11">
                  <c:v>-5.266545507063512</c:v>
                </c:pt>
                <c:pt idx="12">
                  <c:v>-13.04088402089577</c:v>
                </c:pt>
                <c:pt idx="13">
                  <c:v>-22.57525103595215</c:v>
                </c:pt>
                <c:pt idx="14">
                  <c:v>-35.60445823297874</c:v>
                </c:pt>
                <c:pt idx="15">
                  <c:v>-51.978543907942</c:v>
                </c:pt>
                <c:pt idx="16">
                  <c:v>-69.73811362465153</c:v>
                </c:pt>
                <c:pt idx="17">
                  <c:v>-97.34552788526934</c:v>
                </c:pt>
                <c:pt idx="18">
                  <c:v>-154.7169822475939</c:v>
                </c:pt>
                <c:pt idx="19">
                  <c:v>-426.819244656</c:v>
                </c:pt>
              </c:numCache>
            </c:numRef>
          </c:val>
          <c:extLst xmlns:c16r2="http://schemas.microsoft.com/office/drawing/2015/06/chart">
            <c:ext xmlns:c16="http://schemas.microsoft.com/office/drawing/2014/chart" uri="{C3380CC4-5D6E-409C-BE32-E72D297353CC}">
              <c16:uniqueId val="{00000000-0E04-4BC8-AFE4-E97C4B7C3930}"/>
            </c:ext>
          </c:extLst>
        </c:ser>
        <c:ser>
          <c:idx val="1"/>
          <c:order val="1"/>
          <c:tx>
            <c:v>PPP</c:v>
          </c:tx>
          <c:spPr>
            <a:solidFill>
              <a:schemeClr val="accent2">
                <a:lumMod val="60000"/>
                <a:lumOff val="40000"/>
              </a:schemeClr>
            </a:solidFill>
          </c:spPr>
          <c:invertIfNegative val="0"/>
          <c:cat>
            <c:strRef>
              <c:f>'Winners-Losers Values PMPM'!$A$86:$A$110</c:f>
              <c:strCache>
                <c:ptCount val="24"/>
                <c:pt idx="0">
                  <c:v>81</c:v>
                </c:pt>
                <c:pt idx="1">
                  <c:v>82</c:v>
                </c:pt>
                <c:pt idx="2">
                  <c:v>83</c:v>
                </c:pt>
                <c:pt idx="3">
                  <c:v>84</c:v>
                </c:pt>
                <c:pt idx="4">
                  <c:v>85</c:v>
                </c:pt>
                <c:pt idx="5">
                  <c:v>86</c:v>
                </c:pt>
                <c:pt idx="6">
                  <c:v>87</c:v>
                </c:pt>
                <c:pt idx="7">
                  <c:v>88</c:v>
                </c:pt>
                <c:pt idx="8">
                  <c:v>89</c:v>
                </c:pt>
                <c:pt idx="9">
                  <c:v>90</c:v>
                </c:pt>
                <c:pt idx="10">
                  <c:v>91</c:v>
                </c:pt>
                <c:pt idx="11">
                  <c:v>92</c:v>
                </c:pt>
                <c:pt idx="12">
                  <c:v>93</c:v>
                </c:pt>
                <c:pt idx="13">
                  <c:v>94</c:v>
                </c:pt>
                <c:pt idx="14">
                  <c:v>95</c:v>
                </c:pt>
                <c:pt idx="15">
                  <c:v>96</c:v>
                </c:pt>
                <c:pt idx="16">
                  <c:v>97</c:v>
                </c:pt>
                <c:pt idx="17">
                  <c:v>98</c:v>
                </c:pt>
                <c:pt idx="18">
                  <c:v>99</c:v>
                </c:pt>
                <c:pt idx="19">
                  <c:v>100</c:v>
                </c:pt>
                <c:pt idx="21">
                  <c:v>Total</c:v>
                </c:pt>
                <c:pt idx="23">
                  <c:v>Total MMOS</c:v>
                </c:pt>
              </c:strCache>
            </c:strRef>
          </c:cat>
          <c:val>
            <c:numRef>
              <c:f>'Winners-Losers Values PMPM'!$DA$86:$DA$105</c:f>
              <c:numCache>
                <c:formatCode>"$"#,##0.00</c:formatCode>
                <c:ptCount val="20"/>
                <c:pt idx="0">
                  <c:v>-73.5036144090773</c:v>
                </c:pt>
                <c:pt idx="1">
                  <c:v>-74.45019381212165</c:v>
                </c:pt>
                <c:pt idx="2">
                  <c:v>-76.81675977571778</c:v>
                </c:pt>
                <c:pt idx="3">
                  <c:v>-76.17700059530287</c:v>
                </c:pt>
                <c:pt idx="4">
                  <c:v>-76.36591824594307</c:v>
                </c:pt>
                <c:pt idx="5">
                  <c:v>-78.45168419682295</c:v>
                </c:pt>
                <c:pt idx="6">
                  <c:v>-78.64526181934181</c:v>
                </c:pt>
                <c:pt idx="7">
                  <c:v>-77.07229195754823</c:v>
                </c:pt>
                <c:pt idx="8">
                  <c:v>-74.74450691738431</c:v>
                </c:pt>
                <c:pt idx="9">
                  <c:v>-75.98975105422136</c:v>
                </c:pt>
                <c:pt idx="10">
                  <c:v>-71.36195024786451</c:v>
                </c:pt>
                <c:pt idx="11">
                  <c:v>-69.08055052919917</c:v>
                </c:pt>
                <c:pt idx="12">
                  <c:v>-66.85874938903035</c:v>
                </c:pt>
                <c:pt idx="13">
                  <c:v>-61.30173889820955</c:v>
                </c:pt>
                <c:pt idx="14">
                  <c:v>-52.92494783129013</c:v>
                </c:pt>
                <c:pt idx="15">
                  <c:v>-45.2912605291649</c:v>
                </c:pt>
                <c:pt idx="16">
                  <c:v>-17.24832854007963</c:v>
                </c:pt>
                <c:pt idx="17">
                  <c:v>25.2685418745952</c:v>
                </c:pt>
                <c:pt idx="18">
                  <c:v>118.4504278568203</c:v>
                </c:pt>
                <c:pt idx="19">
                  <c:v>888.6309404404089</c:v>
                </c:pt>
              </c:numCache>
            </c:numRef>
          </c:val>
          <c:extLst xmlns:c16r2="http://schemas.microsoft.com/office/drawing/2015/06/chart">
            <c:ext xmlns:c16="http://schemas.microsoft.com/office/drawing/2014/chart" uri="{C3380CC4-5D6E-409C-BE32-E72D297353CC}">
              <c16:uniqueId val="{00000001-0E04-4BC8-AFE4-E97C4B7C3930}"/>
            </c:ext>
          </c:extLst>
        </c:ser>
        <c:ser>
          <c:idx val="2"/>
          <c:order val="2"/>
          <c:tx>
            <c:v>Chronic</c:v>
          </c:tx>
          <c:spPr>
            <a:solidFill>
              <a:schemeClr val="accent3"/>
            </a:solidFill>
          </c:spPr>
          <c:invertIfNegative val="0"/>
          <c:cat>
            <c:strRef>
              <c:f>'Winners-Losers Values PMPM'!$A$86:$A$110</c:f>
              <c:strCache>
                <c:ptCount val="24"/>
                <c:pt idx="0">
                  <c:v>81</c:v>
                </c:pt>
                <c:pt idx="1">
                  <c:v>82</c:v>
                </c:pt>
                <c:pt idx="2">
                  <c:v>83</c:v>
                </c:pt>
                <c:pt idx="3">
                  <c:v>84</c:v>
                </c:pt>
                <c:pt idx="4">
                  <c:v>85</c:v>
                </c:pt>
                <c:pt idx="5">
                  <c:v>86</c:v>
                </c:pt>
                <c:pt idx="6">
                  <c:v>87</c:v>
                </c:pt>
                <c:pt idx="7">
                  <c:v>88</c:v>
                </c:pt>
                <c:pt idx="8">
                  <c:v>89</c:v>
                </c:pt>
                <c:pt idx="9">
                  <c:v>90</c:v>
                </c:pt>
                <c:pt idx="10">
                  <c:v>91</c:v>
                </c:pt>
                <c:pt idx="11">
                  <c:v>92</c:v>
                </c:pt>
                <c:pt idx="12">
                  <c:v>93</c:v>
                </c:pt>
                <c:pt idx="13">
                  <c:v>94</c:v>
                </c:pt>
                <c:pt idx="14">
                  <c:v>95</c:v>
                </c:pt>
                <c:pt idx="15">
                  <c:v>96</c:v>
                </c:pt>
                <c:pt idx="16">
                  <c:v>97</c:v>
                </c:pt>
                <c:pt idx="17">
                  <c:v>98</c:v>
                </c:pt>
                <c:pt idx="18">
                  <c:v>99</c:v>
                </c:pt>
                <c:pt idx="19">
                  <c:v>100</c:v>
                </c:pt>
                <c:pt idx="21">
                  <c:v>Total</c:v>
                </c:pt>
                <c:pt idx="23">
                  <c:v>Total MMOS</c:v>
                </c:pt>
              </c:strCache>
            </c:strRef>
          </c:cat>
          <c:val>
            <c:numRef>
              <c:f>'Winners-Losers Values PMPM'!$DB$86:$DB$105</c:f>
              <c:numCache>
                <c:formatCode>"$"#,##0.00</c:formatCode>
                <c:ptCount val="20"/>
                <c:pt idx="0">
                  <c:v>-7.081880922647603</c:v>
                </c:pt>
                <c:pt idx="1">
                  <c:v>-8.155331576144348</c:v>
                </c:pt>
                <c:pt idx="2">
                  <c:v>-8.50009847411696</c:v>
                </c:pt>
                <c:pt idx="3">
                  <c:v>-10.09783373604113</c:v>
                </c:pt>
                <c:pt idx="4">
                  <c:v>-10.87061154954381</c:v>
                </c:pt>
                <c:pt idx="5">
                  <c:v>-12.08395054519028</c:v>
                </c:pt>
                <c:pt idx="6">
                  <c:v>-13.83320608193858</c:v>
                </c:pt>
                <c:pt idx="7">
                  <c:v>-15.15899327517658</c:v>
                </c:pt>
                <c:pt idx="8">
                  <c:v>-16.36224301338476</c:v>
                </c:pt>
                <c:pt idx="9">
                  <c:v>-18.22364236633479</c:v>
                </c:pt>
                <c:pt idx="10">
                  <c:v>-20.08605122631012</c:v>
                </c:pt>
                <c:pt idx="11">
                  <c:v>-21.27230645863578</c:v>
                </c:pt>
                <c:pt idx="12">
                  <c:v>-22.8657294486528</c:v>
                </c:pt>
                <c:pt idx="13">
                  <c:v>-24.5724253018018</c:v>
                </c:pt>
                <c:pt idx="14">
                  <c:v>-26.60117527244522</c:v>
                </c:pt>
                <c:pt idx="15">
                  <c:v>-29.41596797090375</c:v>
                </c:pt>
                <c:pt idx="16">
                  <c:v>-33.99663324214757</c:v>
                </c:pt>
                <c:pt idx="17">
                  <c:v>-41.58646848777936</c:v>
                </c:pt>
                <c:pt idx="18">
                  <c:v>-53.83096781289115</c:v>
                </c:pt>
                <c:pt idx="19">
                  <c:v>-85.4047042807096</c:v>
                </c:pt>
              </c:numCache>
            </c:numRef>
          </c:val>
          <c:extLst xmlns:c16r2="http://schemas.microsoft.com/office/drawing/2015/06/chart">
            <c:ext xmlns:c16="http://schemas.microsoft.com/office/drawing/2014/chart" uri="{C3380CC4-5D6E-409C-BE32-E72D297353CC}">
              <c16:uniqueId val="{00000002-0E04-4BC8-AFE4-E97C4B7C3930}"/>
            </c:ext>
          </c:extLst>
        </c:ser>
        <c:ser>
          <c:idx val="3"/>
          <c:order val="3"/>
          <c:tx>
            <c:v>Shoppable</c:v>
          </c:tx>
          <c:spPr>
            <a:solidFill>
              <a:schemeClr val="accent6"/>
            </a:solidFill>
          </c:spPr>
          <c:invertIfNegative val="0"/>
          <c:cat>
            <c:strRef>
              <c:f>'Winners-Losers Values PMPM'!$A$86:$A$110</c:f>
              <c:strCache>
                <c:ptCount val="24"/>
                <c:pt idx="0">
                  <c:v>81</c:v>
                </c:pt>
                <c:pt idx="1">
                  <c:v>82</c:v>
                </c:pt>
                <c:pt idx="2">
                  <c:v>83</c:v>
                </c:pt>
                <c:pt idx="3">
                  <c:v>84</c:v>
                </c:pt>
                <c:pt idx="4">
                  <c:v>85</c:v>
                </c:pt>
                <c:pt idx="5">
                  <c:v>86</c:v>
                </c:pt>
                <c:pt idx="6">
                  <c:v>87</c:v>
                </c:pt>
                <c:pt idx="7">
                  <c:v>88</c:v>
                </c:pt>
                <c:pt idx="8">
                  <c:v>89</c:v>
                </c:pt>
                <c:pt idx="9">
                  <c:v>90</c:v>
                </c:pt>
                <c:pt idx="10">
                  <c:v>91</c:v>
                </c:pt>
                <c:pt idx="11">
                  <c:v>92</c:v>
                </c:pt>
                <c:pt idx="12">
                  <c:v>93</c:v>
                </c:pt>
                <c:pt idx="13">
                  <c:v>94</c:v>
                </c:pt>
                <c:pt idx="14">
                  <c:v>95</c:v>
                </c:pt>
                <c:pt idx="15">
                  <c:v>96</c:v>
                </c:pt>
                <c:pt idx="16">
                  <c:v>97</c:v>
                </c:pt>
                <c:pt idx="17">
                  <c:v>98</c:v>
                </c:pt>
                <c:pt idx="18">
                  <c:v>99</c:v>
                </c:pt>
                <c:pt idx="19">
                  <c:v>100</c:v>
                </c:pt>
                <c:pt idx="21">
                  <c:v>Total</c:v>
                </c:pt>
                <c:pt idx="23">
                  <c:v>Total MMOS</c:v>
                </c:pt>
              </c:strCache>
            </c:strRef>
          </c:cat>
          <c:val>
            <c:numRef>
              <c:f>'Winners-Losers Values PMPM'!$DC$86:$DC$105</c:f>
              <c:numCache>
                <c:formatCode>"$"#,##0.00</c:formatCode>
                <c:ptCount val="20"/>
                <c:pt idx="0">
                  <c:v>1.696097175676108</c:v>
                </c:pt>
                <c:pt idx="1">
                  <c:v>1.697954338552933</c:v>
                </c:pt>
                <c:pt idx="2">
                  <c:v>1.698552756700349</c:v>
                </c:pt>
                <c:pt idx="3">
                  <c:v>1.69022572133096</c:v>
                </c:pt>
                <c:pt idx="4">
                  <c:v>1.687754448845932</c:v>
                </c:pt>
                <c:pt idx="5">
                  <c:v>1.681743120225329</c:v>
                </c:pt>
                <c:pt idx="6">
                  <c:v>1.655286322037046</c:v>
                </c:pt>
                <c:pt idx="7">
                  <c:v>1.587402209357374</c:v>
                </c:pt>
                <c:pt idx="8">
                  <c:v>1.577554847162267</c:v>
                </c:pt>
                <c:pt idx="9">
                  <c:v>1.587563076883938</c:v>
                </c:pt>
                <c:pt idx="10">
                  <c:v>1.595390414005799</c:v>
                </c:pt>
                <c:pt idx="11">
                  <c:v>1.581603769097621</c:v>
                </c:pt>
                <c:pt idx="12">
                  <c:v>1.538558611316441</c:v>
                </c:pt>
                <c:pt idx="13">
                  <c:v>1.475178418071425</c:v>
                </c:pt>
                <c:pt idx="14">
                  <c:v>1.374087872017173</c:v>
                </c:pt>
                <c:pt idx="15">
                  <c:v>1.213025356600162</c:v>
                </c:pt>
                <c:pt idx="16">
                  <c:v>0.862971401681583</c:v>
                </c:pt>
                <c:pt idx="17">
                  <c:v>-1.361121061539999</c:v>
                </c:pt>
                <c:pt idx="18">
                  <c:v>-3.87496441052577</c:v>
                </c:pt>
                <c:pt idx="19">
                  <c:v>-37.83430306486679</c:v>
                </c:pt>
              </c:numCache>
            </c:numRef>
          </c:val>
          <c:extLst xmlns:c16r2="http://schemas.microsoft.com/office/drawing/2015/06/chart">
            <c:ext xmlns:c16="http://schemas.microsoft.com/office/drawing/2014/chart" uri="{C3380CC4-5D6E-409C-BE32-E72D297353CC}">
              <c16:uniqueId val="{00000003-0E04-4BC8-AFE4-E97C4B7C3930}"/>
            </c:ext>
          </c:extLst>
        </c:ser>
        <c:dLbls>
          <c:showLegendKey val="0"/>
          <c:showVal val="0"/>
          <c:showCatName val="0"/>
          <c:showSerName val="0"/>
          <c:showPercent val="0"/>
          <c:showBubbleSize val="0"/>
        </c:dLbls>
        <c:gapWidth val="150"/>
        <c:overlap val="100"/>
        <c:axId val="-682088720"/>
        <c:axId val="-682086400"/>
      </c:barChart>
      <c:lineChart>
        <c:grouping val="standard"/>
        <c:varyColors val="0"/>
        <c:ser>
          <c:idx val="4"/>
          <c:order val="4"/>
          <c:tx>
            <c:v>Total</c:v>
          </c:tx>
          <c:spPr>
            <a:ln>
              <a:noFill/>
            </a:ln>
          </c:spPr>
          <c:marker>
            <c:symbol val="diamond"/>
            <c:size val="8"/>
            <c:spPr>
              <a:solidFill>
                <a:schemeClr val="tx1">
                  <a:lumMod val="85000"/>
                  <a:lumOff val="15000"/>
                </a:schemeClr>
              </a:solidFill>
              <a:ln w="3175">
                <a:solidFill>
                  <a:schemeClr val="tx1">
                    <a:lumMod val="85000"/>
                    <a:lumOff val="15000"/>
                  </a:schemeClr>
                </a:solidFill>
              </a:ln>
            </c:spPr>
          </c:marker>
          <c:dLbls>
            <c:numFmt formatCode="#,##0_);\(#,##0\)" sourceLinked="0"/>
            <c:spPr>
              <a:noFill/>
              <a:ln>
                <a:noFill/>
              </a:ln>
              <a:effectLst/>
            </c:sp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val>
            <c:numRef>
              <c:f>'Winners-Losers Values PMPM'!$DD$86:$DD$105</c:f>
              <c:numCache>
                <c:formatCode>"$"#,##0.00</c:formatCode>
                <c:ptCount val="20"/>
                <c:pt idx="0">
                  <c:v>-62.73601728056414</c:v>
                </c:pt>
                <c:pt idx="1">
                  <c:v>-65.41943265795321</c:v>
                </c:pt>
                <c:pt idx="2">
                  <c:v>-68.68615888555472</c:v>
                </c:pt>
                <c:pt idx="3">
                  <c:v>-70.46867228630777</c:v>
                </c:pt>
                <c:pt idx="4">
                  <c:v>-72.27026096366355</c:v>
                </c:pt>
                <c:pt idx="5">
                  <c:v>-76.63274334852123</c:v>
                </c:pt>
                <c:pt idx="6">
                  <c:v>-79.9306038470197</c:v>
                </c:pt>
                <c:pt idx="7">
                  <c:v>-80.96151851242301</c:v>
                </c:pt>
                <c:pt idx="8">
                  <c:v>-82.1272285019328</c:v>
                </c:pt>
                <c:pt idx="9">
                  <c:v>-88.11769443005993</c:v>
                </c:pt>
                <c:pt idx="10">
                  <c:v>-89.3356890932842</c:v>
                </c:pt>
                <c:pt idx="11">
                  <c:v>-94.03779872580084</c:v>
                </c:pt>
                <c:pt idx="12">
                  <c:v>-101.2268042472625</c:v>
                </c:pt>
                <c:pt idx="13">
                  <c:v>-106.9742368178921</c:v>
                </c:pt>
                <c:pt idx="14">
                  <c:v>-113.7564934646969</c:v>
                </c:pt>
                <c:pt idx="15">
                  <c:v>-125.4727470514105</c:v>
                </c:pt>
                <c:pt idx="16">
                  <c:v>-120.1201040051971</c:v>
                </c:pt>
                <c:pt idx="17">
                  <c:v>-115.0245755599935</c:v>
                </c:pt>
                <c:pt idx="18">
                  <c:v>-93.97248661419056</c:v>
                </c:pt>
                <c:pt idx="19">
                  <c:v>338.5726884388326</c:v>
                </c:pt>
              </c:numCache>
            </c:numRef>
          </c:val>
          <c:smooth val="0"/>
          <c:extLst xmlns:c16r2="http://schemas.microsoft.com/office/drawing/2015/06/chart">
            <c:ext xmlns:c16="http://schemas.microsoft.com/office/drawing/2014/chart" uri="{C3380CC4-5D6E-409C-BE32-E72D297353CC}">
              <c16:uniqueId val="{00000004-0E04-4BC8-AFE4-E97C4B7C3930}"/>
            </c:ext>
          </c:extLst>
        </c:ser>
        <c:dLbls>
          <c:showLegendKey val="0"/>
          <c:showVal val="0"/>
          <c:showCatName val="0"/>
          <c:showSerName val="0"/>
          <c:showPercent val="0"/>
          <c:showBubbleSize val="0"/>
        </c:dLbls>
        <c:marker val="1"/>
        <c:smooth val="0"/>
        <c:axId val="-682088720"/>
        <c:axId val="-682086400"/>
      </c:lineChart>
      <c:catAx>
        <c:axId val="-682088720"/>
        <c:scaling>
          <c:orientation val="minMax"/>
        </c:scaling>
        <c:delete val="0"/>
        <c:axPos val="b"/>
        <c:numFmt formatCode="General" sourceLinked="1"/>
        <c:majorTickMark val="out"/>
        <c:minorTickMark val="none"/>
        <c:tickLblPos val="low"/>
        <c:crossAx val="-682086400"/>
        <c:crosses val="autoZero"/>
        <c:auto val="1"/>
        <c:lblAlgn val="ctr"/>
        <c:lblOffset val="100"/>
        <c:noMultiLvlLbl val="0"/>
      </c:catAx>
      <c:valAx>
        <c:axId val="-682086400"/>
        <c:scaling>
          <c:orientation val="minMax"/>
          <c:max val="900.0"/>
          <c:min val="-900.0"/>
        </c:scaling>
        <c:delete val="0"/>
        <c:axPos val="l"/>
        <c:numFmt formatCode="&quot;$&quot;#,##0.00" sourceLinked="1"/>
        <c:majorTickMark val="out"/>
        <c:minorTickMark val="none"/>
        <c:tickLblPos val="nextTo"/>
        <c:crossAx val="-682088720"/>
        <c:crosses val="autoZero"/>
        <c:crossBetween val="between"/>
      </c:valAx>
      <c:spPr>
        <a:noFill/>
        <a:ln>
          <a:noFill/>
        </a:ln>
      </c:spPr>
    </c:plotArea>
    <c:legend>
      <c:legendPos val="r"/>
      <c:layout>
        <c:manualLayout>
          <c:xMode val="edge"/>
          <c:yMode val="edge"/>
          <c:x val="0.862059479781154"/>
          <c:y val="0.438642617769665"/>
          <c:w val="0.137940520218846"/>
          <c:h val="0.312853172765169"/>
        </c:manualLayout>
      </c:layout>
      <c:overlay val="0"/>
    </c:legend>
    <c:plotVisOnly val="1"/>
    <c:dispBlanksAs val="gap"/>
    <c:showDLblsOverMax val="0"/>
  </c:chart>
  <c:spPr>
    <a:noFill/>
    <a:ln>
      <a:noFill/>
    </a:ln>
  </c:spPr>
  <c:txPr>
    <a:bodyPr/>
    <a:lstStyle/>
    <a:p>
      <a:pPr>
        <a:defRPr sz="110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3"/>
          <c:order val="0"/>
          <c:tx>
            <c:strRef>
              <c:f>'Comparison of Plans'!$B$26</c:f>
              <c:strCache>
                <c:ptCount val="1"/>
                <c:pt idx="0">
                  <c:v>PPP</c:v>
                </c:pt>
              </c:strCache>
            </c:strRef>
          </c:tx>
          <c:spPr>
            <a:solidFill>
              <a:schemeClr val="accent2"/>
            </a:solidFill>
            <a:ln>
              <a:noFill/>
            </a:ln>
            <a:effectLst/>
          </c:spPr>
          <c:invertIfNegative val="0"/>
          <c:cat>
            <c:strRef>
              <c:f>'Comparison of Plans'!$C$22:$D$22</c:f>
              <c:strCache>
                <c:ptCount val="2"/>
                <c:pt idx="0">
                  <c:v>Current Plan</c:v>
                </c:pt>
                <c:pt idx="1">
                  <c:v>New Plan</c:v>
                </c:pt>
              </c:strCache>
            </c:strRef>
          </c:cat>
          <c:val>
            <c:numRef>
              <c:f>'Comparison of Plans'!$C$26:$D$26</c:f>
              <c:numCache>
                <c:formatCode>"$"#,##0</c:formatCode>
                <c:ptCount val="2"/>
                <c:pt idx="0">
                  <c:v>367.7743473914895</c:v>
                </c:pt>
                <c:pt idx="1">
                  <c:v>361.9257390128482</c:v>
                </c:pt>
              </c:numCache>
            </c:numRef>
          </c:val>
          <c:extLst xmlns:c16r2="http://schemas.microsoft.com/office/drawing/2015/06/chart">
            <c:ext xmlns:c16="http://schemas.microsoft.com/office/drawing/2014/chart" uri="{C3380CC4-5D6E-409C-BE32-E72D297353CC}">
              <c16:uniqueId val="{00000000-B65B-47BA-B2F4-0C80B036F11E}"/>
            </c:ext>
          </c:extLst>
        </c:ser>
        <c:ser>
          <c:idx val="2"/>
          <c:order val="1"/>
          <c:tx>
            <c:strRef>
              <c:f>'Comparison of Plans'!$B$25</c:f>
              <c:strCache>
                <c:ptCount val="1"/>
                <c:pt idx="0">
                  <c:v>Chronic</c:v>
                </c:pt>
              </c:strCache>
            </c:strRef>
          </c:tx>
          <c:spPr>
            <a:solidFill>
              <a:schemeClr val="accent3"/>
            </a:solidFill>
            <a:ln>
              <a:noFill/>
            </a:ln>
            <a:effectLst/>
          </c:spPr>
          <c:invertIfNegative val="0"/>
          <c:cat>
            <c:strRef>
              <c:f>'Comparison of Plans'!$C$22:$D$22</c:f>
              <c:strCache>
                <c:ptCount val="2"/>
                <c:pt idx="0">
                  <c:v>Current Plan</c:v>
                </c:pt>
                <c:pt idx="1">
                  <c:v>New Plan</c:v>
                </c:pt>
              </c:strCache>
            </c:strRef>
          </c:cat>
          <c:val>
            <c:numRef>
              <c:f>'Comparison of Plans'!$C$25:$D$25</c:f>
              <c:numCache>
                <c:formatCode>"$"#,##0</c:formatCode>
                <c:ptCount val="2"/>
                <c:pt idx="0">
                  <c:v>75.73143370391996</c:v>
                </c:pt>
                <c:pt idx="1">
                  <c:v>75.46873020507295</c:v>
                </c:pt>
              </c:numCache>
            </c:numRef>
          </c:val>
          <c:extLst xmlns:c16r2="http://schemas.microsoft.com/office/drawing/2015/06/chart">
            <c:ext xmlns:c16="http://schemas.microsoft.com/office/drawing/2014/chart" uri="{C3380CC4-5D6E-409C-BE32-E72D297353CC}">
              <c16:uniqueId val="{00000001-B65B-47BA-B2F4-0C80B036F11E}"/>
            </c:ext>
          </c:extLst>
        </c:ser>
        <c:ser>
          <c:idx val="1"/>
          <c:order val="2"/>
          <c:tx>
            <c:strRef>
              <c:f>'Comparison of Plans'!$B$24</c:f>
              <c:strCache>
                <c:ptCount val="1"/>
                <c:pt idx="0">
                  <c:v>Shoppable</c:v>
                </c:pt>
              </c:strCache>
            </c:strRef>
          </c:tx>
          <c:spPr>
            <a:solidFill>
              <a:schemeClr val="accent6"/>
            </a:solidFill>
            <a:ln>
              <a:noFill/>
            </a:ln>
            <a:effectLst/>
          </c:spPr>
          <c:invertIfNegative val="0"/>
          <c:cat>
            <c:strRef>
              <c:f>'Comparison of Plans'!$C$22:$D$22</c:f>
              <c:strCache>
                <c:ptCount val="2"/>
                <c:pt idx="0">
                  <c:v>Current Plan</c:v>
                </c:pt>
                <c:pt idx="1">
                  <c:v>New Plan</c:v>
                </c:pt>
              </c:strCache>
            </c:strRef>
          </c:cat>
          <c:val>
            <c:numRef>
              <c:f>'Comparison of Plans'!$C$24:$D$24</c:f>
              <c:numCache>
                <c:formatCode>"$"#,##0</c:formatCode>
                <c:ptCount val="2"/>
                <c:pt idx="0">
                  <c:v>13.24764370742076</c:v>
                </c:pt>
                <c:pt idx="1">
                  <c:v>13.4461337829315</c:v>
                </c:pt>
              </c:numCache>
            </c:numRef>
          </c:val>
          <c:extLst xmlns:c16r2="http://schemas.microsoft.com/office/drawing/2015/06/chart">
            <c:ext xmlns:c16="http://schemas.microsoft.com/office/drawing/2014/chart" uri="{C3380CC4-5D6E-409C-BE32-E72D297353CC}">
              <c16:uniqueId val="{00000002-B65B-47BA-B2F4-0C80B036F11E}"/>
            </c:ext>
          </c:extLst>
        </c:ser>
        <c:ser>
          <c:idx val="0"/>
          <c:order val="3"/>
          <c:tx>
            <c:strRef>
              <c:f>'Comparison of Plans'!$B$23</c:f>
              <c:strCache>
                <c:ptCount val="1"/>
                <c:pt idx="0">
                  <c:v>Discretionary</c:v>
                </c:pt>
              </c:strCache>
            </c:strRef>
          </c:tx>
          <c:spPr>
            <a:solidFill>
              <a:schemeClr val="accent1"/>
            </a:solidFill>
            <a:ln>
              <a:noFill/>
            </a:ln>
            <a:effectLst/>
          </c:spPr>
          <c:invertIfNegative val="0"/>
          <c:cat>
            <c:strRef>
              <c:f>'Comparison of Plans'!$C$22:$D$22</c:f>
              <c:strCache>
                <c:ptCount val="2"/>
                <c:pt idx="0">
                  <c:v>Current Plan</c:v>
                </c:pt>
                <c:pt idx="1">
                  <c:v>New Plan</c:v>
                </c:pt>
              </c:strCache>
            </c:strRef>
          </c:cat>
          <c:val>
            <c:numRef>
              <c:f>'Comparison of Plans'!$C$23:$D$23</c:f>
              <c:numCache>
                <c:formatCode>"$"#,##0</c:formatCode>
                <c:ptCount val="2"/>
                <c:pt idx="0">
                  <c:v>176.8910379434353</c:v>
                </c:pt>
                <c:pt idx="1">
                  <c:v>124.9730529414992</c:v>
                </c:pt>
              </c:numCache>
            </c:numRef>
          </c:val>
          <c:extLst xmlns:c16r2="http://schemas.microsoft.com/office/drawing/2015/06/chart">
            <c:ext xmlns:c16="http://schemas.microsoft.com/office/drawing/2014/chart" uri="{C3380CC4-5D6E-409C-BE32-E72D297353CC}">
              <c16:uniqueId val="{00000003-B65B-47BA-B2F4-0C80B036F11E}"/>
            </c:ext>
          </c:extLst>
        </c:ser>
        <c:dLbls>
          <c:showLegendKey val="0"/>
          <c:showVal val="0"/>
          <c:showCatName val="0"/>
          <c:showSerName val="0"/>
          <c:showPercent val="0"/>
          <c:showBubbleSize val="0"/>
        </c:dLbls>
        <c:gapWidth val="150"/>
        <c:overlap val="100"/>
        <c:axId val="-482794384"/>
        <c:axId val="-482791120"/>
      </c:barChart>
      <c:catAx>
        <c:axId val="-48279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91120"/>
        <c:crosses val="autoZero"/>
        <c:auto val="1"/>
        <c:lblAlgn val="ctr"/>
        <c:lblOffset val="100"/>
        <c:noMultiLvlLbl val="0"/>
      </c:catAx>
      <c:valAx>
        <c:axId val="-482791120"/>
        <c:scaling>
          <c:orientation val="minMax"/>
        </c:scaling>
        <c:delete val="1"/>
        <c:axPos val="l"/>
        <c:numFmt formatCode="&quot;$&quot;#,##0" sourceLinked="1"/>
        <c:majorTickMark val="none"/>
        <c:minorTickMark val="none"/>
        <c:tickLblPos val="nextTo"/>
        <c:crossAx val="-482794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3"/>
          <c:order val="0"/>
          <c:tx>
            <c:strRef>
              <c:f>'Comparison of Plans'!$B$26</c:f>
              <c:strCache>
                <c:ptCount val="1"/>
                <c:pt idx="0">
                  <c:v>PPP</c:v>
                </c:pt>
              </c:strCache>
            </c:strRef>
          </c:tx>
          <c:spPr>
            <a:solidFill>
              <a:schemeClr val="accent2"/>
            </a:solidFill>
            <a:ln>
              <a:noFill/>
            </a:ln>
            <a:effectLst/>
          </c:spPr>
          <c:invertIfNegative val="0"/>
          <c:cat>
            <c:strRef>
              <c:extLst>
                <c:ext xmlns:c15="http://schemas.microsoft.com/office/drawing/2012/chart" uri="{02D57815-91ED-43cb-92C2-25804820EDAC}">
                  <c15:fullRef>
                    <c15:sqref>'Comparison of Plans'!$C$22:$D$22</c15:sqref>
                  </c15:fullRef>
                </c:ext>
              </c:extLst>
              <c:f>'Comparison of Plans'!$C$22</c:f>
              <c:strCache>
                <c:ptCount val="1"/>
                <c:pt idx="0">
                  <c:v>Current Plan</c:v>
                </c:pt>
              </c:strCache>
            </c:strRef>
          </c:cat>
          <c:val>
            <c:numRef>
              <c:extLst>
                <c:ext xmlns:c15="http://schemas.microsoft.com/office/drawing/2012/chart" uri="{02D57815-91ED-43cb-92C2-25804820EDAC}">
                  <c15:fullRef>
                    <c15:sqref>'Comparison of Plans'!$C$26:$D$26</c15:sqref>
                  </c15:fullRef>
                </c:ext>
              </c:extLst>
              <c:f>'Comparison of Plans'!$C$26</c:f>
              <c:numCache>
                <c:formatCode>"$"#,##0</c:formatCode>
                <c:ptCount val="1"/>
                <c:pt idx="0">
                  <c:v>367.7743473914895</c:v>
                </c:pt>
              </c:numCache>
            </c:numRef>
          </c:val>
          <c:extLst xmlns:c16r2="http://schemas.microsoft.com/office/drawing/2015/06/chart">
            <c:ext xmlns:c16="http://schemas.microsoft.com/office/drawing/2014/chart" uri="{C3380CC4-5D6E-409C-BE32-E72D297353CC}">
              <c16:uniqueId val="{00000000-0F4D-4143-BCBA-3E730EB6F2B2}"/>
            </c:ext>
          </c:extLst>
        </c:ser>
        <c:ser>
          <c:idx val="2"/>
          <c:order val="1"/>
          <c:tx>
            <c:strRef>
              <c:f>'Comparison of Plans'!$B$25</c:f>
              <c:strCache>
                <c:ptCount val="1"/>
                <c:pt idx="0">
                  <c:v>Chronic</c:v>
                </c:pt>
              </c:strCache>
            </c:strRef>
          </c:tx>
          <c:spPr>
            <a:solidFill>
              <a:schemeClr val="accent3"/>
            </a:solidFill>
            <a:ln>
              <a:noFill/>
            </a:ln>
            <a:effectLst/>
          </c:spPr>
          <c:invertIfNegative val="0"/>
          <c:cat>
            <c:strRef>
              <c:extLst>
                <c:ext xmlns:c15="http://schemas.microsoft.com/office/drawing/2012/chart" uri="{02D57815-91ED-43cb-92C2-25804820EDAC}">
                  <c15:fullRef>
                    <c15:sqref>'Comparison of Plans'!$C$22:$D$22</c15:sqref>
                  </c15:fullRef>
                </c:ext>
              </c:extLst>
              <c:f>'Comparison of Plans'!$C$22</c:f>
              <c:strCache>
                <c:ptCount val="1"/>
                <c:pt idx="0">
                  <c:v>Current Plan</c:v>
                </c:pt>
              </c:strCache>
            </c:strRef>
          </c:cat>
          <c:val>
            <c:numRef>
              <c:extLst>
                <c:ext xmlns:c15="http://schemas.microsoft.com/office/drawing/2012/chart" uri="{02D57815-91ED-43cb-92C2-25804820EDAC}">
                  <c15:fullRef>
                    <c15:sqref>'Comparison of Plans'!$C$25:$D$25</c15:sqref>
                  </c15:fullRef>
                </c:ext>
              </c:extLst>
              <c:f>'Comparison of Plans'!$C$25</c:f>
              <c:numCache>
                <c:formatCode>"$"#,##0</c:formatCode>
                <c:ptCount val="1"/>
                <c:pt idx="0">
                  <c:v>75.73143370391996</c:v>
                </c:pt>
              </c:numCache>
            </c:numRef>
          </c:val>
          <c:extLst xmlns:c16r2="http://schemas.microsoft.com/office/drawing/2015/06/chart">
            <c:ext xmlns:c16="http://schemas.microsoft.com/office/drawing/2014/chart" uri="{C3380CC4-5D6E-409C-BE32-E72D297353CC}">
              <c16:uniqueId val="{00000001-0F4D-4143-BCBA-3E730EB6F2B2}"/>
            </c:ext>
          </c:extLst>
        </c:ser>
        <c:ser>
          <c:idx val="1"/>
          <c:order val="2"/>
          <c:tx>
            <c:strRef>
              <c:f>'Comparison of Plans'!$B$24</c:f>
              <c:strCache>
                <c:ptCount val="1"/>
                <c:pt idx="0">
                  <c:v>Shoppable</c:v>
                </c:pt>
              </c:strCache>
            </c:strRef>
          </c:tx>
          <c:spPr>
            <a:solidFill>
              <a:schemeClr val="accent6"/>
            </a:solidFill>
            <a:ln>
              <a:noFill/>
            </a:ln>
            <a:effectLst/>
          </c:spPr>
          <c:invertIfNegative val="0"/>
          <c:cat>
            <c:strRef>
              <c:extLst>
                <c:ext xmlns:c15="http://schemas.microsoft.com/office/drawing/2012/chart" uri="{02D57815-91ED-43cb-92C2-25804820EDAC}">
                  <c15:fullRef>
                    <c15:sqref>'Comparison of Plans'!$C$22:$D$22</c15:sqref>
                  </c15:fullRef>
                </c:ext>
              </c:extLst>
              <c:f>'Comparison of Plans'!$C$22</c:f>
              <c:strCache>
                <c:ptCount val="1"/>
                <c:pt idx="0">
                  <c:v>Current Plan</c:v>
                </c:pt>
              </c:strCache>
            </c:strRef>
          </c:cat>
          <c:val>
            <c:numRef>
              <c:extLst>
                <c:ext xmlns:c15="http://schemas.microsoft.com/office/drawing/2012/chart" uri="{02D57815-91ED-43cb-92C2-25804820EDAC}">
                  <c15:fullRef>
                    <c15:sqref>'Comparison of Plans'!$C$24:$D$24</c15:sqref>
                  </c15:fullRef>
                </c:ext>
              </c:extLst>
              <c:f>'Comparison of Plans'!$C$24</c:f>
              <c:numCache>
                <c:formatCode>"$"#,##0</c:formatCode>
                <c:ptCount val="1"/>
                <c:pt idx="0">
                  <c:v>13.24764370742076</c:v>
                </c:pt>
              </c:numCache>
            </c:numRef>
          </c:val>
          <c:extLst xmlns:c16r2="http://schemas.microsoft.com/office/drawing/2015/06/chart">
            <c:ext xmlns:c16="http://schemas.microsoft.com/office/drawing/2014/chart" uri="{C3380CC4-5D6E-409C-BE32-E72D297353CC}">
              <c16:uniqueId val="{00000002-0F4D-4143-BCBA-3E730EB6F2B2}"/>
            </c:ext>
          </c:extLst>
        </c:ser>
        <c:ser>
          <c:idx val="0"/>
          <c:order val="3"/>
          <c:tx>
            <c:strRef>
              <c:f>'Comparison of Plans'!$B$23</c:f>
              <c:strCache>
                <c:ptCount val="1"/>
                <c:pt idx="0">
                  <c:v>Discretionary</c:v>
                </c:pt>
              </c:strCache>
            </c:strRef>
          </c:tx>
          <c:spPr>
            <a:solidFill>
              <a:schemeClr val="accent1"/>
            </a:solidFill>
            <a:ln>
              <a:noFill/>
            </a:ln>
            <a:effectLst/>
          </c:spPr>
          <c:invertIfNegative val="0"/>
          <c:cat>
            <c:strRef>
              <c:extLst>
                <c:ext xmlns:c15="http://schemas.microsoft.com/office/drawing/2012/chart" uri="{02D57815-91ED-43cb-92C2-25804820EDAC}">
                  <c15:fullRef>
                    <c15:sqref>'Comparison of Plans'!$C$22:$D$22</c15:sqref>
                  </c15:fullRef>
                </c:ext>
              </c:extLst>
              <c:f>'Comparison of Plans'!$C$22</c:f>
              <c:strCache>
                <c:ptCount val="1"/>
                <c:pt idx="0">
                  <c:v>Current Plan</c:v>
                </c:pt>
              </c:strCache>
            </c:strRef>
          </c:cat>
          <c:val>
            <c:numRef>
              <c:extLst>
                <c:ext xmlns:c15="http://schemas.microsoft.com/office/drawing/2012/chart" uri="{02D57815-91ED-43cb-92C2-25804820EDAC}">
                  <c15:fullRef>
                    <c15:sqref>'Comparison of Plans'!$C$23:$D$23</c15:sqref>
                  </c15:fullRef>
                </c:ext>
              </c:extLst>
              <c:f>'Comparison of Plans'!$C$23</c:f>
              <c:numCache>
                <c:formatCode>"$"#,##0</c:formatCode>
                <c:ptCount val="1"/>
                <c:pt idx="0">
                  <c:v>176.8910379434353</c:v>
                </c:pt>
              </c:numCache>
            </c:numRef>
          </c:val>
          <c:extLst xmlns:c16r2="http://schemas.microsoft.com/office/drawing/2015/06/chart">
            <c:ext xmlns:c16="http://schemas.microsoft.com/office/drawing/2014/chart" uri="{C3380CC4-5D6E-409C-BE32-E72D297353CC}">
              <c16:uniqueId val="{00000003-0F4D-4143-BCBA-3E730EB6F2B2}"/>
            </c:ext>
          </c:extLst>
        </c:ser>
        <c:dLbls>
          <c:showLegendKey val="0"/>
          <c:showVal val="0"/>
          <c:showCatName val="0"/>
          <c:showSerName val="0"/>
          <c:showPercent val="0"/>
          <c:showBubbleSize val="0"/>
        </c:dLbls>
        <c:gapWidth val="150"/>
        <c:overlap val="100"/>
        <c:axId val="-482758384"/>
        <c:axId val="-482755120"/>
      </c:barChart>
      <c:catAx>
        <c:axId val="-48275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55120"/>
        <c:crosses val="autoZero"/>
        <c:auto val="1"/>
        <c:lblAlgn val="ctr"/>
        <c:lblOffset val="100"/>
        <c:noMultiLvlLbl val="0"/>
      </c:catAx>
      <c:valAx>
        <c:axId val="-482755120"/>
        <c:scaling>
          <c:orientation val="minMax"/>
        </c:scaling>
        <c:delete val="1"/>
        <c:axPos val="l"/>
        <c:numFmt formatCode="&quot;$&quot;#,##0" sourceLinked="1"/>
        <c:majorTickMark val="none"/>
        <c:minorTickMark val="none"/>
        <c:tickLblPos val="nextTo"/>
        <c:crossAx val="-48275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CheckBox" checked="Checked" fmlaLink="$J$11" lockText="1" noThreeD="1"/>
</file>

<file path=xl/ctrlProps/ctrlProp3.xml><?xml version="1.0" encoding="utf-8"?>
<formControlPr xmlns="http://schemas.microsoft.com/office/spreadsheetml/2009/9/main" objectType="CheckBox" checked="Checked" fmlaLink="$J$13" lockText="1" noThreeD="1"/>
</file>

<file path=xl/ctrlProps/ctrlProp4.xml><?xml version="1.0" encoding="utf-8"?>
<formControlPr xmlns="http://schemas.microsoft.com/office/spreadsheetml/2009/9/main" objectType="CheckBox" checked="Checked" fmlaLink="$J$12" lockText="1" noThreeD="1"/>
</file>

<file path=xl/ctrlProps/ctrlProp5.xml><?xml version="1.0" encoding="utf-8"?>
<formControlPr xmlns="http://schemas.microsoft.com/office/spreadsheetml/2009/9/main" objectType="CheckBox" checked="Checked" fmlaLink="$J$14" lockText="1" noThreeD="1"/>
</file>

<file path=xl/ctrlProps/ctrlProp6.xml><?xml version="1.0" encoding="utf-8"?>
<formControlPr xmlns="http://schemas.microsoft.com/office/spreadsheetml/2009/9/main" objectType="CheckBox" checked="Checked" fmlaLink="$J$15" lockText="1" noThreeD="1"/>
</file>

<file path=xl/ctrlProps/ctrlProp7.xml><?xml version="1.0" encoding="utf-8"?>
<formControlPr xmlns="http://schemas.microsoft.com/office/spreadsheetml/2009/9/main" objectType="CheckBox" checked="Checked" fmlaLink="$J$16" lockText="1" noThreeD="1"/>
</file>

<file path=xl/ctrlProps/ctrlProp8.xml><?xml version="1.0" encoding="utf-8"?>
<formControlPr xmlns="http://schemas.microsoft.com/office/spreadsheetml/2009/9/main" objectType="CheckBox" checked="Checked" fmlaLink="$J$17" lockText="1" noThreeD="1"/>
</file>

<file path=xl/ctrlProps/ctrlProp9.xml><?xml version="1.0" encoding="utf-8"?>
<formControlPr xmlns="http://schemas.microsoft.com/office/spreadsheetml/2009/9/main" objectType="CheckBox" checked="Checked" fmlaLink="$J$18" lockText="1" noThreeD="1"/>
</file>

<file path=xl/ctrlProps/ctrlProp10.xml><?xml version="1.0" encoding="utf-8"?>
<formControlPr xmlns="http://schemas.microsoft.com/office/spreadsheetml/2009/9/main" objectType="CheckBox" checked="Checked" fmlaLink="$J$19" lockText="1" noThreeD="1"/>
</file>

<file path=xl/ctrlProps/ctrlProp11.xml><?xml version="1.0" encoding="utf-8"?>
<formControlPr xmlns="http://schemas.microsoft.com/office/spreadsheetml/2009/9/main" objectType="CheckBox" checked="Checked" fmlaLink="$J$20" lockText="1" noThreeD="1"/>
</file>

<file path=xl/ctrlProps/ctrlProp12.xml><?xml version="1.0" encoding="utf-8"?>
<formControlPr xmlns="http://schemas.microsoft.com/office/spreadsheetml/2009/9/main" objectType="CheckBox" checked="Checked" fmlaLink="$J$21" lockText="1" noThreeD="1"/>
</file>

<file path=xl/ctrlProps/ctrlProp13.xml><?xml version="1.0" encoding="utf-8"?>
<formControlPr xmlns="http://schemas.microsoft.com/office/spreadsheetml/2009/9/main" objectType="CheckBox" checked="Checked" fmlaLink="$J$22" lockText="1" noThreeD="1"/>
</file>

<file path=xl/ctrlProps/ctrlProp14.xml><?xml version="1.0" encoding="utf-8"?>
<formControlPr xmlns="http://schemas.microsoft.com/office/spreadsheetml/2009/9/main" objectType="CheckBox" checked="Checked" fmlaLink="$J$23" lockText="1" noThreeD="1"/>
</file>

<file path=xl/ctrlProps/ctrlProp15.xml><?xml version="1.0" encoding="utf-8"?>
<formControlPr xmlns="http://schemas.microsoft.com/office/spreadsheetml/2009/9/main" objectType="CheckBox" checked="Checked" fmlaLink="$J$24" lockText="1" noThreeD="1"/>
</file>

<file path=xl/ctrlProps/ctrlProp16.xml><?xml version="1.0" encoding="utf-8"?>
<formControlPr xmlns="http://schemas.microsoft.com/office/spreadsheetml/2009/9/main" objectType="CheckBox" checked="Checked" fmlaLink="$J$25" lockText="1" noThreeD="1"/>
</file>

<file path=xl/ctrlProps/ctrlProp17.xml><?xml version="1.0" encoding="utf-8"?>
<formControlPr xmlns="http://schemas.microsoft.com/office/spreadsheetml/2009/9/main" objectType="CheckBox" checked="Checked" fmlaLink="$J$26" lockText="1" noThreeD="1"/>
</file>

<file path=xl/ctrlProps/ctrlProp18.xml><?xml version="1.0" encoding="utf-8"?>
<formControlPr xmlns="http://schemas.microsoft.com/office/spreadsheetml/2009/9/main" objectType="CheckBox" checked="Checked" fmlaLink="$J$29" lockText="1" noThreeD="1"/>
</file>

<file path=xl/ctrlProps/ctrlProp19.xml><?xml version="1.0" encoding="utf-8"?>
<formControlPr xmlns="http://schemas.microsoft.com/office/spreadsheetml/2009/9/main" objectType="CheckBox" checked="Checked" fmlaLink="$J$28" lockText="1" noThreeD="1"/>
</file>

<file path=xl/ctrlProps/ctrlProp20.xml><?xml version="1.0" encoding="utf-8"?>
<formControlPr xmlns="http://schemas.microsoft.com/office/spreadsheetml/2009/9/main" objectType="CheckBox" checked="Checked" fmlaLink="$J$27" lockText="1" noThreeD="1"/>
</file>

<file path=xl/ctrlProps/ctrlProp21.xml><?xml version="1.0" encoding="utf-8"?>
<formControlPr xmlns="http://schemas.microsoft.com/office/spreadsheetml/2009/9/main" objectType="CheckBox" checked="Checked" fmlaLink="$J$31" lockText="1" noThreeD="1"/>
</file>

<file path=xl/ctrlProps/ctrlProp22.xml><?xml version="1.0" encoding="utf-8"?>
<formControlPr xmlns="http://schemas.microsoft.com/office/spreadsheetml/2009/9/main" objectType="CheckBox" checked="Checked" fmlaLink="$J$33" lockText="1" noThreeD="1"/>
</file>

<file path=xl/ctrlProps/ctrlProp23.xml><?xml version="1.0" encoding="utf-8"?>
<formControlPr xmlns="http://schemas.microsoft.com/office/spreadsheetml/2009/9/main" objectType="CheckBox" checked="Checked" fmlaLink="$J$35" lockText="1" noThreeD="1"/>
</file>

<file path=xl/ctrlProps/ctrlProp24.xml><?xml version="1.0" encoding="utf-8"?>
<formControlPr xmlns="http://schemas.microsoft.com/office/spreadsheetml/2009/9/main" objectType="CheckBox" checked="Checked" fmlaLink="$J$37" lockText="1" noThreeD="1"/>
</file>

<file path=xl/ctrlProps/ctrlProp25.xml><?xml version="1.0" encoding="utf-8"?>
<formControlPr xmlns="http://schemas.microsoft.com/office/spreadsheetml/2009/9/main" objectType="CheckBox" checked="Checked" fmlaLink="$J$30" lockText="1" noThreeD="1"/>
</file>

<file path=xl/ctrlProps/ctrlProp26.xml><?xml version="1.0" encoding="utf-8"?>
<formControlPr xmlns="http://schemas.microsoft.com/office/spreadsheetml/2009/9/main" objectType="CheckBox" checked="Checked" fmlaLink="$J$32" lockText="1" noThreeD="1"/>
</file>

<file path=xl/ctrlProps/ctrlProp27.xml><?xml version="1.0" encoding="utf-8"?>
<formControlPr xmlns="http://schemas.microsoft.com/office/spreadsheetml/2009/9/main" objectType="CheckBox" checked="Checked" fmlaLink="$J$34" lockText="1" noThreeD="1"/>
</file>

<file path=xl/ctrlProps/ctrlProp28.xml><?xml version="1.0" encoding="utf-8"?>
<formControlPr xmlns="http://schemas.microsoft.com/office/spreadsheetml/2009/9/main" objectType="CheckBox" checked="Checked" fmlaLink="$J$36" lockText="1" noThreeD="1"/>
</file>

<file path=xl/ctrlProps/ctrlProp29.xml><?xml version="1.0" encoding="utf-8"?>
<formControlPr xmlns="http://schemas.microsoft.com/office/spreadsheetml/2009/9/main" objectType="CheckBox" checked="Checked" fmlaLink="$J$38" lockText="1" noThreeD="1"/>
</file>

<file path=xl/ctrlProps/ctrlProp30.xml><?xml version="1.0" encoding="utf-8"?>
<formControlPr xmlns="http://schemas.microsoft.com/office/spreadsheetml/2009/9/main" objectType="CheckBox" checked="Checked" fmlaLink="$J$39" lockText="1" noThreeD="1"/>
</file>

<file path=xl/ctrlProps/ctrlProp31.xml><?xml version="1.0" encoding="utf-8"?>
<formControlPr xmlns="http://schemas.microsoft.com/office/spreadsheetml/2009/9/main" objectType="CheckBox" checked="Checked" fmlaLink="$J$40" lockText="1" noThreeD="1"/>
</file>

<file path=xl/ctrlProps/ctrlProp32.xml><?xml version="1.0" encoding="utf-8"?>
<formControlPr xmlns="http://schemas.microsoft.com/office/spreadsheetml/2009/9/main" objectType="CheckBox" fmlaLink="$J$42" lockText="1" noThreeD="1"/>
</file>

<file path=xl/ctrlProps/ctrlProp33.xml><?xml version="1.0" encoding="utf-8"?>
<formControlPr xmlns="http://schemas.microsoft.com/office/spreadsheetml/2009/9/main" objectType="CheckBox" fmlaLink="$J$43" lockText="1" noThreeD="1"/>
</file>

<file path=xl/ctrlProps/ctrlProp34.xml><?xml version="1.0" encoding="utf-8"?>
<formControlPr xmlns="http://schemas.microsoft.com/office/spreadsheetml/2009/9/main" objectType="CheckBox" fmlaLink="$J$41" lockText="1" noThreeD="1"/>
</file>

<file path=xl/ctrlProps/ctrlProp35.xml><?xml version="1.0" encoding="utf-8"?>
<formControlPr xmlns="http://schemas.microsoft.com/office/spreadsheetml/2009/9/main" objectType="CheckBox" fmlaLink="$J$44" lockText="1" noThreeD="1"/>
</file>

<file path=xl/ctrlProps/ctrlProp36.xml><?xml version="1.0" encoding="utf-8"?>
<formControlPr xmlns="http://schemas.microsoft.com/office/spreadsheetml/2009/9/main" objectType="CheckBox" checked="Checked" fmlaLink="$J$10" lockText="1" noThreeD="1"/>
</file>

<file path=xl/ctrlProps/ctrlProp37.xml><?xml version="1.0" encoding="utf-8"?>
<formControlPr xmlns="http://schemas.microsoft.com/office/spreadsheetml/2009/9/main" objectType="Scroll" dx="26" fmlaLink="$J$6" horiz="1" max="100" page="10" val="85"/>
</file>

<file path=xl/ctrlProps/ctrlProp38.xml><?xml version="1.0" encoding="utf-8"?>
<formControlPr xmlns="http://schemas.microsoft.com/office/spreadsheetml/2009/9/main" objectType="CheckBox" checked="Checked" lockText="1" noThreeD="1"/>
</file>

<file path=xl/ctrlProps/ctrlProp39.xml><?xml version="1.0" encoding="utf-8"?>
<formControlPr xmlns="http://schemas.microsoft.com/office/spreadsheetml/2009/9/main" objectType="CheckBox" checked="Checked" lockText="1" noThreeD="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checked="Checked"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checked="Checked" lockText="1" noThreeD="1"/>
</file>

<file path=xl/ctrlProps/ctrlProp50.xml><?xml version="1.0" encoding="utf-8"?>
<formControlPr xmlns="http://schemas.microsoft.com/office/spreadsheetml/2009/9/main" objectType="CheckBox" checked="Checked" lockText="1" noThreeD="1"/>
</file>

<file path=xl/ctrlProps/ctrlProp51.xml><?xml version="1.0" encoding="utf-8"?>
<formControlPr xmlns="http://schemas.microsoft.com/office/spreadsheetml/2009/9/main" objectType="CheckBox" checked="Checked" lockText="1" noThreeD="1"/>
</file>

<file path=xl/ctrlProps/ctrlProp52.xml><?xml version="1.0" encoding="utf-8"?>
<formControlPr xmlns="http://schemas.microsoft.com/office/spreadsheetml/2009/9/main" objectType="CheckBox" checked="Checked" lockText="1" noThreeD="1"/>
</file>

<file path=xl/ctrlProps/ctrlProp53.xml><?xml version="1.0" encoding="utf-8"?>
<formControlPr xmlns="http://schemas.microsoft.com/office/spreadsheetml/2009/9/main" objectType="CheckBox" checked="Checked"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checked="Checked" lockText="1" noThreeD="1"/>
</file>

<file path=xl/ctrlProps/ctrlProp57.xml><?xml version="1.0" encoding="utf-8"?>
<formControlPr xmlns="http://schemas.microsoft.com/office/spreadsheetml/2009/9/main" objectType="CheckBox" checked="Checked"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checked="Checked" lockText="1" noThreeD="1"/>
</file>

<file path=xl/ctrlProps/ctrlProp60.xml><?xml version="1.0" encoding="utf-8"?>
<formControlPr xmlns="http://schemas.microsoft.com/office/spreadsheetml/2009/9/main" objectType="CheckBox" checked="Checked" lockText="1" noThreeD="1"/>
</file>

<file path=xl/ctrlProps/ctrlProp61.xml><?xml version="1.0" encoding="utf-8"?>
<formControlPr xmlns="http://schemas.microsoft.com/office/spreadsheetml/2009/9/main" objectType="CheckBox" checked="Checked" lockText="1" noThreeD="1"/>
</file>

<file path=xl/ctrlProps/ctrlProp62.xml><?xml version="1.0" encoding="utf-8"?>
<formControlPr xmlns="http://schemas.microsoft.com/office/spreadsheetml/2009/9/main" objectType="CheckBox" checked="Checked" lockText="1" noThreeD="1"/>
</file>

<file path=xl/ctrlProps/ctrlProp63.xml><?xml version="1.0" encoding="utf-8"?>
<formControlPr xmlns="http://schemas.microsoft.com/office/spreadsheetml/2009/9/main" objectType="CheckBox" checked="Checked"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checked="Checked"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checked="Checked" lockText="1" noThreeD="1"/>
</file>

<file path=xl/ctrlProps/ctrlProp75.xml><?xml version="1.0" encoding="utf-8"?>
<formControlPr xmlns="http://schemas.microsoft.com/office/spreadsheetml/2009/9/main" objectType="CheckBox" checked="Checked" lockText="1" noThreeD="1"/>
</file>

<file path=xl/ctrlProps/ctrlProp76.xml><?xml version="1.0" encoding="utf-8"?>
<formControlPr xmlns="http://schemas.microsoft.com/office/spreadsheetml/2009/9/main" objectType="CheckBox" checked="Checked" lockText="1" noThreeD="1"/>
</file>

<file path=xl/ctrlProps/ctrlProp77.xml><?xml version="1.0" encoding="utf-8"?>
<formControlPr xmlns="http://schemas.microsoft.com/office/spreadsheetml/2009/9/main" objectType="CheckBox" checked="Checked" lockText="1" noThreeD="1"/>
</file>

<file path=xl/ctrlProps/ctrlProp78.xml><?xml version="1.0" encoding="utf-8"?>
<formControlPr xmlns="http://schemas.microsoft.com/office/spreadsheetml/2009/9/main" objectType="CheckBox" checked="Checked"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checked="Checked" lockText="1" noThreeD="1"/>
</file>

<file path=xl/ctrlProps/ctrlProp82.xml><?xml version="1.0" encoding="utf-8"?>
<formControlPr xmlns="http://schemas.microsoft.com/office/spreadsheetml/2009/9/main" objectType="CheckBox" checked="Checked"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checked="Checked" lockText="1" noThreeD="1"/>
</file>

<file path=xl/ctrlProps/ctrlProp85.xml><?xml version="1.0" encoding="utf-8"?>
<formControlPr xmlns="http://schemas.microsoft.com/office/spreadsheetml/2009/9/main" objectType="CheckBox" checked="Checked" lockText="1" noThreeD="1"/>
</file>

<file path=xl/ctrlProps/ctrlProp86.xml><?xml version="1.0" encoding="utf-8"?>
<formControlPr xmlns="http://schemas.microsoft.com/office/spreadsheetml/2009/9/main" objectType="CheckBox" checked="Checked" lockText="1" noThreeD="1"/>
</file>

<file path=xl/ctrlProps/ctrlProp87.xml><?xml version="1.0" encoding="utf-8"?>
<formControlPr xmlns="http://schemas.microsoft.com/office/spreadsheetml/2009/9/main" objectType="CheckBox" checked="Checked" lockText="1" noThreeD="1"/>
</file>

<file path=xl/ctrlProps/ctrlProp88.xml><?xml version="1.0" encoding="utf-8"?>
<formControlPr xmlns="http://schemas.microsoft.com/office/spreadsheetml/2009/9/main" objectType="CheckBox" checked="Checked"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checked="Checked" lockText="1" noThreeD="1"/>
</file>

<file path=xl/ctrlProps/ctrlProp96.xml><?xml version="1.0" encoding="utf-8"?>
<formControlPr xmlns="http://schemas.microsoft.com/office/spreadsheetml/2009/9/main" objectType="CheckBox" checked="Checked" lockText="1" noThreeD="1"/>
</file>

<file path=xl/ctrlProps/ctrlProp97.xml><?xml version="1.0" encoding="utf-8"?>
<formControlPr xmlns="http://schemas.microsoft.com/office/spreadsheetml/2009/9/main" objectType="CheckBox" checked="Checked" lockText="1" noThreeD="1"/>
</file>

<file path=xl/ctrlProps/ctrlProp98.xml><?xml version="1.0" encoding="utf-8"?>
<formControlPr xmlns="http://schemas.microsoft.com/office/spreadsheetml/2009/9/main" objectType="CheckBox" checked="Checked" lockText="1" noThreeD="1"/>
</file>

<file path=xl/ctrlProps/ctrlProp99.xml><?xml version="1.0" encoding="utf-8"?>
<formControlPr xmlns="http://schemas.microsoft.com/office/spreadsheetml/2009/9/main" objectType="CheckBox" checked="Checked" lockText="1" noThreeD="1"/>
</file>

<file path=xl/ctrlProps/ctrlProp100.xml><?xml version="1.0" encoding="utf-8"?>
<formControlPr xmlns="http://schemas.microsoft.com/office/spreadsheetml/2009/9/main" objectType="CheckBox" checked="Checked" lockText="1" noThreeD="1"/>
</file>

<file path=xl/ctrlProps/ctrlProp101.xml><?xml version="1.0" encoding="utf-8"?>
<formControlPr xmlns="http://schemas.microsoft.com/office/spreadsheetml/2009/9/main" objectType="CheckBox" checked="Checked" lockText="1" noThreeD="1"/>
</file>

<file path=xl/ctrlProps/ctrlProp102.xml><?xml version="1.0" encoding="utf-8"?>
<formControlPr xmlns="http://schemas.microsoft.com/office/spreadsheetml/2009/9/main" objectType="CheckBox" checked="Checked" lockText="1" noThreeD="1"/>
</file>

<file path=xl/ctrlProps/ctrlProp103.xml><?xml version="1.0" encoding="utf-8"?>
<formControlPr xmlns="http://schemas.microsoft.com/office/spreadsheetml/2009/9/main" objectType="CheckBox" checked="Checked" lockText="1" noThreeD="1"/>
</file>

<file path=xl/ctrlProps/ctrlProp104.xml><?xml version="1.0" encoding="utf-8"?>
<formControlPr xmlns="http://schemas.microsoft.com/office/spreadsheetml/2009/9/main" objectType="CheckBox" checked="Checked" lockText="1" noThreeD="1"/>
</file>

<file path=xl/ctrlProps/ctrlProp105.xml><?xml version="1.0" encoding="utf-8"?>
<formControlPr xmlns="http://schemas.microsoft.com/office/spreadsheetml/2009/9/main" objectType="CheckBox" checked="Checked" lockText="1" noThreeD="1"/>
</file>

<file path=xl/ctrlProps/ctrlProp106.xml><?xml version="1.0" encoding="utf-8"?>
<formControlPr xmlns="http://schemas.microsoft.com/office/spreadsheetml/2009/9/main" objectType="CheckBox" checked="Checked" lockText="1" noThreeD="1"/>
</file>

<file path=xl/ctrlProps/ctrlProp107.xml><?xml version="1.0" encoding="utf-8"?>
<formControlPr xmlns="http://schemas.microsoft.com/office/spreadsheetml/2009/9/main" objectType="CheckBox" checked="Checked" lockText="1" noThreeD="1"/>
</file>

<file path=xl/ctrlProps/ctrlProp108.xml><?xml version="1.0" encoding="utf-8"?>
<formControlPr xmlns="http://schemas.microsoft.com/office/spreadsheetml/2009/9/main" objectType="CheckBox" checked="Checked" lockText="1" noThreeD="1"/>
</file>

<file path=xl/ctrlProps/ctrlProp109.xml><?xml version="1.0" encoding="utf-8"?>
<formControlPr xmlns="http://schemas.microsoft.com/office/spreadsheetml/2009/9/main" objectType="CheckBox" checked="Checked" lockText="1" noThreeD="1"/>
</file>

<file path=xl/ctrlProps/ctrlProp110.xml><?xml version="1.0" encoding="utf-8"?>
<formControlPr xmlns="http://schemas.microsoft.com/office/spreadsheetml/2009/9/main" objectType="CheckBox" checked="Checked"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checked="Checked" lockText="1" noThreeD="1"/>
</file>

<file path=xl/ctrlProps/ctrlProp113.xml><?xml version="1.0" encoding="utf-8"?>
<formControlPr xmlns="http://schemas.microsoft.com/office/spreadsheetml/2009/9/main" objectType="CheckBox" checked="Checked" lockText="1" noThreeD="1"/>
</file>

<file path=xl/ctrlProps/ctrlProp114.xml><?xml version="1.0" encoding="utf-8"?>
<formControlPr xmlns="http://schemas.microsoft.com/office/spreadsheetml/2009/9/main" objectType="CheckBox" checked="Checked" lockText="1" noThreeD="1"/>
</file>

<file path=xl/ctrlProps/ctrlProp115.xml><?xml version="1.0" encoding="utf-8"?>
<formControlPr xmlns="http://schemas.microsoft.com/office/spreadsheetml/2009/9/main" objectType="CheckBox" checked="Checked" lockText="1" noThreeD="1"/>
</file>

<file path=xl/ctrlProps/ctrlProp116.xml><?xml version="1.0" encoding="utf-8"?>
<formControlPr xmlns="http://schemas.microsoft.com/office/spreadsheetml/2009/9/main" objectType="CheckBox" checked="Checked" lockText="1" noThreeD="1"/>
</file>

<file path=xl/ctrlProps/ctrlProp117.xml><?xml version="1.0" encoding="utf-8"?>
<formControlPr xmlns="http://schemas.microsoft.com/office/spreadsheetml/2009/9/main" objectType="CheckBox" checked="Checked" lockText="1" noThreeD="1"/>
</file>

<file path=xl/ctrlProps/ctrlProp118.xml><?xml version="1.0" encoding="utf-8"?>
<formControlPr xmlns="http://schemas.microsoft.com/office/spreadsheetml/2009/9/main" objectType="CheckBox" checked="Checked" lockText="1" noThreeD="1"/>
</file>

<file path=xl/ctrlProps/ctrlProp119.xml><?xml version="1.0" encoding="utf-8"?>
<formControlPr xmlns="http://schemas.microsoft.com/office/spreadsheetml/2009/9/main" objectType="CheckBox" checked="Checked" lockText="1" noThreeD="1"/>
</file>

<file path=xl/ctrlProps/ctrlProp120.xml><?xml version="1.0" encoding="utf-8"?>
<formControlPr xmlns="http://schemas.microsoft.com/office/spreadsheetml/2009/9/main" objectType="CheckBox" checked="Checked" lockText="1" noThreeD="1"/>
</file>

<file path=xl/ctrlProps/ctrlProp121.xml><?xml version="1.0" encoding="utf-8"?>
<formControlPr xmlns="http://schemas.microsoft.com/office/spreadsheetml/2009/9/main" objectType="CheckBox" checked="Checked" lockText="1" noThreeD="1"/>
</file>

<file path=xl/ctrlProps/ctrlProp122.xml><?xml version="1.0" encoding="utf-8"?>
<formControlPr xmlns="http://schemas.microsoft.com/office/spreadsheetml/2009/9/main" objectType="CheckBox" checked="Checked" lockText="1" noThreeD="1"/>
</file>

<file path=xl/ctrlProps/ctrlProp123.xml><?xml version="1.0" encoding="utf-8"?>
<formControlPr xmlns="http://schemas.microsoft.com/office/spreadsheetml/2009/9/main" objectType="CheckBox" checked="Checked" lockText="1" noThreeD="1"/>
</file>

<file path=xl/ctrlProps/ctrlProp124.xml><?xml version="1.0" encoding="utf-8"?>
<formControlPr xmlns="http://schemas.microsoft.com/office/spreadsheetml/2009/9/main" objectType="CheckBox" checked="Checked" lockText="1" noThreeD="1"/>
</file>

<file path=xl/ctrlProps/ctrlProp125.xml><?xml version="1.0" encoding="utf-8"?>
<formControlPr xmlns="http://schemas.microsoft.com/office/spreadsheetml/2009/9/main" objectType="CheckBox" checked="Checked" lockText="1" noThreeD="1"/>
</file>

<file path=xl/ctrlProps/ctrlProp126.xml><?xml version="1.0" encoding="utf-8"?>
<formControlPr xmlns="http://schemas.microsoft.com/office/spreadsheetml/2009/9/main" objectType="CheckBox" checked="Checked" lockText="1" noThreeD="1"/>
</file>

<file path=xl/ctrlProps/ctrlProp127.xml><?xml version="1.0" encoding="utf-8"?>
<formControlPr xmlns="http://schemas.microsoft.com/office/spreadsheetml/2009/9/main" objectType="CheckBox" checked="Checked" lockText="1" noThreeD="1"/>
</file>

<file path=xl/ctrlProps/ctrlProp128.xml><?xml version="1.0" encoding="utf-8"?>
<formControlPr xmlns="http://schemas.microsoft.com/office/spreadsheetml/2009/9/main" objectType="CheckBox" checked="Checked" lockText="1" noThreeD="1"/>
</file>

<file path=xl/ctrlProps/ctrlProp129.xml><?xml version="1.0" encoding="utf-8"?>
<formControlPr xmlns="http://schemas.microsoft.com/office/spreadsheetml/2009/9/main" objectType="CheckBox" checked="Checked" lockText="1" noThreeD="1"/>
</file>

<file path=xl/ctrlProps/ctrlProp130.xml><?xml version="1.0" encoding="utf-8"?>
<formControlPr xmlns="http://schemas.microsoft.com/office/spreadsheetml/2009/9/main" objectType="CheckBox" checked="Checked" lockText="1" noThreeD="1"/>
</file>

<file path=xl/ctrlProps/ctrlProp131.xml><?xml version="1.0" encoding="utf-8"?>
<formControlPr xmlns="http://schemas.microsoft.com/office/spreadsheetml/2009/9/main" objectType="CheckBox" checked="Checked" lockText="1" noThreeD="1"/>
</file>

<file path=xl/ctrlProps/ctrlProp132.xml><?xml version="1.0" encoding="utf-8"?>
<formControlPr xmlns="http://schemas.microsoft.com/office/spreadsheetml/2009/9/main" objectType="CheckBox" checked="Checked" lockText="1" noThreeD="1"/>
</file>

<file path=xl/ctrlProps/ctrlProp133.xml><?xml version="1.0" encoding="utf-8"?>
<formControlPr xmlns="http://schemas.microsoft.com/office/spreadsheetml/2009/9/main" objectType="CheckBox" checked="Checked" lockText="1" noThreeD="1"/>
</file>

<file path=xl/ctrlProps/ctrlProp134.xml><?xml version="1.0" encoding="utf-8"?>
<formControlPr xmlns="http://schemas.microsoft.com/office/spreadsheetml/2009/9/main" objectType="CheckBox" checked="Checked" lockText="1" noThreeD="1"/>
</file>

<file path=xl/ctrlProps/ctrlProp135.xml><?xml version="1.0" encoding="utf-8"?>
<formControlPr xmlns="http://schemas.microsoft.com/office/spreadsheetml/2009/9/main" objectType="CheckBox" checked="Checked"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checked="Checked" lockText="1" noThreeD="1"/>
</file>

<file path=xl/ctrlProps/ctrlProp138.xml><?xml version="1.0" encoding="utf-8"?>
<formControlPr xmlns="http://schemas.microsoft.com/office/spreadsheetml/2009/9/main" objectType="CheckBox" checked="Checked" lockText="1" noThreeD="1"/>
</file>

<file path=xl/ctrlProps/ctrlProp139.xml><?xml version="1.0" encoding="utf-8"?>
<formControlPr xmlns="http://schemas.microsoft.com/office/spreadsheetml/2009/9/main" objectType="CheckBox" checked="Checked" lockText="1" noThreeD="1"/>
</file>

<file path=xl/ctrlProps/ctrlProp140.xml><?xml version="1.0" encoding="utf-8"?>
<formControlPr xmlns="http://schemas.microsoft.com/office/spreadsheetml/2009/9/main" objectType="CheckBox" checked="Checked" lockText="1" noThreeD="1"/>
</file>

<file path=xl/ctrlProps/ctrlProp141.xml><?xml version="1.0" encoding="utf-8"?>
<formControlPr xmlns="http://schemas.microsoft.com/office/spreadsheetml/2009/9/main" objectType="CheckBox" checked="Checked" lockText="1" noThreeD="1"/>
</file>

<file path=xl/ctrlProps/ctrlProp142.xml><?xml version="1.0" encoding="utf-8"?>
<formControlPr xmlns="http://schemas.microsoft.com/office/spreadsheetml/2009/9/main" objectType="CheckBox" checked="Checked" lockText="1" noThreeD="1"/>
</file>

<file path=xl/ctrlProps/ctrlProp143.xml><?xml version="1.0" encoding="utf-8"?>
<formControlPr xmlns="http://schemas.microsoft.com/office/spreadsheetml/2009/9/main" objectType="CheckBox" checked="Checked" lockText="1" noThreeD="1"/>
</file>

<file path=xl/ctrlProps/ctrlProp144.xml><?xml version="1.0" encoding="utf-8"?>
<formControlPr xmlns="http://schemas.microsoft.com/office/spreadsheetml/2009/9/main" objectType="CheckBox" checked="Checked" lockText="1" noThreeD="1"/>
</file>

<file path=xl/ctrlProps/ctrlProp145.xml><?xml version="1.0" encoding="utf-8"?>
<formControlPr xmlns="http://schemas.microsoft.com/office/spreadsheetml/2009/9/main" objectType="CheckBox" checked="Checked" lockText="1" noThreeD="1"/>
</file>

<file path=xl/ctrlProps/ctrlProp146.xml><?xml version="1.0" encoding="utf-8"?>
<formControlPr xmlns="http://schemas.microsoft.com/office/spreadsheetml/2009/9/main" objectType="CheckBox" checked="Checked" lockText="1" noThreeD="1"/>
</file>

<file path=xl/ctrlProps/ctrlProp147.xml><?xml version="1.0" encoding="utf-8"?>
<formControlPr xmlns="http://schemas.microsoft.com/office/spreadsheetml/2009/9/main" objectType="CheckBox" checked="Checked"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checked="Checked"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CheckBox" lockText="1" noThreeD="1"/>
</file>

<file path=xl/ctrlProps/ctrlProp195.xml><?xml version="1.0" encoding="utf-8"?>
<formControlPr xmlns="http://schemas.microsoft.com/office/spreadsheetml/2009/9/main" objectType="CheckBox" lockText="1" noThreeD="1"/>
</file>

<file path=xl/ctrlProps/ctrlProp196.xml><?xml version="1.0" encoding="utf-8"?>
<formControlPr xmlns="http://schemas.microsoft.com/office/spreadsheetml/2009/9/main" objectType="CheckBox" lockText="1" noThreeD="1"/>
</file>

<file path=xl/ctrlProps/ctrlProp197.xml><?xml version="1.0" encoding="utf-8"?>
<formControlPr xmlns="http://schemas.microsoft.com/office/spreadsheetml/2009/9/main" objectType="CheckBox" lockText="1" noThreeD="1"/>
</file>

<file path=xl/ctrlProps/ctrlProp198.xml><?xml version="1.0" encoding="utf-8"?>
<formControlPr xmlns="http://schemas.microsoft.com/office/spreadsheetml/2009/9/main" objectType="CheckBox" lockText="1" noThreeD="1"/>
</file>

<file path=xl/ctrlProps/ctrlProp199.xml><?xml version="1.0" encoding="utf-8"?>
<formControlPr xmlns="http://schemas.microsoft.com/office/spreadsheetml/2009/9/main" objectType="CheckBox" lockText="1" noThreeD="1"/>
</file>

<file path=xl/ctrlProps/ctrlProp200.xml><?xml version="1.0" encoding="utf-8"?>
<formControlPr xmlns="http://schemas.microsoft.com/office/spreadsheetml/2009/9/main" objectType="CheckBox" lockText="1" noThreeD="1"/>
</file>

<file path=xl/ctrlProps/ctrlProp201.xml><?xml version="1.0" encoding="utf-8"?>
<formControlPr xmlns="http://schemas.microsoft.com/office/spreadsheetml/2009/9/main" objectType="Button" lockText="1"/>
</file>

<file path=xl/ctrlProps/ctrlProp202.xml><?xml version="1.0" encoding="utf-8"?>
<formControlPr xmlns="http://schemas.microsoft.com/office/spreadsheetml/2009/9/main" objectType="Button" lockText="1"/>
</file>

<file path=xl/ctrlProps/ctrlProp203.xml><?xml version="1.0" encoding="utf-8"?>
<formControlPr xmlns="http://schemas.microsoft.com/office/spreadsheetml/2009/9/main" objectType="Button" lockText="1"/>
</file>

<file path=xl/ctrlProps/ctrlProp204.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sv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4" Type="http://schemas.openxmlformats.org/officeDocument/2006/relationships/image" Target="../media/image4.svg"/><Relationship Id="rId5" Type="http://schemas.openxmlformats.org/officeDocument/2006/relationships/image" Target="../media/image3.png"/><Relationship Id="rId6" Type="http://schemas.openxmlformats.org/officeDocument/2006/relationships/image" Target="../media/image6.svg"/><Relationship Id="rId7" Type="http://schemas.openxmlformats.org/officeDocument/2006/relationships/chart" Target="../charts/chart1.xml"/><Relationship Id="rId8" Type="http://schemas.openxmlformats.org/officeDocument/2006/relationships/chart" Target="../charts/chart2.xml"/><Relationship Id="rId1" Type="http://schemas.openxmlformats.org/officeDocument/2006/relationships/image" Target="../media/image1.png"/><Relationship Id="rId2" Type="http://schemas.openxmlformats.org/officeDocument/2006/relationships/image" Target="../media/image2.sv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4" Type="http://schemas.openxmlformats.org/officeDocument/2006/relationships/image" Target="../media/image1.png"/><Relationship Id="rId5" Type="http://schemas.openxmlformats.org/officeDocument/2006/relationships/image" Target="../media/image2.svg"/><Relationship Id="rId1" Type="http://schemas.openxmlformats.org/officeDocument/2006/relationships/chart" Target="../charts/chart3.xml"/><Relationship Id="rId2"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svg"/></Relationships>
</file>

<file path=xl/drawings/_rels/drawing10.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1" Type="http://schemas.openxmlformats.org/officeDocument/2006/relationships/image" Target="../media/image1.png"/><Relationship Id="rId2" Type="http://schemas.openxmlformats.org/officeDocument/2006/relationships/image" Target="../media/image2.sv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sv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svg"/></Relationships>
</file>

<file path=xl/drawings/_rels/drawing17.xml.rels><?xml version="1.0" encoding="UTF-8" standalone="yes"?>
<Relationships xmlns="http://schemas.openxmlformats.org/package/2006/relationships"><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1" Type="http://schemas.openxmlformats.org/officeDocument/2006/relationships/chart" Target="../charts/chart9.xml"/><Relationship Id="rId2"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3.xml"/><Relationship Id="rId2" Type="http://schemas.openxmlformats.org/officeDocument/2006/relationships/chart" Target="../charts/chart24.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5.xml"/><Relationship Id="rId2"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121920</xdr:colOff>
          <xdr:row>14</xdr:row>
          <xdr:rowOff>15240</xdr:rowOff>
        </xdr:from>
        <xdr:to>
          <xdr:col>2</xdr:col>
          <xdr:colOff>1638300</xdr:colOff>
          <xdr:row>16</xdr:row>
          <xdr:rowOff>121920</xdr:rowOff>
        </xdr:to>
        <xdr:sp macro="" textlink="">
          <xdr:nvSpPr>
            <xdr:cNvPr id="88067" name="Button 3" hidden="1">
              <a:extLst>
                <a:ext uri="{63B3BB69-23CF-44E3-9099-C40C66FF867C}">
                  <a14:compatExt spid="_x0000_s88067"/>
                </a:ext>
                <a:ext uri="{FF2B5EF4-FFF2-40B4-BE49-F238E27FC236}">
                  <a16:creationId xmlns:a16="http://schemas.microsoft.com/office/drawing/2014/main" xmlns="" id="{6E23B987-C4E8-4E22-B2A8-2CE74AD61E3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1" i="0" u="none" strike="noStrike" baseline="0">
                  <a:solidFill>
                    <a:srgbClr val="000000"/>
                  </a:solidFill>
                  <a:latin typeface="Source Sans Pro Black"/>
                  <a:ea typeface="Source Sans Pro Black"/>
                  <a:cs typeface="Source Sans Pro Black"/>
                </a:rPr>
                <a:t>Bind Your Core Plan</a:t>
              </a:r>
            </a:p>
          </xdr:txBody>
        </xdr:sp>
        <xdr:clientData fPrintsWithSheet="0"/>
      </xdr:twoCellAnchor>
    </mc:Choice>
    <mc:Fallback/>
  </mc:AlternateContent>
  <xdr:twoCellAnchor editAs="oneCell">
    <xdr:from>
      <xdr:col>0</xdr:col>
      <xdr:colOff>0</xdr:colOff>
      <xdr:row>0</xdr:row>
      <xdr:rowOff>0</xdr:rowOff>
    </xdr:from>
    <xdr:to>
      <xdr:col>2</xdr:col>
      <xdr:colOff>24130</xdr:colOff>
      <xdr:row>3</xdr:row>
      <xdr:rowOff>22860</xdr:rowOff>
    </xdr:to>
    <xdr:pic>
      <xdr:nvPicPr>
        <xdr:cNvPr id="4" name="Graphic 3" descr="Medical">
          <a:extLst>
            <a:ext uri="{FF2B5EF4-FFF2-40B4-BE49-F238E27FC236}">
              <a16:creationId xmlns:a16="http://schemas.microsoft.com/office/drawing/2014/main" xmlns="" id="{AC82C161-41C0-44A9-88F5-AF62F0E65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0" y="0"/>
          <a:ext cx="549910" cy="548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99060</xdr:colOff>
          <xdr:row>9</xdr:row>
          <xdr:rowOff>160244</xdr:rowOff>
        </xdr:from>
        <xdr:to>
          <xdr:col>3</xdr:col>
          <xdr:colOff>68580</xdr:colOff>
          <xdr:row>11</xdr:row>
          <xdr:rowOff>15464</xdr:rowOff>
        </xdr:to>
        <xdr:sp macro="" textlink="">
          <xdr:nvSpPr>
            <xdr:cNvPr id="71681" name="Check Box 1" hidden="1">
              <a:extLst>
                <a:ext uri="{63B3BB69-23CF-44E3-9099-C40C66FF867C}">
                  <a14:compatExt spid="_x0000_s71681"/>
                </a:ext>
                <a:ext uri="{FF2B5EF4-FFF2-40B4-BE49-F238E27FC236}">
                  <a16:creationId xmlns:a16="http://schemas.microsoft.com/office/drawing/2014/main" xmlns="" id="{E3B1ECC2-1599-4674-BB1E-039D5E23062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11</xdr:row>
          <xdr:rowOff>160692</xdr:rowOff>
        </xdr:from>
        <xdr:to>
          <xdr:col>3</xdr:col>
          <xdr:colOff>68580</xdr:colOff>
          <xdr:row>13</xdr:row>
          <xdr:rowOff>15912</xdr:rowOff>
        </xdr:to>
        <xdr:sp macro="" textlink="">
          <xdr:nvSpPr>
            <xdr:cNvPr id="71682" name="Check Box 2" hidden="1">
              <a:extLst>
                <a:ext uri="{63B3BB69-23CF-44E3-9099-C40C66FF867C}">
                  <a14:compatExt spid="_x0000_s71682"/>
                </a:ext>
                <a:ext uri="{FF2B5EF4-FFF2-40B4-BE49-F238E27FC236}">
                  <a16:creationId xmlns:a16="http://schemas.microsoft.com/office/drawing/2014/main" xmlns="" id="{8495336E-F7D7-4BC9-8F75-F2065A1FD16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10</xdr:row>
          <xdr:rowOff>160468</xdr:rowOff>
        </xdr:from>
        <xdr:to>
          <xdr:col>3</xdr:col>
          <xdr:colOff>68580</xdr:colOff>
          <xdr:row>12</xdr:row>
          <xdr:rowOff>15688</xdr:rowOff>
        </xdr:to>
        <xdr:sp macro="" textlink="">
          <xdr:nvSpPr>
            <xdr:cNvPr id="71683" name="Check Box 3" hidden="1">
              <a:extLst>
                <a:ext uri="{63B3BB69-23CF-44E3-9099-C40C66FF867C}">
                  <a14:compatExt spid="_x0000_s71683"/>
                </a:ext>
                <a:ext uri="{FF2B5EF4-FFF2-40B4-BE49-F238E27FC236}">
                  <a16:creationId xmlns:a16="http://schemas.microsoft.com/office/drawing/2014/main" xmlns="" id="{7F016E0F-8937-48A9-A498-627E6CC919F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12</xdr:row>
          <xdr:rowOff>160916</xdr:rowOff>
        </xdr:from>
        <xdr:to>
          <xdr:col>3</xdr:col>
          <xdr:colOff>68580</xdr:colOff>
          <xdr:row>14</xdr:row>
          <xdr:rowOff>16136</xdr:rowOff>
        </xdr:to>
        <xdr:sp macro="" textlink="">
          <xdr:nvSpPr>
            <xdr:cNvPr id="71684" name="Check Box 4" hidden="1">
              <a:extLst>
                <a:ext uri="{63B3BB69-23CF-44E3-9099-C40C66FF867C}">
                  <a14:compatExt spid="_x0000_s71684"/>
                </a:ext>
                <a:ext uri="{FF2B5EF4-FFF2-40B4-BE49-F238E27FC236}">
                  <a16:creationId xmlns:a16="http://schemas.microsoft.com/office/drawing/2014/main" xmlns="" id="{32CA1846-77F9-4C4F-8364-506714476DC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13</xdr:row>
          <xdr:rowOff>161140</xdr:rowOff>
        </xdr:from>
        <xdr:to>
          <xdr:col>3</xdr:col>
          <xdr:colOff>68580</xdr:colOff>
          <xdr:row>15</xdr:row>
          <xdr:rowOff>16360</xdr:rowOff>
        </xdr:to>
        <xdr:sp macro="" textlink="">
          <xdr:nvSpPr>
            <xdr:cNvPr id="71685" name="Check Box 5" hidden="1">
              <a:extLst>
                <a:ext uri="{63B3BB69-23CF-44E3-9099-C40C66FF867C}">
                  <a14:compatExt spid="_x0000_s71685"/>
                </a:ext>
                <a:ext uri="{FF2B5EF4-FFF2-40B4-BE49-F238E27FC236}">
                  <a16:creationId xmlns:a16="http://schemas.microsoft.com/office/drawing/2014/main" xmlns="" id="{D792B2E6-FB2F-4053-9FCD-447C1958084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14</xdr:row>
          <xdr:rowOff>161364</xdr:rowOff>
        </xdr:from>
        <xdr:to>
          <xdr:col>3</xdr:col>
          <xdr:colOff>68580</xdr:colOff>
          <xdr:row>16</xdr:row>
          <xdr:rowOff>16584</xdr:rowOff>
        </xdr:to>
        <xdr:sp macro="" textlink="">
          <xdr:nvSpPr>
            <xdr:cNvPr id="71686" name="Check Box 6" hidden="1">
              <a:extLst>
                <a:ext uri="{63B3BB69-23CF-44E3-9099-C40C66FF867C}">
                  <a14:compatExt spid="_x0000_s71686"/>
                </a:ext>
                <a:ext uri="{FF2B5EF4-FFF2-40B4-BE49-F238E27FC236}">
                  <a16:creationId xmlns:a16="http://schemas.microsoft.com/office/drawing/2014/main" xmlns="" id="{40CA4522-BC32-409B-94B1-0A9DAB4DC27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15</xdr:row>
          <xdr:rowOff>161588</xdr:rowOff>
        </xdr:from>
        <xdr:to>
          <xdr:col>3</xdr:col>
          <xdr:colOff>68580</xdr:colOff>
          <xdr:row>17</xdr:row>
          <xdr:rowOff>16808</xdr:rowOff>
        </xdr:to>
        <xdr:sp macro="" textlink="">
          <xdr:nvSpPr>
            <xdr:cNvPr id="71687" name="Check Box 7" hidden="1">
              <a:extLst>
                <a:ext uri="{63B3BB69-23CF-44E3-9099-C40C66FF867C}">
                  <a14:compatExt spid="_x0000_s71687"/>
                </a:ext>
                <a:ext uri="{FF2B5EF4-FFF2-40B4-BE49-F238E27FC236}">
                  <a16:creationId xmlns:a16="http://schemas.microsoft.com/office/drawing/2014/main" xmlns="" id="{5A807458-BE66-406E-88E5-44BF8C86D1C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16</xdr:row>
          <xdr:rowOff>161812</xdr:rowOff>
        </xdr:from>
        <xdr:to>
          <xdr:col>3</xdr:col>
          <xdr:colOff>68580</xdr:colOff>
          <xdr:row>18</xdr:row>
          <xdr:rowOff>17032</xdr:rowOff>
        </xdr:to>
        <xdr:sp macro="" textlink="">
          <xdr:nvSpPr>
            <xdr:cNvPr id="71688" name="Check Box 8" hidden="1">
              <a:extLst>
                <a:ext uri="{63B3BB69-23CF-44E3-9099-C40C66FF867C}">
                  <a14:compatExt spid="_x0000_s71688"/>
                </a:ext>
                <a:ext uri="{FF2B5EF4-FFF2-40B4-BE49-F238E27FC236}">
                  <a16:creationId xmlns:a16="http://schemas.microsoft.com/office/drawing/2014/main" xmlns="" id="{BA8E86A9-F4EB-4A11-92DE-47C6B771022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17</xdr:row>
          <xdr:rowOff>162036</xdr:rowOff>
        </xdr:from>
        <xdr:to>
          <xdr:col>3</xdr:col>
          <xdr:colOff>68580</xdr:colOff>
          <xdr:row>19</xdr:row>
          <xdr:rowOff>17256</xdr:rowOff>
        </xdr:to>
        <xdr:sp macro="" textlink="">
          <xdr:nvSpPr>
            <xdr:cNvPr id="71689" name="Check Box 9" hidden="1">
              <a:extLst>
                <a:ext uri="{63B3BB69-23CF-44E3-9099-C40C66FF867C}">
                  <a14:compatExt spid="_x0000_s71689"/>
                </a:ext>
                <a:ext uri="{FF2B5EF4-FFF2-40B4-BE49-F238E27FC236}">
                  <a16:creationId xmlns:a16="http://schemas.microsoft.com/office/drawing/2014/main" xmlns="" id="{F1328234-B9E4-49CD-8F19-ECB7C7AA7A2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18</xdr:row>
          <xdr:rowOff>162260</xdr:rowOff>
        </xdr:from>
        <xdr:to>
          <xdr:col>3</xdr:col>
          <xdr:colOff>68580</xdr:colOff>
          <xdr:row>20</xdr:row>
          <xdr:rowOff>9860</xdr:rowOff>
        </xdr:to>
        <xdr:sp macro="" textlink="">
          <xdr:nvSpPr>
            <xdr:cNvPr id="71690" name="Check Box 10" hidden="1">
              <a:extLst>
                <a:ext uri="{63B3BB69-23CF-44E3-9099-C40C66FF867C}">
                  <a14:compatExt spid="_x0000_s71690"/>
                </a:ext>
                <a:ext uri="{FF2B5EF4-FFF2-40B4-BE49-F238E27FC236}">
                  <a16:creationId xmlns:a16="http://schemas.microsoft.com/office/drawing/2014/main" xmlns="" id="{6397149A-147F-473A-9803-2A3A40C2ED1F}"/>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19</xdr:row>
          <xdr:rowOff>162484</xdr:rowOff>
        </xdr:from>
        <xdr:to>
          <xdr:col>3</xdr:col>
          <xdr:colOff>68580</xdr:colOff>
          <xdr:row>21</xdr:row>
          <xdr:rowOff>10084</xdr:rowOff>
        </xdr:to>
        <xdr:sp macro="" textlink="">
          <xdr:nvSpPr>
            <xdr:cNvPr id="71691" name="Check Box 11" hidden="1">
              <a:extLst>
                <a:ext uri="{63B3BB69-23CF-44E3-9099-C40C66FF867C}">
                  <a14:compatExt spid="_x0000_s71691"/>
                </a:ext>
                <a:ext uri="{FF2B5EF4-FFF2-40B4-BE49-F238E27FC236}">
                  <a16:creationId xmlns:a16="http://schemas.microsoft.com/office/drawing/2014/main" xmlns="" id="{F8294CB3-207B-4F0D-A941-2D226E54FCE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20</xdr:row>
          <xdr:rowOff>155088</xdr:rowOff>
        </xdr:from>
        <xdr:to>
          <xdr:col>3</xdr:col>
          <xdr:colOff>68580</xdr:colOff>
          <xdr:row>22</xdr:row>
          <xdr:rowOff>10308</xdr:rowOff>
        </xdr:to>
        <xdr:sp macro="" textlink="">
          <xdr:nvSpPr>
            <xdr:cNvPr id="71692" name="Check Box 12" hidden="1">
              <a:extLst>
                <a:ext uri="{63B3BB69-23CF-44E3-9099-C40C66FF867C}">
                  <a14:compatExt spid="_x0000_s71692"/>
                </a:ext>
                <a:ext uri="{FF2B5EF4-FFF2-40B4-BE49-F238E27FC236}">
                  <a16:creationId xmlns:a16="http://schemas.microsoft.com/office/drawing/2014/main" xmlns="" id="{A5C0D51E-538E-4E28-825A-A48C2ED2F97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21</xdr:row>
          <xdr:rowOff>155312</xdr:rowOff>
        </xdr:from>
        <xdr:to>
          <xdr:col>3</xdr:col>
          <xdr:colOff>68580</xdr:colOff>
          <xdr:row>23</xdr:row>
          <xdr:rowOff>10532</xdr:rowOff>
        </xdr:to>
        <xdr:sp macro="" textlink="">
          <xdr:nvSpPr>
            <xdr:cNvPr id="71693" name="Check Box 13" hidden="1">
              <a:extLst>
                <a:ext uri="{63B3BB69-23CF-44E3-9099-C40C66FF867C}">
                  <a14:compatExt spid="_x0000_s71693"/>
                </a:ext>
                <a:ext uri="{FF2B5EF4-FFF2-40B4-BE49-F238E27FC236}">
                  <a16:creationId xmlns:a16="http://schemas.microsoft.com/office/drawing/2014/main" xmlns="" id="{C24C0AB0-7C8E-440F-A916-462064C1245D}"/>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22</xdr:row>
          <xdr:rowOff>155536</xdr:rowOff>
        </xdr:from>
        <xdr:to>
          <xdr:col>3</xdr:col>
          <xdr:colOff>68580</xdr:colOff>
          <xdr:row>24</xdr:row>
          <xdr:rowOff>10756</xdr:rowOff>
        </xdr:to>
        <xdr:sp macro="" textlink="">
          <xdr:nvSpPr>
            <xdr:cNvPr id="71694" name="Check Box 14" hidden="1">
              <a:extLst>
                <a:ext uri="{63B3BB69-23CF-44E3-9099-C40C66FF867C}">
                  <a14:compatExt spid="_x0000_s71694"/>
                </a:ext>
                <a:ext uri="{FF2B5EF4-FFF2-40B4-BE49-F238E27FC236}">
                  <a16:creationId xmlns:a16="http://schemas.microsoft.com/office/drawing/2014/main" xmlns="" id="{EE4825FF-755E-46D3-999C-ACEBBD98A7C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23</xdr:row>
          <xdr:rowOff>155760</xdr:rowOff>
        </xdr:from>
        <xdr:to>
          <xdr:col>3</xdr:col>
          <xdr:colOff>68580</xdr:colOff>
          <xdr:row>25</xdr:row>
          <xdr:rowOff>10980</xdr:rowOff>
        </xdr:to>
        <xdr:sp macro="" textlink="">
          <xdr:nvSpPr>
            <xdr:cNvPr id="71695" name="Check Box 15" hidden="1">
              <a:extLst>
                <a:ext uri="{63B3BB69-23CF-44E3-9099-C40C66FF867C}">
                  <a14:compatExt spid="_x0000_s71695"/>
                </a:ext>
                <a:ext uri="{FF2B5EF4-FFF2-40B4-BE49-F238E27FC236}">
                  <a16:creationId xmlns:a16="http://schemas.microsoft.com/office/drawing/2014/main" xmlns="" id="{F6904115-D592-42BE-8273-F994C5B5BD8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24</xdr:row>
          <xdr:rowOff>155984</xdr:rowOff>
        </xdr:from>
        <xdr:to>
          <xdr:col>3</xdr:col>
          <xdr:colOff>68580</xdr:colOff>
          <xdr:row>26</xdr:row>
          <xdr:rowOff>11204</xdr:rowOff>
        </xdr:to>
        <xdr:sp macro="" textlink="">
          <xdr:nvSpPr>
            <xdr:cNvPr id="71696" name="Check Box 16" hidden="1">
              <a:extLst>
                <a:ext uri="{63B3BB69-23CF-44E3-9099-C40C66FF867C}">
                  <a14:compatExt spid="_x0000_s71696"/>
                </a:ext>
                <a:ext uri="{FF2B5EF4-FFF2-40B4-BE49-F238E27FC236}">
                  <a16:creationId xmlns:a16="http://schemas.microsoft.com/office/drawing/2014/main" xmlns="" id="{CAEF5A3A-7F43-4C7B-8E2B-99A07E4ED5C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27</xdr:row>
          <xdr:rowOff>156656</xdr:rowOff>
        </xdr:from>
        <xdr:to>
          <xdr:col>3</xdr:col>
          <xdr:colOff>68580</xdr:colOff>
          <xdr:row>29</xdr:row>
          <xdr:rowOff>11876</xdr:rowOff>
        </xdr:to>
        <xdr:sp macro="" textlink="">
          <xdr:nvSpPr>
            <xdr:cNvPr id="71697" name="Check Box 17" hidden="1">
              <a:extLst>
                <a:ext uri="{63B3BB69-23CF-44E3-9099-C40C66FF867C}">
                  <a14:compatExt spid="_x0000_s71697"/>
                </a:ext>
                <a:ext uri="{FF2B5EF4-FFF2-40B4-BE49-F238E27FC236}">
                  <a16:creationId xmlns:a16="http://schemas.microsoft.com/office/drawing/2014/main" xmlns="" id="{6BC3849B-9A4F-41C0-8185-4CAF83D25F7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26</xdr:row>
          <xdr:rowOff>156432</xdr:rowOff>
        </xdr:from>
        <xdr:to>
          <xdr:col>3</xdr:col>
          <xdr:colOff>68580</xdr:colOff>
          <xdr:row>28</xdr:row>
          <xdr:rowOff>11652</xdr:rowOff>
        </xdr:to>
        <xdr:sp macro="" textlink="">
          <xdr:nvSpPr>
            <xdr:cNvPr id="71698" name="Check Box 18" hidden="1">
              <a:extLst>
                <a:ext uri="{63B3BB69-23CF-44E3-9099-C40C66FF867C}">
                  <a14:compatExt spid="_x0000_s71698"/>
                </a:ext>
                <a:ext uri="{FF2B5EF4-FFF2-40B4-BE49-F238E27FC236}">
                  <a16:creationId xmlns:a16="http://schemas.microsoft.com/office/drawing/2014/main" xmlns="" id="{58297FEB-633B-4E62-AD13-C162B8C86DE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25</xdr:row>
          <xdr:rowOff>156208</xdr:rowOff>
        </xdr:from>
        <xdr:to>
          <xdr:col>3</xdr:col>
          <xdr:colOff>68580</xdr:colOff>
          <xdr:row>27</xdr:row>
          <xdr:rowOff>11428</xdr:rowOff>
        </xdr:to>
        <xdr:sp macro="" textlink="">
          <xdr:nvSpPr>
            <xdr:cNvPr id="71699" name="Check Box 19" hidden="1">
              <a:extLst>
                <a:ext uri="{63B3BB69-23CF-44E3-9099-C40C66FF867C}">
                  <a14:compatExt spid="_x0000_s71699"/>
                </a:ext>
                <a:ext uri="{FF2B5EF4-FFF2-40B4-BE49-F238E27FC236}">
                  <a16:creationId xmlns:a16="http://schemas.microsoft.com/office/drawing/2014/main" xmlns="" id="{D24A7AB4-CE10-4E29-8FAD-38C0B6F40A3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29</xdr:row>
          <xdr:rowOff>157104</xdr:rowOff>
        </xdr:from>
        <xdr:to>
          <xdr:col>3</xdr:col>
          <xdr:colOff>68580</xdr:colOff>
          <xdr:row>31</xdr:row>
          <xdr:rowOff>12324</xdr:rowOff>
        </xdr:to>
        <xdr:sp macro="" textlink="">
          <xdr:nvSpPr>
            <xdr:cNvPr id="71700" name="Check Box 20" hidden="1">
              <a:extLst>
                <a:ext uri="{63B3BB69-23CF-44E3-9099-C40C66FF867C}">
                  <a14:compatExt spid="_x0000_s71700"/>
                </a:ext>
                <a:ext uri="{FF2B5EF4-FFF2-40B4-BE49-F238E27FC236}">
                  <a16:creationId xmlns:a16="http://schemas.microsoft.com/office/drawing/2014/main" xmlns="" id="{754FF8F3-69E5-48B4-B26A-EB14664B953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31</xdr:row>
          <xdr:rowOff>157552</xdr:rowOff>
        </xdr:from>
        <xdr:to>
          <xdr:col>3</xdr:col>
          <xdr:colOff>68580</xdr:colOff>
          <xdr:row>33</xdr:row>
          <xdr:rowOff>12772</xdr:rowOff>
        </xdr:to>
        <xdr:sp macro="" textlink="">
          <xdr:nvSpPr>
            <xdr:cNvPr id="71701" name="Check Box 21" hidden="1">
              <a:extLst>
                <a:ext uri="{63B3BB69-23CF-44E3-9099-C40C66FF867C}">
                  <a14:compatExt spid="_x0000_s71701"/>
                </a:ext>
                <a:ext uri="{FF2B5EF4-FFF2-40B4-BE49-F238E27FC236}">
                  <a16:creationId xmlns:a16="http://schemas.microsoft.com/office/drawing/2014/main" xmlns="" id="{FDC0C3BF-1467-402B-BBD8-9814007E67F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33</xdr:row>
          <xdr:rowOff>158000</xdr:rowOff>
        </xdr:from>
        <xdr:to>
          <xdr:col>3</xdr:col>
          <xdr:colOff>68580</xdr:colOff>
          <xdr:row>35</xdr:row>
          <xdr:rowOff>13220</xdr:rowOff>
        </xdr:to>
        <xdr:sp macro="" textlink="">
          <xdr:nvSpPr>
            <xdr:cNvPr id="71702" name="Check Box 22" hidden="1">
              <a:extLst>
                <a:ext uri="{63B3BB69-23CF-44E3-9099-C40C66FF867C}">
                  <a14:compatExt spid="_x0000_s71702"/>
                </a:ext>
                <a:ext uri="{FF2B5EF4-FFF2-40B4-BE49-F238E27FC236}">
                  <a16:creationId xmlns:a16="http://schemas.microsoft.com/office/drawing/2014/main" xmlns="" id="{8EFF9D6E-C9BD-429A-8794-753FE94C952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35</xdr:row>
          <xdr:rowOff>158448</xdr:rowOff>
        </xdr:from>
        <xdr:to>
          <xdr:col>3</xdr:col>
          <xdr:colOff>68580</xdr:colOff>
          <xdr:row>37</xdr:row>
          <xdr:rowOff>13668</xdr:rowOff>
        </xdr:to>
        <xdr:sp macro="" textlink="">
          <xdr:nvSpPr>
            <xdr:cNvPr id="71703" name="Check Box 23" hidden="1">
              <a:extLst>
                <a:ext uri="{63B3BB69-23CF-44E3-9099-C40C66FF867C}">
                  <a14:compatExt spid="_x0000_s71703"/>
                </a:ext>
                <a:ext uri="{FF2B5EF4-FFF2-40B4-BE49-F238E27FC236}">
                  <a16:creationId xmlns:a16="http://schemas.microsoft.com/office/drawing/2014/main" xmlns="" id="{A5C40976-0F8A-4E58-A4EE-42AC9EA7057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28</xdr:row>
          <xdr:rowOff>156880</xdr:rowOff>
        </xdr:from>
        <xdr:to>
          <xdr:col>3</xdr:col>
          <xdr:colOff>68580</xdr:colOff>
          <xdr:row>30</xdr:row>
          <xdr:rowOff>12100</xdr:rowOff>
        </xdr:to>
        <xdr:sp macro="" textlink="">
          <xdr:nvSpPr>
            <xdr:cNvPr id="71704" name="Check Box 24" hidden="1">
              <a:extLst>
                <a:ext uri="{63B3BB69-23CF-44E3-9099-C40C66FF867C}">
                  <a14:compatExt spid="_x0000_s71704"/>
                </a:ext>
                <a:ext uri="{FF2B5EF4-FFF2-40B4-BE49-F238E27FC236}">
                  <a16:creationId xmlns:a16="http://schemas.microsoft.com/office/drawing/2014/main" xmlns="" id="{A1CAB7A7-16BB-4A71-AEAE-09F7B6D2513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30</xdr:row>
          <xdr:rowOff>157328</xdr:rowOff>
        </xdr:from>
        <xdr:to>
          <xdr:col>3</xdr:col>
          <xdr:colOff>68580</xdr:colOff>
          <xdr:row>32</xdr:row>
          <xdr:rowOff>12548</xdr:rowOff>
        </xdr:to>
        <xdr:sp macro="" textlink="">
          <xdr:nvSpPr>
            <xdr:cNvPr id="71705" name="Check Box 25" hidden="1">
              <a:extLst>
                <a:ext uri="{63B3BB69-23CF-44E3-9099-C40C66FF867C}">
                  <a14:compatExt spid="_x0000_s71705"/>
                </a:ext>
                <a:ext uri="{FF2B5EF4-FFF2-40B4-BE49-F238E27FC236}">
                  <a16:creationId xmlns:a16="http://schemas.microsoft.com/office/drawing/2014/main" xmlns="" id="{3DEF5F06-AE25-4021-8A7E-B5E7D9EBC6B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32</xdr:row>
          <xdr:rowOff>157776</xdr:rowOff>
        </xdr:from>
        <xdr:to>
          <xdr:col>3</xdr:col>
          <xdr:colOff>68580</xdr:colOff>
          <xdr:row>34</xdr:row>
          <xdr:rowOff>12996</xdr:rowOff>
        </xdr:to>
        <xdr:sp macro="" textlink="">
          <xdr:nvSpPr>
            <xdr:cNvPr id="71706" name="Check Box 26" hidden="1">
              <a:extLst>
                <a:ext uri="{63B3BB69-23CF-44E3-9099-C40C66FF867C}">
                  <a14:compatExt spid="_x0000_s71706"/>
                </a:ext>
                <a:ext uri="{FF2B5EF4-FFF2-40B4-BE49-F238E27FC236}">
                  <a16:creationId xmlns:a16="http://schemas.microsoft.com/office/drawing/2014/main" xmlns="" id="{B8C5CF37-793D-4F78-BDCB-F643C4CF78E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34</xdr:row>
          <xdr:rowOff>158224</xdr:rowOff>
        </xdr:from>
        <xdr:to>
          <xdr:col>3</xdr:col>
          <xdr:colOff>68580</xdr:colOff>
          <xdr:row>36</xdr:row>
          <xdr:rowOff>13444</xdr:rowOff>
        </xdr:to>
        <xdr:sp macro="" textlink="">
          <xdr:nvSpPr>
            <xdr:cNvPr id="71707" name="Check Box 27" hidden="1">
              <a:extLst>
                <a:ext uri="{63B3BB69-23CF-44E3-9099-C40C66FF867C}">
                  <a14:compatExt spid="_x0000_s71707"/>
                </a:ext>
                <a:ext uri="{FF2B5EF4-FFF2-40B4-BE49-F238E27FC236}">
                  <a16:creationId xmlns:a16="http://schemas.microsoft.com/office/drawing/2014/main" xmlns="" id="{66CBB803-E286-46D5-AD5B-2B30FA1236C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36</xdr:row>
          <xdr:rowOff>158672</xdr:rowOff>
        </xdr:from>
        <xdr:to>
          <xdr:col>3</xdr:col>
          <xdr:colOff>68580</xdr:colOff>
          <xdr:row>38</xdr:row>
          <xdr:rowOff>13892</xdr:rowOff>
        </xdr:to>
        <xdr:sp macro="" textlink="">
          <xdr:nvSpPr>
            <xdr:cNvPr id="71708" name="Check Box 28" hidden="1">
              <a:extLst>
                <a:ext uri="{63B3BB69-23CF-44E3-9099-C40C66FF867C}">
                  <a14:compatExt spid="_x0000_s71708"/>
                </a:ext>
                <a:ext uri="{FF2B5EF4-FFF2-40B4-BE49-F238E27FC236}">
                  <a16:creationId xmlns:a16="http://schemas.microsoft.com/office/drawing/2014/main" xmlns="" id="{FC09B286-71EE-4919-B2B1-43451083E0A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37</xdr:row>
          <xdr:rowOff>158896</xdr:rowOff>
        </xdr:from>
        <xdr:to>
          <xdr:col>3</xdr:col>
          <xdr:colOff>68580</xdr:colOff>
          <xdr:row>39</xdr:row>
          <xdr:rowOff>14116</xdr:rowOff>
        </xdr:to>
        <xdr:sp macro="" textlink="">
          <xdr:nvSpPr>
            <xdr:cNvPr id="71709" name="Check Box 29" hidden="1">
              <a:extLst>
                <a:ext uri="{63B3BB69-23CF-44E3-9099-C40C66FF867C}">
                  <a14:compatExt spid="_x0000_s71709"/>
                </a:ext>
                <a:ext uri="{FF2B5EF4-FFF2-40B4-BE49-F238E27FC236}">
                  <a16:creationId xmlns:a16="http://schemas.microsoft.com/office/drawing/2014/main" xmlns="" id="{A2DB1A42-4936-4C4A-BA27-5942FD150E0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38</xdr:row>
          <xdr:rowOff>159120</xdr:rowOff>
        </xdr:from>
        <xdr:to>
          <xdr:col>3</xdr:col>
          <xdr:colOff>68580</xdr:colOff>
          <xdr:row>40</xdr:row>
          <xdr:rowOff>14340</xdr:rowOff>
        </xdr:to>
        <xdr:sp macro="" textlink="">
          <xdr:nvSpPr>
            <xdr:cNvPr id="71710" name="Check Box 30" hidden="1">
              <a:extLst>
                <a:ext uri="{63B3BB69-23CF-44E3-9099-C40C66FF867C}">
                  <a14:compatExt spid="_x0000_s71710"/>
                </a:ext>
                <a:ext uri="{FF2B5EF4-FFF2-40B4-BE49-F238E27FC236}">
                  <a16:creationId xmlns:a16="http://schemas.microsoft.com/office/drawing/2014/main" xmlns="" id="{D3FF9EA5-42A5-4817-893B-87891562E0E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40</xdr:row>
          <xdr:rowOff>159568</xdr:rowOff>
        </xdr:from>
        <xdr:to>
          <xdr:col>3</xdr:col>
          <xdr:colOff>68580</xdr:colOff>
          <xdr:row>42</xdr:row>
          <xdr:rowOff>14788</xdr:rowOff>
        </xdr:to>
        <xdr:sp macro="" textlink="">
          <xdr:nvSpPr>
            <xdr:cNvPr id="71711" name="Check Box 31" hidden="1">
              <a:extLst>
                <a:ext uri="{63B3BB69-23CF-44E3-9099-C40C66FF867C}">
                  <a14:compatExt spid="_x0000_s71711"/>
                </a:ext>
                <a:ext uri="{FF2B5EF4-FFF2-40B4-BE49-F238E27FC236}">
                  <a16:creationId xmlns:a16="http://schemas.microsoft.com/office/drawing/2014/main" xmlns="" id="{93530E63-84EB-4BA8-94FA-B9D17AE2B76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41</xdr:row>
          <xdr:rowOff>159792</xdr:rowOff>
        </xdr:from>
        <xdr:to>
          <xdr:col>3</xdr:col>
          <xdr:colOff>68580</xdr:colOff>
          <xdr:row>43</xdr:row>
          <xdr:rowOff>15012</xdr:rowOff>
        </xdr:to>
        <xdr:sp macro="" textlink="">
          <xdr:nvSpPr>
            <xdr:cNvPr id="71712" name="Check Box 32" hidden="1">
              <a:extLst>
                <a:ext uri="{63B3BB69-23CF-44E3-9099-C40C66FF867C}">
                  <a14:compatExt spid="_x0000_s71712"/>
                </a:ext>
                <a:ext uri="{FF2B5EF4-FFF2-40B4-BE49-F238E27FC236}">
                  <a16:creationId xmlns:a16="http://schemas.microsoft.com/office/drawing/2014/main" xmlns="" id="{1ACDEA63-8041-4D7B-B7D3-8AEB5CC85C8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39</xdr:row>
          <xdr:rowOff>159344</xdr:rowOff>
        </xdr:from>
        <xdr:to>
          <xdr:col>3</xdr:col>
          <xdr:colOff>68580</xdr:colOff>
          <xdr:row>41</xdr:row>
          <xdr:rowOff>14564</xdr:rowOff>
        </xdr:to>
        <xdr:sp macro="" textlink="">
          <xdr:nvSpPr>
            <xdr:cNvPr id="71713" name="Check Box 33" hidden="1">
              <a:extLst>
                <a:ext uri="{63B3BB69-23CF-44E3-9099-C40C66FF867C}">
                  <a14:compatExt spid="_x0000_s71713"/>
                </a:ext>
                <a:ext uri="{FF2B5EF4-FFF2-40B4-BE49-F238E27FC236}">
                  <a16:creationId xmlns:a16="http://schemas.microsoft.com/office/drawing/2014/main" xmlns="" id="{AF296154-80BE-4429-AC56-6D5B40A8DFD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42</xdr:row>
          <xdr:rowOff>160020</xdr:rowOff>
        </xdr:from>
        <xdr:to>
          <xdr:col>3</xdr:col>
          <xdr:colOff>68580</xdr:colOff>
          <xdr:row>44</xdr:row>
          <xdr:rowOff>7620</xdr:rowOff>
        </xdr:to>
        <xdr:sp macro="" textlink="">
          <xdr:nvSpPr>
            <xdr:cNvPr id="71714" name="Check Box 34" hidden="1">
              <a:extLst>
                <a:ext uri="{63B3BB69-23CF-44E3-9099-C40C66FF867C}">
                  <a14:compatExt spid="_x0000_s71714"/>
                </a:ext>
                <a:ext uri="{FF2B5EF4-FFF2-40B4-BE49-F238E27FC236}">
                  <a16:creationId xmlns:a16="http://schemas.microsoft.com/office/drawing/2014/main" xmlns="" id="{7156BCEA-55B1-4034-BCBA-88CD53A74B1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99060</xdr:colOff>
          <xdr:row>8</xdr:row>
          <xdr:rowOff>160020</xdr:rowOff>
        </xdr:from>
        <xdr:to>
          <xdr:col>3</xdr:col>
          <xdr:colOff>68580</xdr:colOff>
          <xdr:row>10</xdr:row>
          <xdr:rowOff>15240</xdr:rowOff>
        </xdr:to>
        <xdr:sp macro="" textlink="">
          <xdr:nvSpPr>
            <xdr:cNvPr id="71715" name="Check Box 35" hidden="1">
              <a:extLst>
                <a:ext uri="{63B3BB69-23CF-44E3-9099-C40C66FF867C}">
                  <a14:compatExt spid="_x0000_s71715"/>
                </a:ext>
                <a:ext uri="{FF2B5EF4-FFF2-40B4-BE49-F238E27FC236}">
                  <a16:creationId xmlns:a16="http://schemas.microsoft.com/office/drawing/2014/main" xmlns="" id="{DB8568E7-378E-4256-A302-FA62BDE6CB0B}"/>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137160</xdr:colOff>
          <xdr:row>5</xdr:row>
          <xdr:rowOff>60960</xdr:rowOff>
        </xdr:from>
        <xdr:to>
          <xdr:col>8</xdr:col>
          <xdr:colOff>1264920</xdr:colOff>
          <xdr:row>5</xdr:row>
          <xdr:rowOff>259080</xdr:rowOff>
        </xdr:to>
        <xdr:sp macro="" textlink="">
          <xdr:nvSpPr>
            <xdr:cNvPr id="71716" name="Scroll Bar 36" hidden="1">
              <a:extLst>
                <a:ext uri="{63B3BB69-23CF-44E3-9099-C40C66FF867C}">
                  <a14:compatExt spid="_x0000_s71716"/>
                </a:ext>
                <a:ext uri="{FF2B5EF4-FFF2-40B4-BE49-F238E27FC236}">
                  <a16:creationId xmlns:a16="http://schemas.microsoft.com/office/drawing/2014/main" xmlns="" id="{AB6DAD12-389A-4566-B9E5-2904BC4E9356}"/>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2</xdr:col>
      <xdr:colOff>22860</xdr:colOff>
      <xdr:row>3</xdr:row>
      <xdr:rowOff>21590</xdr:rowOff>
    </xdr:to>
    <xdr:pic>
      <xdr:nvPicPr>
        <xdr:cNvPr id="38" name="Graphic 37" descr="Medical">
          <a:extLst>
            <a:ext uri="{FF2B5EF4-FFF2-40B4-BE49-F238E27FC236}">
              <a16:creationId xmlns:a16="http://schemas.microsoft.com/office/drawing/2014/main" xmlns="" id="{FEF16F14-5B20-476C-93FF-0FBD92ECA1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0" y="0"/>
          <a:ext cx="548640" cy="548640"/>
        </a:xfrm>
        <a:prstGeom prst="rect">
          <a:avLst/>
        </a:prstGeom>
      </xdr:spPr>
    </xdr:pic>
    <xdr:clientData/>
  </xdr:twoCellAnchor>
  <xdr:twoCellAnchor editAs="oneCell">
    <xdr:from>
      <xdr:col>2</xdr:col>
      <xdr:colOff>19050</xdr:colOff>
      <xdr:row>7</xdr:row>
      <xdr:rowOff>5220</xdr:rowOff>
    </xdr:from>
    <xdr:to>
      <xdr:col>3</xdr:col>
      <xdr:colOff>110490</xdr:colOff>
      <xdr:row>9</xdr:row>
      <xdr:rowOff>5220</xdr:rowOff>
    </xdr:to>
    <xdr:pic>
      <xdr:nvPicPr>
        <xdr:cNvPr id="39" name="Graphic 38" descr="Stethoscope">
          <a:extLst>
            <a:ext uri="{FF2B5EF4-FFF2-40B4-BE49-F238E27FC236}">
              <a16:creationId xmlns:a16="http://schemas.microsoft.com/office/drawing/2014/main" xmlns="" id="{109E3DF1-02FE-47A6-8D4E-F846EF94C4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544830" y="1445400"/>
          <a:ext cx="365760" cy="365760"/>
        </a:xfrm>
        <a:prstGeom prst="rect">
          <a:avLst/>
        </a:prstGeom>
      </xdr:spPr>
    </xdr:pic>
    <xdr:clientData/>
  </xdr:twoCellAnchor>
  <xdr:oneCellAnchor>
    <xdr:from>
      <xdr:col>2</xdr:col>
      <xdr:colOff>19050</xdr:colOff>
      <xdr:row>4</xdr:row>
      <xdr:rowOff>15240</xdr:rowOff>
    </xdr:from>
    <xdr:ext cx="365760" cy="365760"/>
    <xdr:pic>
      <xdr:nvPicPr>
        <xdr:cNvPr id="40" name="Graphic 39" descr="Money">
          <a:extLst>
            <a:ext uri="{FF2B5EF4-FFF2-40B4-BE49-F238E27FC236}">
              <a16:creationId xmlns:a16="http://schemas.microsoft.com/office/drawing/2014/main" xmlns="" id="{380B4476-3E2D-4073-9C3B-ADDB721B950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544830" y="762000"/>
          <a:ext cx="365760" cy="365760"/>
        </a:xfrm>
        <a:prstGeom prst="rect">
          <a:avLst/>
        </a:prstGeom>
      </xdr:spPr>
    </xdr:pic>
    <xdr:clientData/>
  </xdr:oneCellAnchor>
  <xdr:twoCellAnchor>
    <xdr:from>
      <xdr:col>10</xdr:col>
      <xdr:colOff>91440</xdr:colOff>
      <xdr:row>0</xdr:row>
      <xdr:rowOff>0</xdr:rowOff>
    </xdr:from>
    <xdr:to>
      <xdr:col>12</xdr:col>
      <xdr:colOff>739140</xdr:colOff>
      <xdr:row>6</xdr:row>
      <xdr:rowOff>114300</xdr:rowOff>
    </xdr:to>
    <xdr:graphicFrame macro="">
      <xdr:nvGraphicFramePr>
        <xdr:cNvPr id="41" name="Chart 40">
          <a:extLst>
            <a:ext uri="{FF2B5EF4-FFF2-40B4-BE49-F238E27FC236}">
              <a16:creationId xmlns:a16="http://schemas.microsoft.com/office/drawing/2014/main" xmlns="" id="{2A53BCC5-8BBB-45CE-8BA3-851DFA217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701040</xdr:colOff>
      <xdr:row>0</xdr:row>
      <xdr:rowOff>0</xdr:rowOff>
    </xdr:from>
    <xdr:to>
      <xdr:col>14</xdr:col>
      <xdr:colOff>487680</xdr:colOff>
      <xdr:row>6</xdr:row>
      <xdr:rowOff>114300</xdr:rowOff>
    </xdr:to>
    <xdr:graphicFrame macro="">
      <xdr:nvGraphicFramePr>
        <xdr:cNvPr id="42" name="Chart 41">
          <a:extLst>
            <a:ext uri="{FF2B5EF4-FFF2-40B4-BE49-F238E27FC236}">
              <a16:creationId xmlns:a16="http://schemas.microsoft.com/office/drawing/2014/main" xmlns="" id="{A35B3FE2-811A-4475-BAB5-B57DF0CBA6C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0.30556</cdr:x>
      <cdr:y>0.41111</cdr:y>
    </cdr:from>
    <cdr:to>
      <cdr:x>0.68889</cdr:x>
      <cdr:y>0.57778</cdr:y>
    </cdr:to>
    <cdr:sp macro="" textlink="Chart_Data!$C$19">
      <cdr:nvSpPr>
        <cdr:cNvPr id="2" name="TextBox 1">
          <a:extLst xmlns:a="http://schemas.openxmlformats.org/drawingml/2006/main">
            <a:ext uri="{FF2B5EF4-FFF2-40B4-BE49-F238E27FC236}">
              <a16:creationId xmlns:a16="http://schemas.microsoft.com/office/drawing/2014/main" xmlns="" id="{3E07B067-6491-4825-A70C-FC8821FD3649}"/>
            </a:ext>
          </a:extLst>
        </cdr:cNvPr>
        <cdr:cNvSpPr txBox="1"/>
      </cdr:nvSpPr>
      <cdr:spPr>
        <a:xfrm xmlns:a="http://schemas.openxmlformats.org/drawingml/2006/main">
          <a:off x="419100" y="563880"/>
          <a:ext cx="52578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9BC9F268-E0FC-4F34-86B7-A4D4422FE525}" type="TxLink">
            <a:rPr lang="en-US" sz="800" b="0" i="0" u="none" strike="noStrike">
              <a:solidFill>
                <a:srgbClr val="3D33A6"/>
              </a:solidFill>
              <a:latin typeface="Source Sans Pro"/>
              <a:ea typeface="Source Sans Pro"/>
            </a:rPr>
            <a:pPr algn="ctr"/>
            <a:t>86% All</a:t>
          </a:fld>
          <a:endParaRPr lang="en-US" sz="800">
            <a:solidFill>
              <a:srgbClr val="3D33A6"/>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0.27037</cdr:x>
      <cdr:y>0.34815</cdr:y>
    </cdr:from>
    <cdr:to>
      <cdr:x>0.72222</cdr:x>
      <cdr:y>0.6</cdr:y>
    </cdr:to>
    <cdr:sp macro="" textlink="Chart_Data!$D$20">
      <cdr:nvSpPr>
        <cdr:cNvPr id="2" name="TextBox 1">
          <a:extLst xmlns:a="http://schemas.openxmlformats.org/drawingml/2006/main">
            <a:ext uri="{FF2B5EF4-FFF2-40B4-BE49-F238E27FC236}">
              <a16:creationId xmlns:a16="http://schemas.microsoft.com/office/drawing/2014/main" xmlns="" id="{2F07FC37-9440-4075-B250-B222DE16D28F}"/>
            </a:ext>
          </a:extLst>
        </cdr:cNvPr>
        <cdr:cNvSpPr txBox="1"/>
      </cdr:nvSpPr>
      <cdr:spPr>
        <a:xfrm xmlns:a="http://schemas.openxmlformats.org/drawingml/2006/main">
          <a:off x="370840" y="477520"/>
          <a:ext cx="619760" cy="3454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34772F53-C267-4DAA-A747-8BC1012DAD6D}" type="TxLink">
            <a:rPr lang="en-US" sz="800" b="0" i="0" u="none" strike="noStrike">
              <a:solidFill>
                <a:srgbClr val="A9218E"/>
              </a:solidFill>
              <a:latin typeface="Source Sans Pro"/>
              <a:ea typeface="Source Sans Pro"/>
            </a:rPr>
            <a:pPr algn="ctr"/>
            <a:t>84% Core; 
70% Add-Ins</a:t>
          </a:fld>
          <a:endParaRPr lang="en-US" sz="800">
            <a:solidFill>
              <a:srgbClr val="A9218E"/>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4</xdr:col>
      <xdr:colOff>354965</xdr:colOff>
      <xdr:row>10</xdr:row>
      <xdr:rowOff>142875</xdr:rowOff>
    </xdr:from>
    <xdr:to>
      <xdr:col>9</xdr:col>
      <xdr:colOff>507365</xdr:colOff>
      <xdr:row>25</xdr:row>
      <xdr:rowOff>161925</xdr:rowOff>
    </xdr:to>
    <xdr:graphicFrame macro="">
      <xdr:nvGraphicFramePr>
        <xdr:cNvPr id="3" name="Chart 2">
          <a:extLst>
            <a:ext uri="{FF2B5EF4-FFF2-40B4-BE49-F238E27FC236}">
              <a16:creationId xmlns:a16="http://schemas.microsoft.com/office/drawing/2014/main" xmlns="" id="{8B6E01CF-5C8A-4377-B7B7-F1DDB5DE7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148590</xdr:colOff>
      <xdr:row>2</xdr:row>
      <xdr:rowOff>133348</xdr:rowOff>
    </xdr:from>
    <xdr:to>
      <xdr:col>9</xdr:col>
      <xdr:colOff>425154</xdr:colOff>
      <xdr:row>10</xdr:row>
      <xdr:rowOff>114722</xdr:rowOff>
    </xdr:to>
    <xdr:graphicFrame macro="">
      <xdr:nvGraphicFramePr>
        <xdr:cNvPr id="4" name="Chart 3">
          <a:extLst>
            <a:ext uri="{FF2B5EF4-FFF2-40B4-BE49-F238E27FC236}">
              <a16:creationId xmlns:a16="http://schemas.microsoft.com/office/drawing/2014/main" xmlns="" id="{C2E07039-AE45-4E7F-A04B-F12D16052AF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352492</xdr:colOff>
      <xdr:row>2</xdr:row>
      <xdr:rowOff>133349</xdr:rowOff>
    </xdr:from>
    <xdr:to>
      <xdr:col>7</xdr:col>
      <xdr:colOff>382125</xdr:colOff>
      <xdr:row>10</xdr:row>
      <xdr:rowOff>117120</xdr:rowOff>
    </xdr:to>
    <xdr:graphicFrame macro="">
      <xdr:nvGraphicFramePr>
        <xdr:cNvPr id="5" name="Chart 4">
          <a:extLst>
            <a:ext uri="{FF2B5EF4-FFF2-40B4-BE49-F238E27FC236}">
              <a16:creationId xmlns:a16="http://schemas.microsoft.com/office/drawing/2014/main" xmlns="" id="{0AF3D3FA-5E75-40FC-A4E8-C1B45E59604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0</xdr:rowOff>
    </xdr:from>
    <xdr:to>
      <xdr:col>1</xdr:col>
      <xdr:colOff>469265</xdr:colOff>
      <xdr:row>3</xdr:row>
      <xdr:rowOff>26035</xdr:rowOff>
    </xdr:to>
    <xdr:pic>
      <xdr:nvPicPr>
        <xdr:cNvPr id="6" name="Graphic 5" descr="Medical">
          <a:extLst>
            <a:ext uri="{FF2B5EF4-FFF2-40B4-BE49-F238E27FC236}">
              <a16:creationId xmlns:a16="http://schemas.microsoft.com/office/drawing/2014/main" xmlns="" id="{B927DF0A-2185-4949-9A31-B50BA5731A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xmlns="" r:embed="rId5"/>
            </a:ext>
          </a:extLst>
        </a:blip>
        <a:stretch>
          <a:fillRect/>
        </a:stretch>
      </xdr:blipFill>
      <xdr:spPr>
        <a:xfrm>
          <a:off x="0" y="0"/>
          <a:ext cx="548640" cy="549910"/>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0.4625</cdr:x>
      <cdr:y>0.27235</cdr:y>
    </cdr:from>
    <cdr:to>
      <cdr:x>0.60834</cdr:x>
      <cdr:y>0.43448</cdr:y>
    </cdr:to>
    <cdr:sp macro="" textlink="Chart_Data!$F$9">
      <cdr:nvSpPr>
        <cdr:cNvPr id="2" name="TextBox 1">
          <a:extLst xmlns:a="http://schemas.openxmlformats.org/drawingml/2006/main">
            <a:ext uri="{FF2B5EF4-FFF2-40B4-BE49-F238E27FC236}">
              <a16:creationId xmlns:a16="http://schemas.microsoft.com/office/drawing/2014/main" xmlns="" id="{9BEE629A-3AD8-4B33-8409-31FB14243349}"/>
            </a:ext>
          </a:extLst>
        </cdr:cNvPr>
        <cdr:cNvSpPr txBox="1"/>
      </cdr:nvSpPr>
      <cdr:spPr>
        <a:xfrm xmlns:a="http://schemas.openxmlformats.org/drawingml/2006/main">
          <a:off x="2114550" y="752287"/>
          <a:ext cx="666760" cy="44786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DDFFD32-C923-4C9F-9C40-DE99DB202A98}" type="TxLink">
            <a:rPr lang="en-US" sz="1100" b="0" i="0" u="none" strike="noStrike">
              <a:solidFill>
                <a:srgbClr val="000000"/>
              </a:solidFill>
              <a:latin typeface="Source Sans Pro"/>
              <a:ea typeface="Source Sans Pro"/>
            </a:rPr>
            <a:pPr algn="ctr"/>
            <a:t>-10.5%;
-$59.98</a:t>
          </a:fld>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0.28839</cdr:x>
      <cdr:y>0.40615</cdr:y>
    </cdr:from>
    <cdr:to>
      <cdr:x>0.74024</cdr:x>
      <cdr:y>0.658</cdr:y>
    </cdr:to>
    <cdr:sp macro="" textlink="Chart_Data!$D$20">
      <cdr:nvSpPr>
        <cdr:cNvPr id="2" name="TextBox 1">
          <a:extLst xmlns:a="http://schemas.openxmlformats.org/drawingml/2006/main">
            <a:ext uri="{FF2B5EF4-FFF2-40B4-BE49-F238E27FC236}">
              <a16:creationId xmlns:a16="http://schemas.microsoft.com/office/drawing/2014/main" xmlns="" id="{2F07FC37-9440-4075-B250-B222DE16D28F}"/>
            </a:ext>
          </a:extLst>
        </cdr:cNvPr>
        <cdr:cNvSpPr txBox="1"/>
      </cdr:nvSpPr>
      <cdr:spPr>
        <a:xfrm xmlns:a="http://schemas.openxmlformats.org/drawingml/2006/main">
          <a:off x="406541" y="622576"/>
          <a:ext cx="636973" cy="38605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34772F53-C267-4DAA-A747-8BC1012DAD6D}" type="TxLink">
            <a:rPr lang="en-US" sz="800" b="0" i="0" u="none" strike="noStrike">
              <a:solidFill>
                <a:srgbClr val="A9218E"/>
              </a:solidFill>
              <a:latin typeface="Source Sans Pro"/>
              <a:ea typeface="Source Sans Pro"/>
            </a:rPr>
            <a:pPr algn="ctr"/>
            <a:t>84% Core; 
70% Add-Ins</a:t>
          </a:fld>
          <a:endParaRPr lang="en-US" sz="800">
            <a:solidFill>
              <a:srgbClr val="A9218E"/>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0.30556</cdr:x>
      <cdr:y>0.46082</cdr:y>
    </cdr:from>
    <cdr:to>
      <cdr:x>0.68889</cdr:x>
      <cdr:y>0.62749</cdr:y>
    </cdr:to>
    <cdr:sp macro="" textlink="Chart_Data!$C$19">
      <cdr:nvSpPr>
        <cdr:cNvPr id="2" name="TextBox 1">
          <a:extLst xmlns:a="http://schemas.openxmlformats.org/drawingml/2006/main">
            <a:ext uri="{FF2B5EF4-FFF2-40B4-BE49-F238E27FC236}">
              <a16:creationId xmlns:a16="http://schemas.microsoft.com/office/drawing/2014/main" xmlns="" id="{3E07B067-6491-4825-A70C-FC8821FD3649}"/>
            </a:ext>
          </a:extLst>
        </cdr:cNvPr>
        <cdr:cNvSpPr txBox="1"/>
      </cdr:nvSpPr>
      <cdr:spPr>
        <a:xfrm xmlns:a="http://schemas.openxmlformats.org/drawingml/2006/main">
          <a:off x="429972" y="706386"/>
          <a:ext cx="539406" cy="25548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9BC9F268-E0FC-4F34-86B7-A4D4422FE525}" type="TxLink">
            <a:rPr lang="en-US" sz="800" b="0" i="0" u="none" strike="noStrike">
              <a:solidFill>
                <a:srgbClr val="3D33A6"/>
              </a:solidFill>
              <a:latin typeface="Source Sans Pro"/>
              <a:ea typeface="Source Sans Pro"/>
            </a:rPr>
            <a:pPr algn="ctr"/>
            <a:t>86% All</a:t>
          </a:fld>
          <a:endParaRPr lang="en-US" sz="800">
            <a:solidFill>
              <a:srgbClr val="3D33A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469265</xdr:colOff>
      <xdr:row>3</xdr:row>
      <xdr:rowOff>26247</xdr:rowOff>
    </xdr:to>
    <xdr:pic>
      <xdr:nvPicPr>
        <xdr:cNvPr id="9" name="Graphic 8" descr="Medical">
          <a:extLst>
            <a:ext uri="{FF2B5EF4-FFF2-40B4-BE49-F238E27FC236}">
              <a16:creationId xmlns:a16="http://schemas.microsoft.com/office/drawing/2014/main" xmlns="" id="{D4BE7D86-1D6B-4561-9318-E8958818E8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0" y="0"/>
          <a:ext cx="548640" cy="548640"/>
        </a:xfrm>
        <a:prstGeom prst="rect">
          <a:avLst/>
        </a:prstGeom>
      </xdr:spPr>
    </xdr:pic>
    <xdr:clientData/>
  </xdr:twoCellAnchor>
  <xdr:oneCellAnchor>
    <xdr:from>
      <xdr:col>12</xdr:col>
      <xdr:colOff>0</xdr:colOff>
      <xdr:row>0</xdr:row>
      <xdr:rowOff>0</xdr:rowOff>
    </xdr:from>
    <xdr:ext cx="548640" cy="549910"/>
    <xdr:pic>
      <xdr:nvPicPr>
        <xdr:cNvPr id="10" name="Graphic 9" descr="Medical">
          <a:extLst>
            <a:ext uri="{FF2B5EF4-FFF2-40B4-BE49-F238E27FC236}">
              <a16:creationId xmlns:a16="http://schemas.microsoft.com/office/drawing/2014/main" xmlns="" id="{1BC47CF7-98F0-44CD-B4F2-07CBF07A2E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10713720" y="0"/>
          <a:ext cx="548640" cy="54991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26035</xdr:colOff>
      <xdr:row>3</xdr:row>
      <xdr:rowOff>21590</xdr:rowOff>
    </xdr:to>
    <xdr:pic>
      <xdr:nvPicPr>
        <xdr:cNvPr id="2" name="Graphic 1" descr="Medical">
          <a:extLst>
            <a:ext uri="{FF2B5EF4-FFF2-40B4-BE49-F238E27FC236}">
              <a16:creationId xmlns:a16="http://schemas.microsoft.com/office/drawing/2014/main" xmlns="" id="{E437EB4C-9841-4093-91D8-78F58C4CAF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0" y="0"/>
          <a:ext cx="548640" cy="548640"/>
        </a:xfrm>
        <a:prstGeom prst="rect">
          <a:avLst/>
        </a:prstGeom>
      </xdr:spPr>
    </xdr:pic>
    <xdr:clientData/>
  </xdr:twoCellAnchor>
  <xdr:twoCellAnchor editAs="absolute">
    <xdr:from>
      <xdr:col>2</xdr:col>
      <xdr:colOff>0</xdr:colOff>
      <xdr:row>3</xdr:row>
      <xdr:rowOff>0</xdr:rowOff>
    </xdr:from>
    <xdr:to>
      <xdr:col>9</xdr:col>
      <xdr:colOff>502003</xdr:colOff>
      <xdr:row>18</xdr:row>
      <xdr:rowOff>1412</xdr:rowOff>
    </xdr:to>
    <xdr:graphicFrame macro="">
      <xdr:nvGraphicFramePr>
        <xdr:cNvPr id="3" name="Chart 2">
          <a:extLst>
            <a:ext uri="{FF2B5EF4-FFF2-40B4-BE49-F238E27FC236}">
              <a16:creationId xmlns:a16="http://schemas.microsoft.com/office/drawing/2014/main" xmlns="" id="{60114F65-1A68-4601-B18F-ED9447BA6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449791</xdr:colOff>
      <xdr:row>18</xdr:row>
      <xdr:rowOff>123825</xdr:rowOff>
    </xdr:from>
    <xdr:to>
      <xdr:col>9</xdr:col>
      <xdr:colOff>506941</xdr:colOff>
      <xdr:row>37</xdr:row>
      <xdr:rowOff>9525</xdr:rowOff>
    </xdr:to>
    <xdr:graphicFrame macro="">
      <xdr:nvGraphicFramePr>
        <xdr:cNvPr id="4" name="Chart 3">
          <a:extLst>
            <a:ext uri="{FF2B5EF4-FFF2-40B4-BE49-F238E27FC236}">
              <a16:creationId xmlns:a16="http://schemas.microsoft.com/office/drawing/2014/main" xmlns="" id="{E7D4DC39-10C0-4F71-8108-3EB78F326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451556</xdr:colOff>
      <xdr:row>38</xdr:row>
      <xdr:rowOff>28222</xdr:rowOff>
    </xdr:from>
    <xdr:to>
      <xdr:col>9</xdr:col>
      <xdr:colOff>508706</xdr:colOff>
      <xdr:row>52</xdr:row>
      <xdr:rowOff>104423</xdr:rowOff>
    </xdr:to>
    <xdr:graphicFrame macro="">
      <xdr:nvGraphicFramePr>
        <xdr:cNvPr id="5" name="Chart 4">
          <a:extLst>
            <a:ext uri="{FF2B5EF4-FFF2-40B4-BE49-F238E27FC236}">
              <a16:creationId xmlns:a16="http://schemas.microsoft.com/office/drawing/2014/main" xmlns="" id="{91A666D0-608D-4ADF-9837-9C27DD5CC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0.41752</cdr:x>
      <cdr:y>0.22597</cdr:y>
    </cdr:from>
    <cdr:to>
      <cdr:x>0.56419</cdr:x>
      <cdr:y>0.39215</cdr:y>
    </cdr:to>
    <cdr:sp macro="" textlink="Chart_Data!$F$4">
      <cdr:nvSpPr>
        <cdr:cNvPr id="2" name="TextBox 1">
          <a:extLst xmlns:a="http://schemas.openxmlformats.org/drawingml/2006/main">
            <a:ext uri="{FF2B5EF4-FFF2-40B4-BE49-F238E27FC236}">
              <a16:creationId xmlns:a16="http://schemas.microsoft.com/office/drawing/2014/main" xmlns="" id="{E0CC51D3-9BB1-4AD8-AD78-AB2FD917C1AA}"/>
            </a:ext>
          </a:extLst>
        </cdr:cNvPr>
        <cdr:cNvSpPr txBox="1"/>
      </cdr:nvSpPr>
      <cdr:spPr>
        <a:xfrm xmlns:a="http://schemas.openxmlformats.org/drawingml/2006/main">
          <a:off x="2290836" y="609427"/>
          <a:ext cx="804742" cy="4481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76AFE480-17BA-4197-9084-7B1759DCF198}" type="TxLink">
            <a:rPr lang="en-US" sz="1100" b="0" i="0" u="none" strike="noStrike">
              <a:solidFill>
                <a:srgbClr val="000000"/>
              </a:solidFill>
              <a:latin typeface="Source Sans Pro"/>
              <a:ea typeface="Source Sans Pro"/>
            </a:rPr>
            <a:pPr algn="ctr"/>
            <a:t>-5.3%;
-$35.11</a:t>
          </a:fld>
          <a:endParaRPr lang="en-US" sz="1100"/>
        </a:p>
      </cdr:txBody>
    </cdr:sp>
  </cdr:relSizeAnchor>
</c:userShapes>
</file>

<file path=xl/drawings/drawing12.xml><?xml version="1.0" encoding="utf-8"?>
<c:userShapes xmlns:c="http://schemas.openxmlformats.org/drawingml/2006/chart">
  <cdr:relSizeAnchor xmlns:cdr="http://schemas.openxmlformats.org/drawingml/2006/chartDrawing">
    <cdr:from>
      <cdr:x>0.42207</cdr:x>
      <cdr:y>0.27235</cdr:y>
    </cdr:from>
    <cdr:to>
      <cdr:x>0.56791</cdr:x>
      <cdr:y>0.43448</cdr:y>
    </cdr:to>
    <cdr:sp macro="" textlink="Chart_Data!$F$9">
      <cdr:nvSpPr>
        <cdr:cNvPr id="2" name="TextBox 1">
          <a:extLst xmlns:a="http://schemas.openxmlformats.org/drawingml/2006/main">
            <a:ext uri="{FF2B5EF4-FFF2-40B4-BE49-F238E27FC236}">
              <a16:creationId xmlns:a16="http://schemas.microsoft.com/office/drawing/2014/main" xmlns="" id="{9BEE629A-3AD8-4B33-8409-31FB14243349}"/>
            </a:ext>
          </a:extLst>
        </cdr:cNvPr>
        <cdr:cNvSpPr txBox="1"/>
      </cdr:nvSpPr>
      <cdr:spPr>
        <a:xfrm xmlns:a="http://schemas.openxmlformats.org/drawingml/2006/main">
          <a:off x="2320105" y="703875"/>
          <a:ext cx="801680" cy="4190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DDFFD32-C923-4C9F-9C40-DE99DB202A98}" type="TxLink">
            <a:rPr lang="en-US" sz="1100" b="0" i="0" u="none" strike="noStrike">
              <a:solidFill>
                <a:srgbClr val="000000"/>
              </a:solidFill>
              <a:latin typeface="Source Sans Pro"/>
              <a:ea typeface="Source Sans Pro"/>
            </a:rPr>
            <a:pPr algn="ctr"/>
            <a:t>-10.5%;
-$59.98</a:t>
          </a:fld>
          <a:endParaRPr lang="en-US" sz="1100"/>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183515</xdr:colOff>
      <xdr:row>2</xdr:row>
      <xdr:rowOff>46355</xdr:rowOff>
    </xdr:to>
    <xdr:pic>
      <xdr:nvPicPr>
        <xdr:cNvPr id="3" name="Graphic 2" descr="Medical">
          <a:extLst>
            <a:ext uri="{FF2B5EF4-FFF2-40B4-BE49-F238E27FC236}">
              <a16:creationId xmlns:a16="http://schemas.microsoft.com/office/drawing/2014/main" xmlns="" id="{87641838-8677-4710-822D-D9FE3057E1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0" y="0"/>
          <a:ext cx="546523" cy="546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100542</xdr:colOff>
      <xdr:row>0</xdr:row>
      <xdr:rowOff>0</xdr:rowOff>
    </xdr:from>
    <xdr:to>
      <xdr:col>1</xdr:col>
      <xdr:colOff>526415</xdr:colOff>
      <xdr:row>2</xdr:row>
      <xdr:rowOff>156210</xdr:rowOff>
    </xdr:to>
    <xdr:pic>
      <xdr:nvPicPr>
        <xdr:cNvPr id="2" name="Graphic 1" descr="Medical">
          <a:extLst>
            <a:ext uri="{FF2B5EF4-FFF2-40B4-BE49-F238E27FC236}">
              <a16:creationId xmlns:a16="http://schemas.microsoft.com/office/drawing/2014/main" xmlns="" id="{71632C02-6F9F-4653-852A-E9AC82553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100542" y="0"/>
          <a:ext cx="542290" cy="54779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266700</xdr:colOff>
          <xdr:row>40</xdr:row>
          <xdr:rowOff>182880</xdr:rowOff>
        </xdr:from>
        <xdr:to>
          <xdr:col>1</xdr:col>
          <xdr:colOff>571500</xdr:colOff>
          <xdr:row>43</xdr:row>
          <xdr:rowOff>0</xdr:rowOff>
        </xdr:to>
        <xdr:sp macro="" textlink="">
          <xdr:nvSpPr>
            <xdr:cNvPr id="1219" name="ded_rxmain" hidden="1">
              <a:extLst>
                <a:ext uri="{63B3BB69-23CF-44E3-9099-C40C66FF867C}">
                  <a14:compatExt spid="_x0000_s1219"/>
                </a:ext>
                <a:ext uri="{FF2B5EF4-FFF2-40B4-BE49-F238E27FC236}">
                  <a16:creationId xmlns:a16="http://schemas.microsoft.com/office/drawing/2014/main" xmlns="" id="{00000000-0008-0000-0300-0000C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0</xdr:row>
          <xdr:rowOff>182880</xdr:rowOff>
        </xdr:from>
        <xdr:to>
          <xdr:col>1</xdr:col>
          <xdr:colOff>495300</xdr:colOff>
          <xdr:row>2</xdr:row>
          <xdr:rowOff>0</xdr:rowOff>
        </xdr:to>
        <xdr:sp macro="" textlink="">
          <xdr:nvSpPr>
            <xdr:cNvPr id="1028" name="Checkbox_Int" hidden="1">
              <a:extLst>
                <a:ext uri="{63B3BB69-23CF-44E3-9099-C40C66FF867C}">
                  <a14:compatExt spid="_x0000_s1028"/>
                </a:ext>
                <a:ext uri="{FF2B5EF4-FFF2-40B4-BE49-F238E27FC236}">
                  <a16:creationId xmlns:a16="http://schemas.microsoft.com/office/drawing/2014/main" xmlns=""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411480</xdr:colOff>
          <xdr:row>53</xdr:row>
          <xdr:rowOff>38100</xdr:rowOff>
        </xdr:from>
        <xdr:to>
          <xdr:col>0</xdr:col>
          <xdr:colOff>2659380</xdr:colOff>
          <xdr:row>54</xdr:row>
          <xdr:rowOff>30480</xdr:rowOff>
        </xdr:to>
        <xdr:sp macro="" textlink="">
          <xdr:nvSpPr>
            <xdr:cNvPr id="1132" name="Button 108" hidden="1">
              <a:extLst>
                <a:ext uri="{63B3BB69-23CF-44E3-9099-C40C66FF867C}">
                  <a14:compatExt spid="_x0000_s1132"/>
                </a:ext>
                <a:ext uri="{FF2B5EF4-FFF2-40B4-BE49-F238E27FC236}">
                  <a16:creationId xmlns:a16="http://schemas.microsoft.com/office/drawing/2014/main" xmlns="" id="{00000000-0008-0000-0300-00006C0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Calculate</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0</xdr:rowOff>
        </xdr:from>
        <xdr:to>
          <xdr:col>1</xdr:col>
          <xdr:colOff>495300</xdr:colOff>
          <xdr:row>4</xdr:row>
          <xdr:rowOff>7620</xdr:rowOff>
        </xdr:to>
        <xdr:sp macro="" textlink="">
          <xdr:nvSpPr>
            <xdr:cNvPr id="1133" name="snf_per_diem" hidden="1">
              <a:extLst>
                <a:ext uri="{63B3BB69-23CF-44E3-9099-C40C66FF867C}">
                  <a14:compatExt spid="_x0000_s1133"/>
                </a:ext>
                <a:ext uri="{FF2B5EF4-FFF2-40B4-BE49-F238E27FC236}">
                  <a16:creationId xmlns:a16="http://schemas.microsoft.com/office/drawing/2014/main" xmlns="" id="{00000000-0008-0000-0300-00006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0</xdr:rowOff>
        </xdr:from>
        <xdr:to>
          <xdr:col>1</xdr:col>
          <xdr:colOff>495300</xdr:colOff>
          <xdr:row>3</xdr:row>
          <xdr:rowOff>7620</xdr:rowOff>
        </xdr:to>
        <xdr:sp macro="" textlink="">
          <xdr:nvSpPr>
            <xdr:cNvPr id="1134" name="ip_per_diem" hidden="1">
              <a:extLst>
                <a:ext uri="{63B3BB69-23CF-44E3-9099-C40C66FF867C}">
                  <a14:compatExt spid="_x0000_s1134"/>
                </a:ext>
                <a:ext uri="{FF2B5EF4-FFF2-40B4-BE49-F238E27FC236}">
                  <a16:creationId xmlns:a16="http://schemas.microsoft.com/office/drawing/2014/main" xmlns="" id="{00000000-0008-0000-0300-00006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15</xdr:row>
          <xdr:rowOff>373380</xdr:rowOff>
        </xdr:from>
        <xdr:to>
          <xdr:col>1</xdr:col>
          <xdr:colOff>571500</xdr:colOff>
          <xdr:row>17</xdr:row>
          <xdr:rowOff>7620</xdr:rowOff>
        </xdr:to>
        <xdr:sp macro="" textlink="">
          <xdr:nvSpPr>
            <xdr:cNvPr id="1162" name="ded_med_all" hidden="1">
              <a:extLst>
                <a:ext uri="{63B3BB69-23CF-44E3-9099-C40C66FF867C}">
                  <a14:compatExt spid="_x0000_s1162"/>
                </a:ext>
                <a:ext uri="{FF2B5EF4-FFF2-40B4-BE49-F238E27FC236}">
                  <a16:creationId xmlns:a16="http://schemas.microsoft.com/office/drawing/2014/main" xmlns="" id="{00000000-0008-0000-0300-00008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16</xdr:row>
          <xdr:rowOff>182880</xdr:rowOff>
        </xdr:from>
        <xdr:to>
          <xdr:col>1</xdr:col>
          <xdr:colOff>571500</xdr:colOff>
          <xdr:row>18</xdr:row>
          <xdr:rowOff>7620</xdr:rowOff>
        </xdr:to>
        <xdr:sp macro="" textlink="">
          <xdr:nvSpPr>
            <xdr:cNvPr id="1163" name="ded_er" hidden="1">
              <a:extLst>
                <a:ext uri="{63B3BB69-23CF-44E3-9099-C40C66FF867C}">
                  <a14:compatExt spid="_x0000_s1163"/>
                </a:ext>
                <a:ext uri="{FF2B5EF4-FFF2-40B4-BE49-F238E27FC236}">
                  <a16:creationId xmlns:a16="http://schemas.microsoft.com/office/drawing/2014/main" xmlns="" id="{00000000-0008-0000-0300-00008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19</xdr:row>
          <xdr:rowOff>373380</xdr:rowOff>
        </xdr:from>
        <xdr:to>
          <xdr:col>1</xdr:col>
          <xdr:colOff>571500</xdr:colOff>
          <xdr:row>21</xdr:row>
          <xdr:rowOff>7620</xdr:rowOff>
        </xdr:to>
        <xdr:sp macro="" textlink="">
          <xdr:nvSpPr>
            <xdr:cNvPr id="1164" name="ded_sp" hidden="1">
              <a:extLst>
                <a:ext uri="{63B3BB69-23CF-44E3-9099-C40C66FF867C}">
                  <a14:compatExt spid="_x0000_s1164"/>
                </a:ext>
                <a:ext uri="{FF2B5EF4-FFF2-40B4-BE49-F238E27FC236}">
                  <a16:creationId xmlns:a16="http://schemas.microsoft.com/office/drawing/2014/main" xmlns="" id="{00000000-0008-0000-0300-00008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18</xdr:row>
          <xdr:rowOff>0</xdr:rowOff>
        </xdr:from>
        <xdr:to>
          <xdr:col>1</xdr:col>
          <xdr:colOff>571500</xdr:colOff>
          <xdr:row>19</xdr:row>
          <xdr:rowOff>7620</xdr:rowOff>
        </xdr:to>
        <xdr:sp macro="" textlink="">
          <xdr:nvSpPr>
            <xdr:cNvPr id="1165" name="ded_ip" hidden="1">
              <a:extLst>
                <a:ext uri="{63B3BB69-23CF-44E3-9099-C40C66FF867C}">
                  <a14:compatExt spid="_x0000_s1165"/>
                </a:ext>
                <a:ext uri="{FF2B5EF4-FFF2-40B4-BE49-F238E27FC236}">
                  <a16:creationId xmlns:a16="http://schemas.microsoft.com/office/drawing/2014/main" xmlns="" id="{00000000-0008-0000-0300-00008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19</xdr:row>
          <xdr:rowOff>106680</xdr:rowOff>
        </xdr:from>
        <xdr:to>
          <xdr:col>1</xdr:col>
          <xdr:colOff>571500</xdr:colOff>
          <xdr:row>19</xdr:row>
          <xdr:rowOff>312420</xdr:rowOff>
        </xdr:to>
        <xdr:sp macro="" textlink="">
          <xdr:nvSpPr>
            <xdr:cNvPr id="1166" name="ded_pc" hidden="1">
              <a:extLst>
                <a:ext uri="{63B3BB69-23CF-44E3-9099-C40C66FF867C}">
                  <a14:compatExt spid="_x0000_s1166"/>
                </a:ext>
                <a:ext uri="{FF2B5EF4-FFF2-40B4-BE49-F238E27FC236}">
                  <a16:creationId xmlns:a16="http://schemas.microsoft.com/office/drawing/2014/main" xmlns="" id="{00000000-0008-0000-0300-00008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21</xdr:row>
          <xdr:rowOff>106680</xdr:rowOff>
        </xdr:from>
        <xdr:to>
          <xdr:col>1</xdr:col>
          <xdr:colOff>571500</xdr:colOff>
          <xdr:row>21</xdr:row>
          <xdr:rowOff>312420</xdr:rowOff>
        </xdr:to>
        <xdr:sp macro="" textlink="">
          <xdr:nvSpPr>
            <xdr:cNvPr id="1167" name="ded_psy" hidden="1">
              <a:extLst>
                <a:ext uri="{63B3BB69-23CF-44E3-9099-C40C66FF867C}">
                  <a14:compatExt spid="_x0000_s1167"/>
                </a:ext>
                <a:ext uri="{FF2B5EF4-FFF2-40B4-BE49-F238E27FC236}">
                  <a16:creationId xmlns:a16="http://schemas.microsoft.com/office/drawing/2014/main" xmlns="" id="{00000000-0008-0000-0300-00008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525780</xdr:colOff>
          <xdr:row>15</xdr:row>
          <xdr:rowOff>190500</xdr:rowOff>
        </xdr:from>
        <xdr:to>
          <xdr:col>11</xdr:col>
          <xdr:colOff>144780</xdr:colOff>
          <xdr:row>16</xdr:row>
          <xdr:rowOff>30480</xdr:rowOff>
        </xdr:to>
        <xdr:sp macro="" textlink="">
          <xdr:nvSpPr>
            <xdr:cNvPr id="1168" name="ded_pvis" hidden="1">
              <a:extLst>
                <a:ext uri="{63B3BB69-23CF-44E3-9099-C40C66FF867C}">
                  <a14:compatExt spid="_x0000_s1168"/>
                </a:ext>
                <a:ext uri="{FF2B5EF4-FFF2-40B4-BE49-F238E27FC236}">
                  <a16:creationId xmlns:a16="http://schemas.microsoft.com/office/drawing/2014/main" xmlns="" id="{00000000-0008-0000-0300-00009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571500</xdr:colOff>
          <xdr:row>14</xdr:row>
          <xdr:rowOff>114300</xdr:rowOff>
        </xdr:from>
        <xdr:to>
          <xdr:col>11</xdr:col>
          <xdr:colOff>190500</xdr:colOff>
          <xdr:row>15</xdr:row>
          <xdr:rowOff>144780</xdr:rowOff>
        </xdr:to>
        <xdr:sp macro="" textlink="">
          <xdr:nvSpPr>
            <xdr:cNvPr id="1169" name="ded_abu" hidden="1">
              <a:extLst>
                <a:ext uri="{63B3BB69-23CF-44E3-9099-C40C66FF867C}">
                  <a14:compatExt spid="_x0000_s1169"/>
                </a:ext>
                <a:ext uri="{FF2B5EF4-FFF2-40B4-BE49-F238E27FC236}">
                  <a16:creationId xmlns:a16="http://schemas.microsoft.com/office/drawing/2014/main" xmlns="" id="{00000000-0008-0000-0300-00009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22</xdr:row>
          <xdr:rowOff>7620</xdr:rowOff>
        </xdr:from>
        <xdr:to>
          <xdr:col>1</xdr:col>
          <xdr:colOff>571500</xdr:colOff>
          <xdr:row>24</xdr:row>
          <xdr:rowOff>0</xdr:rowOff>
        </xdr:to>
        <xdr:sp macro="" textlink="">
          <xdr:nvSpPr>
            <xdr:cNvPr id="1170" name="ded_img" hidden="1">
              <a:extLst>
                <a:ext uri="{63B3BB69-23CF-44E3-9099-C40C66FF867C}">
                  <a14:compatExt spid="_x0000_s1170"/>
                </a:ext>
                <a:ext uri="{FF2B5EF4-FFF2-40B4-BE49-F238E27FC236}">
                  <a16:creationId xmlns:a16="http://schemas.microsoft.com/office/drawing/2014/main" xmlns="" id="{00000000-0008-0000-0300-00009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24</xdr:row>
          <xdr:rowOff>0</xdr:rowOff>
        </xdr:from>
        <xdr:to>
          <xdr:col>1</xdr:col>
          <xdr:colOff>571500</xdr:colOff>
          <xdr:row>27</xdr:row>
          <xdr:rowOff>30480</xdr:rowOff>
        </xdr:to>
        <xdr:sp macro="" textlink="">
          <xdr:nvSpPr>
            <xdr:cNvPr id="1171" name="ded_pden" hidden="1">
              <a:extLst>
                <a:ext uri="{63B3BB69-23CF-44E3-9099-C40C66FF867C}">
                  <a14:compatExt spid="_x0000_s1171"/>
                </a:ext>
                <a:ext uri="{FF2B5EF4-FFF2-40B4-BE49-F238E27FC236}">
                  <a16:creationId xmlns:a16="http://schemas.microsoft.com/office/drawing/2014/main" xmlns="" id="{00000000-0008-0000-0300-00009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27</xdr:row>
          <xdr:rowOff>0</xdr:rowOff>
        </xdr:from>
        <xdr:to>
          <xdr:col>1</xdr:col>
          <xdr:colOff>571500</xdr:colOff>
          <xdr:row>27</xdr:row>
          <xdr:rowOff>220980</xdr:rowOff>
        </xdr:to>
        <xdr:sp macro="" textlink="">
          <xdr:nvSpPr>
            <xdr:cNvPr id="1172" name="ded_pt" hidden="1">
              <a:extLst>
                <a:ext uri="{63B3BB69-23CF-44E3-9099-C40C66FF867C}">
                  <a14:compatExt spid="_x0000_s1172"/>
                </a:ext>
                <a:ext uri="{FF2B5EF4-FFF2-40B4-BE49-F238E27FC236}">
                  <a16:creationId xmlns:a16="http://schemas.microsoft.com/office/drawing/2014/main" xmlns="" id="{00000000-0008-0000-0300-00009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24</xdr:row>
          <xdr:rowOff>0</xdr:rowOff>
        </xdr:from>
        <xdr:to>
          <xdr:col>1</xdr:col>
          <xdr:colOff>571500</xdr:colOff>
          <xdr:row>27</xdr:row>
          <xdr:rowOff>30480</xdr:rowOff>
        </xdr:to>
        <xdr:sp macro="" textlink="">
          <xdr:nvSpPr>
            <xdr:cNvPr id="1173" name="ded_st" hidden="1">
              <a:extLst>
                <a:ext uri="{63B3BB69-23CF-44E3-9099-C40C66FF867C}">
                  <a14:compatExt spid="_x0000_s1173"/>
                </a:ext>
                <a:ext uri="{FF2B5EF4-FFF2-40B4-BE49-F238E27FC236}">
                  <a16:creationId xmlns:a16="http://schemas.microsoft.com/office/drawing/2014/main" xmlns="" id="{00000000-0008-0000-0300-00009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27</xdr:row>
          <xdr:rowOff>68580</xdr:rowOff>
        </xdr:from>
        <xdr:to>
          <xdr:col>1</xdr:col>
          <xdr:colOff>571500</xdr:colOff>
          <xdr:row>27</xdr:row>
          <xdr:rowOff>289560</xdr:rowOff>
        </xdr:to>
        <xdr:sp macro="" textlink="">
          <xdr:nvSpPr>
            <xdr:cNvPr id="1174" name="ded_ot" hidden="1">
              <a:extLst>
                <a:ext uri="{63B3BB69-23CF-44E3-9099-C40C66FF867C}">
                  <a14:compatExt spid="_x0000_s1174"/>
                </a:ext>
                <a:ext uri="{FF2B5EF4-FFF2-40B4-BE49-F238E27FC236}">
                  <a16:creationId xmlns:a16="http://schemas.microsoft.com/office/drawing/2014/main" xmlns="" id="{00000000-0008-0000-0300-00009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28</xdr:row>
          <xdr:rowOff>0</xdr:rowOff>
        </xdr:from>
        <xdr:to>
          <xdr:col>1</xdr:col>
          <xdr:colOff>571500</xdr:colOff>
          <xdr:row>31</xdr:row>
          <xdr:rowOff>22860</xdr:rowOff>
        </xdr:to>
        <xdr:sp macro="" textlink="">
          <xdr:nvSpPr>
            <xdr:cNvPr id="1175" name="ded_wb" hidden="1">
              <a:extLst>
                <a:ext uri="{63B3BB69-23CF-44E3-9099-C40C66FF867C}">
                  <a14:compatExt spid="_x0000_s1175"/>
                </a:ext>
                <a:ext uri="{FF2B5EF4-FFF2-40B4-BE49-F238E27FC236}">
                  <a16:creationId xmlns:a16="http://schemas.microsoft.com/office/drawing/2014/main" xmlns="" id="{00000000-0008-0000-0300-00009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32</xdr:row>
          <xdr:rowOff>0</xdr:rowOff>
        </xdr:from>
        <xdr:to>
          <xdr:col>1</xdr:col>
          <xdr:colOff>571500</xdr:colOff>
          <xdr:row>33</xdr:row>
          <xdr:rowOff>7620</xdr:rowOff>
        </xdr:to>
        <xdr:sp macro="" textlink="">
          <xdr:nvSpPr>
            <xdr:cNvPr id="1176" name="ded_xray" hidden="1">
              <a:extLst>
                <a:ext uri="{63B3BB69-23CF-44E3-9099-C40C66FF867C}">
                  <a14:compatExt spid="_x0000_s1176"/>
                </a:ext>
                <a:ext uri="{FF2B5EF4-FFF2-40B4-BE49-F238E27FC236}">
                  <a16:creationId xmlns:a16="http://schemas.microsoft.com/office/drawing/2014/main" xmlns="" id="{00000000-0008-0000-0300-00009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28</xdr:row>
          <xdr:rowOff>0</xdr:rowOff>
        </xdr:from>
        <xdr:to>
          <xdr:col>1</xdr:col>
          <xdr:colOff>571500</xdr:colOff>
          <xdr:row>31</xdr:row>
          <xdr:rowOff>22860</xdr:rowOff>
        </xdr:to>
        <xdr:sp macro="" textlink="">
          <xdr:nvSpPr>
            <xdr:cNvPr id="1177" name="ded_prev" hidden="1">
              <a:extLst>
                <a:ext uri="{63B3BB69-23CF-44E3-9099-C40C66FF867C}">
                  <a14:compatExt spid="_x0000_s1177"/>
                </a:ext>
                <a:ext uri="{FF2B5EF4-FFF2-40B4-BE49-F238E27FC236}">
                  <a16:creationId xmlns:a16="http://schemas.microsoft.com/office/drawing/2014/main" xmlns="" id="{00000000-0008-0000-0300-00009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31</xdr:row>
          <xdr:rowOff>0</xdr:rowOff>
        </xdr:from>
        <xdr:to>
          <xdr:col>1</xdr:col>
          <xdr:colOff>571500</xdr:colOff>
          <xdr:row>32</xdr:row>
          <xdr:rowOff>7620</xdr:rowOff>
        </xdr:to>
        <xdr:sp macro="" textlink="">
          <xdr:nvSpPr>
            <xdr:cNvPr id="1178" name="ded_lab" hidden="1">
              <a:extLst>
                <a:ext uri="{63B3BB69-23CF-44E3-9099-C40C66FF867C}">
                  <a14:compatExt spid="_x0000_s1178"/>
                </a:ext>
                <a:ext uri="{FF2B5EF4-FFF2-40B4-BE49-F238E27FC236}">
                  <a16:creationId xmlns:a16="http://schemas.microsoft.com/office/drawing/2014/main" xmlns="" id="{00000000-0008-0000-0300-00009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34</xdr:row>
          <xdr:rowOff>350520</xdr:rowOff>
        </xdr:from>
        <xdr:to>
          <xdr:col>1</xdr:col>
          <xdr:colOff>571500</xdr:colOff>
          <xdr:row>36</xdr:row>
          <xdr:rowOff>0</xdr:rowOff>
        </xdr:to>
        <xdr:sp macro="" textlink="">
          <xdr:nvSpPr>
            <xdr:cNvPr id="1179" name="ded_opprof" hidden="1">
              <a:extLst>
                <a:ext uri="{63B3BB69-23CF-44E3-9099-C40C66FF867C}">
                  <a14:compatExt spid="_x0000_s1179"/>
                </a:ext>
                <a:ext uri="{FF2B5EF4-FFF2-40B4-BE49-F238E27FC236}">
                  <a16:creationId xmlns:a16="http://schemas.microsoft.com/office/drawing/2014/main" xmlns="" id="{00000000-0008-0000-0300-00009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33</xdr:row>
          <xdr:rowOff>0</xdr:rowOff>
        </xdr:from>
        <xdr:to>
          <xdr:col>1</xdr:col>
          <xdr:colOff>571500</xdr:colOff>
          <xdr:row>34</xdr:row>
          <xdr:rowOff>7620</xdr:rowOff>
        </xdr:to>
        <xdr:sp macro="" textlink="">
          <xdr:nvSpPr>
            <xdr:cNvPr id="1180" name="ded_snf" hidden="1">
              <a:extLst>
                <a:ext uri="{63B3BB69-23CF-44E3-9099-C40C66FF867C}">
                  <a14:compatExt spid="_x0000_s1180"/>
                </a:ext>
                <a:ext uri="{FF2B5EF4-FFF2-40B4-BE49-F238E27FC236}">
                  <a16:creationId xmlns:a16="http://schemas.microsoft.com/office/drawing/2014/main" xmlns="" id="{00000000-0008-0000-0300-00009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34</xdr:row>
          <xdr:rowOff>76200</xdr:rowOff>
        </xdr:from>
        <xdr:to>
          <xdr:col>1</xdr:col>
          <xdr:colOff>571500</xdr:colOff>
          <xdr:row>34</xdr:row>
          <xdr:rowOff>297180</xdr:rowOff>
        </xdr:to>
        <xdr:sp macro="" textlink="">
          <xdr:nvSpPr>
            <xdr:cNvPr id="1181" name="ded_opfac" hidden="1">
              <a:extLst>
                <a:ext uri="{63B3BB69-23CF-44E3-9099-C40C66FF867C}">
                  <a14:compatExt spid="_x0000_s1181"/>
                </a:ext>
                <a:ext uri="{FF2B5EF4-FFF2-40B4-BE49-F238E27FC236}">
                  <a16:creationId xmlns:a16="http://schemas.microsoft.com/office/drawing/2014/main" xmlns="" id="{00000000-0008-0000-0300-00009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35</xdr:row>
          <xdr:rowOff>182880</xdr:rowOff>
        </xdr:from>
        <xdr:to>
          <xdr:col>1</xdr:col>
          <xdr:colOff>571500</xdr:colOff>
          <xdr:row>37</xdr:row>
          <xdr:rowOff>7620</xdr:rowOff>
        </xdr:to>
        <xdr:sp macro="" textlink="">
          <xdr:nvSpPr>
            <xdr:cNvPr id="1182" name="ded_rx_all" hidden="1">
              <a:extLst>
                <a:ext uri="{63B3BB69-23CF-44E3-9099-C40C66FF867C}">
                  <a14:compatExt spid="_x0000_s1182"/>
                </a:ext>
                <a:ext uri="{FF2B5EF4-FFF2-40B4-BE49-F238E27FC236}">
                  <a16:creationId xmlns:a16="http://schemas.microsoft.com/office/drawing/2014/main" xmlns="" id="{00000000-0008-0000-0300-00009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37</xdr:row>
          <xdr:rowOff>0</xdr:rowOff>
        </xdr:from>
        <xdr:to>
          <xdr:col>1</xdr:col>
          <xdr:colOff>571500</xdr:colOff>
          <xdr:row>38</xdr:row>
          <xdr:rowOff>7620</xdr:rowOff>
        </xdr:to>
        <xdr:sp macro="" textlink="">
          <xdr:nvSpPr>
            <xdr:cNvPr id="1183" name="ded_rxgen" hidden="1">
              <a:extLst>
                <a:ext uri="{63B3BB69-23CF-44E3-9099-C40C66FF867C}">
                  <a14:compatExt spid="_x0000_s1183"/>
                </a:ext>
                <a:ext uri="{FF2B5EF4-FFF2-40B4-BE49-F238E27FC236}">
                  <a16:creationId xmlns:a16="http://schemas.microsoft.com/office/drawing/2014/main" xmlns="" id="{00000000-0008-0000-0300-00009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38</xdr:row>
          <xdr:rowOff>0</xdr:rowOff>
        </xdr:from>
        <xdr:to>
          <xdr:col>1</xdr:col>
          <xdr:colOff>571500</xdr:colOff>
          <xdr:row>39</xdr:row>
          <xdr:rowOff>7620</xdr:rowOff>
        </xdr:to>
        <xdr:sp macro="" textlink="">
          <xdr:nvSpPr>
            <xdr:cNvPr id="1184" name="ded_rxform" hidden="1">
              <a:extLst>
                <a:ext uri="{63B3BB69-23CF-44E3-9099-C40C66FF867C}">
                  <a14:compatExt spid="_x0000_s1184"/>
                </a:ext>
                <a:ext uri="{FF2B5EF4-FFF2-40B4-BE49-F238E27FC236}">
                  <a16:creationId xmlns:a16="http://schemas.microsoft.com/office/drawing/2014/main" xmlns="" id="{00000000-0008-0000-0300-0000A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39</xdr:row>
          <xdr:rowOff>0</xdr:rowOff>
        </xdr:from>
        <xdr:to>
          <xdr:col>1</xdr:col>
          <xdr:colOff>571500</xdr:colOff>
          <xdr:row>40</xdr:row>
          <xdr:rowOff>7620</xdr:rowOff>
        </xdr:to>
        <xdr:sp macro="" textlink="">
          <xdr:nvSpPr>
            <xdr:cNvPr id="1185" name="ded_rxnonform" hidden="1">
              <a:extLst>
                <a:ext uri="{63B3BB69-23CF-44E3-9099-C40C66FF867C}">
                  <a14:compatExt spid="_x0000_s1185"/>
                </a:ext>
                <a:ext uri="{FF2B5EF4-FFF2-40B4-BE49-F238E27FC236}">
                  <a16:creationId xmlns:a16="http://schemas.microsoft.com/office/drawing/2014/main" xmlns="" id="{00000000-0008-0000-0300-0000A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40</xdr:row>
          <xdr:rowOff>0</xdr:rowOff>
        </xdr:from>
        <xdr:to>
          <xdr:col>1</xdr:col>
          <xdr:colOff>571500</xdr:colOff>
          <xdr:row>41</xdr:row>
          <xdr:rowOff>0</xdr:rowOff>
        </xdr:to>
        <xdr:sp macro="" textlink="">
          <xdr:nvSpPr>
            <xdr:cNvPr id="1190" name="ded_rxspclty" hidden="1">
              <a:extLst>
                <a:ext uri="{63B3BB69-23CF-44E3-9099-C40C66FF867C}">
                  <a14:compatExt spid="_x0000_s1190"/>
                </a:ext>
                <a:ext uri="{FF2B5EF4-FFF2-40B4-BE49-F238E27FC236}">
                  <a16:creationId xmlns:a16="http://schemas.microsoft.com/office/drawing/2014/main" xmlns="" id="{00000000-0008-0000-0300-0000A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15</xdr:row>
          <xdr:rowOff>373380</xdr:rowOff>
        </xdr:from>
        <xdr:to>
          <xdr:col>2</xdr:col>
          <xdr:colOff>601980</xdr:colOff>
          <xdr:row>17</xdr:row>
          <xdr:rowOff>7620</xdr:rowOff>
        </xdr:to>
        <xdr:sp macro="" textlink="">
          <xdr:nvSpPr>
            <xdr:cNvPr id="1191" name="coins_med_all" hidden="1">
              <a:extLst>
                <a:ext uri="{63B3BB69-23CF-44E3-9099-C40C66FF867C}">
                  <a14:compatExt spid="_x0000_s1191"/>
                </a:ext>
                <a:ext uri="{FF2B5EF4-FFF2-40B4-BE49-F238E27FC236}">
                  <a16:creationId xmlns:a16="http://schemas.microsoft.com/office/drawing/2014/main" xmlns="" id="{00000000-0008-0000-0300-0000A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16</xdr:row>
          <xdr:rowOff>182880</xdr:rowOff>
        </xdr:from>
        <xdr:to>
          <xdr:col>2</xdr:col>
          <xdr:colOff>601980</xdr:colOff>
          <xdr:row>18</xdr:row>
          <xdr:rowOff>7620</xdr:rowOff>
        </xdr:to>
        <xdr:sp macro="" textlink="">
          <xdr:nvSpPr>
            <xdr:cNvPr id="1192" name="coins_er" hidden="1">
              <a:extLst>
                <a:ext uri="{63B3BB69-23CF-44E3-9099-C40C66FF867C}">
                  <a14:compatExt spid="_x0000_s1192"/>
                </a:ext>
                <a:ext uri="{FF2B5EF4-FFF2-40B4-BE49-F238E27FC236}">
                  <a16:creationId xmlns:a16="http://schemas.microsoft.com/office/drawing/2014/main" xmlns="" id="{00000000-0008-0000-0300-0000A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19</xdr:row>
          <xdr:rowOff>373380</xdr:rowOff>
        </xdr:from>
        <xdr:to>
          <xdr:col>2</xdr:col>
          <xdr:colOff>601980</xdr:colOff>
          <xdr:row>21</xdr:row>
          <xdr:rowOff>7620</xdr:rowOff>
        </xdr:to>
        <xdr:sp macro="" textlink="">
          <xdr:nvSpPr>
            <xdr:cNvPr id="1193" name="coins_sp" hidden="1">
              <a:extLst>
                <a:ext uri="{63B3BB69-23CF-44E3-9099-C40C66FF867C}">
                  <a14:compatExt spid="_x0000_s1193"/>
                </a:ext>
                <a:ext uri="{FF2B5EF4-FFF2-40B4-BE49-F238E27FC236}">
                  <a16:creationId xmlns:a16="http://schemas.microsoft.com/office/drawing/2014/main" xmlns="" id="{00000000-0008-0000-0300-0000A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18</xdr:row>
          <xdr:rowOff>0</xdr:rowOff>
        </xdr:from>
        <xdr:to>
          <xdr:col>2</xdr:col>
          <xdr:colOff>601980</xdr:colOff>
          <xdr:row>19</xdr:row>
          <xdr:rowOff>7620</xdr:rowOff>
        </xdr:to>
        <xdr:sp macro="" textlink="">
          <xdr:nvSpPr>
            <xdr:cNvPr id="1194" name="coins_ip" hidden="1">
              <a:extLst>
                <a:ext uri="{63B3BB69-23CF-44E3-9099-C40C66FF867C}">
                  <a14:compatExt spid="_x0000_s1194"/>
                </a:ext>
                <a:ext uri="{FF2B5EF4-FFF2-40B4-BE49-F238E27FC236}">
                  <a16:creationId xmlns:a16="http://schemas.microsoft.com/office/drawing/2014/main" xmlns="" id="{00000000-0008-0000-0300-0000A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19</xdr:row>
          <xdr:rowOff>106680</xdr:rowOff>
        </xdr:from>
        <xdr:to>
          <xdr:col>2</xdr:col>
          <xdr:colOff>601980</xdr:colOff>
          <xdr:row>19</xdr:row>
          <xdr:rowOff>312420</xdr:rowOff>
        </xdr:to>
        <xdr:sp macro="" textlink="">
          <xdr:nvSpPr>
            <xdr:cNvPr id="1195" name="coins_pc" hidden="1">
              <a:extLst>
                <a:ext uri="{63B3BB69-23CF-44E3-9099-C40C66FF867C}">
                  <a14:compatExt spid="_x0000_s1195"/>
                </a:ext>
                <a:ext uri="{FF2B5EF4-FFF2-40B4-BE49-F238E27FC236}">
                  <a16:creationId xmlns:a16="http://schemas.microsoft.com/office/drawing/2014/main" xmlns="" id="{00000000-0008-0000-0300-0000A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21</xdr:row>
          <xdr:rowOff>106680</xdr:rowOff>
        </xdr:from>
        <xdr:to>
          <xdr:col>2</xdr:col>
          <xdr:colOff>601980</xdr:colOff>
          <xdr:row>21</xdr:row>
          <xdr:rowOff>312420</xdr:rowOff>
        </xdr:to>
        <xdr:sp macro="" textlink="">
          <xdr:nvSpPr>
            <xdr:cNvPr id="1196" name="coins_psy" hidden="1">
              <a:extLst>
                <a:ext uri="{63B3BB69-23CF-44E3-9099-C40C66FF867C}">
                  <a14:compatExt spid="_x0000_s1196"/>
                </a:ext>
                <a:ext uri="{FF2B5EF4-FFF2-40B4-BE49-F238E27FC236}">
                  <a16:creationId xmlns:a16="http://schemas.microsoft.com/office/drawing/2014/main" xmlns="" id="{00000000-0008-0000-0300-0000A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144780</xdr:colOff>
          <xdr:row>15</xdr:row>
          <xdr:rowOff>220980</xdr:rowOff>
        </xdr:from>
        <xdr:to>
          <xdr:col>11</xdr:col>
          <xdr:colOff>449580</xdr:colOff>
          <xdr:row>16</xdr:row>
          <xdr:rowOff>45720</xdr:rowOff>
        </xdr:to>
        <xdr:sp macro="" textlink="">
          <xdr:nvSpPr>
            <xdr:cNvPr id="1197" name="coins_pvis" hidden="1">
              <a:extLst>
                <a:ext uri="{63B3BB69-23CF-44E3-9099-C40C66FF867C}">
                  <a14:compatExt spid="_x0000_s1197"/>
                </a:ext>
                <a:ext uri="{FF2B5EF4-FFF2-40B4-BE49-F238E27FC236}">
                  <a16:creationId xmlns:a16="http://schemas.microsoft.com/office/drawing/2014/main" xmlns="" id="{00000000-0008-0000-0300-0000A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182880</xdr:colOff>
          <xdr:row>14</xdr:row>
          <xdr:rowOff>121920</xdr:rowOff>
        </xdr:from>
        <xdr:to>
          <xdr:col>11</xdr:col>
          <xdr:colOff>487680</xdr:colOff>
          <xdr:row>15</xdr:row>
          <xdr:rowOff>144780</xdr:rowOff>
        </xdr:to>
        <xdr:sp macro="" textlink="">
          <xdr:nvSpPr>
            <xdr:cNvPr id="1198" name="coins_abu" hidden="1">
              <a:extLst>
                <a:ext uri="{63B3BB69-23CF-44E3-9099-C40C66FF867C}">
                  <a14:compatExt spid="_x0000_s1198"/>
                </a:ext>
                <a:ext uri="{FF2B5EF4-FFF2-40B4-BE49-F238E27FC236}">
                  <a16:creationId xmlns:a16="http://schemas.microsoft.com/office/drawing/2014/main" xmlns="" id="{00000000-0008-0000-0300-0000A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22</xdr:row>
          <xdr:rowOff>7620</xdr:rowOff>
        </xdr:from>
        <xdr:to>
          <xdr:col>2</xdr:col>
          <xdr:colOff>601980</xdr:colOff>
          <xdr:row>24</xdr:row>
          <xdr:rowOff>0</xdr:rowOff>
        </xdr:to>
        <xdr:sp macro="" textlink="">
          <xdr:nvSpPr>
            <xdr:cNvPr id="1199" name="coins_img" hidden="1">
              <a:extLst>
                <a:ext uri="{63B3BB69-23CF-44E3-9099-C40C66FF867C}">
                  <a14:compatExt spid="_x0000_s1199"/>
                </a:ext>
                <a:ext uri="{FF2B5EF4-FFF2-40B4-BE49-F238E27FC236}">
                  <a16:creationId xmlns:a16="http://schemas.microsoft.com/office/drawing/2014/main" xmlns="" id="{00000000-0008-0000-0300-0000A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26</xdr:row>
          <xdr:rowOff>121920</xdr:rowOff>
        </xdr:from>
        <xdr:to>
          <xdr:col>3</xdr:col>
          <xdr:colOff>419100</xdr:colOff>
          <xdr:row>27</xdr:row>
          <xdr:rowOff>152400</xdr:rowOff>
        </xdr:to>
        <xdr:sp macro="" textlink="">
          <xdr:nvSpPr>
            <xdr:cNvPr id="1200" name="coins_pden" hidden="1">
              <a:extLst>
                <a:ext uri="{63B3BB69-23CF-44E3-9099-C40C66FF867C}">
                  <a14:compatExt spid="_x0000_s1200"/>
                </a:ext>
                <a:ext uri="{FF2B5EF4-FFF2-40B4-BE49-F238E27FC236}">
                  <a16:creationId xmlns:a16="http://schemas.microsoft.com/office/drawing/2014/main" xmlns="" id="{00000000-0008-0000-0300-0000B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27</xdr:row>
          <xdr:rowOff>0</xdr:rowOff>
        </xdr:from>
        <xdr:to>
          <xdr:col>2</xdr:col>
          <xdr:colOff>601980</xdr:colOff>
          <xdr:row>27</xdr:row>
          <xdr:rowOff>220980</xdr:rowOff>
        </xdr:to>
        <xdr:sp macro="" textlink="">
          <xdr:nvSpPr>
            <xdr:cNvPr id="1201" name="coins_pt" hidden="1">
              <a:extLst>
                <a:ext uri="{63B3BB69-23CF-44E3-9099-C40C66FF867C}">
                  <a14:compatExt spid="_x0000_s1201"/>
                </a:ext>
                <a:ext uri="{FF2B5EF4-FFF2-40B4-BE49-F238E27FC236}">
                  <a16:creationId xmlns:a16="http://schemas.microsoft.com/office/drawing/2014/main" xmlns="" id="{00000000-0008-0000-0300-0000B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24</xdr:row>
          <xdr:rowOff>0</xdr:rowOff>
        </xdr:from>
        <xdr:to>
          <xdr:col>2</xdr:col>
          <xdr:colOff>601980</xdr:colOff>
          <xdr:row>27</xdr:row>
          <xdr:rowOff>30480</xdr:rowOff>
        </xdr:to>
        <xdr:sp macro="" textlink="">
          <xdr:nvSpPr>
            <xdr:cNvPr id="1202" name="coins_st" hidden="1">
              <a:extLst>
                <a:ext uri="{63B3BB69-23CF-44E3-9099-C40C66FF867C}">
                  <a14:compatExt spid="_x0000_s1202"/>
                </a:ext>
                <a:ext uri="{FF2B5EF4-FFF2-40B4-BE49-F238E27FC236}">
                  <a16:creationId xmlns:a16="http://schemas.microsoft.com/office/drawing/2014/main" xmlns="" id="{00000000-0008-0000-0300-0000B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27</xdr:row>
          <xdr:rowOff>68580</xdr:rowOff>
        </xdr:from>
        <xdr:to>
          <xdr:col>2</xdr:col>
          <xdr:colOff>601980</xdr:colOff>
          <xdr:row>27</xdr:row>
          <xdr:rowOff>289560</xdr:rowOff>
        </xdr:to>
        <xdr:sp macro="" textlink="">
          <xdr:nvSpPr>
            <xdr:cNvPr id="1203" name="coins_ot" hidden="1">
              <a:extLst>
                <a:ext uri="{63B3BB69-23CF-44E3-9099-C40C66FF867C}">
                  <a14:compatExt spid="_x0000_s1203"/>
                </a:ext>
                <a:ext uri="{FF2B5EF4-FFF2-40B4-BE49-F238E27FC236}">
                  <a16:creationId xmlns:a16="http://schemas.microsoft.com/office/drawing/2014/main" xmlns="" id="{00000000-0008-0000-0300-0000B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28</xdr:row>
          <xdr:rowOff>0</xdr:rowOff>
        </xdr:from>
        <xdr:to>
          <xdr:col>2</xdr:col>
          <xdr:colOff>601980</xdr:colOff>
          <xdr:row>31</xdr:row>
          <xdr:rowOff>22860</xdr:rowOff>
        </xdr:to>
        <xdr:sp macro="" textlink="">
          <xdr:nvSpPr>
            <xdr:cNvPr id="1204" name="coins_wb" hidden="1">
              <a:extLst>
                <a:ext uri="{63B3BB69-23CF-44E3-9099-C40C66FF867C}">
                  <a14:compatExt spid="_x0000_s1204"/>
                </a:ext>
                <a:ext uri="{FF2B5EF4-FFF2-40B4-BE49-F238E27FC236}">
                  <a16:creationId xmlns:a16="http://schemas.microsoft.com/office/drawing/2014/main" xmlns="" id="{00000000-0008-0000-0300-0000B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32</xdr:row>
          <xdr:rowOff>0</xdr:rowOff>
        </xdr:from>
        <xdr:to>
          <xdr:col>2</xdr:col>
          <xdr:colOff>601980</xdr:colOff>
          <xdr:row>33</xdr:row>
          <xdr:rowOff>7620</xdr:rowOff>
        </xdr:to>
        <xdr:sp macro="" textlink="">
          <xdr:nvSpPr>
            <xdr:cNvPr id="1205" name="coins_xray" hidden="1">
              <a:extLst>
                <a:ext uri="{63B3BB69-23CF-44E3-9099-C40C66FF867C}">
                  <a14:compatExt spid="_x0000_s1205"/>
                </a:ext>
                <a:ext uri="{FF2B5EF4-FFF2-40B4-BE49-F238E27FC236}">
                  <a16:creationId xmlns:a16="http://schemas.microsoft.com/office/drawing/2014/main" xmlns="" id="{00000000-0008-0000-0300-0000B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28</xdr:row>
          <xdr:rowOff>0</xdr:rowOff>
        </xdr:from>
        <xdr:to>
          <xdr:col>2</xdr:col>
          <xdr:colOff>601980</xdr:colOff>
          <xdr:row>31</xdr:row>
          <xdr:rowOff>22860</xdr:rowOff>
        </xdr:to>
        <xdr:sp macro="" textlink="">
          <xdr:nvSpPr>
            <xdr:cNvPr id="1206" name="coins_prev" hidden="1">
              <a:extLst>
                <a:ext uri="{63B3BB69-23CF-44E3-9099-C40C66FF867C}">
                  <a14:compatExt spid="_x0000_s1206"/>
                </a:ext>
                <a:ext uri="{FF2B5EF4-FFF2-40B4-BE49-F238E27FC236}">
                  <a16:creationId xmlns:a16="http://schemas.microsoft.com/office/drawing/2014/main" xmlns="" id="{00000000-0008-0000-0300-0000B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31</xdr:row>
          <xdr:rowOff>0</xdr:rowOff>
        </xdr:from>
        <xdr:to>
          <xdr:col>2</xdr:col>
          <xdr:colOff>601980</xdr:colOff>
          <xdr:row>32</xdr:row>
          <xdr:rowOff>7620</xdr:rowOff>
        </xdr:to>
        <xdr:sp macro="" textlink="">
          <xdr:nvSpPr>
            <xdr:cNvPr id="1207" name="coins_lab" hidden="1">
              <a:extLst>
                <a:ext uri="{63B3BB69-23CF-44E3-9099-C40C66FF867C}">
                  <a14:compatExt spid="_x0000_s1207"/>
                </a:ext>
                <a:ext uri="{FF2B5EF4-FFF2-40B4-BE49-F238E27FC236}">
                  <a16:creationId xmlns:a16="http://schemas.microsoft.com/office/drawing/2014/main" xmlns="" id="{00000000-0008-0000-0300-0000B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34</xdr:row>
          <xdr:rowOff>350520</xdr:rowOff>
        </xdr:from>
        <xdr:to>
          <xdr:col>2</xdr:col>
          <xdr:colOff>601980</xdr:colOff>
          <xdr:row>36</xdr:row>
          <xdr:rowOff>0</xdr:rowOff>
        </xdr:to>
        <xdr:sp macro="" textlink="">
          <xdr:nvSpPr>
            <xdr:cNvPr id="1208" name="coins_opprof" hidden="1">
              <a:extLst>
                <a:ext uri="{63B3BB69-23CF-44E3-9099-C40C66FF867C}">
                  <a14:compatExt spid="_x0000_s1208"/>
                </a:ext>
                <a:ext uri="{FF2B5EF4-FFF2-40B4-BE49-F238E27FC236}">
                  <a16:creationId xmlns:a16="http://schemas.microsoft.com/office/drawing/2014/main" xmlns="" id="{00000000-0008-0000-0300-0000B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33</xdr:row>
          <xdr:rowOff>0</xdr:rowOff>
        </xdr:from>
        <xdr:to>
          <xdr:col>2</xdr:col>
          <xdr:colOff>601980</xdr:colOff>
          <xdr:row>34</xdr:row>
          <xdr:rowOff>7620</xdr:rowOff>
        </xdr:to>
        <xdr:sp macro="" textlink="">
          <xdr:nvSpPr>
            <xdr:cNvPr id="1209" name="coins_snf" hidden="1">
              <a:extLst>
                <a:ext uri="{63B3BB69-23CF-44E3-9099-C40C66FF867C}">
                  <a14:compatExt spid="_x0000_s1209"/>
                </a:ext>
                <a:ext uri="{FF2B5EF4-FFF2-40B4-BE49-F238E27FC236}">
                  <a16:creationId xmlns:a16="http://schemas.microsoft.com/office/drawing/2014/main" xmlns="" id="{00000000-0008-0000-0300-0000B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34</xdr:row>
          <xdr:rowOff>76200</xdr:rowOff>
        </xdr:from>
        <xdr:to>
          <xdr:col>2</xdr:col>
          <xdr:colOff>601980</xdr:colOff>
          <xdr:row>34</xdr:row>
          <xdr:rowOff>297180</xdr:rowOff>
        </xdr:to>
        <xdr:sp macro="" textlink="">
          <xdr:nvSpPr>
            <xdr:cNvPr id="1210" name="coins_opfac" hidden="1">
              <a:extLst>
                <a:ext uri="{63B3BB69-23CF-44E3-9099-C40C66FF867C}">
                  <a14:compatExt spid="_x0000_s1210"/>
                </a:ext>
                <a:ext uri="{FF2B5EF4-FFF2-40B4-BE49-F238E27FC236}">
                  <a16:creationId xmlns:a16="http://schemas.microsoft.com/office/drawing/2014/main" xmlns="" id="{00000000-0008-0000-0300-0000B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35</xdr:row>
          <xdr:rowOff>182880</xdr:rowOff>
        </xdr:from>
        <xdr:to>
          <xdr:col>2</xdr:col>
          <xdr:colOff>601980</xdr:colOff>
          <xdr:row>37</xdr:row>
          <xdr:rowOff>7620</xdr:rowOff>
        </xdr:to>
        <xdr:sp macro="" textlink="">
          <xdr:nvSpPr>
            <xdr:cNvPr id="1211" name="coins_rx_all" hidden="1">
              <a:extLst>
                <a:ext uri="{63B3BB69-23CF-44E3-9099-C40C66FF867C}">
                  <a14:compatExt spid="_x0000_s1211"/>
                </a:ext>
                <a:ext uri="{FF2B5EF4-FFF2-40B4-BE49-F238E27FC236}">
                  <a16:creationId xmlns:a16="http://schemas.microsoft.com/office/drawing/2014/main" xmlns="" id="{00000000-0008-0000-0300-0000B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37</xdr:row>
          <xdr:rowOff>0</xdr:rowOff>
        </xdr:from>
        <xdr:to>
          <xdr:col>2</xdr:col>
          <xdr:colOff>601980</xdr:colOff>
          <xdr:row>38</xdr:row>
          <xdr:rowOff>7620</xdr:rowOff>
        </xdr:to>
        <xdr:sp macro="" textlink="">
          <xdr:nvSpPr>
            <xdr:cNvPr id="1212" name="coins_rxgen" hidden="1">
              <a:extLst>
                <a:ext uri="{63B3BB69-23CF-44E3-9099-C40C66FF867C}">
                  <a14:compatExt spid="_x0000_s1212"/>
                </a:ext>
                <a:ext uri="{FF2B5EF4-FFF2-40B4-BE49-F238E27FC236}">
                  <a16:creationId xmlns:a16="http://schemas.microsoft.com/office/drawing/2014/main" xmlns="" id="{00000000-0008-0000-0300-0000B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38</xdr:row>
          <xdr:rowOff>0</xdr:rowOff>
        </xdr:from>
        <xdr:to>
          <xdr:col>2</xdr:col>
          <xdr:colOff>601980</xdr:colOff>
          <xdr:row>39</xdr:row>
          <xdr:rowOff>7620</xdr:rowOff>
        </xdr:to>
        <xdr:sp macro="" textlink="">
          <xdr:nvSpPr>
            <xdr:cNvPr id="1213" name="coins_rxform" hidden="1">
              <a:extLst>
                <a:ext uri="{63B3BB69-23CF-44E3-9099-C40C66FF867C}">
                  <a14:compatExt spid="_x0000_s1213"/>
                </a:ext>
                <a:ext uri="{FF2B5EF4-FFF2-40B4-BE49-F238E27FC236}">
                  <a16:creationId xmlns:a16="http://schemas.microsoft.com/office/drawing/2014/main" xmlns="" id="{00000000-0008-0000-0300-0000B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39</xdr:row>
          <xdr:rowOff>0</xdr:rowOff>
        </xdr:from>
        <xdr:to>
          <xdr:col>2</xdr:col>
          <xdr:colOff>601980</xdr:colOff>
          <xdr:row>40</xdr:row>
          <xdr:rowOff>7620</xdr:rowOff>
        </xdr:to>
        <xdr:sp macro="" textlink="">
          <xdr:nvSpPr>
            <xdr:cNvPr id="1214" name="coins_rxnonform" hidden="1">
              <a:extLst>
                <a:ext uri="{63B3BB69-23CF-44E3-9099-C40C66FF867C}">
                  <a14:compatExt spid="_x0000_s1214"/>
                </a:ext>
                <a:ext uri="{FF2B5EF4-FFF2-40B4-BE49-F238E27FC236}">
                  <a16:creationId xmlns:a16="http://schemas.microsoft.com/office/drawing/2014/main" xmlns="" id="{00000000-0008-0000-0300-0000B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40</xdr:row>
          <xdr:rowOff>0</xdr:rowOff>
        </xdr:from>
        <xdr:to>
          <xdr:col>2</xdr:col>
          <xdr:colOff>601980</xdr:colOff>
          <xdr:row>41</xdr:row>
          <xdr:rowOff>0</xdr:rowOff>
        </xdr:to>
        <xdr:sp macro="" textlink="">
          <xdr:nvSpPr>
            <xdr:cNvPr id="1215" name="coins_rxspclty" hidden="1">
              <a:extLst>
                <a:ext uri="{63B3BB69-23CF-44E3-9099-C40C66FF867C}">
                  <a14:compatExt spid="_x0000_s1215"/>
                </a:ext>
                <a:ext uri="{FF2B5EF4-FFF2-40B4-BE49-F238E27FC236}">
                  <a16:creationId xmlns:a16="http://schemas.microsoft.com/office/drawing/2014/main" xmlns="" id="{00000000-0008-0000-0300-0000B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190500</xdr:colOff>
          <xdr:row>2</xdr:row>
          <xdr:rowOff>0</xdr:rowOff>
        </xdr:from>
        <xdr:to>
          <xdr:col>4</xdr:col>
          <xdr:colOff>495300</xdr:colOff>
          <xdr:row>3</xdr:row>
          <xdr:rowOff>7620</xdr:rowOff>
        </xdr:to>
        <xdr:sp macro="" textlink="">
          <xdr:nvSpPr>
            <xdr:cNvPr id="1216" name="hsa" hidden="1">
              <a:extLst>
                <a:ext uri="{63B3BB69-23CF-44E3-9099-C40C66FF867C}">
                  <a14:compatExt spid="_x0000_s1216"/>
                </a:ext>
                <a:ext uri="{FF2B5EF4-FFF2-40B4-BE49-F238E27FC236}">
                  <a16:creationId xmlns:a16="http://schemas.microsoft.com/office/drawing/2014/main" xmlns="" id="{00000000-0008-0000-0300-0000C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2</xdr:row>
          <xdr:rowOff>0</xdr:rowOff>
        </xdr:from>
        <xdr:to>
          <xdr:col>7</xdr:col>
          <xdr:colOff>495300</xdr:colOff>
          <xdr:row>3</xdr:row>
          <xdr:rowOff>7620</xdr:rowOff>
        </xdr:to>
        <xdr:sp macro="" textlink="">
          <xdr:nvSpPr>
            <xdr:cNvPr id="1217" name="blend" hidden="1">
              <a:extLst>
                <a:ext uri="{63B3BB69-23CF-44E3-9099-C40C66FF867C}">
                  <a14:compatExt spid="_x0000_s1217"/>
                </a:ext>
                <a:ext uri="{FF2B5EF4-FFF2-40B4-BE49-F238E27FC236}">
                  <a16:creationId xmlns:a16="http://schemas.microsoft.com/office/drawing/2014/main" xmlns="" id="{00000000-0008-0000-0300-0000C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297180</xdr:colOff>
          <xdr:row>40</xdr:row>
          <xdr:rowOff>182880</xdr:rowOff>
        </xdr:from>
        <xdr:to>
          <xdr:col>2</xdr:col>
          <xdr:colOff>601980</xdr:colOff>
          <xdr:row>43</xdr:row>
          <xdr:rowOff>0</xdr:rowOff>
        </xdr:to>
        <xdr:sp macro="" textlink="">
          <xdr:nvSpPr>
            <xdr:cNvPr id="1220" name="coins_rxmain" hidden="1">
              <a:extLst>
                <a:ext uri="{63B3BB69-23CF-44E3-9099-C40C66FF867C}">
                  <a14:compatExt spid="_x0000_s1220"/>
                </a:ext>
                <a:ext uri="{FF2B5EF4-FFF2-40B4-BE49-F238E27FC236}">
                  <a16:creationId xmlns:a16="http://schemas.microsoft.com/office/drawing/2014/main" xmlns="" id="{00000000-0008-0000-0300-0000C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15</xdr:row>
          <xdr:rowOff>373380</xdr:rowOff>
        </xdr:from>
        <xdr:to>
          <xdr:col>5</xdr:col>
          <xdr:colOff>571500</xdr:colOff>
          <xdr:row>17</xdr:row>
          <xdr:rowOff>7620</xdr:rowOff>
        </xdr:to>
        <xdr:sp macro="" textlink="">
          <xdr:nvSpPr>
            <xdr:cNvPr id="1221" name="ded_med_all2" hidden="1">
              <a:extLst>
                <a:ext uri="{63B3BB69-23CF-44E3-9099-C40C66FF867C}">
                  <a14:compatExt spid="_x0000_s1221"/>
                </a:ext>
                <a:ext uri="{FF2B5EF4-FFF2-40B4-BE49-F238E27FC236}">
                  <a16:creationId xmlns:a16="http://schemas.microsoft.com/office/drawing/2014/main" xmlns="" id="{00000000-0008-0000-0300-0000C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16</xdr:row>
          <xdr:rowOff>182880</xdr:rowOff>
        </xdr:from>
        <xdr:to>
          <xdr:col>5</xdr:col>
          <xdr:colOff>571500</xdr:colOff>
          <xdr:row>18</xdr:row>
          <xdr:rowOff>7620</xdr:rowOff>
        </xdr:to>
        <xdr:sp macro="" textlink="">
          <xdr:nvSpPr>
            <xdr:cNvPr id="1222" name="ded_er2" hidden="1">
              <a:extLst>
                <a:ext uri="{63B3BB69-23CF-44E3-9099-C40C66FF867C}">
                  <a14:compatExt spid="_x0000_s1222"/>
                </a:ext>
                <a:ext uri="{FF2B5EF4-FFF2-40B4-BE49-F238E27FC236}">
                  <a16:creationId xmlns:a16="http://schemas.microsoft.com/office/drawing/2014/main" xmlns="" id="{00000000-0008-0000-0300-0000C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19</xdr:row>
          <xdr:rowOff>373380</xdr:rowOff>
        </xdr:from>
        <xdr:to>
          <xdr:col>5</xdr:col>
          <xdr:colOff>571500</xdr:colOff>
          <xdr:row>21</xdr:row>
          <xdr:rowOff>7620</xdr:rowOff>
        </xdr:to>
        <xdr:sp macro="" textlink="">
          <xdr:nvSpPr>
            <xdr:cNvPr id="1223" name="ded_sp2" hidden="1">
              <a:extLst>
                <a:ext uri="{63B3BB69-23CF-44E3-9099-C40C66FF867C}">
                  <a14:compatExt spid="_x0000_s1223"/>
                </a:ext>
                <a:ext uri="{FF2B5EF4-FFF2-40B4-BE49-F238E27FC236}">
                  <a16:creationId xmlns:a16="http://schemas.microsoft.com/office/drawing/2014/main" xmlns="" id="{00000000-0008-0000-0300-0000C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18</xdr:row>
          <xdr:rowOff>0</xdr:rowOff>
        </xdr:from>
        <xdr:to>
          <xdr:col>5</xdr:col>
          <xdr:colOff>571500</xdr:colOff>
          <xdr:row>19</xdr:row>
          <xdr:rowOff>7620</xdr:rowOff>
        </xdr:to>
        <xdr:sp macro="" textlink="">
          <xdr:nvSpPr>
            <xdr:cNvPr id="1224" name="ded_ip2" hidden="1">
              <a:extLst>
                <a:ext uri="{63B3BB69-23CF-44E3-9099-C40C66FF867C}">
                  <a14:compatExt spid="_x0000_s1224"/>
                </a:ext>
                <a:ext uri="{FF2B5EF4-FFF2-40B4-BE49-F238E27FC236}">
                  <a16:creationId xmlns:a16="http://schemas.microsoft.com/office/drawing/2014/main" xmlns="" id="{00000000-0008-0000-0300-0000C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19</xdr:row>
          <xdr:rowOff>106680</xdr:rowOff>
        </xdr:from>
        <xdr:to>
          <xdr:col>5</xdr:col>
          <xdr:colOff>571500</xdr:colOff>
          <xdr:row>19</xdr:row>
          <xdr:rowOff>312420</xdr:rowOff>
        </xdr:to>
        <xdr:sp macro="" textlink="">
          <xdr:nvSpPr>
            <xdr:cNvPr id="1225" name="ded_pc2" hidden="1">
              <a:extLst>
                <a:ext uri="{63B3BB69-23CF-44E3-9099-C40C66FF867C}">
                  <a14:compatExt spid="_x0000_s1225"/>
                </a:ext>
                <a:ext uri="{FF2B5EF4-FFF2-40B4-BE49-F238E27FC236}">
                  <a16:creationId xmlns:a16="http://schemas.microsoft.com/office/drawing/2014/main" xmlns="" id="{00000000-0008-0000-0300-0000C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21</xdr:row>
          <xdr:rowOff>106680</xdr:rowOff>
        </xdr:from>
        <xdr:to>
          <xdr:col>5</xdr:col>
          <xdr:colOff>571500</xdr:colOff>
          <xdr:row>21</xdr:row>
          <xdr:rowOff>312420</xdr:rowOff>
        </xdr:to>
        <xdr:sp macro="" textlink="">
          <xdr:nvSpPr>
            <xdr:cNvPr id="1226" name="ded_psy2" hidden="1">
              <a:extLst>
                <a:ext uri="{63B3BB69-23CF-44E3-9099-C40C66FF867C}">
                  <a14:compatExt spid="_x0000_s1226"/>
                </a:ext>
                <a:ext uri="{FF2B5EF4-FFF2-40B4-BE49-F238E27FC236}">
                  <a16:creationId xmlns:a16="http://schemas.microsoft.com/office/drawing/2014/main" xmlns="" id="{00000000-0008-0000-0300-0000C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411480</xdr:colOff>
          <xdr:row>15</xdr:row>
          <xdr:rowOff>220980</xdr:rowOff>
        </xdr:from>
        <xdr:to>
          <xdr:col>12</xdr:col>
          <xdr:colOff>30480</xdr:colOff>
          <xdr:row>16</xdr:row>
          <xdr:rowOff>45720</xdr:rowOff>
        </xdr:to>
        <xdr:sp macro="" textlink="">
          <xdr:nvSpPr>
            <xdr:cNvPr id="1227" name="ded_pvis2" hidden="1">
              <a:extLst>
                <a:ext uri="{63B3BB69-23CF-44E3-9099-C40C66FF867C}">
                  <a14:compatExt spid="_x0000_s1227"/>
                </a:ext>
                <a:ext uri="{FF2B5EF4-FFF2-40B4-BE49-F238E27FC236}">
                  <a16:creationId xmlns:a16="http://schemas.microsoft.com/office/drawing/2014/main" xmlns="" id="{00000000-0008-0000-0300-0000C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14</xdr:row>
          <xdr:rowOff>121920</xdr:rowOff>
        </xdr:from>
        <xdr:to>
          <xdr:col>12</xdr:col>
          <xdr:colOff>0</xdr:colOff>
          <xdr:row>15</xdr:row>
          <xdr:rowOff>144780</xdr:rowOff>
        </xdr:to>
        <xdr:sp macro="" textlink="">
          <xdr:nvSpPr>
            <xdr:cNvPr id="1228" name="ded_abu2" hidden="1">
              <a:extLst>
                <a:ext uri="{63B3BB69-23CF-44E3-9099-C40C66FF867C}">
                  <a14:compatExt spid="_x0000_s1228"/>
                </a:ext>
                <a:ext uri="{FF2B5EF4-FFF2-40B4-BE49-F238E27FC236}">
                  <a16:creationId xmlns:a16="http://schemas.microsoft.com/office/drawing/2014/main" xmlns="" id="{00000000-0008-0000-0300-0000C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22</xdr:row>
          <xdr:rowOff>7620</xdr:rowOff>
        </xdr:from>
        <xdr:to>
          <xdr:col>5</xdr:col>
          <xdr:colOff>571500</xdr:colOff>
          <xdr:row>24</xdr:row>
          <xdr:rowOff>0</xdr:rowOff>
        </xdr:to>
        <xdr:sp macro="" textlink="">
          <xdr:nvSpPr>
            <xdr:cNvPr id="1229" name="ded_img2" hidden="1">
              <a:extLst>
                <a:ext uri="{63B3BB69-23CF-44E3-9099-C40C66FF867C}">
                  <a14:compatExt spid="_x0000_s1229"/>
                </a:ext>
                <a:ext uri="{FF2B5EF4-FFF2-40B4-BE49-F238E27FC236}">
                  <a16:creationId xmlns:a16="http://schemas.microsoft.com/office/drawing/2014/main" xmlns="" id="{00000000-0008-0000-0300-0000C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24</xdr:row>
          <xdr:rowOff>0</xdr:rowOff>
        </xdr:from>
        <xdr:to>
          <xdr:col>5</xdr:col>
          <xdr:colOff>571500</xdr:colOff>
          <xdr:row>27</xdr:row>
          <xdr:rowOff>30480</xdr:rowOff>
        </xdr:to>
        <xdr:sp macro="" textlink="">
          <xdr:nvSpPr>
            <xdr:cNvPr id="1230" name="ded_pden2" hidden="1">
              <a:extLst>
                <a:ext uri="{63B3BB69-23CF-44E3-9099-C40C66FF867C}">
                  <a14:compatExt spid="_x0000_s1230"/>
                </a:ext>
                <a:ext uri="{FF2B5EF4-FFF2-40B4-BE49-F238E27FC236}">
                  <a16:creationId xmlns:a16="http://schemas.microsoft.com/office/drawing/2014/main" xmlns="" id="{00000000-0008-0000-0300-0000C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27</xdr:row>
          <xdr:rowOff>0</xdr:rowOff>
        </xdr:from>
        <xdr:to>
          <xdr:col>5</xdr:col>
          <xdr:colOff>571500</xdr:colOff>
          <xdr:row>27</xdr:row>
          <xdr:rowOff>220980</xdr:rowOff>
        </xdr:to>
        <xdr:sp macro="" textlink="">
          <xdr:nvSpPr>
            <xdr:cNvPr id="1231" name="ded_pt2" hidden="1">
              <a:extLst>
                <a:ext uri="{63B3BB69-23CF-44E3-9099-C40C66FF867C}">
                  <a14:compatExt spid="_x0000_s1231"/>
                </a:ext>
                <a:ext uri="{FF2B5EF4-FFF2-40B4-BE49-F238E27FC236}">
                  <a16:creationId xmlns:a16="http://schemas.microsoft.com/office/drawing/2014/main" xmlns="" id="{00000000-0008-0000-0300-0000C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24</xdr:row>
          <xdr:rowOff>0</xdr:rowOff>
        </xdr:from>
        <xdr:to>
          <xdr:col>5</xdr:col>
          <xdr:colOff>571500</xdr:colOff>
          <xdr:row>27</xdr:row>
          <xdr:rowOff>30480</xdr:rowOff>
        </xdr:to>
        <xdr:sp macro="" textlink="">
          <xdr:nvSpPr>
            <xdr:cNvPr id="1232" name="ded_st2" hidden="1">
              <a:extLst>
                <a:ext uri="{63B3BB69-23CF-44E3-9099-C40C66FF867C}">
                  <a14:compatExt spid="_x0000_s1232"/>
                </a:ext>
                <a:ext uri="{FF2B5EF4-FFF2-40B4-BE49-F238E27FC236}">
                  <a16:creationId xmlns:a16="http://schemas.microsoft.com/office/drawing/2014/main" xmlns="" id="{00000000-0008-0000-0300-0000D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27</xdr:row>
          <xdr:rowOff>68580</xdr:rowOff>
        </xdr:from>
        <xdr:to>
          <xdr:col>5</xdr:col>
          <xdr:colOff>571500</xdr:colOff>
          <xdr:row>27</xdr:row>
          <xdr:rowOff>289560</xdr:rowOff>
        </xdr:to>
        <xdr:sp macro="" textlink="">
          <xdr:nvSpPr>
            <xdr:cNvPr id="1233" name="ded_ot2" hidden="1">
              <a:extLst>
                <a:ext uri="{63B3BB69-23CF-44E3-9099-C40C66FF867C}">
                  <a14:compatExt spid="_x0000_s1233"/>
                </a:ext>
                <a:ext uri="{FF2B5EF4-FFF2-40B4-BE49-F238E27FC236}">
                  <a16:creationId xmlns:a16="http://schemas.microsoft.com/office/drawing/2014/main" xmlns="" id="{00000000-0008-0000-0300-0000D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28</xdr:row>
          <xdr:rowOff>0</xdr:rowOff>
        </xdr:from>
        <xdr:to>
          <xdr:col>5</xdr:col>
          <xdr:colOff>571500</xdr:colOff>
          <xdr:row>31</xdr:row>
          <xdr:rowOff>22860</xdr:rowOff>
        </xdr:to>
        <xdr:sp macro="" textlink="">
          <xdr:nvSpPr>
            <xdr:cNvPr id="1234" name="ded_wb2" hidden="1">
              <a:extLst>
                <a:ext uri="{63B3BB69-23CF-44E3-9099-C40C66FF867C}">
                  <a14:compatExt spid="_x0000_s1234"/>
                </a:ext>
                <a:ext uri="{FF2B5EF4-FFF2-40B4-BE49-F238E27FC236}">
                  <a16:creationId xmlns:a16="http://schemas.microsoft.com/office/drawing/2014/main" xmlns="" id="{00000000-0008-0000-0300-0000D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32</xdr:row>
          <xdr:rowOff>0</xdr:rowOff>
        </xdr:from>
        <xdr:to>
          <xdr:col>5</xdr:col>
          <xdr:colOff>571500</xdr:colOff>
          <xdr:row>33</xdr:row>
          <xdr:rowOff>7620</xdr:rowOff>
        </xdr:to>
        <xdr:sp macro="" textlink="">
          <xdr:nvSpPr>
            <xdr:cNvPr id="1235" name="ded_xray2" hidden="1">
              <a:extLst>
                <a:ext uri="{63B3BB69-23CF-44E3-9099-C40C66FF867C}">
                  <a14:compatExt spid="_x0000_s1235"/>
                </a:ext>
                <a:ext uri="{FF2B5EF4-FFF2-40B4-BE49-F238E27FC236}">
                  <a16:creationId xmlns:a16="http://schemas.microsoft.com/office/drawing/2014/main" xmlns="" id="{00000000-0008-0000-0300-0000D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28</xdr:row>
          <xdr:rowOff>0</xdr:rowOff>
        </xdr:from>
        <xdr:to>
          <xdr:col>5</xdr:col>
          <xdr:colOff>571500</xdr:colOff>
          <xdr:row>31</xdr:row>
          <xdr:rowOff>22860</xdr:rowOff>
        </xdr:to>
        <xdr:sp macro="" textlink="">
          <xdr:nvSpPr>
            <xdr:cNvPr id="1236" name="ded_prev2" hidden="1">
              <a:extLst>
                <a:ext uri="{63B3BB69-23CF-44E3-9099-C40C66FF867C}">
                  <a14:compatExt spid="_x0000_s1236"/>
                </a:ext>
                <a:ext uri="{FF2B5EF4-FFF2-40B4-BE49-F238E27FC236}">
                  <a16:creationId xmlns:a16="http://schemas.microsoft.com/office/drawing/2014/main" xmlns="" id="{00000000-0008-0000-0300-0000D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31</xdr:row>
          <xdr:rowOff>0</xdr:rowOff>
        </xdr:from>
        <xdr:to>
          <xdr:col>5</xdr:col>
          <xdr:colOff>571500</xdr:colOff>
          <xdr:row>32</xdr:row>
          <xdr:rowOff>7620</xdr:rowOff>
        </xdr:to>
        <xdr:sp macro="" textlink="">
          <xdr:nvSpPr>
            <xdr:cNvPr id="1237" name="ded_lab2" hidden="1">
              <a:extLst>
                <a:ext uri="{63B3BB69-23CF-44E3-9099-C40C66FF867C}">
                  <a14:compatExt spid="_x0000_s1237"/>
                </a:ext>
                <a:ext uri="{FF2B5EF4-FFF2-40B4-BE49-F238E27FC236}">
                  <a16:creationId xmlns:a16="http://schemas.microsoft.com/office/drawing/2014/main" xmlns="" id="{00000000-0008-0000-0300-0000D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34</xdr:row>
          <xdr:rowOff>350520</xdr:rowOff>
        </xdr:from>
        <xdr:to>
          <xdr:col>5</xdr:col>
          <xdr:colOff>571500</xdr:colOff>
          <xdr:row>36</xdr:row>
          <xdr:rowOff>0</xdr:rowOff>
        </xdr:to>
        <xdr:sp macro="" textlink="">
          <xdr:nvSpPr>
            <xdr:cNvPr id="1238" name="ded_opprof2" hidden="1">
              <a:extLst>
                <a:ext uri="{63B3BB69-23CF-44E3-9099-C40C66FF867C}">
                  <a14:compatExt spid="_x0000_s1238"/>
                </a:ext>
                <a:ext uri="{FF2B5EF4-FFF2-40B4-BE49-F238E27FC236}">
                  <a16:creationId xmlns:a16="http://schemas.microsoft.com/office/drawing/2014/main" xmlns="" id="{00000000-0008-0000-0300-0000D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33</xdr:row>
          <xdr:rowOff>0</xdr:rowOff>
        </xdr:from>
        <xdr:to>
          <xdr:col>5</xdr:col>
          <xdr:colOff>571500</xdr:colOff>
          <xdr:row>34</xdr:row>
          <xdr:rowOff>7620</xdr:rowOff>
        </xdr:to>
        <xdr:sp macro="" textlink="">
          <xdr:nvSpPr>
            <xdr:cNvPr id="1239" name="ded_snf2" hidden="1">
              <a:extLst>
                <a:ext uri="{63B3BB69-23CF-44E3-9099-C40C66FF867C}">
                  <a14:compatExt spid="_x0000_s1239"/>
                </a:ext>
                <a:ext uri="{FF2B5EF4-FFF2-40B4-BE49-F238E27FC236}">
                  <a16:creationId xmlns:a16="http://schemas.microsoft.com/office/drawing/2014/main" xmlns="" id="{00000000-0008-0000-0300-0000D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34</xdr:row>
          <xdr:rowOff>76200</xdr:rowOff>
        </xdr:from>
        <xdr:to>
          <xdr:col>5</xdr:col>
          <xdr:colOff>571500</xdr:colOff>
          <xdr:row>34</xdr:row>
          <xdr:rowOff>297180</xdr:rowOff>
        </xdr:to>
        <xdr:sp macro="" textlink="">
          <xdr:nvSpPr>
            <xdr:cNvPr id="1240" name="ded_opfac2" hidden="1">
              <a:extLst>
                <a:ext uri="{63B3BB69-23CF-44E3-9099-C40C66FF867C}">
                  <a14:compatExt spid="_x0000_s1240"/>
                </a:ext>
                <a:ext uri="{FF2B5EF4-FFF2-40B4-BE49-F238E27FC236}">
                  <a16:creationId xmlns:a16="http://schemas.microsoft.com/office/drawing/2014/main" xmlns="" id="{00000000-0008-0000-0300-0000D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35</xdr:row>
          <xdr:rowOff>182880</xdr:rowOff>
        </xdr:from>
        <xdr:to>
          <xdr:col>5</xdr:col>
          <xdr:colOff>571500</xdr:colOff>
          <xdr:row>37</xdr:row>
          <xdr:rowOff>7620</xdr:rowOff>
        </xdr:to>
        <xdr:sp macro="" textlink="">
          <xdr:nvSpPr>
            <xdr:cNvPr id="1241" name="ded_rx_all2" hidden="1">
              <a:extLst>
                <a:ext uri="{63B3BB69-23CF-44E3-9099-C40C66FF867C}">
                  <a14:compatExt spid="_x0000_s1241"/>
                </a:ext>
                <a:ext uri="{FF2B5EF4-FFF2-40B4-BE49-F238E27FC236}">
                  <a16:creationId xmlns:a16="http://schemas.microsoft.com/office/drawing/2014/main" xmlns="" id="{00000000-0008-0000-0300-0000D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37</xdr:row>
          <xdr:rowOff>0</xdr:rowOff>
        </xdr:from>
        <xdr:to>
          <xdr:col>5</xdr:col>
          <xdr:colOff>571500</xdr:colOff>
          <xdr:row>38</xdr:row>
          <xdr:rowOff>7620</xdr:rowOff>
        </xdr:to>
        <xdr:sp macro="" textlink="">
          <xdr:nvSpPr>
            <xdr:cNvPr id="1242" name="ded_rxgen2" hidden="1">
              <a:extLst>
                <a:ext uri="{63B3BB69-23CF-44E3-9099-C40C66FF867C}">
                  <a14:compatExt spid="_x0000_s1242"/>
                </a:ext>
                <a:ext uri="{FF2B5EF4-FFF2-40B4-BE49-F238E27FC236}">
                  <a16:creationId xmlns:a16="http://schemas.microsoft.com/office/drawing/2014/main" xmlns="" id="{00000000-0008-0000-0300-0000D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38</xdr:row>
          <xdr:rowOff>0</xdr:rowOff>
        </xdr:from>
        <xdr:to>
          <xdr:col>5</xdr:col>
          <xdr:colOff>571500</xdr:colOff>
          <xdr:row>39</xdr:row>
          <xdr:rowOff>7620</xdr:rowOff>
        </xdr:to>
        <xdr:sp macro="" textlink="">
          <xdr:nvSpPr>
            <xdr:cNvPr id="1243" name="ded_rxform2" hidden="1">
              <a:extLst>
                <a:ext uri="{63B3BB69-23CF-44E3-9099-C40C66FF867C}">
                  <a14:compatExt spid="_x0000_s1243"/>
                </a:ext>
                <a:ext uri="{FF2B5EF4-FFF2-40B4-BE49-F238E27FC236}">
                  <a16:creationId xmlns:a16="http://schemas.microsoft.com/office/drawing/2014/main" xmlns="" id="{00000000-0008-0000-0300-0000D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39</xdr:row>
          <xdr:rowOff>0</xdr:rowOff>
        </xdr:from>
        <xdr:to>
          <xdr:col>5</xdr:col>
          <xdr:colOff>571500</xdr:colOff>
          <xdr:row>40</xdr:row>
          <xdr:rowOff>7620</xdr:rowOff>
        </xdr:to>
        <xdr:sp macro="" textlink="">
          <xdr:nvSpPr>
            <xdr:cNvPr id="1244" name="ded_rxnonform2" hidden="1">
              <a:extLst>
                <a:ext uri="{63B3BB69-23CF-44E3-9099-C40C66FF867C}">
                  <a14:compatExt spid="_x0000_s1244"/>
                </a:ext>
                <a:ext uri="{FF2B5EF4-FFF2-40B4-BE49-F238E27FC236}">
                  <a16:creationId xmlns:a16="http://schemas.microsoft.com/office/drawing/2014/main" xmlns="" id="{00000000-0008-0000-0300-0000D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40</xdr:row>
          <xdr:rowOff>0</xdr:rowOff>
        </xdr:from>
        <xdr:to>
          <xdr:col>5</xdr:col>
          <xdr:colOff>571500</xdr:colOff>
          <xdr:row>41</xdr:row>
          <xdr:rowOff>0</xdr:rowOff>
        </xdr:to>
        <xdr:sp macro="" textlink="">
          <xdr:nvSpPr>
            <xdr:cNvPr id="1245" name="ded_rxspclty2" hidden="1">
              <a:extLst>
                <a:ext uri="{63B3BB69-23CF-44E3-9099-C40C66FF867C}">
                  <a14:compatExt spid="_x0000_s1245"/>
                </a:ext>
                <a:ext uri="{FF2B5EF4-FFF2-40B4-BE49-F238E27FC236}">
                  <a16:creationId xmlns:a16="http://schemas.microsoft.com/office/drawing/2014/main" xmlns="" id="{00000000-0008-0000-0300-0000D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15</xdr:row>
          <xdr:rowOff>373380</xdr:rowOff>
        </xdr:from>
        <xdr:to>
          <xdr:col>6</xdr:col>
          <xdr:colOff>601980</xdr:colOff>
          <xdr:row>17</xdr:row>
          <xdr:rowOff>7620</xdr:rowOff>
        </xdr:to>
        <xdr:sp macro="" textlink="">
          <xdr:nvSpPr>
            <xdr:cNvPr id="1246" name="coins_med_all2" hidden="1">
              <a:extLst>
                <a:ext uri="{63B3BB69-23CF-44E3-9099-C40C66FF867C}">
                  <a14:compatExt spid="_x0000_s1246"/>
                </a:ext>
                <a:ext uri="{FF2B5EF4-FFF2-40B4-BE49-F238E27FC236}">
                  <a16:creationId xmlns:a16="http://schemas.microsoft.com/office/drawing/2014/main" xmlns="" id="{00000000-0008-0000-0300-0000D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16</xdr:row>
          <xdr:rowOff>182880</xdr:rowOff>
        </xdr:from>
        <xdr:to>
          <xdr:col>6</xdr:col>
          <xdr:colOff>601980</xdr:colOff>
          <xdr:row>18</xdr:row>
          <xdr:rowOff>7620</xdr:rowOff>
        </xdr:to>
        <xdr:sp macro="" textlink="">
          <xdr:nvSpPr>
            <xdr:cNvPr id="1247" name="coins_er2" hidden="1">
              <a:extLst>
                <a:ext uri="{63B3BB69-23CF-44E3-9099-C40C66FF867C}">
                  <a14:compatExt spid="_x0000_s1247"/>
                </a:ext>
                <a:ext uri="{FF2B5EF4-FFF2-40B4-BE49-F238E27FC236}">
                  <a16:creationId xmlns:a16="http://schemas.microsoft.com/office/drawing/2014/main" xmlns="" id="{00000000-0008-0000-0300-0000D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19</xdr:row>
          <xdr:rowOff>373380</xdr:rowOff>
        </xdr:from>
        <xdr:to>
          <xdr:col>6</xdr:col>
          <xdr:colOff>601980</xdr:colOff>
          <xdr:row>21</xdr:row>
          <xdr:rowOff>7620</xdr:rowOff>
        </xdr:to>
        <xdr:sp macro="" textlink="">
          <xdr:nvSpPr>
            <xdr:cNvPr id="1248" name="coins_sp2" hidden="1">
              <a:extLst>
                <a:ext uri="{63B3BB69-23CF-44E3-9099-C40C66FF867C}">
                  <a14:compatExt spid="_x0000_s1248"/>
                </a:ext>
                <a:ext uri="{FF2B5EF4-FFF2-40B4-BE49-F238E27FC236}">
                  <a16:creationId xmlns:a16="http://schemas.microsoft.com/office/drawing/2014/main" xmlns="" id="{00000000-0008-0000-0300-0000E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18</xdr:row>
          <xdr:rowOff>0</xdr:rowOff>
        </xdr:from>
        <xdr:to>
          <xdr:col>6</xdr:col>
          <xdr:colOff>601980</xdr:colOff>
          <xdr:row>19</xdr:row>
          <xdr:rowOff>7620</xdr:rowOff>
        </xdr:to>
        <xdr:sp macro="" textlink="">
          <xdr:nvSpPr>
            <xdr:cNvPr id="1249" name="coins_ip2" hidden="1">
              <a:extLst>
                <a:ext uri="{63B3BB69-23CF-44E3-9099-C40C66FF867C}">
                  <a14:compatExt spid="_x0000_s1249"/>
                </a:ext>
                <a:ext uri="{FF2B5EF4-FFF2-40B4-BE49-F238E27FC236}">
                  <a16:creationId xmlns:a16="http://schemas.microsoft.com/office/drawing/2014/main" xmlns="" id="{00000000-0008-0000-0300-0000E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19</xdr:row>
          <xdr:rowOff>106680</xdr:rowOff>
        </xdr:from>
        <xdr:to>
          <xdr:col>6</xdr:col>
          <xdr:colOff>601980</xdr:colOff>
          <xdr:row>19</xdr:row>
          <xdr:rowOff>312420</xdr:rowOff>
        </xdr:to>
        <xdr:sp macro="" textlink="">
          <xdr:nvSpPr>
            <xdr:cNvPr id="1250" name="coins_pc2" hidden="1">
              <a:extLst>
                <a:ext uri="{63B3BB69-23CF-44E3-9099-C40C66FF867C}">
                  <a14:compatExt spid="_x0000_s1250"/>
                </a:ext>
                <a:ext uri="{FF2B5EF4-FFF2-40B4-BE49-F238E27FC236}">
                  <a16:creationId xmlns:a16="http://schemas.microsoft.com/office/drawing/2014/main" xmlns="" id="{00000000-0008-0000-0300-0000E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21</xdr:row>
          <xdr:rowOff>106680</xdr:rowOff>
        </xdr:from>
        <xdr:to>
          <xdr:col>6</xdr:col>
          <xdr:colOff>601980</xdr:colOff>
          <xdr:row>21</xdr:row>
          <xdr:rowOff>312420</xdr:rowOff>
        </xdr:to>
        <xdr:sp macro="" textlink="">
          <xdr:nvSpPr>
            <xdr:cNvPr id="1251" name="coins_psy2" hidden="1">
              <a:extLst>
                <a:ext uri="{63B3BB69-23CF-44E3-9099-C40C66FF867C}">
                  <a14:compatExt spid="_x0000_s1251"/>
                </a:ext>
                <a:ext uri="{FF2B5EF4-FFF2-40B4-BE49-F238E27FC236}">
                  <a16:creationId xmlns:a16="http://schemas.microsoft.com/office/drawing/2014/main" xmlns="" id="{00000000-0008-0000-0300-0000E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30480</xdr:colOff>
          <xdr:row>15</xdr:row>
          <xdr:rowOff>236220</xdr:rowOff>
        </xdr:from>
        <xdr:to>
          <xdr:col>12</xdr:col>
          <xdr:colOff>335280</xdr:colOff>
          <xdr:row>16</xdr:row>
          <xdr:rowOff>76200</xdr:rowOff>
        </xdr:to>
        <xdr:sp macro="" textlink="">
          <xdr:nvSpPr>
            <xdr:cNvPr id="1252" name="coins_pvis2" hidden="1">
              <a:extLst>
                <a:ext uri="{63B3BB69-23CF-44E3-9099-C40C66FF867C}">
                  <a14:compatExt spid="_x0000_s1252"/>
                </a:ext>
                <a:ext uri="{FF2B5EF4-FFF2-40B4-BE49-F238E27FC236}">
                  <a16:creationId xmlns:a16="http://schemas.microsoft.com/office/drawing/2014/main" xmlns="" id="{00000000-0008-0000-0300-0000E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68580</xdr:colOff>
          <xdr:row>14</xdr:row>
          <xdr:rowOff>144780</xdr:rowOff>
        </xdr:from>
        <xdr:to>
          <xdr:col>12</xdr:col>
          <xdr:colOff>373380</xdr:colOff>
          <xdr:row>15</xdr:row>
          <xdr:rowOff>152400</xdr:rowOff>
        </xdr:to>
        <xdr:sp macro="" textlink="">
          <xdr:nvSpPr>
            <xdr:cNvPr id="1253" name="coins_abu2" hidden="1">
              <a:extLst>
                <a:ext uri="{63B3BB69-23CF-44E3-9099-C40C66FF867C}">
                  <a14:compatExt spid="_x0000_s1253"/>
                </a:ext>
                <a:ext uri="{FF2B5EF4-FFF2-40B4-BE49-F238E27FC236}">
                  <a16:creationId xmlns:a16="http://schemas.microsoft.com/office/drawing/2014/main" xmlns="" id="{00000000-0008-0000-0300-0000E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22</xdr:row>
          <xdr:rowOff>7620</xdr:rowOff>
        </xdr:from>
        <xdr:to>
          <xdr:col>6</xdr:col>
          <xdr:colOff>601980</xdr:colOff>
          <xdr:row>24</xdr:row>
          <xdr:rowOff>0</xdr:rowOff>
        </xdr:to>
        <xdr:sp macro="" textlink="">
          <xdr:nvSpPr>
            <xdr:cNvPr id="1254" name="coins_img2" hidden="1">
              <a:extLst>
                <a:ext uri="{63B3BB69-23CF-44E3-9099-C40C66FF867C}">
                  <a14:compatExt spid="_x0000_s1254"/>
                </a:ext>
                <a:ext uri="{FF2B5EF4-FFF2-40B4-BE49-F238E27FC236}">
                  <a16:creationId xmlns:a16="http://schemas.microsoft.com/office/drawing/2014/main" xmlns="" id="{00000000-0008-0000-0300-0000E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24</xdr:row>
          <xdr:rowOff>0</xdr:rowOff>
        </xdr:from>
        <xdr:to>
          <xdr:col>6</xdr:col>
          <xdr:colOff>601980</xdr:colOff>
          <xdr:row>27</xdr:row>
          <xdr:rowOff>30480</xdr:rowOff>
        </xdr:to>
        <xdr:sp macro="" textlink="">
          <xdr:nvSpPr>
            <xdr:cNvPr id="1255" name="coins_pden2" hidden="1">
              <a:extLst>
                <a:ext uri="{63B3BB69-23CF-44E3-9099-C40C66FF867C}">
                  <a14:compatExt spid="_x0000_s1255"/>
                </a:ext>
                <a:ext uri="{FF2B5EF4-FFF2-40B4-BE49-F238E27FC236}">
                  <a16:creationId xmlns:a16="http://schemas.microsoft.com/office/drawing/2014/main" xmlns="" id="{00000000-0008-0000-0300-0000E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27</xdr:row>
          <xdr:rowOff>0</xdr:rowOff>
        </xdr:from>
        <xdr:to>
          <xdr:col>6</xdr:col>
          <xdr:colOff>601980</xdr:colOff>
          <xdr:row>27</xdr:row>
          <xdr:rowOff>220980</xdr:rowOff>
        </xdr:to>
        <xdr:sp macro="" textlink="">
          <xdr:nvSpPr>
            <xdr:cNvPr id="1256" name="coins_pt2" hidden="1">
              <a:extLst>
                <a:ext uri="{63B3BB69-23CF-44E3-9099-C40C66FF867C}">
                  <a14:compatExt spid="_x0000_s1256"/>
                </a:ext>
                <a:ext uri="{FF2B5EF4-FFF2-40B4-BE49-F238E27FC236}">
                  <a16:creationId xmlns:a16="http://schemas.microsoft.com/office/drawing/2014/main" xmlns="" id="{00000000-0008-0000-0300-0000E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24</xdr:row>
          <xdr:rowOff>0</xdr:rowOff>
        </xdr:from>
        <xdr:to>
          <xdr:col>6</xdr:col>
          <xdr:colOff>601980</xdr:colOff>
          <xdr:row>27</xdr:row>
          <xdr:rowOff>30480</xdr:rowOff>
        </xdr:to>
        <xdr:sp macro="" textlink="">
          <xdr:nvSpPr>
            <xdr:cNvPr id="1257" name="coins_st2" hidden="1">
              <a:extLst>
                <a:ext uri="{63B3BB69-23CF-44E3-9099-C40C66FF867C}">
                  <a14:compatExt spid="_x0000_s1257"/>
                </a:ext>
                <a:ext uri="{FF2B5EF4-FFF2-40B4-BE49-F238E27FC236}">
                  <a16:creationId xmlns:a16="http://schemas.microsoft.com/office/drawing/2014/main" xmlns="" id="{00000000-0008-0000-0300-0000E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27</xdr:row>
          <xdr:rowOff>68580</xdr:rowOff>
        </xdr:from>
        <xdr:to>
          <xdr:col>6</xdr:col>
          <xdr:colOff>601980</xdr:colOff>
          <xdr:row>27</xdr:row>
          <xdr:rowOff>289560</xdr:rowOff>
        </xdr:to>
        <xdr:sp macro="" textlink="">
          <xdr:nvSpPr>
            <xdr:cNvPr id="1258" name="coins_ot2" hidden="1">
              <a:extLst>
                <a:ext uri="{63B3BB69-23CF-44E3-9099-C40C66FF867C}">
                  <a14:compatExt spid="_x0000_s1258"/>
                </a:ext>
                <a:ext uri="{FF2B5EF4-FFF2-40B4-BE49-F238E27FC236}">
                  <a16:creationId xmlns:a16="http://schemas.microsoft.com/office/drawing/2014/main" xmlns="" id="{00000000-0008-0000-0300-0000E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28</xdr:row>
          <xdr:rowOff>0</xdr:rowOff>
        </xdr:from>
        <xdr:to>
          <xdr:col>6</xdr:col>
          <xdr:colOff>601980</xdr:colOff>
          <xdr:row>31</xdr:row>
          <xdr:rowOff>22860</xdr:rowOff>
        </xdr:to>
        <xdr:sp macro="" textlink="">
          <xdr:nvSpPr>
            <xdr:cNvPr id="1259" name="coins_wb2" hidden="1">
              <a:extLst>
                <a:ext uri="{63B3BB69-23CF-44E3-9099-C40C66FF867C}">
                  <a14:compatExt spid="_x0000_s1259"/>
                </a:ext>
                <a:ext uri="{FF2B5EF4-FFF2-40B4-BE49-F238E27FC236}">
                  <a16:creationId xmlns:a16="http://schemas.microsoft.com/office/drawing/2014/main" xmlns="" id="{00000000-0008-0000-0300-0000E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32</xdr:row>
          <xdr:rowOff>0</xdr:rowOff>
        </xdr:from>
        <xdr:to>
          <xdr:col>6</xdr:col>
          <xdr:colOff>601980</xdr:colOff>
          <xdr:row>33</xdr:row>
          <xdr:rowOff>7620</xdr:rowOff>
        </xdr:to>
        <xdr:sp macro="" textlink="">
          <xdr:nvSpPr>
            <xdr:cNvPr id="1260" name="coins_xray2" hidden="1">
              <a:extLst>
                <a:ext uri="{63B3BB69-23CF-44E3-9099-C40C66FF867C}">
                  <a14:compatExt spid="_x0000_s1260"/>
                </a:ext>
                <a:ext uri="{FF2B5EF4-FFF2-40B4-BE49-F238E27FC236}">
                  <a16:creationId xmlns:a16="http://schemas.microsoft.com/office/drawing/2014/main" xmlns="" id="{00000000-0008-0000-0300-0000E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28</xdr:row>
          <xdr:rowOff>0</xdr:rowOff>
        </xdr:from>
        <xdr:to>
          <xdr:col>6</xdr:col>
          <xdr:colOff>601980</xdr:colOff>
          <xdr:row>31</xdr:row>
          <xdr:rowOff>22860</xdr:rowOff>
        </xdr:to>
        <xdr:sp macro="" textlink="">
          <xdr:nvSpPr>
            <xdr:cNvPr id="1261" name="coins_prev2" hidden="1">
              <a:extLst>
                <a:ext uri="{63B3BB69-23CF-44E3-9099-C40C66FF867C}">
                  <a14:compatExt spid="_x0000_s1261"/>
                </a:ext>
                <a:ext uri="{FF2B5EF4-FFF2-40B4-BE49-F238E27FC236}">
                  <a16:creationId xmlns:a16="http://schemas.microsoft.com/office/drawing/2014/main" xmlns="" id="{00000000-0008-0000-0300-0000E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31</xdr:row>
          <xdr:rowOff>0</xdr:rowOff>
        </xdr:from>
        <xdr:to>
          <xdr:col>6</xdr:col>
          <xdr:colOff>601980</xdr:colOff>
          <xdr:row>32</xdr:row>
          <xdr:rowOff>7620</xdr:rowOff>
        </xdr:to>
        <xdr:sp macro="" textlink="">
          <xdr:nvSpPr>
            <xdr:cNvPr id="1262" name="coins_lab2" hidden="1">
              <a:extLst>
                <a:ext uri="{63B3BB69-23CF-44E3-9099-C40C66FF867C}">
                  <a14:compatExt spid="_x0000_s1262"/>
                </a:ext>
                <a:ext uri="{FF2B5EF4-FFF2-40B4-BE49-F238E27FC236}">
                  <a16:creationId xmlns:a16="http://schemas.microsoft.com/office/drawing/2014/main" xmlns="" id="{00000000-0008-0000-0300-0000E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34</xdr:row>
          <xdr:rowOff>350520</xdr:rowOff>
        </xdr:from>
        <xdr:to>
          <xdr:col>6</xdr:col>
          <xdr:colOff>601980</xdr:colOff>
          <xdr:row>36</xdr:row>
          <xdr:rowOff>0</xdr:rowOff>
        </xdr:to>
        <xdr:sp macro="" textlink="">
          <xdr:nvSpPr>
            <xdr:cNvPr id="1263" name="coins_opprof2" hidden="1">
              <a:extLst>
                <a:ext uri="{63B3BB69-23CF-44E3-9099-C40C66FF867C}">
                  <a14:compatExt spid="_x0000_s1263"/>
                </a:ext>
                <a:ext uri="{FF2B5EF4-FFF2-40B4-BE49-F238E27FC236}">
                  <a16:creationId xmlns:a16="http://schemas.microsoft.com/office/drawing/2014/main" xmlns="" id="{00000000-0008-0000-0300-0000E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33</xdr:row>
          <xdr:rowOff>0</xdr:rowOff>
        </xdr:from>
        <xdr:to>
          <xdr:col>6</xdr:col>
          <xdr:colOff>601980</xdr:colOff>
          <xdr:row>34</xdr:row>
          <xdr:rowOff>7620</xdr:rowOff>
        </xdr:to>
        <xdr:sp macro="" textlink="">
          <xdr:nvSpPr>
            <xdr:cNvPr id="1264" name="coins_snf2" hidden="1">
              <a:extLst>
                <a:ext uri="{63B3BB69-23CF-44E3-9099-C40C66FF867C}">
                  <a14:compatExt spid="_x0000_s1264"/>
                </a:ext>
                <a:ext uri="{FF2B5EF4-FFF2-40B4-BE49-F238E27FC236}">
                  <a16:creationId xmlns:a16="http://schemas.microsoft.com/office/drawing/2014/main" xmlns="" id="{00000000-0008-0000-0300-0000F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34</xdr:row>
          <xdr:rowOff>76200</xdr:rowOff>
        </xdr:from>
        <xdr:to>
          <xdr:col>6</xdr:col>
          <xdr:colOff>601980</xdr:colOff>
          <xdr:row>34</xdr:row>
          <xdr:rowOff>297180</xdr:rowOff>
        </xdr:to>
        <xdr:sp macro="" textlink="">
          <xdr:nvSpPr>
            <xdr:cNvPr id="1265" name="coins_opfac2" hidden="1">
              <a:extLst>
                <a:ext uri="{63B3BB69-23CF-44E3-9099-C40C66FF867C}">
                  <a14:compatExt spid="_x0000_s1265"/>
                </a:ext>
                <a:ext uri="{FF2B5EF4-FFF2-40B4-BE49-F238E27FC236}">
                  <a16:creationId xmlns:a16="http://schemas.microsoft.com/office/drawing/2014/main" xmlns="" id="{00000000-0008-0000-0300-0000F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35</xdr:row>
          <xdr:rowOff>182880</xdr:rowOff>
        </xdr:from>
        <xdr:to>
          <xdr:col>6</xdr:col>
          <xdr:colOff>601980</xdr:colOff>
          <xdr:row>37</xdr:row>
          <xdr:rowOff>7620</xdr:rowOff>
        </xdr:to>
        <xdr:sp macro="" textlink="">
          <xdr:nvSpPr>
            <xdr:cNvPr id="1266" name="coins_rx_all2" hidden="1">
              <a:extLst>
                <a:ext uri="{63B3BB69-23CF-44E3-9099-C40C66FF867C}">
                  <a14:compatExt spid="_x0000_s1266"/>
                </a:ext>
                <a:ext uri="{FF2B5EF4-FFF2-40B4-BE49-F238E27FC236}">
                  <a16:creationId xmlns:a16="http://schemas.microsoft.com/office/drawing/2014/main" xmlns="" id="{00000000-0008-0000-0300-0000F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37</xdr:row>
          <xdr:rowOff>0</xdr:rowOff>
        </xdr:from>
        <xdr:to>
          <xdr:col>6</xdr:col>
          <xdr:colOff>601980</xdr:colOff>
          <xdr:row>38</xdr:row>
          <xdr:rowOff>7620</xdr:rowOff>
        </xdr:to>
        <xdr:sp macro="" textlink="">
          <xdr:nvSpPr>
            <xdr:cNvPr id="1267" name="coins_rxgen2" hidden="1">
              <a:extLst>
                <a:ext uri="{63B3BB69-23CF-44E3-9099-C40C66FF867C}">
                  <a14:compatExt spid="_x0000_s1267"/>
                </a:ext>
                <a:ext uri="{FF2B5EF4-FFF2-40B4-BE49-F238E27FC236}">
                  <a16:creationId xmlns:a16="http://schemas.microsoft.com/office/drawing/2014/main" xmlns="" id="{00000000-0008-0000-0300-0000F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38</xdr:row>
          <xdr:rowOff>0</xdr:rowOff>
        </xdr:from>
        <xdr:to>
          <xdr:col>6</xdr:col>
          <xdr:colOff>601980</xdr:colOff>
          <xdr:row>39</xdr:row>
          <xdr:rowOff>7620</xdr:rowOff>
        </xdr:to>
        <xdr:sp macro="" textlink="">
          <xdr:nvSpPr>
            <xdr:cNvPr id="1268" name="coins_rxform2" hidden="1">
              <a:extLst>
                <a:ext uri="{63B3BB69-23CF-44E3-9099-C40C66FF867C}">
                  <a14:compatExt spid="_x0000_s1268"/>
                </a:ext>
                <a:ext uri="{FF2B5EF4-FFF2-40B4-BE49-F238E27FC236}">
                  <a16:creationId xmlns:a16="http://schemas.microsoft.com/office/drawing/2014/main" xmlns="" id="{00000000-0008-0000-0300-0000F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39</xdr:row>
          <xdr:rowOff>0</xdr:rowOff>
        </xdr:from>
        <xdr:to>
          <xdr:col>6</xdr:col>
          <xdr:colOff>601980</xdr:colOff>
          <xdr:row>40</xdr:row>
          <xdr:rowOff>7620</xdr:rowOff>
        </xdr:to>
        <xdr:sp macro="" textlink="">
          <xdr:nvSpPr>
            <xdr:cNvPr id="1269" name="coins_rxnonform2" hidden="1">
              <a:extLst>
                <a:ext uri="{63B3BB69-23CF-44E3-9099-C40C66FF867C}">
                  <a14:compatExt spid="_x0000_s1269"/>
                </a:ext>
                <a:ext uri="{FF2B5EF4-FFF2-40B4-BE49-F238E27FC236}">
                  <a16:creationId xmlns:a16="http://schemas.microsoft.com/office/drawing/2014/main" xmlns="" id="{00000000-0008-0000-0300-0000F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40</xdr:row>
          <xdr:rowOff>0</xdr:rowOff>
        </xdr:from>
        <xdr:to>
          <xdr:col>6</xdr:col>
          <xdr:colOff>601980</xdr:colOff>
          <xdr:row>41</xdr:row>
          <xdr:rowOff>0</xdr:rowOff>
        </xdr:to>
        <xdr:sp macro="" textlink="">
          <xdr:nvSpPr>
            <xdr:cNvPr id="1270" name="coins_rxspclty2" hidden="1">
              <a:extLst>
                <a:ext uri="{63B3BB69-23CF-44E3-9099-C40C66FF867C}">
                  <a14:compatExt spid="_x0000_s1270"/>
                </a:ext>
                <a:ext uri="{FF2B5EF4-FFF2-40B4-BE49-F238E27FC236}">
                  <a16:creationId xmlns:a16="http://schemas.microsoft.com/office/drawing/2014/main" xmlns="" id="{00000000-0008-0000-0300-0000F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266700</xdr:colOff>
          <xdr:row>40</xdr:row>
          <xdr:rowOff>182880</xdr:rowOff>
        </xdr:from>
        <xdr:to>
          <xdr:col>5</xdr:col>
          <xdr:colOff>571500</xdr:colOff>
          <xdr:row>43</xdr:row>
          <xdr:rowOff>0</xdr:rowOff>
        </xdr:to>
        <xdr:sp macro="" textlink="">
          <xdr:nvSpPr>
            <xdr:cNvPr id="1271" name="ded_rxmain2" hidden="1">
              <a:extLst>
                <a:ext uri="{63B3BB69-23CF-44E3-9099-C40C66FF867C}">
                  <a14:compatExt spid="_x0000_s1271"/>
                </a:ext>
                <a:ext uri="{FF2B5EF4-FFF2-40B4-BE49-F238E27FC236}">
                  <a16:creationId xmlns:a16="http://schemas.microsoft.com/office/drawing/2014/main" xmlns="" id="{00000000-0008-0000-0300-0000F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297180</xdr:colOff>
          <xdr:row>40</xdr:row>
          <xdr:rowOff>182880</xdr:rowOff>
        </xdr:from>
        <xdr:to>
          <xdr:col>6</xdr:col>
          <xdr:colOff>601980</xdr:colOff>
          <xdr:row>43</xdr:row>
          <xdr:rowOff>0</xdr:rowOff>
        </xdr:to>
        <xdr:sp macro="" textlink="">
          <xdr:nvSpPr>
            <xdr:cNvPr id="1272" name="coins_rxmain2" hidden="1">
              <a:extLst>
                <a:ext uri="{63B3BB69-23CF-44E3-9099-C40C66FF867C}">
                  <a14:compatExt spid="_x0000_s1272"/>
                </a:ext>
                <a:ext uri="{FF2B5EF4-FFF2-40B4-BE49-F238E27FC236}">
                  <a16:creationId xmlns:a16="http://schemas.microsoft.com/office/drawing/2014/main" xmlns="" id="{00000000-0008-0000-0300-0000F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0</xdr:rowOff>
        </xdr:from>
        <xdr:to>
          <xdr:col>2</xdr:col>
          <xdr:colOff>68580</xdr:colOff>
          <xdr:row>5</xdr:row>
          <xdr:rowOff>0</xdr:rowOff>
        </xdr:to>
        <xdr:sp macro="" textlink="">
          <xdr:nvSpPr>
            <xdr:cNvPr id="1275" name="Checkbox_Sep" hidden="1">
              <a:extLst>
                <a:ext uri="{63B3BB69-23CF-44E3-9099-C40C66FF867C}">
                  <a14:compatExt spid="_x0000_s1275"/>
                </a:ext>
                <a:ext uri="{FF2B5EF4-FFF2-40B4-BE49-F238E27FC236}">
                  <a16:creationId xmlns:a16="http://schemas.microsoft.com/office/drawing/2014/main" xmlns="" id="{00000000-0008-0000-0300-0000F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43</xdr:row>
          <xdr:rowOff>0</xdr:rowOff>
        </xdr:from>
        <xdr:to>
          <xdr:col>1</xdr:col>
          <xdr:colOff>381000</xdr:colOff>
          <xdr:row>45</xdr:row>
          <xdr:rowOff>7620</xdr:rowOff>
        </xdr:to>
        <xdr:sp macro="" textlink="">
          <xdr:nvSpPr>
            <xdr:cNvPr id="1276" name="lesser_of" hidden="1">
              <a:extLst>
                <a:ext uri="{63B3BB69-23CF-44E3-9099-C40C66FF867C}">
                  <a14:compatExt spid="_x0000_s1276"/>
                </a:ext>
                <a:ext uri="{FF2B5EF4-FFF2-40B4-BE49-F238E27FC236}">
                  <a16:creationId xmlns:a16="http://schemas.microsoft.com/office/drawing/2014/main" xmlns="" id="{00000000-0008-0000-0300-0000F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43</xdr:row>
          <xdr:rowOff>0</xdr:rowOff>
        </xdr:from>
        <xdr:to>
          <xdr:col>1</xdr:col>
          <xdr:colOff>381000</xdr:colOff>
          <xdr:row>45</xdr:row>
          <xdr:rowOff>22860</xdr:rowOff>
        </xdr:to>
        <xdr:sp macro="" textlink="">
          <xdr:nvSpPr>
            <xdr:cNvPr id="1277" name="specrx_lesser_of" hidden="1">
              <a:extLst>
                <a:ext uri="{63B3BB69-23CF-44E3-9099-C40C66FF867C}">
                  <a14:compatExt spid="_x0000_s1277"/>
                </a:ext>
                <a:ext uri="{FF2B5EF4-FFF2-40B4-BE49-F238E27FC236}">
                  <a16:creationId xmlns:a16="http://schemas.microsoft.com/office/drawing/2014/main" xmlns="" id="{00000000-0008-0000-0300-0000F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46</xdr:row>
          <xdr:rowOff>0</xdr:rowOff>
        </xdr:from>
        <xdr:to>
          <xdr:col>1</xdr:col>
          <xdr:colOff>381000</xdr:colOff>
          <xdr:row>47</xdr:row>
          <xdr:rowOff>7620</xdr:rowOff>
        </xdr:to>
        <xdr:sp macro="" textlink="">
          <xdr:nvSpPr>
            <xdr:cNvPr id="1278" name="ip_copay_limit" hidden="1">
              <a:extLst>
                <a:ext uri="{63B3BB69-23CF-44E3-9099-C40C66FF867C}">
                  <a14:compatExt spid="_x0000_s1278"/>
                </a:ext>
                <a:ext uri="{FF2B5EF4-FFF2-40B4-BE49-F238E27FC236}">
                  <a16:creationId xmlns:a16="http://schemas.microsoft.com/office/drawing/2014/main" xmlns="" id="{00000000-0008-0000-0300-0000F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48</xdr:row>
          <xdr:rowOff>0</xdr:rowOff>
        </xdr:from>
        <xdr:to>
          <xdr:col>1</xdr:col>
          <xdr:colOff>381000</xdr:colOff>
          <xdr:row>49</xdr:row>
          <xdr:rowOff>22860</xdr:rowOff>
        </xdr:to>
        <xdr:sp macro="" textlink="">
          <xdr:nvSpPr>
            <xdr:cNvPr id="1279" name="ofv_limit" hidden="1">
              <a:extLst>
                <a:ext uri="{63B3BB69-23CF-44E3-9099-C40C66FF867C}">
                  <a14:compatExt spid="_x0000_s1279"/>
                </a:ext>
                <a:ext uri="{FF2B5EF4-FFF2-40B4-BE49-F238E27FC236}">
                  <a16:creationId xmlns:a16="http://schemas.microsoft.com/office/drawing/2014/main" xmlns="" id="{00000000-0008-0000-0300-0000F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50</xdr:row>
          <xdr:rowOff>0</xdr:rowOff>
        </xdr:from>
        <xdr:to>
          <xdr:col>1</xdr:col>
          <xdr:colOff>381000</xdr:colOff>
          <xdr:row>50</xdr:row>
          <xdr:rowOff>213360</xdr:rowOff>
        </xdr:to>
        <xdr:sp macro="" textlink="">
          <xdr:nvSpPr>
            <xdr:cNvPr id="1282" name="ofv_copay_limit" hidden="1">
              <a:extLst>
                <a:ext uri="{63B3BB69-23CF-44E3-9099-C40C66FF867C}">
                  <a14:compatExt spid="_x0000_s1282"/>
                </a:ext>
                <a:ext uri="{FF2B5EF4-FFF2-40B4-BE49-F238E27FC236}">
                  <a16:creationId xmlns:a16="http://schemas.microsoft.com/office/drawing/2014/main" xmlns="" id="{00000000-0008-0000-0300-000002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16</xdr:row>
          <xdr:rowOff>182880</xdr:rowOff>
        </xdr:from>
        <xdr:to>
          <xdr:col>10</xdr:col>
          <xdr:colOff>502920</xdr:colOff>
          <xdr:row>18</xdr:row>
          <xdr:rowOff>7620</xdr:rowOff>
        </xdr:to>
        <xdr:sp macro="" textlink="">
          <xdr:nvSpPr>
            <xdr:cNvPr id="1283" name="omit_er" hidden="1">
              <a:extLst>
                <a:ext uri="{63B3BB69-23CF-44E3-9099-C40C66FF867C}">
                  <a14:compatExt spid="_x0000_s1283"/>
                </a:ext>
                <a:ext uri="{FF2B5EF4-FFF2-40B4-BE49-F238E27FC236}">
                  <a16:creationId xmlns:a16="http://schemas.microsoft.com/office/drawing/2014/main" xmlns="" id="{00000000-0008-0000-0300-000003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19</xdr:row>
          <xdr:rowOff>373380</xdr:rowOff>
        </xdr:from>
        <xdr:to>
          <xdr:col>10</xdr:col>
          <xdr:colOff>502920</xdr:colOff>
          <xdr:row>21</xdr:row>
          <xdr:rowOff>7620</xdr:rowOff>
        </xdr:to>
        <xdr:sp macro="" textlink="">
          <xdr:nvSpPr>
            <xdr:cNvPr id="1284" name="omit_sp" hidden="1">
              <a:extLst>
                <a:ext uri="{63B3BB69-23CF-44E3-9099-C40C66FF867C}">
                  <a14:compatExt spid="_x0000_s1284"/>
                </a:ext>
                <a:ext uri="{FF2B5EF4-FFF2-40B4-BE49-F238E27FC236}">
                  <a16:creationId xmlns:a16="http://schemas.microsoft.com/office/drawing/2014/main" xmlns="" id="{00000000-0008-0000-0300-000004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18</xdr:row>
          <xdr:rowOff>0</xdr:rowOff>
        </xdr:from>
        <xdr:to>
          <xdr:col>10</xdr:col>
          <xdr:colOff>502920</xdr:colOff>
          <xdr:row>19</xdr:row>
          <xdr:rowOff>7620</xdr:rowOff>
        </xdr:to>
        <xdr:sp macro="" textlink="">
          <xdr:nvSpPr>
            <xdr:cNvPr id="1285" name="omit_ip" hidden="1">
              <a:extLst>
                <a:ext uri="{63B3BB69-23CF-44E3-9099-C40C66FF867C}">
                  <a14:compatExt spid="_x0000_s1285"/>
                </a:ext>
                <a:ext uri="{FF2B5EF4-FFF2-40B4-BE49-F238E27FC236}">
                  <a16:creationId xmlns:a16="http://schemas.microsoft.com/office/drawing/2014/main" xmlns="" id="{00000000-0008-0000-0300-000005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19</xdr:row>
          <xdr:rowOff>106680</xdr:rowOff>
        </xdr:from>
        <xdr:to>
          <xdr:col>10</xdr:col>
          <xdr:colOff>502920</xdr:colOff>
          <xdr:row>19</xdr:row>
          <xdr:rowOff>312420</xdr:rowOff>
        </xdr:to>
        <xdr:sp macro="" textlink="">
          <xdr:nvSpPr>
            <xdr:cNvPr id="1286" name="omit_pc" hidden="1">
              <a:extLst>
                <a:ext uri="{63B3BB69-23CF-44E3-9099-C40C66FF867C}">
                  <a14:compatExt spid="_x0000_s1286"/>
                </a:ext>
                <a:ext uri="{FF2B5EF4-FFF2-40B4-BE49-F238E27FC236}">
                  <a16:creationId xmlns:a16="http://schemas.microsoft.com/office/drawing/2014/main" xmlns="" id="{00000000-0008-0000-0300-000006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21</xdr:row>
          <xdr:rowOff>106680</xdr:rowOff>
        </xdr:from>
        <xdr:to>
          <xdr:col>10</xdr:col>
          <xdr:colOff>502920</xdr:colOff>
          <xdr:row>21</xdr:row>
          <xdr:rowOff>312420</xdr:rowOff>
        </xdr:to>
        <xdr:sp macro="" textlink="">
          <xdr:nvSpPr>
            <xdr:cNvPr id="1287" name="omit_psy" hidden="1">
              <a:extLst>
                <a:ext uri="{63B3BB69-23CF-44E3-9099-C40C66FF867C}">
                  <a14:compatExt spid="_x0000_s1287"/>
                </a:ext>
                <a:ext uri="{FF2B5EF4-FFF2-40B4-BE49-F238E27FC236}">
                  <a16:creationId xmlns:a16="http://schemas.microsoft.com/office/drawing/2014/main" xmlns="" id="{00000000-0008-0000-0300-000007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22</xdr:row>
          <xdr:rowOff>7620</xdr:rowOff>
        </xdr:from>
        <xdr:to>
          <xdr:col>10</xdr:col>
          <xdr:colOff>502920</xdr:colOff>
          <xdr:row>24</xdr:row>
          <xdr:rowOff>0</xdr:rowOff>
        </xdr:to>
        <xdr:sp macro="" textlink="">
          <xdr:nvSpPr>
            <xdr:cNvPr id="1288" name="omit_img" hidden="1">
              <a:extLst>
                <a:ext uri="{63B3BB69-23CF-44E3-9099-C40C66FF867C}">
                  <a14:compatExt spid="_x0000_s1288"/>
                </a:ext>
                <a:ext uri="{FF2B5EF4-FFF2-40B4-BE49-F238E27FC236}">
                  <a16:creationId xmlns:a16="http://schemas.microsoft.com/office/drawing/2014/main" xmlns="" id="{00000000-0008-0000-0300-000008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24</xdr:row>
          <xdr:rowOff>0</xdr:rowOff>
        </xdr:from>
        <xdr:to>
          <xdr:col>10</xdr:col>
          <xdr:colOff>502920</xdr:colOff>
          <xdr:row>27</xdr:row>
          <xdr:rowOff>30480</xdr:rowOff>
        </xdr:to>
        <xdr:sp macro="" textlink="">
          <xdr:nvSpPr>
            <xdr:cNvPr id="1289" name="omit_st" hidden="1">
              <a:extLst>
                <a:ext uri="{63B3BB69-23CF-44E3-9099-C40C66FF867C}">
                  <a14:compatExt spid="_x0000_s1289"/>
                </a:ext>
                <a:ext uri="{FF2B5EF4-FFF2-40B4-BE49-F238E27FC236}">
                  <a16:creationId xmlns:a16="http://schemas.microsoft.com/office/drawing/2014/main" xmlns="" id="{00000000-0008-0000-0300-000009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27</xdr:row>
          <xdr:rowOff>68580</xdr:rowOff>
        </xdr:from>
        <xdr:to>
          <xdr:col>10</xdr:col>
          <xdr:colOff>502920</xdr:colOff>
          <xdr:row>27</xdr:row>
          <xdr:rowOff>289560</xdr:rowOff>
        </xdr:to>
        <xdr:sp macro="" textlink="">
          <xdr:nvSpPr>
            <xdr:cNvPr id="1290" name="omit_ot" hidden="1">
              <a:extLst>
                <a:ext uri="{63B3BB69-23CF-44E3-9099-C40C66FF867C}">
                  <a14:compatExt spid="_x0000_s1290"/>
                </a:ext>
                <a:ext uri="{FF2B5EF4-FFF2-40B4-BE49-F238E27FC236}">
                  <a16:creationId xmlns:a16="http://schemas.microsoft.com/office/drawing/2014/main" xmlns="" id="{00000000-0008-0000-0300-00000A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32</xdr:row>
          <xdr:rowOff>0</xdr:rowOff>
        </xdr:from>
        <xdr:to>
          <xdr:col>10</xdr:col>
          <xdr:colOff>502920</xdr:colOff>
          <xdr:row>33</xdr:row>
          <xdr:rowOff>7620</xdr:rowOff>
        </xdr:to>
        <xdr:sp macro="" textlink="">
          <xdr:nvSpPr>
            <xdr:cNvPr id="1291" name="omit_xray" hidden="1">
              <a:extLst>
                <a:ext uri="{63B3BB69-23CF-44E3-9099-C40C66FF867C}">
                  <a14:compatExt spid="_x0000_s1291"/>
                </a:ext>
                <a:ext uri="{FF2B5EF4-FFF2-40B4-BE49-F238E27FC236}">
                  <a16:creationId xmlns:a16="http://schemas.microsoft.com/office/drawing/2014/main" xmlns="" id="{00000000-0008-0000-0300-00000B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31</xdr:row>
          <xdr:rowOff>0</xdr:rowOff>
        </xdr:from>
        <xdr:to>
          <xdr:col>10</xdr:col>
          <xdr:colOff>502920</xdr:colOff>
          <xdr:row>32</xdr:row>
          <xdr:rowOff>7620</xdr:rowOff>
        </xdr:to>
        <xdr:sp macro="" textlink="">
          <xdr:nvSpPr>
            <xdr:cNvPr id="1293" name="omit_lab" hidden="1">
              <a:extLst>
                <a:ext uri="{63B3BB69-23CF-44E3-9099-C40C66FF867C}">
                  <a14:compatExt spid="_x0000_s1293"/>
                </a:ext>
                <a:ext uri="{FF2B5EF4-FFF2-40B4-BE49-F238E27FC236}">
                  <a16:creationId xmlns:a16="http://schemas.microsoft.com/office/drawing/2014/main" xmlns="" id="{00000000-0008-0000-0300-00000D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34</xdr:row>
          <xdr:rowOff>350520</xdr:rowOff>
        </xdr:from>
        <xdr:to>
          <xdr:col>10</xdr:col>
          <xdr:colOff>502920</xdr:colOff>
          <xdr:row>36</xdr:row>
          <xdr:rowOff>0</xdr:rowOff>
        </xdr:to>
        <xdr:sp macro="" textlink="">
          <xdr:nvSpPr>
            <xdr:cNvPr id="1294" name="omit_opprof" hidden="1">
              <a:extLst>
                <a:ext uri="{63B3BB69-23CF-44E3-9099-C40C66FF867C}">
                  <a14:compatExt spid="_x0000_s1294"/>
                </a:ext>
                <a:ext uri="{FF2B5EF4-FFF2-40B4-BE49-F238E27FC236}">
                  <a16:creationId xmlns:a16="http://schemas.microsoft.com/office/drawing/2014/main" xmlns="" id="{00000000-0008-0000-0300-00000E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33</xdr:row>
          <xdr:rowOff>0</xdr:rowOff>
        </xdr:from>
        <xdr:to>
          <xdr:col>10</xdr:col>
          <xdr:colOff>502920</xdr:colOff>
          <xdr:row>34</xdr:row>
          <xdr:rowOff>7620</xdr:rowOff>
        </xdr:to>
        <xdr:sp macro="" textlink="">
          <xdr:nvSpPr>
            <xdr:cNvPr id="1295" name="omit_snf" hidden="1">
              <a:extLst>
                <a:ext uri="{63B3BB69-23CF-44E3-9099-C40C66FF867C}">
                  <a14:compatExt spid="_x0000_s1295"/>
                </a:ext>
                <a:ext uri="{FF2B5EF4-FFF2-40B4-BE49-F238E27FC236}">
                  <a16:creationId xmlns:a16="http://schemas.microsoft.com/office/drawing/2014/main" xmlns="" id="{00000000-0008-0000-0300-00000F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34</xdr:row>
          <xdr:rowOff>76200</xdr:rowOff>
        </xdr:from>
        <xdr:to>
          <xdr:col>10</xdr:col>
          <xdr:colOff>502920</xdr:colOff>
          <xdr:row>34</xdr:row>
          <xdr:rowOff>297180</xdr:rowOff>
        </xdr:to>
        <xdr:sp macro="" textlink="">
          <xdr:nvSpPr>
            <xdr:cNvPr id="1296" name="omit_opfac" hidden="1">
              <a:extLst>
                <a:ext uri="{63B3BB69-23CF-44E3-9099-C40C66FF867C}">
                  <a14:compatExt spid="_x0000_s1296"/>
                </a:ext>
                <a:ext uri="{FF2B5EF4-FFF2-40B4-BE49-F238E27FC236}">
                  <a16:creationId xmlns:a16="http://schemas.microsoft.com/office/drawing/2014/main" xmlns="" id="{00000000-0008-0000-0300-000010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37</xdr:row>
          <xdr:rowOff>0</xdr:rowOff>
        </xdr:from>
        <xdr:to>
          <xdr:col>10</xdr:col>
          <xdr:colOff>502920</xdr:colOff>
          <xdr:row>38</xdr:row>
          <xdr:rowOff>7620</xdr:rowOff>
        </xdr:to>
        <xdr:sp macro="" textlink="">
          <xdr:nvSpPr>
            <xdr:cNvPr id="1297" name="omit_rxgen" hidden="1">
              <a:extLst>
                <a:ext uri="{63B3BB69-23CF-44E3-9099-C40C66FF867C}">
                  <a14:compatExt spid="_x0000_s1297"/>
                </a:ext>
                <a:ext uri="{FF2B5EF4-FFF2-40B4-BE49-F238E27FC236}">
                  <a16:creationId xmlns:a16="http://schemas.microsoft.com/office/drawing/2014/main" xmlns="" id="{00000000-0008-0000-0300-000011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38</xdr:row>
          <xdr:rowOff>0</xdr:rowOff>
        </xdr:from>
        <xdr:to>
          <xdr:col>10</xdr:col>
          <xdr:colOff>502920</xdr:colOff>
          <xdr:row>39</xdr:row>
          <xdr:rowOff>7620</xdr:rowOff>
        </xdr:to>
        <xdr:sp macro="" textlink="">
          <xdr:nvSpPr>
            <xdr:cNvPr id="1298" name="omit_rxform" hidden="1">
              <a:extLst>
                <a:ext uri="{63B3BB69-23CF-44E3-9099-C40C66FF867C}">
                  <a14:compatExt spid="_x0000_s1298"/>
                </a:ext>
                <a:ext uri="{FF2B5EF4-FFF2-40B4-BE49-F238E27FC236}">
                  <a16:creationId xmlns:a16="http://schemas.microsoft.com/office/drawing/2014/main" xmlns="" id="{00000000-0008-0000-0300-000012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39</xdr:row>
          <xdr:rowOff>0</xdr:rowOff>
        </xdr:from>
        <xdr:to>
          <xdr:col>10</xdr:col>
          <xdr:colOff>502920</xdr:colOff>
          <xdr:row>40</xdr:row>
          <xdr:rowOff>7620</xdr:rowOff>
        </xdr:to>
        <xdr:sp macro="" textlink="">
          <xdr:nvSpPr>
            <xdr:cNvPr id="1299" name="omit_rxnonform" hidden="1">
              <a:extLst>
                <a:ext uri="{63B3BB69-23CF-44E3-9099-C40C66FF867C}">
                  <a14:compatExt spid="_x0000_s1299"/>
                </a:ext>
                <a:ext uri="{FF2B5EF4-FFF2-40B4-BE49-F238E27FC236}">
                  <a16:creationId xmlns:a16="http://schemas.microsoft.com/office/drawing/2014/main" xmlns="" id="{00000000-0008-0000-0300-000013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40</xdr:row>
          <xdr:rowOff>0</xdr:rowOff>
        </xdr:from>
        <xdr:to>
          <xdr:col>10</xdr:col>
          <xdr:colOff>502920</xdr:colOff>
          <xdr:row>41</xdr:row>
          <xdr:rowOff>0</xdr:rowOff>
        </xdr:to>
        <xdr:sp macro="" textlink="">
          <xdr:nvSpPr>
            <xdr:cNvPr id="1300" name="omit_rxspclty" hidden="1">
              <a:extLst>
                <a:ext uri="{63B3BB69-23CF-44E3-9099-C40C66FF867C}">
                  <a14:compatExt spid="_x0000_s1300"/>
                </a:ext>
                <a:ext uri="{FF2B5EF4-FFF2-40B4-BE49-F238E27FC236}">
                  <a16:creationId xmlns:a16="http://schemas.microsoft.com/office/drawing/2014/main" xmlns="" id="{00000000-0008-0000-0300-000014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16</xdr:row>
          <xdr:rowOff>182880</xdr:rowOff>
        </xdr:from>
        <xdr:to>
          <xdr:col>11</xdr:col>
          <xdr:colOff>502920</xdr:colOff>
          <xdr:row>18</xdr:row>
          <xdr:rowOff>7620</xdr:rowOff>
        </xdr:to>
        <xdr:sp macro="" textlink="">
          <xdr:nvSpPr>
            <xdr:cNvPr id="1301" name="omit_er2" hidden="1">
              <a:extLst>
                <a:ext uri="{63B3BB69-23CF-44E3-9099-C40C66FF867C}">
                  <a14:compatExt spid="_x0000_s1301"/>
                </a:ext>
                <a:ext uri="{FF2B5EF4-FFF2-40B4-BE49-F238E27FC236}">
                  <a16:creationId xmlns:a16="http://schemas.microsoft.com/office/drawing/2014/main" xmlns="" id="{00000000-0008-0000-0300-000015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19</xdr:row>
          <xdr:rowOff>373380</xdr:rowOff>
        </xdr:from>
        <xdr:to>
          <xdr:col>11</xdr:col>
          <xdr:colOff>502920</xdr:colOff>
          <xdr:row>21</xdr:row>
          <xdr:rowOff>7620</xdr:rowOff>
        </xdr:to>
        <xdr:sp macro="" textlink="">
          <xdr:nvSpPr>
            <xdr:cNvPr id="1302" name="omit_sp2" hidden="1">
              <a:extLst>
                <a:ext uri="{63B3BB69-23CF-44E3-9099-C40C66FF867C}">
                  <a14:compatExt spid="_x0000_s1302"/>
                </a:ext>
                <a:ext uri="{FF2B5EF4-FFF2-40B4-BE49-F238E27FC236}">
                  <a16:creationId xmlns:a16="http://schemas.microsoft.com/office/drawing/2014/main" xmlns="" id="{00000000-0008-0000-0300-000016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18</xdr:row>
          <xdr:rowOff>0</xdr:rowOff>
        </xdr:from>
        <xdr:to>
          <xdr:col>11</xdr:col>
          <xdr:colOff>502920</xdr:colOff>
          <xdr:row>19</xdr:row>
          <xdr:rowOff>7620</xdr:rowOff>
        </xdr:to>
        <xdr:sp macro="" textlink="">
          <xdr:nvSpPr>
            <xdr:cNvPr id="1303" name="omit_ip2" hidden="1">
              <a:extLst>
                <a:ext uri="{63B3BB69-23CF-44E3-9099-C40C66FF867C}">
                  <a14:compatExt spid="_x0000_s1303"/>
                </a:ext>
                <a:ext uri="{FF2B5EF4-FFF2-40B4-BE49-F238E27FC236}">
                  <a16:creationId xmlns:a16="http://schemas.microsoft.com/office/drawing/2014/main" xmlns="" id="{00000000-0008-0000-0300-000017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19</xdr:row>
          <xdr:rowOff>106680</xdr:rowOff>
        </xdr:from>
        <xdr:to>
          <xdr:col>11</xdr:col>
          <xdr:colOff>502920</xdr:colOff>
          <xdr:row>19</xdr:row>
          <xdr:rowOff>312420</xdr:rowOff>
        </xdr:to>
        <xdr:sp macro="" textlink="">
          <xdr:nvSpPr>
            <xdr:cNvPr id="1304" name="omit_pc2" hidden="1">
              <a:extLst>
                <a:ext uri="{63B3BB69-23CF-44E3-9099-C40C66FF867C}">
                  <a14:compatExt spid="_x0000_s1304"/>
                </a:ext>
                <a:ext uri="{FF2B5EF4-FFF2-40B4-BE49-F238E27FC236}">
                  <a16:creationId xmlns:a16="http://schemas.microsoft.com/office/drawing/2014/main" xmlns="" id="{00000000-0008-0000-0300-000018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21</xdr:row>
          <xdr:rowOff>106680</xdr:rowOff>
        </xdr:from>
        <xdr:to>
          <xdr:col>11</xdr:col>
          <xdr:colOff>502920</xdr:colOff>
          <xdr:row>21</xdr:row>
          <xdr:rowOff>312420</xdr:rowOff>
        </xdr:to>
        <xdr:sp macro="" textlink="">
          <xdr:nvSpPr>
            <xdr:cNvPr id="1305" name="omit_psy2" hidden="1">
              <a:extLst>
                <a:ext uri="{63B3BB69-23CF-44E3-9099-C40C66FF867C}">
                  <a14:compatExt spid="_x0000_s1305"/>
                </a:ext>
                <a:ext uri="{FF2B5EF4-FFF2-40B4-BE49-F238E27FC236}">
                  <a16:creationId xmlns:a16="http://schemas.microsoft.com/office/drawing/2014/main" xmlns="" id="{00000000-0008-0000-0300-000019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22</xdr:row>
          <xdr:rowOff>7620</xdr:rowOff>
        </xdr:from>
        <xdr:to>
          <xdr:col>11</xdr:col>
          <xdr:colOff>502920</xdr:colOff>
          <xdr:row>24</xdr:row>
          <xdr:rowOff>0</xdr:rowOff>
        </xdr:to>
        <xdr:sp macro="" textlink="">
          <xdr:nvSpPr>
            <xdr:cNvPr id="1306" name="omit_img2" hidden="1">
              <a:extLst>
                <a:ext uri="{63B3BB69-23CF-44E3-9099-C40C66FF867C}">
                  <a14:compatExt spid="_x0000_s1306"/>
                </a:ext>
                <a:ext uri="{FF2B5EF4-FFF2-40B4-BE49-F238E27FC236}">
                  <a16:creationId xmlns:a16="http://schemas.microsoft.com/office/drawing/2014/main" xmlns="" id="{00000000-0008-0000-0300-00001A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24</xdr:row>
          <xdr:rowOff>0</xdr:rowOff>
        </xdr:from>
        <xdr:to>
          <xdr:col>11</xdr:col>
          <xdr:colOff>502920</xdr:colOff>
          <xdr:row>27</xdr:row>
          <xdr:rowOff>30480</xdr:rowOff>
        </xdr:to>
        <xdr:sp macro="" textlink="">
          <xdr:nvSpPr>
            <xdr:cNvPr id="1307" name="omit_st2" hidden="1">
              <a:extLst>
                <a:ext uri="{63B3BB69-23CF-44E3-9099-C40C66FF867C}">
                  <a14:compatExt spid="_x0000_s1307"/>
                </a:ext>
                <a:ext uri="{FF2B5EF4-FFF2-40B4-BE49-F238E27FC236}">
                  <a16:creationId xmlns:a16="http://schemas.microsoft.com/office/drawing/2014/main" xmlns="" id="{00000000-0008-0000-0300-00001B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27</xdr:row>
          <xdr:rowOff>68580</xdr:rowOff>
        </xdr:from>
        <xdr:to>
          <xdr:col>11</xdr:col>
          <xdr:colOff>502920</xdr:colOff>
          <xdr:row>27</xdr:row>
          <xdr:rowOff>289560</xdr:rowOff>
        </xdr:to>
        <xdr:sp macro="" textlink="">
          <xdr:nvSpPr>
            <xdr:cNvPr id="1308" name="omit_ot2" hidden="1">
              <a:extLst>
                <a:ext uri="{63B3BB69-23CF-44E3-9099-C40C66FF867C}">
                  <a14:compatExt spid="_x0000_s1308"/>
                </a:ext>
                <a:ext uri="{FF2B5EF4-FFF2-40B4-BE49-F238E27FC236}">
                  <a16:creationId xmlns:a16="http://schemas.microsoft.com/office/drawing/2014/main" xmlns="" id="{00000000-0008-0000-0300-00001C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32</xdr:row>
          <xdr:rowOff>0</xdr:rowOff>
        </xdr:from>
        <xdr:to>
          <xdr:col>11</xdr:col>
          <xdr:colOff>502920</xdr:colOff>
          <xdr:row>33</xdr:row>
          <xdr:rowOff>7620</xdr:rowOff>
        </xdr:to>
        <xdr:sp macro="" textlink="">
          <xdr:nvSpPr>
            <xdr:cNvPr id="1309" name="omit_xray2" hidden="1">
              <a:extLst>
                <a:ext uri="{63B3BB69-23CF-44E3-9099-C40C66FF867C}">
                  <a14:compatExt spid="_x0000_s1309"/>
                </a:ext>
                <a:ext uri="{FF2B5EF4-FFF2-40B4-BE49-F238E27FC236}">
                  <a16:creationId xmlns:a16="http://schemas.microsoft.com/office/drawing/2014/main" xmlns="" id="{00000000-0008-0000-0300-00001D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31</xdr:row>
          <xdr:rowOff>0</xdr:rowOff>
        </xdr:from>
        <xdr:to>
          <xdr:col>11</xdr:col>
          <xdr:colOff>502920</xdr:colOff>
          <xdr:row>32</xdr:row>
          <xdr:rowOff>7620</xdr:rowOff>
        </xdr:to>
        <xdr:sp macro="" textlink="">
          <xdr:nvSpPr>
            <xdr:cNvPr id="1311" name="omit_lab2" hidden="1">
              <a:extLst>
                <a:ext uri="{63B3BB69-23CF-44E3-9099-C40C66FF867C}">
                  <a14:compatExt spid="_x0000_s1311"/>
                </a:ext>
                <a:ext uri="{FF2B5EF4-FFF2-40B4-BE49-F238E27FC236}">
                  <a16:creationId xmlns:a16="http://schemas.microsoft.com/office/drawing/2014/main" xmlns="" id="{00000000-0008-0000-0300-00001F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34</xdr:row>
          <xdr:rowOff>350520</xdr:rowOff>
        </xdr:from>
        <xdr:to>
          <xdr:col>11</xdr:col>
          <xdr:colOff>502920</xdr:colOff>
          <xdr:row>36</xdr:row>
          <xdr:rowOff>0</xdr:rowOff>
        </xdr:to>
        <xdr:sp macro="" textlink="">
          <xdr:nvSpPr>
            <xdr:cNvPr id="1312" name="omit_opprof2" hidden="1">
              <a:extLst>
                <a:ext uri="{63B3BB69-23CF-44E3-9099-C40C66FF867C}">
                  <a14:compatExt spid="_x0000_s1312"/>
                </a:ext>
                <a:ext uri="{FF2B5EF4-FFF2-40B4-BE49-F238E27FC236}">
                  <a16:creationId xmlns:a16="http://schemas.microsoft.com/office/drawing/2014/main" xmlns="" id="{00000000-0008-0000-0300-000020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33</xdr:row>
          <xdr:rowOff>0</xdr:rowOff>
        </xdr:from>
        <xdr:to>
          <xdr:col>11</xdr:col>
          <xdr:colOff>502920</xdr:colOff>
          <xdr:row>34</xdr:row>
          <xdr:rowOff>7620</xdr:rowOff>
        </xdr:to>
        <xdr:sp macro="" textlink="">
          <xdr:nvSpPr>
            <xdr:cNvPr id="1313" name="omit_snf2" hidden="1">
              <a:extLst>
                <a:ext uri="{63B3BB69-23CF-44E3-9099-C40C66FF867C}">
                  <a14:compatExt spid="_x0000_s1313"/>
                </a:ext>
                <a:ext uri="{FF2B5EF4-FFF2-40B4-BE49-F238E27FC236}">
                  <a16:creationId xmlns:a16="http://schemas.microsoft.com/office/drawing/2014/main" xmlns="" id="{00000000-0008-0000-0300-000021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34</xdr:row>
          <xdr:rowOff>76200</xdr:rowOff>
        </xdr:from>
        <xdr:to>
          <xdr:col>11</xdr:col>
          <xdr:colOff>502920</xdr:colOff>
          <xdr:row>34</xdr:row>
          <xdr:rowOff>297180</xdr:rowOff>
        </xdr:to>
        <xdr:sp macro="" textlink="">
          <xdr:nvSpPr>
            <xdr:cNvPr id="1314" name="omit_opfac2" hidden="1">
              <a:extLst>
                <a:ext uri="{63B3BB69-23CF-44E3-9099-C40C66FF867C}">
                  <a14:compatExt spid="_x0000_s1314"/>
                </a:ext>
                <a:ext uri="{FF2B5EF4-FFF2-40B4-BE49-F238E27FC236}">
                  <a16:creationId xmlns:a16="http://schemas.microsoft.com/office/drawing/2014/main" xmlns="" id="{00000000-0008-0000-0300-000022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37</xdr:row>
          <xdr:rowOff>0</xdr:rowOff>
        </xdr:from>
        <xdr:to>
          <xdr:col>11</xdr:col>
          <xdr:colOff>502920</xdr:colOff>
          <xdr:row>38</xdr:row>
          <xdr:rowOff>7620</xdr:rowOff>
        </xdr:to>
        <xdr:sp macro="" textlink="">
          <xdr:nvSpPr>
            <xdr:cNvPr id="1315" name="omit_rxgen2" hidden="1">
              <a:extLst>
                <a:ext uri="{63B3BB69-23CF-44E3-9099-C40C66FF867C}">
                  <a14:compatExt spid="_x0000_s1315"/>
                </a:ext>
                <a:ext uri="{FF2B5EF4-FFF2-40B4-BE49-F238E27FC236}">
                  <a16:creationId xmlns:a16="http://schemas.microsoft.com/office/drawing/2014/main" xmlns="" id="{00000000-0008-0000-0300-000023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38</xdr:row>
          <xdr:rowOff>0</xdr:rowOff>
        </xdr:from>
        <xdr:to>
          <xdr:col>11</xdr:col>
          <xdr:colOff>502920</xdr:colOff>
          <xdr:row>39</xdr:row>
          <xdr:rowOff>7620</xdr:rowOff>
        </xdr:to>
        <xdr:sp macro="" textlink="">
          <xdr:nvSpPr>
            <xdr:cNvPr id="1316" name="omit_rxform2" hidden="1">
              <a:extLst>
                <a:ext uri="{63B3BB69-23CF-44E3-9099-C40C66FF867C}">
                  <a14:compatExt spid="_x0000_s1316"/>
                </a:ext>
                <a:ext uri="{FF2B5EF4-FFF2-40B4-BE49-F238E27FC236}">
                  <a16:creationId xmlns:a16="http://schemas.microsoft.com/office/drawing/2014/main" xmlns="" id="{00000000-0008-0000-0300-000024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39</xdr:row>
          <xdr:rowOff>0</xdr:rowOff>
        </xdr:from>
        <xdr:to>
          <xdr:col>11</xdr:col>
          <xdr:colOff>502920</xdr:colOff>
          <xdr:row>40</xdr:row>
          <xdr:rowOff>7620</xdr:rowOff>
        </xdr:to>
        <xdr:sp macro="" textlink="">
          <xdr:nvSpPr>
            <xdr:cNvPr id="1317" name="omit_rxnonform2" hidden="1">
              <a:extLst>
                <a:ext uri="{63B3BB69-23CF-44E3-9099-C40C66FF867C}">
                  <a14:compatExt spid="_x0000_s1317"/>
                </a:ext>
                <a:ext uri="{FF2B5EF4-FFF2-40B4-BE49-F238E27FC236}">
                  <a16:creationId xmlns:a16="http://schemas.microsoft.com/office/drawing/2014/main" xmlns="" id="{00000000-0008-0000-0300-000025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40</xdr:row>
          <xdr:rowOff>0</xdr:rowOff>
        </xdr:from>
        <xdr:to>
          <xdr:col>11</xdr:col>
          <xdr:colOff>502920</xdr:colOff>
          <xdr:row>41</xdr:row>
          <xdr:rowOff>0</xdr:rowOff>
        </xdr:to>
        <xdr:sp macro="" textlink="">
          <xdr:nvSpPr>
            <xdr:cNvPr id="1318" name="omit_rxspclty2" hidden="1">
              <a:extLst>
                <a:ext uri="{63B3BB69-23CF-44E3-9099-C40C66FF867C}">
                  <a14:compatExt spid="_x0000_s1318"/>
                </a:ext>
                <a:ext uri="{FF2B5EF4-FFF2-40B4-BE49-F238E27FC236}">
                  <a16:creationId xmlns:a16="http://schemas.microsoft.com/office/drawing/2014/main" xmlns="" id="{00000000-0008-0000-0300-000026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198120</xdr:colOff>
          <xdr:row>21</xdr:row>
          <xdr:rowOff>106680</xdr:rowOff>
        </xdr:from>
        <xdr:to>
          <xdr:col>13</xdr:col>
          <xdr:colOff>502920</xdr:colOff>
          <xdr:row>21</xdr:row>
          <xdr:rowOff>312420</xdr:rowOff>
        </xdr:to>
        <xdr:sp macro="" textlink="">
          <xdr:nvSpPr>
            <xdr:cNvPr id="1319" name="omit_abu" hidden="1">
              <a:extLst>
                <a:ext uri="{63B3BB69-23CF-44E3-9099-C40C66FF867C}">
                  <a14:compatExt spid="_x0000_s1319"/>
                </a:ext>
                <a:ext uri="{FF2B5EF4-FFF2-40B4-BE49-F238E27FC236}">
                  <a16:creationId xmlns:a16="http://schemas.microsoft.com/office/drawing/2014/main" xmlns="" id="{00000000-0008-0000-0300-000027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274320</xdr:colOff>
          <xdr:row>21</xdr:row>
          <xdr:rowOff>106680</xdr:rowOff>
        </xdr:from>
        <xdr:to>
          <xdr:col>14</xdr:col>
          <xdr:colOff>579120</xdr:colOff>
          <xdr:row>21</xdr:row>
          <xdr:rowOff>312420</xdr:rowOff>
        </xdr:to>
        <xdr:sp macro="" textlink="">
          <xdr:nvSpPr>
            <xdr:cNvPr id="1320" name="omit_abu2" hidden="1">
              <a:extLst>
                <a:ext uri="{63B3BB69-23CF-44E3-9099-C40C66FF867C}">
                  <a14:compatExt spid="_x0000_s1320"/>
                </a:ext>
                <a:ext uri="{FF2B5EF4-FFF2-40B4-BE49-F238E27FC236}">
                  <a16:creationId xmlns:a16="http://schemas.microsoft.com/office/drawing/2014/main" xmlns="" id="{00000000-0008-0000-0300-000028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198120</xdr:colOff>
          <xdr:row>23</xdr:row>
          <xdr:rowOff>106680</xdr:rowOff>
        </xdr:from>
        <xdr:to>
          <xdr:col>13</xdr:col>
          <xdr:colOff>502920</xdr:colOff>
          <xdr:row>26</xdr:row>
          <xdr:rowOff>121920</xdr:rowOff>
        </xdr:to>
        <xdr:sp macro="" textlink="">
          <xdr:nvSpPr>
            <xdr:cNvPr id="1321" name="omit_pvis" hidden="1">
              <a:extLst>
                <a:ext uri="{63B3BB69-23CF-44E3-9099-C40C66FF867C}">
                  <a14:compatExt spid="_x0000_s1321"/>
                </a:ext>
                <a:ext uri="{FF2B5EF4-FFF2-40B4-BE49-F238E27FC236}">
                  <a16:creationId xmlns:a16="http://schemas.microsoft.com/office/drawing/2014/main" xmlns="" id="{00000000-0008-0000-0300-000029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274320</xdr:colOff>
          <xdr:row>23</xdr:row>
          <xdr:rowOff>106680</xdr:rowOff>
        </xdr:from>
        <xdr:to>
          <xdr:col>14</xdr:col>
          <xdr:colOff>579120</xdr:colOff>
          <xdr:row>26</xdr:row>
          <xdr:rowOff>121920</xdr:rowOff>
        </xdr:to>
        <xdr:sp macro="" textlink="">
          <xdr:nvSpPr>
            <xdr:cNvPr id="1322" name="omit_pvis2" hidden="1">
              <a:extLst>
                <a:ext uri="{63B3BB69-23CF-44E3-9099-C40C66FF867C}">
                  <a14:compatExt spid="_x0000_s1322"/>
                </a:ext>
                <a:ext uri="{FF2B5EF4-FFF2-40B4-BE49-F238E27FC236}">
                  <a16:creationId xmlns:a16="http://schemas.microsoft.com/office/drawing/2014/main" xmlns="" id="{00000000-0008-0000-0300-00002A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198120</xdr:colOff>
          <xdr:row>26</xdr:row>
          <xdr:rowOff>60960</xdr:rowOff>
        </xdr:from>
        <xdr:to>
          <xdr:col>13</xdr:col>
          <xdr:colOff>502920</xdr:colOff>
          <xdr:row>27</xdr:row>
          <xdr:rowOff>76200</xdr:rowOff>
        </xdr:to>
        <xdr:sp macro="" textlink="">
          <xdr:nvSpPr>
            <xdr:cNvPr id="1323" name="omit_pden" hidden="1">
              <a:extLst>
                <a:ext uri="{63B3BB69-23CF-44E3-9099-C40C66FF867C}">
                  <a14:compatExt spid="_x0000_s1323"/>
                </a:ext>
                <a:ext uri="{FF2B5EF4-FFF2-40B4-BE49-F238E27FC236}">
                  <a16:creationId xmlns:a16="http://schemas.microsoft.com/office/drawing/2014/main" xmlns="" id="{00000000-0008-0000-0300-00002B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274320</xdr:colOff>
          <xdr:row>26</xdr:row>
          <xdr:rowOff>60960</xdr:rowOff>
        </xdr:from>
        <xdr:to>
          <xdr:col>14</xdr:col>
          <xdr:colOff>579120</xdr:colOff>
          <xdr:row>27</xdr:row>
          <xdr:rowOff>76200</xdr:rowOff>
        </xdr:to>
        <xdr:sp macro="" textlink="">
          <xdr:nvSpPr>
            <xdr:cNvPr id="1324" name="omit_pden2" hidden="1">
              <a:extLst>
                <a:ext uri="{63B3BB69-23CF-44E3-9099-C40C66FF867C}">
                  <a14:compatExt spid="_x0000_s1324"/>
                </a:ext>
                <a:ext uri="{FF2B5EF4-FFF2-40B4-BE49-F238E27FC236}">
                  <a16:creationId xmlns:a16="http://schemas.microsoft.com/office/drawing/2014/main" xmlns="" id="{00000000-0008-0000-0300-00002C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198120</xdr:colOff>
          <xdr:row>27</xdr:row>
          <xdr:rowOff>106680</xdr:rowOff>
        </xdr:from>
        <xdr:to>
          <xdr:col>13</xdr:col>
          <xdr:colOff>502920</xdr:colOff>
          <xdr:row>27</xdr:row>
          <xdr:rowOff>312420</xdr:rowOff>
        </xdr:to>
        <xdr:sp macro="" textlink="">
          <xdr:nvSpPr>
            <xdr:cNvPr id="1325" name="omit_pt" hidden="1">
              <a:extLst>
                <a:ext uri="{63B3BB69-23CF-44E3-9099-C40C66FF867C}">
                  <a14:compatExt spid="_x0000_s1325"/>
                </a:ext>
                <a:ext uri="{FF2B5EF4-FFF2-40B4-BE49-F238E27FC236}">
                  <a16:creationId xmlns:a16="http://schemas.microsoft.com/office/drawing/2014/main" xmlns="" id="{00000000-0008-0000-0300-00002D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274320</xdr:colOff>
          <xdr:row>27</xdr:row>
          <xdr:rowOff>106680</xdr:rowOff>
        </xdr:from>
        <xdr:to>
          <xdr:col>14</xdr:col>
          <xdr:colOff>579120</xdr:colOff>
          <xdr:row>27</xdr:row>
          <xdr:rowOff>312420</xdr:rowOff>
        </xdr:to>
        <xdr:sp macro="" textlink="">
          <xdr:nvSpPr>
            <xdr:cNvPr id="1326" name="omit_pt2" hidden="1">
              <a:extLst>
                <a:ext uri="{63B3BB69-23CF-44E3-9099-C40C66FF867C}">
                  <a14:compatExt spid="_x0000_s1326"/>
                </a:ext>
                <a:ext uri="{FF2B5EF4-FFF2-40B4-BE49-F238E27FC236}">
                  <a16:creationId xmlns:a16="http://schemas.microsoft.com/office/drawing/2014/main" xmlns="" id="{00000000-0008-0000-0300-00002E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198120</xdr:colOff>
          <xdr:row>27</xdr:row>
          <xdr:rowOff>251460</xdr:rowOff>
        </xdr:from>
        <xdr:to>
          <xdr:col>13</xdr:col>
          <xdr:colOff>502920</xdr:colOff>
          <xdr:row>30</xdr:row>
          <xdr:rowOff>76200</xdr:rowOff>
        </xdr:to>
        <xdr:sp macro="" textlink="">
          <xdr:nvSpPr>
            <xdr:cNvPr id="1327" name="omit_wb" hidden="1">
              <a:extLst>
                <a:ext uri="{63B3BB69-23CF-44E3-9099-C40C66FF867C}">
                  <a14:compatExt spid="_x0000_s1327"/>
                </a:ext>
                <a:ext uri="{FF2B5EF4-FFF2-40B4-BE49-F238E27FC236}">
                  <a16:creationId xmlns:a16="http://schemas.microsoft.com/office/drawing/2014/main" xmlns="" id="{00000000-0008-0000-0300-00002F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274320</xdr:colOff>
          <xdr:row>27</xdr:row>
          <xdr:rowOff>251460</xdr:rowOff>
        </xdr:from>
        <xdr:to>
          <xdr:col>14</xdr:col>
          <xdr:colOff>579120</xdr:colOff>
          <xdr:row>30</xdr:row>
          <xdr:rowOff>76200</xdr:rowOff>
        </xdr:to>
        <xdr:sp macro="" textlink="">
          <xdr:nvSpPr>
            <xdr:cNvPr id="1328" name="omit_wb2" hidden="1">
              <a:extLst>
                <a:ext uri="{63B3BB69-23CF-44E3-9099-C40C66FF867C}">
                  <a14:compatExt spid="_x0000_s1328"/>
                </a:ext>
                <a:ext uri="{FF2B5EF4-FFF2-40B4-BE49-F238E27FC236}">
                  <a16:creationId xmlns:a16="http://schemas.microsoft.com/office/drawing/2014/main" xmlns="" id="{00000000-0008-0000-0300-000030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198120</xdr:colOff>
          <xdr:row>27</xdr:row>
          <xdr:rowOff>373380</xdr:rowOff>
        </xdr:from>
        <xdr:to>
          <xdr:col>10</xdr:col>
          <xdr:colOff>502920</xdr:colOff>
          <xdr:row>31</xdr:row>
          <xdr:rowOff>7620</xdr:rowOff>
        </xdr:to>
        <xdr:sp macro="" textlink="">
          <xdr:nvSpPr>
            <xdr:cNvPr id="1329" name="omit_prev" hidden="1">
              <a:extLst>
                <a:ext uri="{63B3BB69-23CF-44E3-9099-C40C66FF867C}">
                  <a14:compatExt spid="_x0000_s1329"/>
                </a:ext>
                <a:ext uri="{FF2B5EF4-FFF2-40B4-BE49-F238E27FC236}">
                  <a16:creationId xmlns:a16="http://schemas.microsoft.com/office/drawing/2014/main" xmlns="" id="{00000000-0008-0000-0300-000031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198120</xdr:colOff>
          <xdr:row>27</xdr:row>
          <xdr:rowOff>373380</xdr:rowOff>
        </xdr:from>
        <xdr:to>
          <xdr:col>11</xdr:col>
          <xdr:colOff>502920</xdr:colOff>
          <xdr:row>31</xdr:row>
          <xdr:rowOff>7620</xdr:rowOff>
        </xdr:to>
        <xdr:sp macro="" textlink="">
          <xdr:nvSpPr>
            <xdr:cNvPr id="1330" name="omit_prev2" hidden="1">
              <a:extLst>
                <a:ext uri="{63B3BB69-23CF-44E3-9099-C40C66FF867C}">
                  <a14:compatExt spid="_x0000_s1330"/>
                </a:ext>
                <a:ext uri="{FF2B5EF4-FFF2-40B4-BE49-F238E27FC236}">
                  <a16:creationId xmlns:a16="http://schemas.microsoft.com/office/drawing/2014/main" xmlns="" id="{00000000-0008-0000-0300-000032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0</xdr:rowOff>
        </xdr:from>
        <xdr:to>
          <xdr:col>2</xdr:col>
          <xdr:colOff>68580</xdr:colOff>
          <xdr:row>6</xdr:row>
          <xdr:rowOff>7620</xdr:rowOff>
        </xdr:to>
        <xdr:sp macro="" textlink="">
          <xdr:nvSpPr>
            <xdr:cNvPr id="1331" name="Checkbox_Grandfather" hidden="1">
              <a:extLst>
                <a:ext uri="{63B3BB69-23CF-44E3-9099-C40C66FF867C}">
                  <a14:compatExt spid="_x0000_s1331"/>
                </a:ext>
                <a:ext uri="{FF2B5EF4-FFF2-40B4-BE49-F238E27FC236}">
                  <a16:creationId xmlns:a16="http://schemas.microsoft.com/office/drawing/2014/main" xmlns="" id="{00000000-0008-0000-0300-00003305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1264920</xdr:colOff>
          <xdr:row>12</xdr:row>
          <xdr:rowOff>160020</xdr:rowOff>
        </xdr:from>
        <xdr:to>
          <xdr:col>7</xdr:col>
          <xdr:colOff>22860</xdr:colOff>
          <xdr:row>14</xdr:row>
          <xdr:rowOff>7620</xdr:rowOff>
        </xdr:to>
        <xdr:sp macro="" textlink="">
          <xdr:nvSpPr>
            <xdr:cNvPr id="78849" name="Button 1" hidden="1">
              <a:extLst>
                <a:ext uri="{63B3BB69-23CF-44E3-9099-C40C66FF867C}">
                  <a14:compatExt spid="_x0000_s78849"/>
                </a:ext>
                <a:ext uri="{FF2B5EF4-FFF2-40B4-BE49-F238E27FC236}">
                  <a16:creationId xmlns:a16="http://schemas.microsoft.com/office/drawing/2014/main" xmlns="" id="{FE93B20E-DAD7-404F-B57A-291B668D391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Update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1158240</xdr:colOff>
          <xdr:row>12</xdr:row>
          <xdr:rowOff>152400</xdr:rowOff>
        </xdr:from>
        <xdr:to>
          <xdr:col>9</xdr:col>
          <xdr:colOff>45720</xdr:colOff>
          <xdr:row>13</xdr:row>
          <xdr:rowOff>182880</xdr:rowOff>
        </xdr:to>
        <xdr:sp macro="" textlink="">
          <xdr:nvSpPr>
            <xdr:cNvPr id="78850" name="Button 2" hidden="1">
              <a:extLst>
                <a:ext uri="{63B3BB69-23CF-44E3-9099-C40C66FF867C}">
                  <a14:compatExt spid="_x0000_s78850"/>
                </a:ext>
                <a:ext uri="{FF2B5EF4-FFF2-40B4-BE49-F238E27FC236}">
                  <a16:creationId xmlns:a16="http://schemas.microsoft.com/office/drawing/2014/main" xmlns="" id="{FF453875-B317-4BF0-8691-57CA795E621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 Back to Standard</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xdr:from>
      <xdr:col>0</xdr:col>
      <xdr:colOff>703942</xdr:colOff>
      <xdr:row>110</xdr:row>
      <xdr:rowOff>9979</xdr:rowOff>
    </xdr:from>
    <xdr:to>
      <xdr:col>14</xdr:col>
      <xdr:colOff>462644</xdr:colOff>
      <xdr:row>135</xdr:row>
      <xdr:rowOff>63501</xdr:rowOff>
    </xdr:to>
    <xdr:graphicFrame macro="">
      <xdr:nvGraphicFramePr>
        <xdr:cNvPr id="2" name="Chart 1">
          <a:extLst>
            <a:ext uri="{FF2B5EF4-FFF2-40B4-BE49-F238E27FC236}">
              <a16:creationId xmlns:a16="http://schemas.microsoft.com/office/drawing/2014/main" xmlns="" id="{B1D89F49-4DD9-4423-89A6-132357001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335643</xdr:colOff>
      <xdr:row>110</xdr:row>
      <xdr:rowOff>9069</xdr:rowOff>
    </xdr:from>
    <xdr:to>
      <xdr:col>33</xdr:col>
      <xdr:colOff>498929</xdr:colOff>
      <xdr:row>132</xdr:row>
      <xdr:rowOff>154214</xdr:rowOff>
    </xdr:to>
    <xdr:graphicFrame macro="">
      <xdr:nvGraphicFramePr>
        <xdr:cNvPr id="3" name="Chart 2">
          <a:extLst>
            <a:ext uri="{FF2B5EF4-FFF2-40B4-BE49-F238E27FC236}">
              <a16:creationId xmlns:a16="http://schemas.microsoft.com/office/drawing/2014/main" xmlns="" id="{03396345-096D-4315-8BD2-28B672F69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351972</xdr:colOff>
      <xdr:row>162</xdr:row>
      <xdr:rowOff>81643</xdr:rowOff>
    </xdr:from>
    <xdr:to>
      <xdr:col>33</xdr:col>
      <xdr:colOff>515258</xdr:colOff>
      <xdr:row>185</xdr:row>
      <xdr:rowOff>45359</xdr:rowOff>
    </xdr:to>
    <xdr:graphicFrame macro="">
      <xdr:nvGraphicFramePr>
        <xdr:cNvPr id="4" name="Chart 3">
          <a:extLst>
            <a:ext uri="{FF2B5EF4-FFF2-40B4-BE49-F238E27FC236}">
              <a16:creationId xmlns:a16="http://schemas.microsoft.com/office/drawing/2014/main" xmlns="" id="{6620304F-5A24-4E2A-999A-B86C010A0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317500</xdr:colOff>
      <xdr:row>135</xdr:row>
      <xdr:rowOff>163287</xdr:rowOff>
    </xdr:from>
    <xdr:to>
      <xdr:col>33</xdr:col>
      <xdr:colOff>480786</xdr:colOff>
      <xdr:row>158</xdr:row>
      <xdr:rowOff>127003</xdr:rowOff>
    </xdr:to>
    <xdr:graphicFrame macro="">
      <xdr:nvGraphicFramePr>
        <xdr:cNvPr id="5" name="Chart 4">
          <a:extLst>
            <a:ext uri="{FF2B5EF4-FFF2-40B4-BE49-F238E27FC236}">
              <a16:creationId xmlns:a16="http://schemas.microsoft.com/office/drawing/2014/main" xmlns="" id="{66DFC7EE-1E81-4263-9C85-D70D53A81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698500</xdr:colOff>
      <xdr:row>137</xdr:row>
      <xdr:rowOff>0</xdr:rowOff>
    </xdr:from>
    <xdr:to>
      <xdr:col>14</xdr:col>
      <xdr:colOff>457202</xdr:colOff>
      <xdr:row>162</xdr:row>
      <xdr:rowOff>53521</xdr:rowOff>
    </xdr:to>
    <xdr:graphicFrame macro="">
      <xdr:nvGraphicFramePr>
        <xdr:cNvPr id="6" name="Chart 5">
          <a:extLst>
            <a:ext uri="{FF2B5EF4-FFF2-40B4-BE49-F238E27FC236}">
              <a16:creationId xmlns:a16="http://schemas.microsoft.com/office/drawing/2014/main" xmlns="" id="{D3F497FE-2C5E-4F6C-9F47-9E3D6EC3B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698499</xdr:colOff>
      <xdr:row>164</xdr:row>
      <xdr:rowOff>18143</xdr:rowOff>
    </xdr:from>
    <xdr:to>
      <xdr:col>14</xdr:col>
      <xdr:colOff>381000</xdr:colOff>
      <xdr:row>189</xdr:row>
      <xdr:rowOff>71665</xdr:rowOff>
    </xdr:to>
    <xdr:graphicFrame macro="">
      <xdr:nvGraphicFramePr>
        <xdr:cNvPr id="7" name="Chart 6">
          <a:extLst>
            <a:ext uri="{FF2B5EF4-FFF2-40B4-BE49-F238E27FC236}">
              <a16:creationId xmlns:a16="http://schemas.microsoft.com/office/drawing/2014/main" xmlns="" id="{3A58EB19-C68C-4CE9-AFFE-B6D55291C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272143</xdr:colOff>
      <xdr:row>191</xdr:row>
      <xdr:rowOff>18142</xdr:rowOff>
    </xdr:from>
    <xdr:to>
      <xdr:col>5</xdr:col>
      <xdr:colOff>32657</xdr:colOff>
      <xdr:row>213</xdr:row>
      <xdr:rowOff>119742</xdr:rowOff>
    </xdr:to>
    <xdr:graphicFrame macro="">
      <xdr:nvGraphicFramePr>
        <xdr:cNvPr id="8" name="Chart 7">
          <a:extLst>
            <a:ext uri="{FF2B5EF4-FFF2-40B4-BE49-F238E27FC236}">
              <a16:creationId xmlns:a16="http://schemas.microsoft.com/office/drawing/2014/main" xmlns="" id="{03BBBDFD-95E0-4721-9ADC-749AA532D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47625</xdr:colOff>
      <xdr:row>0</xdr:row>
      <xdr:rowOff>123825</xdr:rowOff>
    </xdr:from>
    <xdr:to>
      <xdr:col>13</xdr:col>
      <xdr:colOff>352425</xdr:colOff>
      <xdr:row>15</xdr:row>
      <xdr:rowOff>104775</xdr:rowOff>
    </xdr:to>
    <xdr:graphicFrame macro="">
      <xdr:nvGraphicFramePr>
        <xdr:cNvPr id="2" name="Chart 1">
          <a:extLst>
            <a:ext uri="{FF2B5EF4-FFF2-40B4-BE49-F238E27FC236}">
              <a16:creationId xmlns:a16="http://schemas.microsoft.com/office/drawing/2014/main" xmlns="" id="{671ABBE7-E027-46BC-8C82-E437E95D2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9</xdr:col>
      <xdr:colOff>238125</xdr:colOff>
      <xdr:row>47</xdr:row>
      <xdr:rowOff>52386</xdr:rowOff>
    </xdr:from>
    <xdr:to>
      <xdr:col>19</xdr:col>
      <xdr:colOff>598715</xdr:colOff>
      <xdr:row>64</xdr:row>
      <xdr:rowOff>95250</xdr:rowOff>
    </xdr:to>
    <xdr:graphicFrame macro="">
      <xdr:nvGraphicFramePr>
        <xdr:cNvPr id="2" name="Chart 1">
          <a:extLst>
            <a:ext uri="{FF2B5EF4-FFF2-40B4-BE49-F238E27FC236}">
              <a16:creationId xmlns:a16="http://schemas.microsoft.com/office/drawing/2014/main" xmlns="" id="{288B0E62-E2FF-41DF-BF86-723580112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76200</xdr:colOff>
      <xdr:row>47</xdr:row>
      <xdr:rowOff>52386</xdr:rowOff>
    </xdr:from>
    <xdr:to>
      <xdr:col>37</xdr:col>
      <xdr:colOff>581025</xdr:colOff>
      <xdr:row>64</xdr:row>
      <xdr:rowOff>95250</xdr:rowOff>
    </xdr:to>
    <xdr:graphicFrame macro="">
      <xdr:nvGraphicFramePr>
        <xdr:cNvPr id="3" name="Chart 2">
          <a:extLst>
            <a:ext uri="{FF2B5EF4-FFF2-40B4-BE49-F238E27FC236}">
              <a16:creationId xmlns:a16="http://schemas.microsoft.com/office/drawing/2014/main" xmlns="" id="{9AF5E34C-543F-4E76-AE6F-27A0C578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22860</xdr:colOff>
          <xdr:row>71</xdr:row>
          <xdr:rowOff>144780</xdr:rowOff>
        </xdr:from>
        <xdr:to>
          <xdr:col>3</xdr:col>
          <xdr:colOff>1005840</xdr:colOff>
          <xdr:row>74</xdr:row>
          <xdr:rowOff>38100</xdr:rowOff>
        </xdr:to>
        <xdr:sp macro="" textlink="">
          <xdr:nvSpPr>
            <xdr:cNvPr id="13313" name="Button 1" hidden="1">
              <a:extLst>
                <a:ext uri="{63B3BB69-23CF-44E3-9099-C40C66FF867C}">
                  <a14:compatExt spid="_x0000_s13313"/>
                </a:ext>
                <a:ext uri="{FF2B5EF4-FFF2-40B4-BE49-F238E27FC236}">
                  <a16:creationId xmlns:a16="http://schemas.microsoft.com/office/drawing/2014/main" xmlns="" id="{153D1AFA-C82E-4A83-8627-BE7A2ACFA3C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Calculate Using Target CS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68580</xdr:colOff>
          <xdr:row>72</xdr:row>
          <xdr:rowOff>15240</xdr:rowOff>
        </xdr:from>
        <xdr:to>
          <xdr:col>8</xdr:col>
          <xdr:colOff>0</xdr:colOff>
          <xdr:row>74</xdr:row>
          <xdr:rowOff>99060</xdr:rowOff>
        </xdr:to>
        <xdr:sp macro="" textlink="">
          <xdr:nvSpPr>
            <xdr:cNvPr id="13314" name="Button 2" hidden="1">
              <a:extLst>
                <a:ext uri="{63B3BB69-23CF-44E3-9099-C40C66FF867C}">
                  <a14:compatExt spid="_x0000_s13314"/>
                </a:ext>
                <a:ext uri="{FF2B5EF4-FFF2-40B4-BE49-F238E27FC236}">
                  <a16:creationId xmlns:a16="http://schemas.microsoft.com/office/drawing/2014/main" xmlns="" id="{8BAC5B68-DDE3-4B5B-896A-598D3C290DD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Calculate Using Target Savings</a:t>
              </a:r>
            </a:p>
          </xdr:txBody>
        </xdr:sp>
        <xdr:clientData fPrintsWithSheet="0"/>
      </xdr:twoCellAnchor>
    </mc:Choice>
    <mc:Fallback/>
  </mc:AlternateContent>
  <xdr:twoCellAnchor>
    <xdr:from>
      <xdr:col>9</xdr:col>
      <xdr:colOff>214313</xdr:colOff>
      <xdr:row>44</xdr:row>
      <xdr:rowOff>23812</xdr:rowOff>
    </xdr:from>
    <xdr:to>
      <xdr:col>20</xdr:col>
      <xdr:colOff>11906</xdr:colOff>
      <xdr:row>64</xdr:row>
      <xdr:rowOff>11906</xdr:rowOff>
    </xdr:to>
    <xdr:graphicFrame macro="">
      <xdr:nvGraphicFramePr>
        <xdr:cNvPr id="4" name="Chart 3">
          <a:extLst>
            <a:ext uri="{FF2B5EF4-FFF2-40B4-BE49-F238E27FC236}">
              <a16:creationId xmlns:a16="http://schemas.microsoft.com/office/drawing/2014/main" xmlns="" id="{A3471400-DE0D-49B4-A9FC-CDACB4291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321469</xdr:colOff>
      <xdr:row>44</xdr:row>
      <xdr:rowOff>15477</xdr:rowOff>
    </xdr:from>
    <xdr:to>
      <xdr:col>37</xdr:col>
      <xdr:colOff>547687</xdr:colOff>
      <xdr:row>64</xdr:row>
      <xdr:rowOff>0</xdr:rowOff>
    </xdr:to>
    <xdr:graphicFrame macro="">
      <xdr:nvGraphicFramePr>
        <xdr:cNvPr id="5" name="Chart 4">
          <a:extLst>
            <a:ext uri="{FF2B5EF4-FFF2-40B4-BE49-F238E27FC236}">
              <a16:creationId xmlns:a16="http://schemas.microsoft.com/office/drawing/2014/main" xmlns="" id="{86005B56-FB58-4F6F-8FDC-6284E4B92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228600</xdr:colOff>
      <xdr:row>0</xdr:row>
      <xdr:rowOff>133349</xdr:rowOff>
    </xdr:from>
    <xdr:to>
      <xdr:col>18</xdr:col>
      <xdr:colOff>561975</xdr:colOff>
      <xdr:row>45</xdr:row>
      <xdr:rowOff>66675</xdr:rowOff>
    </xdr:to>
    <xdr:graphicFrame macro="">
      <xdr:nvGraphicFramePr>
        <xdr:cNvPr id="2" name="Chart 1">
          <a:extLst>
            <a:ext uri="{FF2B5EF4-FFF2-40B4-BE49-F238E27FC236}">
              <a16:creationId xmlns:a16="http://schemas.microsoft.com/office/drawing/2014/main" xmlns="" id="{1CDB747E-31B7-4B2A-B024-EED09DF96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238124</xdr:colOff>
      <xdr:row>47</xdr:row>
      <xdr:rowOff>4762</xdr:rowOff>
    </xdr:from>
    <xdr:to>
      <xdr:col>18</xdr:col>
      <xdr:colOff>609599</xdr:colOff>
      <xdr:row>63</xdr:row>
      <xdr:rowOff>114300</xdr:rowOff>
    </xdr:to>
    <xdr:graphicFrame macro="">
      <xdr:nvGraphicFramePr>
        <xdr:cNvPr id="3" name="Chart 2">
          <a:extLst>
            <a:ext uri="{FF2B5EF4-FFF2-40B4-BE49-F238E27FC236}">
              <a16:creationId xmlns:a16="http://schemas.microsoft.com/office/drawing/2014/main" xmlns="" id="{7CF40120-E725-456E-9E11-7FAEAA7D5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xdr:colOff>
      <xdr:row>2</xdr:row>
      <xdr:rowOff>0</xdr:rowOff>
    </xdr:from>
    <xdr:to>
      <xdr:col>14</xdr:col>
      <xdr:colOff>101600</xdr:colOff>
      <xdr:row>20</xdr:row>
      <xdr:rowOff>44450</xdr:rowOff>
    </xdr:to>
    <xdr:graphicFrame macro="">
      <xdr:nvGraphicFramePr>
        <xdr:cNvPr id="2" name="Chart 1">
          <a:extLst>
            <a:ext uri="{FF2B5EF4-FFF2-40B4-BE49-F238E27FC236}">
              <a16:creationId xmlns:a16="http://schemas.microsoft.com/office/drawing/2014/main" xmlns="" id="{CC7DF95B-3B8A-451C-94F6-DBDDF9000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22</xdr:row>
      <xdr:rowOff>0</xdr:rowOff>
    </xdr:from>
    <xdr:to>
      <xdr:col>12</xdr:col>
      <xdr:colOff>361950</xdr:colOff>
      <xdr:row>41</xdr:row>
      <xdr:rowOff>171450</xdr:rowOff>
    </xdr:to>
    <xdr:graphicFrame macro="">
      <xdr:nvGraphicFramePr>
        <xdr:cNvPr id="3" name="Chart 2">
          <a:extLst>
            <a:ext uri="{FF2B5EF4-FFF2-40B4-BE49-F238E27FC236}">
              <a16:creationId xmlns:a16="http://schemas.microsoft.com/office/drawing/2014/main" xmlns="" id="{4ECC9205-D77F-4B67-9E76-4025CA7E9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34925</xdr:colOff>
      <xdr:row>19</xdr:row>
      <xdr:rowOff>98425</xdr:rowOff>
    </xdr:from>
    <xdr:to>
      <xdr:col>8</xdr:col>
      <xdr:colOff>438150</xdr:colOff>
      <xdr:row>34</xdr:row>
      <xdr:rowOff>79375</xdr:rowOff>
    </xdr:to>
    <xdr:graphicFrame macro="">
      <xdr:nvGraphicFramePr>
        <xdr:cNvPr id="2" name="Chart 1">
          <a:extLst>
            <a:ext uri="{FF2B5EF4-FFF2-40B4-BE49-F238E27FC236}">
              <a16:creationId xmlns:a16="http://schemas.microsoft.com/office/drawing/2014/main" xmlns="" id="{F481D71E-241C-46AF-AFE7-CD28C2D57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0</xdr:rowOff>
    </xdr:from>
    <xdr:to>
      <xdr:col>14</xdr:col>
      <xdr:colOff>41275</xdr:colOff>
      <xdr:row>33</xdr:row>
      <xdr:rowOff>165100</xdr:rowOff>
    </xdr:to>
    <xdr:graphicFrame macro="">
      <xdr:nvGraphicFramePr>
        <xdr:cNvPr id="3" name="Chart 2">
          <a:extLst>
            <a:ext uri="{FF2B5EF4-FFF2-40B4-BE49-F238E27FC236}">
              <a16:creationId xmlns:a16="http://schemas.microsoft.com/office/drawing/2014/main" xmlns="" id="{926A5D60-D740-4A3A-A79B-7A69F8605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arun.sundar/AppData/Local/Microsoft/Windows/INetCache/Content.Outlook/8IKYFXNL/2018%20Accrual%20and%20Employee%20Contribution%20Rates_09.1.2017.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arun.sundar/Dropbox%20(BIND)/BIND%20Folder/Staff%20Fx%20-%20Sales/Employer%20Sales/3M/Bind%20Plan%20Sponsor%20Control%20Panel_3M_03172018.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varun.sundar/Dropbox%20(BIND)/BIND%20Folder/Staff%20Fx%20-%20Sales/Employer%20Sales/Xcel%20Energy/Xcel%20Energy%20-%20Bind%20Plan%20Sponsor%20Control%20Panel%2020171122.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varun.sundar/Dropbox%20(Bind)/BIND%20Folder/Staff%20Fx%20-%20Sales/Employer%20Sales/Target/Bind%20Plan%20Sponsor%20Control%20Panel_Target_National_03102018.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cast"/>
      <sheetName val="NBCU"/>
      <sheetName val="Spectacor"/>
      <sheetName val="#REF"/>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_Data"/>
      <sheetName val="Core_Control"/>
      <sheetName val="Add-In_Control"/>
      <sheetName val="Bind_Dashboard"/>
      <sheetName val="Core Design"/>
      <sheetName val="Add-In Design"/>
      <sheetName val="Projection &amp; Rate Setting"/>
      <sheetName val="EE_Modeler"/>
      <sheetName val="PMPM Cost Breakdown"/>
      <sheetName val="Contribution Calc"/>
      <sheetName val="Enrollment Table"/>
      <sheetName val="Rate Table"/>
      <sheetName val="Contributions Table"/>
      <sheetName val="2018 Data"/>
      <sheetName val="2019 Data"/>
      <sheetName val="MV Calculator"/>
      <sheetName val="Add-In_List"/>
      <sheetName val="POS_Ratios"/>
      <sheetName val="POS_Cost"/>
      <sheetName val="All"/>
      <sheetName val="IP"/>
      <sheetName val="OP"/>
      <sheetName val="ASC"/>
      <sheetName val="Office"/>
      <sheetName val="HRA Balance Calc"/>
      <sheetName val="HRA Graphing Data"/>
      <sheetName val="Employer Summary"/>
      <sheetName val="Winners-Losers HRA"/>
      <sheetName val="Assumptions-Output Override"/>
      <sheetName val="Assumptions-Output Target"/>
      <sheetName val="Winners-Losers Charts"/>
      <sheetName val="Winners-Losers Values PMPM"/>
      <sheetName val="Net Impact Graphs"/>
      <sheetName val="Comparison of Plans"/>
      <sheetName val="Chronic Cost Model Summary"/>
      <sheetName val="PPP Detail"/>
      <sheetName val="PPP Detail Override"/>
      <sheetName val="Chronic Summary"/>
      <sheetName val="Discretionary Pivot"/>
      <sheetName val="Discretionary Detail"/>
      <sheetName val="NM Upgrade List"/>
      <sheetName val="Shoppable Detail"/>
      <sheetName val="Chronic Detail&gt;&gt;&gt;&gt;"/>
      <sheetName val="Cost Model -Chron Override All"/>
      <sheetName val="Cost Model -Asthma"/>
      <sheetName val="Cost Model -Asthma Override"/>
      <sheetName val="Cost Model  -Biploar Mood"/>
      <sheetName val="Cost Model  -Biploar Mood Ovrd"/>
      <sheetName val="Cost Model -Cardiac failure"/>
      <sheetName val="Cost Model -Cardiac failure Ovr"/>
      <sheetName val="Cost Model -Cardiomyopathy"/>
      <sheetName val="Cost Model -Cardiomyopathy Ovrd"/>
      <sheetName val="Cost Model-COPD"/>
      <sheetName val="Cost Model-COPD Override"/>
      <sheetName val="Cost Model -CKD"/>
      <sheetName val="Cost Model -CKD Override"/>
      <sheetName val="Cost Model -Diabetes insipidus"/>
      <sheetName val="Cost Model -Diabetes ins Ovrd"/>
      <sheetName val="Cost Model - Diabetes1"/>
      <sheetName val="Cost Model - Diabetes1 Override"/>
      <sheetName val="Cost Model -Epilepsy"/>
      <sheetName val="Cost Model -Epilepsy Override"/>
      <sheetName val="Cost Model - Glaucoma"/>
      <sheetName val="Cost Model - Glaucoma Override"/>
      <sheetName val="Cost Model - Haemophilia"/>
      <sheetName val="Cost Model - Haemophilia Ovrd"/>
      <sheetName val="Cost Model -HIV"/>
      <sheetName val="Cost Model -HIV Override"/>
      <sheetName val="Cost Model -Hyperlipidaemia HC"/>
      <sheetName val="Cost Model -Hyperlipidaemia Ovr"/>
      <sheetName val="Cost Model -Hypertension-HBP"/>
      <sheetName val="Cost Model -Hypertension-HBP Ov"/>
      <sheetName val="Cost Model - Hypothyroidism"/>
      <sheetName val="Cost Model - Hypothyroidism Ovr"/>
      <sheetName val="Cost Model -Multiple sclerosis"/>
      <sheetName val="Cost Model -Multiple scler Ovr"/>
      <sheetName val="Cost Model -Parkinson's disease"/>
      <sheetName val="Cost Model -Parkinson's dis Ovr"/>
      <sheetName val="Cost Model - Rheumatoid arthir"/>
      <sheetName val="Cost Model - Rheumatoid art Ovr"/>
      <sheetName val="Cost Model Schizophrenia"/>
      <sheetName val="Cost Model Schizophrenia Ovrd"/>
      <sheetName val="Cost Model -Lupus"/>
      <sheetName val="Cost Model -Lupus Override"/>
      <sheetName val="Cost Model -Clinical depression"/>
      <sheetName val="Cost Model -Clinical depres Ovr"/>
      <sheetName val="Sheet2"/>
      <sheetName val="User Guide"/>
      <sheetName val="Enrollment Restrictions"/>
      <sheetName val="MV Cont. Table - Medical"/>
      <sheetName val="MV Cont. Table - Rx Only"/>
      <sheetName val="MV Cont. Table - Combined"/>
      <sheetName val="Variation Results"/>
    </sheetNames>
    <sheetDataSet>
      <sheetData sheetId="0"/>
      <sheetData sheetId="1">
        <row r="7">
          <cell r="D7">
            <v>0.06</v>
          </cell>
        </row>
        <row r="18">
          <cell r="D18">
            <v>0.85878552516163065</v>
          </cell>
        </row>
      </sheetData>
      <sheetData sheetId="2">
        <row r="6">
          <cell r="J6">
            <v>88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Output Target"/>
      <sheetName val="Core_Control"/>
      <sheetName val="Add-In_Control"/>
      <sheetName val="Bind_Dashboard"/>
      <sheetName val="Chart_Data"/>
      <sheetName val="Waterfall Exhibit"/>
      <sheetName val="Add-In POS Example"/>
      <sheetName val="POS_Cost"/>
      <sheetName val="IP"/>
      <sheetName val="OP"/>
      <sheetName val="ASC"/>
      <sheetName val="Core Design"/>
      <sheetName val="Add-In Design"/>
      <sheetName val="EE_Modeler"/>
      <sheetName val="2019 Projection"/>
      <sheetName val="Plan Provisions"/>
      <sheetName val="Claims and Enrollment"/>
      <sheetName val="Census"/>
      <sheetName val="Standard Reporting Package"/>
      <sheetName val="MV Calculator"/>
      <sheetName val="Add-In_List"/>
      <sheetName val="POS_Ratios"/>
      <sheetName val="All"/>
      <sheetName val="Office"/>
      <sheetName val="HRA Balance Calc"/>
      <sheetName val="HRA Graphing Data"/>
      <sheetName val="Employer Summary"/>
      <sheetName val="Winners-Losers HRA"/>
      <sheetName val="Assumptions-Output Override"/>
      <sheetName val="Winners-Losers Charts"/>
      <sheetName val="Winners-Losers Values PMPM"/>
      <sheetName val="Net Impact Graphs"/>
      <sheetName val="Comparison of Plans"/>
      <sheetName val="Chronic Cost Model Summary"/>
      <sheetName val="PPP Detail"/>
      <sheetName val="PPP Detail Override"/>
      <sheetName val="Chronic Summary"/>
      <sheetName val="Discretionary Pivot"/>
      <sheetName val="Discretionary Detail"/>
      <sheetName val="NM Upgrade List"/>
      <sheetName val="Shoppable Detail"/>
      <sheetName val="Chronic Detail&gt;&gt;&gt;&gt;"/>
      <sheetName val="Cost Model -Chron Override All"/>
      <sheetName val="Cost Model -Asthma"/>
      <sheetName val="Cost Model -Asthma Override"/>
      <sheetName val="Cost Model  -Biploar Mood"/>
      <sheetName val="Cost Model  -Biploar Mood Ovrd"/>
      <sheetName val="Cost Model -Cardiac failure"/>
      <sheetName val="Cost Model -Cardiac failure Ovr"/>
      <sheetName val="Cost Model -Cardiomyopathy"/>
      <sheetName val="Cost Model -Cardiomyopathy Ovrd"/>
      <sheetName val="Cost Model-COPD"/>
      <sheetName val="Cost Model-COPD Override"/>
      <sheetName val="Cost Model -CKD"/>
      <sheetName val="Cost Model -CKD Override"/>
      <sheetName val="Cost Model -Diabetes insipidus"/>
      <sheetName val="Cost Model -Diabetes ins Ovrd"/>
      <sheetName val="Cost Model - Diabetes1"/>
      <sheetName val="Cost Model - Diabetes1 Override"/>
      <sheetName val="Cost Model -Epilepsy"/>
      <sheetName val="Cost Model -Epilepsy Override"/>
      <sheetName val="Cost Model - Glaucoma"/>
      <sheetName val="Cost Model - Glaucoma Override"/>
      <sheetName val="Cost Model - Haemophilia"/>
      <sheetName val="Cost Model - Haemophilia Ovrd"/>
      <sheetName val="Cost Model -HIV"/>
      <sheetName val="Cost Model -HIV Override"/>
      <sheetName val="Cost Model -Hyperlipidaemia HC"/>
      <sheetName val="Cost Model -Hyperlipidaemia Ovr"/>
      <sheetName val="Cost Model -Hypertension-HBP"/>
      <sheetName val="Cost Model -Hypertension-HBP Ov"/>
      <sheetName val="Cost Model - Hypothyroidism"/>
      <sheetName val="Cost Model - Hypothyroidism Ovr"/>
      <sheetName val="Cost Model -Multiple sclerosis"/>
      <sheetName val="Cost Model -Multiple scler Ovr"/>
      <sheetName val="Cost Model -Parkinson's disease"/>
      <sheetName val="Cost Model -Parkinson's dis Ovr"/>
      <sheetName val="Cost Model - Rheumatoid arthir"/>
      <sheetName val="Cost Model - Rheumatoid art Ovr"/>
      <sheetName val="Cost Model Schizophrenia"/>
      <sheetName val="Cost Model Schizophrenia Ovrd"/>
      <sheetName val="Cost Model -Lupus"/>
      <sheetName val="Cost Model -Lupus Override"/>
      <sheetName val="Cost Model -Clinical depression"/>
      <sheetName val="Cost Model -Clinical depres Ovr"/>
      <sheetName val="Sheet2"/>
      <sheetName val="User Guide"/>
      <sheetName val="Enrollment Restrictions"/>
      <sheetName val="MV Cont. Table - Medical"/>
      <sheetName val="MV Cont. Table - Rx Only"/>
      <sheetName val="MV Cont. Table - Combined"/>
      <sheetName val="Variation Results"/>
    </sheetNames>
    <sheetDataSet>
      <sheetData sheetId="0"/>
      <sheetData sheetId="1">
        <row r="4">
          <cell r="D4" t="str">
            <v>Xcel Energy</v>
          </cell>
        </row>
        <row r="5">
          <cell r="D5">
            <v>5605</v>
          </cell>
        </row>
        <row r="6">
          <cell r="D6">
            <v>2.4467439785905443</v>
          </cell>
        </row>
        <row r="8">
          <cell r="D8">
            <v>1196.6044752840614</v>
          </cell>
        </row>
        <row r="9">
          <cell r="D9">
            <v>1196.6044752840614</v>
          </cell>
        </row>
        <row r="10">
          <cell r="D10">
            <v>0.83818323585091425</v>
          </cell>
        </row>
        <row r="11">
          <cell r="D11">
            <v>0.09</v>
          </cell>
        </row>
        <row r="17">
          <cell r="F17">
            <v>0.83975378014372926</v>
          </cell>
        </row>
        <row r="19">
          <cell r="D19">
            <v>0</v>
          </cell>
          <cell r="F19">
            <v>0</v>
          </cell>
        </row>
        <row r="20">
          <cell r="D20">
            <v>2400</v>
          </cell>
          <cell r="F20">
            <v>0</v>
          </cell>
        </row>
        <row r="21">
          <cell r="D21">
            <v>0.8</v>
          </cell>
          <cell r="F21">
            <v>1</v>
          </cell>
        </row>
        <row r="22">
          <cell r="D22">
            <v>3500</v>
          </cell>
          <cell r="F22">
            <v>3500</v>
          </cell>
        </row>
        <row r="24">
          <cell r="F24">
            <v>40</v>
          </cell>
        </row>
        <row r="25">
          <cell r="F25">
            <v>60</v>
          </cell>
        </row>
        <row r="26">
          <cell r="F26">
            <v>1300</v>
          </cell>
        </row>
        <row r="27">
          <cell r="F27">
            <v>300</v>
          </cell>
        </row>
        <row r="28">
          <cell r="F28">
            <v>100</v>
          </cell>
        </row>
        <row r="30">
          <cell r="F30">
            <v>10</v>
          </cell>
        </row>
        <row r="31">
          <cell r="F31">
            <v>40</v>
          </cell>
        </row>
        <row r="32">
          <cell r="F32">
            <v>80</v>
          </cell>
        </row>
        <row r="33">
          <cell r="F33">
            <v>225</v>
          </cell>
        </row>
      </sheetData>
      <sheetData sheetId="2">
        <row r="6">
          <cell r="J6">
            <v>85</v>
          </cell>
        </row>
        <row r="10">
          <cell r="N10">
            <v>100</v>
          </cell>
        </row>
        <row r="11">
          <cell r="N11">
            <v>500</v>
          </cell>
        </row>
        <row r="12">
          <cell r="N12">
            <v>2500</v>
          </cell>
        </row>
        <row r="14">
          <cell r="N14">
            <v>50</v>
          </cell>
        </row>
        <row r="15">
          <cell r="N15">
            <v>50</v>
          </cell>
        </row>
        <row r="16">
          <cell r="N16">
            <v>200</v>
          </cell>
        </row>
        <row r="19">
          <cell r="N19">
            <v>4</v>
          </cell>
        </row>
        <row r="20">
          <cell r="N20">
            <v>26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6">
          <cell r="Q36">
            <v>0.85</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e_Control"/>
      <sheetName val="Chart_Data"/>
      <sheetName val="Add-In_Control"/>
      <sheetName val="Bind_Dashboard"/>
      <sheetName val="Core Design"/>
      <sheetName val="MV Calculator"/>
      <sheetName val="Add-In Design"/>
      <sheetName val="Projection &amp; Rate Setting"/>
      <sheetName val="EE_Modeler"/>
      <sheetName val="Contribution Calc"/>
      <sheetName val="Summary Exhibit"/>
      <sheetName val="Enrollment Table"/>
      <sheetName val="Rate Table"/>
      <sheetName val="Contributions Table"/>
      <sheetName val="2018 Data"/>
      <sheetName val="2019 Data"/>
      <sheetName val="Add-In_List"/>
      <sheetName val="POS_Ratios"/>
      <sheetName val="POS_Cost"/>
      <sheetName val="All"/>
      <sheetName val="IP"/>
      <sheetName val="OP"/>
      <sheetName val="ASC"/>
      <sheetName val="Office"/>
      <sheetName val="HRA Balance Calc"/>
      <sheetName val="HRA Graphing Data"/>
      <sheetName val="Employer Summary"/>
      <sheetName val="Winners-Losers HRA"/>
      <sheetName val="Assumptions-Output Override"/>
      <sheetName val="Assumptions-Output Target"/>
      <sheetName val="Winners-Losers Charts"/>
      <sheetName val="Winners-Losers Values PMPM"/>
      <sheetName val="Net Impact Graphs"/>
      <sheetName val="Comparison of Plans"/>
      <sheetName val="Chronic Cost Model Summary"/>
      <sheetName val="PPP Detail"/>
      <sheetName val="PPP Detail Override"/>
      <sheetName val="Chronic Summary"/>
      <sheetName val="Discretionary Pivot"/>
      <sheetName val="Discretionary Detail"/>
      <sheetName val="NM Upgrade List"/>
      <sheetName val="Shoppable Detail"/>
      <sheetName val="Chronic Detail&gt;&gt;&gt;&gt;"/>
      <sheetName val="Cost Model -Chron Override All"/>
      <sheetName val="Cost Model -Asthma"/>
      <sheetName val="Cost Model -Asthma Override"/>
      <sheetName val="Cost Model  -Biploar Mood"/>
      <sheetName val="Cost Model  -Biploar Mood Ovrd"/>
      <sheetName val="Cost Model -Cardiac failure"/>
      <sheetName val="Cost Model -Cardiac failure Ovr"/>
      <sheetName val="Cost Model -Cardiomyopathy"/>
      <sheetName val="Cost Model -Cardiomyopathy Ovrd"/>
      <sheetName val="Cost Model-COPD"/>
      <sheetName val="Cost Model-COPD Override"/>
      <sheetName val="Cost Model -CKD"/>
      <sheetName val="Cost Model -CKD Override"/>
      <sheetName val="Cost Model -Diabetes insipidus"/>
      <sheetName val="Cost Model -Diabetes ins Ovrd"/>
      <sheetName val="Cost Model - Diabetes1"/>
      <sheetName val="Cost Model - Diabetes1 Override"/>
      <sheetName val="Cost Model -Epilepsy"/>
      <sheetName val="Cost Model -Epilepsy Override"/>
      <sheetName val="Cost Model - Glaucoma"/>
      <sheetName val="Cost Model - Glaucoma Override"/>
      <sheetName val="Cost Model - Haemophilia"/>
      <sheetName val="Cost Model - Haemophilia Ovrd"/>
      <sheetName val="Cost Model -HIV"/>
      <sheetName val="Cost Model -HIV Override"/>
      <sheetName val="Cost Model -Hyperlipidaemia HC"/>
      <sheetName val="Cost Model -Hyperlipidaemia Ovr"/>
      <sheetName val="Cost Model -Hypertension-HBP"/>
      <sheetName val="Cost Model -Hypertension-HBP Ov"/>
      <sheetName val="Cost Model - Hypothyroidism"/>
      <sheetName val="Cost Model - Hypothyroidism Ovr"/>
      <sheetName val="Cost Model -Multiple sclerosis"/>
      <sheetName val="Cost Model -Multiple scler Ovr"/>
      <sheetName val="Cost Model -Parkinson's disease"/>
      <sheetName val="Cost Model -Parkinson's dis Ovr"/>
      <sheetName val="Cost Model - Rheumatoid arthir"/>
      <sheetName val="Cost Model - Rheumatoid art Ovr"/>
      <sheetName val="Cost Model Schizophrenia"/>
      <sheetName val="Cost Model Schizophrenia Ovrd"/>
      <sheetName val="Cost Model -Lupus"/>
      <sheetName val="Cost Model -Lupus Override"/>
      <sheetName val="Cost Model -Clinical depression"/>
      <sheetName val="Cost Model -Clinical depres Ovr"/>
      <sheetName val="Sheet2"/>
      <sheetName val="User Guide"/>
      <sheetName val="Enrollment Restrictions"/>
      <sheetName val="MV Cont. Table - Medical"/>
      <sheetName val="MV Cont. Table - Rx Only"/>
      <sheetName val="MV Cont. Table - Combined"/>
      <sheetName val="Variation Results"/>
    </sheetNames>
    <sheetDataSet>
      <sheetData sheetId="0">
        <row r="4">
          <cell r="D4" t="str">
            <v>Target</v>
          </cell>
        </row>
        <row r="5">
          <cell r="D5">
            <v>79099</v>
          </cell>
        </row>
        <row r="6">
          <cell r="D6">
            <v>1.7576960517832083</v>
          </cell>
        </row>
        <row r="7">
          <cell r="D7">
            <v>0.06</v>
          </cell>
        </row>
        <row r="9">
          <cell r="D9">
            <v>862.72468119218365</v>
          </cell>
        </row>
        <row r="10">
          <cell r="D10">
            <v>862.72</v>
          </cell>
        </row>
        <row r="11">
          <cell r="D11">
            <v>0.82175835509008055</v>
          </cell>
        </row>
        <row r="12">
          <cell r="D12">
            <v>0.08</v>
          </cell>
        </row>
        <row r="18">
          <cell r="D18">
            <v>0.82175835509008055</v>
          </cell>
          <cell r="F18">
            <v>0.81746260891735545</v>
          </cell>
        </row>
        <row r="21">
          <cell r="F21">
            <v>0</v>
          </cell>
        </row>
        <row r="22">
          <cell r="F22">
            <v>1</v>
          </cell>
        </row>
        <row r="23">
          <cell r="F23">
            <v>5000</v>
          </cell>
        </row>
        <row r="25">
          <cell r="F25">
            <v>40</v>
          </cell>
        </row>
        <row r="26">
          <cell r="F26">
            <v>60</v>
          </cell>
        </row>
        <row r="27">
          <cell r="F27">
            <v>1200</v>
          </cell>
        </row>
        <row r="28">
          <cell r="F28">
            <v>300</v>
          </cell>
        </row>
        <row r="29">
          <cell r="F29">
            <v>125</v>
          </cell>
        </row>
      </sheetData>
      <sheetData sheetId="1"/>
      <sheetData sheetId="2">
        <row r="6">
          <cell r="J6">
            <v>91</v>
          </cell>
        </row>
        <row r="10">
          <cell r="N10">
            <v>100</v>
          </cell>
        </row>
        <row r="11">
          <cell r="N11">
            <v>500</v>
          </cell>
        </row>
        <row r="12">
          <cell r="N12">
            <v>2500</v>
          </cell>
        </row>
        <row r="14">
          <cell r="N14">
            <v>50</v>
          </cell>
        </row>
        <row r="15">
          <cell r="N15">
            <v>50</v>
          </cell>
        </row>
        <row r="16">
          <cell r="N16">
            <v>200</v>
          </cell>
        </row>
        <row r="19">
          <cell r="N19">
            <v>4</v>
          </cell>
        </row>
        <row r="20">
          <cell r="N20">
            <v>26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36">
          <cell r="Q36">
            <v>0.91</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microsoft.com/office/2006/relationships/xlExternalLinkPath/xlPathMissing" Target="Lemhi%20Pricing%20Model%201.3%20with%20Winners-Losers%20-%20MC.xlsm" TargetMode="External"/></Relationships>
</file>

<file path=xl/pivotCache/pivotCacheDefinition1.xml><?xml version="1.0" encoding="utf-8"?>
<pivotCacheDefinition xmlns="http://schemas.openxmlformats.org/spreadsheetml/2006/main" xmlns:r="http://schemas.openxmlformats.org/officeDocument/2006/relationships" r:id="rId1" refreshedBy="Author" refreshedDate="42760.490899189812" createdVersion="6" refreshedVersion="6" minRefreshableVersion="3" recordCount="62">
  <cacheSource type="worksheet">
    <worksheetSource ref="A3:I65" sheet="Discretionary Detail" r:id="rId2"/>
  </cacheSource>
  <cacheFields count="9">
    <cacheField name="Episode/CPTs" numFmtId="0">
      <sharedItems count="62">
        <s v="ACUPUNCTURE"/>
        <s v="ADENOIDECTOMY"/>
        <s v="AGGRESSIVE CANCER PREVENTION"/>
        <s v="ANKLE SURGERY"/>
        <s v="BARIATRIC SURGERY"/>
        <s v="BREAST REDUCTION"/>
        <s v="BUNIONECTOMY"/>
        <s v="CAROTID ENDARTERECTOMY"/>
        <s v="CARPAL TUNNEL"/>
        <s v="CHIROPRACTIC"/>
        <s v="COLONOSCOPY (OTHER THAN COLO RECTAL CANCER SCREEN WHERE EVIDENCE BASED)"/>
        <s v="CONSERVATIVE BACK AND NECK TREATMENT"/>
        <s v="CORONARY ANGIOPLASTY WITH OR WITHOUT STENTS"/>
        <s v="CORONARY ARTERY BYPASS SURGERY"/>
        <s v="COSMETIC HERNIA REPAIRS"/>
        <s v="CT SCAN"/>
        <s v="CYSTOSCOPY"/>
        <s v="DECOMPRESSION, HERNIATED DISC, LUMBAR BACK"/>
        <s v="ED VISITS WITHOUT AN INPATIENT STAY"/>
        <s v="ENDOMETRIAL ABLATION"/>
        <s v="FOOT PAIN"/>
        <s v="FUNCTIONAL NASAL PROCEDURE / SINUS SURGERY"/>
        <s v="GANGLION SURGERY"/>
        <s v="GASTROSCOPY"/>
        <s v="HAMMERTOE SURGERY"/>
        <s v="HIP ARTHROSCOPY"/>
        <s v="HIP REPLACEMENT"/>
        <s v="HIP RESURFACING"/>
        <s v="HYSTERECTOMY (EXCEPT FOR PRE-OPERATIVELY DIAGNOSED CANCER)"/>
        <s v="HYSTEROSCOPY"/>
        <s v="INFERTILITY TREATMENT"/>
        <s v="KNEE ARTHROSCOPY"/>
        <s v="KNEE REPLACEMENT"/>
        <s v="KNEE RESURFACING"/>
        <s v="KNEE VISCOSUPPLEMENTATION"/>
        <s v="LAPAROSCOPY"/>
        <s v="MORTON'S NEUROMA"/>
        <s v="MRI"/>
        <s v="MYRINGOTOMY (GROMMETS)"/>
        <s v="NISSAN FUNDOPLICATION (REFLUX SURGERY)"/>
        <s v="PET SCAN"/>
        <s v="PLANTAR FASCIITIS"/>
        <s v="PREGNANCY"/>
        <s v="PROCTOSCOPY"/>
        <s v="RADIO FREQUENCY ABLATION"/>
        <s v="SEPTOPLASTY"/>
        <s v="SHOULDER ARTHROSCOPY"/>
        <s v="SHOULDER SURGERY"/>
        <s v="SIGMOIDOSCOPY"/>
        <s v="SLEEP STUDIES"/>
        <s v="SPINAL INJECTIONS FOR PAIN"/>
        <s v="SPINAL SURGERY (BACK &amp; NECK)"/>
        <s v="STERILIZATION"/>
        <s v="SURGERY FOR BENIGN PROSTATIC HYPERPLASIA"/>
        <s v="TMJ SURGERY"/>
        <s v="TONSILLECTOMY"/>
        <s v="TYMPANOSTOMY"/>
        <s v="UPPER GI ENDOSCOPY"/>
        <s v="URINARY INCONTINENCE"/>
        <s v="VARICOSE VEIN STRIPPING"/>
        <s v="WARTS"/>
        <s v="WEIGHT LOSS SURGERY"/>
      </sharedItems>
    </cacheField>
    <cacheField name="Allowed $" numFmtId="173">
      <sharedItems containsSemiMixedTypes="0" containsString="0" containsNumber="1" minValue="28690.85" maxValue="536833594.429995"/>
    </cacheField>
    <cacheField name="ETG/PEG/CPT/REV/ICD9 PX" numFmtId="44">
      <sharedItems/>
    </cacheField>
    <cacheField name="Episode Count [1]" numFmtId="171">
      <sharedItems containsSemiMixedTypes="0" containsString="0" containsNumber="1" containsInteger="1" minValue="93" maxValue="1667649"/>
    </cacheField>
    <cacheField name="Util/1000" numFmtId="43">
      <sharedItems containsSemiMixedTypes="0" containsString="0" containsNumber="1" minValue="2.8043454186632656E-2" maxValue="502.86707882670714"/>
    </cacheField>
    <cacheField name="Allowed/Episode" numFmtId="166">
      <sharedItems containsSemiMixedTypes="0" containsString="0" containsNumber="1" minValue="33.941649735645811" maxValue="92482.657762845847"/>
    </cacheField>
    <cacheField name="Allowed PMPM" numFmtId="165">
      <sharedItems containsSemiMixedTypes="0" containsString="0" containsNumber="1" minValue="7.2095926303812673E-4" maxValue="13.489846157027689"/>
    </cacheField>
    <cacheField name="Adjusted to ER Allowed" numFmtId="165">
      <sharedItems containsSemiMixedTypes="0" containsString="0" containsNumber="1" minValue="8.234153867464777E-4" maxValue="15.406899474085854"/>
    </cacheField>
    <cacheField name="Adjusted for Utilization" numFmtId="165">
      <sharedItems containsSemiMixedTypes="0" containsString="0" containsNumber="1" minValue="5.4972376409958299E-4" maxValue="10.28586410737799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
  <r>
    <x v="0"/>
    <n v="16958303.239999998"/>
    <s v="CPT"/>
    <n v="232990"/>
    <n v="70.256391300468195"/>
    <n v="72.785541182024971"/>
    <n v="0.42613745519172408"/>
    <n v="0.48669620526853147"/>
    <n v="0.32492527373134483"/>
  </r>
  <r>
    <x v="1"/>
    <n v="12410687.84"/>
    <s v="PEG"/>
    <n v="1333"/>
    <n v="0.40195617667506806"/>
    <n v="9310.3434658664664"/>
    <n v="0.31186250525594889"/>
    <n v="0.3561815466451293"/>
    <n v="0.2377918407600236"/>
  </r>
  <r>
    <x v="2"/>
    <n v="50606937.309999503"/>
    <s v="PEG"/>
    <n v="2703"/>
    <n v="0.81506942652116199"/>
    <n v="18722.507328893636"/>
    <n v="1.2716786092999659"/>
    <n v="1.4523979197956143"/>
    <n v="0.96964140370900687"/>
  </r>
  <r>
    <x v="3"/>
    <n v="10107888.52"/>
    <s v="PEG"/>
    <n v="429"/>
    <n v="0.12936174028027322"/>
    <n v="23561.511701631702"/>
    <n v="0.25399651311309152"/>
    <n v="0.29009216997356585"/>
    <n v="0.19366963768286277"/>
  </r>
  <r>
    <x v="4"/>
    <n v="172846.9"/>
    <s v="CPT"/>
    <n v="93"/>
    <n v="2.8043454186632656E-2"/>
    <n v="1858.568817204301"/>
    <n v="4.3433907898310711E-3"/>
    <n v="4.9606336867478572E-3"/>
    <n v="3.3117892457331945E-3"/>
  </r>
  <r>
    <x v="5"/>
    <n v="16759786.49"/>
    <s v="CPT/ICD9 PX"/>
    <n v="28574"/>
    <n v="8.6162759132133502"/>
    <n v="586.53973857352844"/>
    <n v="0.42114901846779562"/>
    <n v="0.48099885763062938"/>
    <n v="0.32112164382679981"/>
  </r>
  <r>
    <x v="6"/>
    <n v="33385395.7900001"/>
    <s v="PEG"/>
    <n v="2236"/>
    <n v="0.67424907055172711"/>
    <n v="14930.856793381083"/>
    <n v="0.83892635962317785"/>
    <n v="0.95814688606671339"/>
    <n v="0.639672419591376"/>
  </r>
  <r>
    <x v="7"/>
    <n v="18415914.059999999"/>
    <s v="CPT/ICD9 PX"/>
    <n v="1949"/>
    <n v="0.58770636784674235"/>
    <n v="9448.9040841457154"/>
    <n v="0.46276509161879403"/>
    <n v="0.52852902573485261"/>
    <n v="0.35285345663853229"/>
  </r>
  <r>
    <x v="8"/>
    <n v="27681891.469999999"/>
    <s v="PEG"/>
    <n v="3615"/>
    <n v="1.0900762030610436"/>
    <n v="7657.5080138312587"/>
    <n v="0.69560560505222424"/>
    <n v="0.79445869922445911"/>
    <n v="0.53039186975236141"/>
  </r>
  <r>
    <x v="9"/>
    <n v="56602758.240000002"/>
    <s v="CPT"/>
    <n v="1667649"/>
    <n v="502.86707882670714"/>
    <n v="33.941649735645811"/>
    <n v="1.422344854426957"/>
    <n v="1.6244754709988372"/>
    <n v="1.0845228119108181"/>
  </r>
  <r>
    <x v="10"/>
    <n v="184127077.76001"/>
    <s v="PEG"/>
    <n v="66921"/>
    <n v="20.179526856168213"/>
    <n v="2751.4095390088314"/>
    <n v="4.6268452237288429"/>
    <n v="5.2843700672603777"/>
    <n v="3.5279202344611371"/>
  </r>
  <r>
    <x v="11"/>
    <n v="7989513.3200000003"/>
    <s v="CPT"/>
    <n v="28385"/>
    <n v="8.5592843772856764"/>
    <n v="281.4695550466796"/>
    <n v="0.20076483043271628"/>
    <n v="0.22929568835722663"/>
    <n v="0.15308104624276231"/>
  </r>
  <r>
    <x v="12"/>
    <n v="236445248.52999601"/>
    <s v="PEG"/>
    <n v="7327"/>
    <n v="2.2094020303812631"/>
    <n v="32270.403784631639"/>
    <n v="5.9415246369156947"/>
    <n v="6.7858796711388383"/>
    <n v="4.5303492934287704"/>
  </r>
  <r>
    <x v="13"/>
    <n v="45763138.019999698"/>
    <s v="PEG"/>
    <n v="532"/>
    <n v="0.16042061964826423"/>
    <n v="86020.936127818975"/>
    <n v="1.1499609896957066"/>
    <n v="1.3133829074938699"/>
    <n v="0.87683301433603322"/>
  </r>
  <r>
    <x v="14"/>
    <n v="70651976.300000101"/>
    <s v="PEG"/>
    <n v="5331"/>
    <n v="1.6075231641821364"/>
    <n v="13253.043762896286"/>
    <n v="1.7753812370646138"/>
    <n v="2.0276821491683781"/>
    <n v="1.3537092959152688"/>
  </r>
  <r>
    <x v="15"/>
    <n v="93771120.090002105"/>
    <s v="CPT"/>
    <n v="361415"/>
    <n v="108.9819891920628"/>
    <n v="259.45552921157702"/>
    <n v="2.3563316400297518"/>
    <n v="2.6911918996669493"/>
    <n v="1.7966777944783787"/>
  </r>
  <r>
    <x v="16"/>
    <n v="1588993.61"/>
    <s v="CPT"/>
    <n v="3329"/>
    <n v="1.0038350428741947"/>
    <n v="477.31859717632926"/>
    <n v="3.9929094538429244E-2"/>
    <n v="4.5603451550436179E-2"/>
    <n v="3.0445509576028068E-2"/>
  </r>
  <r>
    <x v="17"/>
    <n v="70221740.019999698"/>
    <s v="PEG"/>
    <n v="2474"/>
    <n v="0.74601618986805573"/>
    <n v="28383.888447857596"/>
    <n v="1.7645700261258874"/>
    <n v="2.0153345480032367"/>
    <n v="1.3454658626501677"/>
  </r>
  <r>
    <x v="18"/>
    <n v="320500387.31999803"/>
    <s v="REV"/>
    <n v="409202"/>
    <n v="123.39180150621995"/>
    <n v="783.23270003567438"/>
    <n v="8.0537078213318871"/>
    <n v="9.1982269740175724"/>
    <n v="6.1408664892439084"/>
  </r>
  <r>
    <x v="19"/>
    <n v="1432013.34"/>
    <s v="PEG"/>
    <n v="206"/>
    <n v="6.2117758735982014E-2"/>
    <n v="6951.5210679611655"/>
    <n v="3.5984409045642304E-2"/>
    <n v="4.1098183503877207E-2"/>
    <n v="2.7437728875429484E-2"/>
  </r>
  <r>
    <x v="20"/>
    <n v="13126327.289999999"/>
    <s v="PEG"/>
    <n v="380"/>
    <n v="0.1145861568916173"/>
    <n v="34542.966552631573"/>
    <n v="0.32984548207514425"/>
    <n v="0.37672009933676398"/>
    <n v="0.25150366917194433"/>
  </r>
  <r>
    <x v="21"/>
    <n v="72307472.300000593"/>
    <s v="PEG"/>
    <n v="3398"/>
    <n v="1.0246414766255674"/>
    <n v="21279.420924073158"/>
    <n v="1.8169814397816098"/>
    <n v="2.0751941914779528"/>
    <n v="1.3854290076900011"/>
  </r>
  <r>
    <x v="22"/>
    <n v="614294.52"/>
    <s v="CPT"/>
    <n v="819"/>
    <n v="0.24696332235324886"/>
    <n v="750.05435897435905"/>
    <n v="1.5436326369820339E-2"/>
    <n v="1.7629995617489267E-2"/>
    <n v="1.1770034551090212E-2"/>
  </r>
  <r>
    <x v="23"/>
    <n v="316369.87"/>
    <s v="CPT"/>
    <n v="898"/>
    <n v="0.27078518128597984"/>
    <n v="352.30497772828505"/>
    <n v="7.9499139385088968E-3"/>
    <n v="9.0796828557182119E-3"/>
    <n v="6.0617247583844933E-3"/>
  </r>
  <r>
    <x v="24"/>
    <n v="11521874.470000001"/>
    <s v="PEG"/>
    <n v="867"/>
    <n v="0.26143736322376898"/>
    <n v="13289.359250288351"/>
    <n v="0.28952792011073247"/>
    <n v="0.33067297492961767"/>
    <n v="0.22076195731849318"/>
  </r>
  <r>
    <x v="25"/>
    <n v="18122999.329999901"/>
    <s v="PEG"/>
    <n v="623"/>
    <n v="0.1878609887986252"/>
    <n v="29089.886565007866"/>
    <n v="0.4554045711785184"/>
    <n v="0.52012249558022949"/>
    <n v="0.34724113814898366"/>
  </r>
  <r>
    <x v="26"/>
    <n v="82517059.679998904"/>
    <s v="PEG"/>
    <n v="2217"/>
    <n v="0.66851976270714619"/>
    <n v="37220.144194857421"/>
    <n v="2.0735334970893207"/>
    <n v="2.3682050761684819"/>
    <n v="1.5810472206197772"/>
  </r>
  <r>
    <x v="27"/>
    <n v="12139099.82"/>
    <s v="CPT/ICD 9PX"/>
    <n v="5306"/>
    <n v="1.5999846012287406"/>
    <n v="2287.8062231436111"/>
    <n v="0.30503789396875514"/>
    <n v="0.34838708414143876"/>
    <n v="0.23258814729542593"/>
  </r>
  <r>
    <x v="28"/>
    <n v="123857489.319996"/>
    <s v="PEG"/>
    <n v="5649"/>
    <n v="1.703413684949332"/>
    <n v="21925.560155779076"/>
    <n v="3.1123582682944901"/>
    <n v="3.5546581042343548"/>
    <n v="2.3731400513024923"/>
  </r>
  <r>
    <x v="29"/>
    <n v="31972559.620000198"/>
    <s v="PEG"/>
    <n v="3689"/>
    <n v="1.1123903494030953"/>
    <n v="8666.9990837625919"/>
    <n v="0.80342384492191465"/>
    <n v="0.91759907931543616"/>
    <n v="0.61260213002420094"/>
  </r>
  <r>
    <x v="30"/>
    <n v="15717392.560000001"/>
    <s v="CPT"/>
    <n v="45442"/>
    <n v="13.702695109128616"/>
    <n v="345.87809867523436"/>
    <n v="0.39495517758931986"/>
    <n v="0.45108258812264579"/>
    <n v="0.30114911896698709"/>
  </r>
  <r>
    <x v="31"/>
    <n v="170402891.230001"/>
    <s v="PEG"/>
    <n v="11925"/>
    <n v="3.5958945287698323"/>
    <n v="14289.550627253753"/>
    <n v="4.2819764099267745"/>
    <n v="4.8904916579630529"/>
    <n v="3.2649614347573523"/>
  </r>
  <r>
    <x v="32"/>
    <n v="124606697.249998"/>
    <s v="PEG"/>
    <n v="3225"/>
    <n v="0.97247462098806792"/>
    <n v="38637.735581394729"/>
    <n v="3.1311847721128352"/>
    <n v="3.576160058252313"/>
    <n v="2.3874950600726739"/>
  </r>
  <r>
    <x v="33"/>
    <n v="12417316.18"/>
    <s v="CPT"/>
    <n v="6968"/>
    <n v="2.1011482663704983"/>
    <n v="1782.0488203214695"/>
    <n v="0.31202906578383727"/>
    <n v="0.35637177722890734"/>
    <n v="0.23791884138965058"/>
  </r>
  <r>
    <x v="34"/>
    <n v="12361435.27"/>
    <s v="CPT"/>
    <n v="112190"/>
    <n v="33.830055109659327"/>
    <n v="110.18304011052678"/>
    <n v="0.31062485992407712"/>
    <n v="0.35476801850027451"/>
    <n v="0.23684814936809978"/>
  </r>
  <r>
    <x v="35"/>
    <n v="18529534.939999901"/>
    <s v="PEG"/>
    <n v="679"/>
    <n v="0.20474736981423197"/>
    <n v="27289.447628865833"/>
    <n v="0.46562021880779236"/>
    <n v="0.53178989743602545"/>
    <n v="0.35503046072986638"/>
  </r>
  <r>
    <x v="36"/>
    <n v="3291490.81"/>
    <s v="CPT"/>
    <n v="5635"/>
    <n v="1.69919208969543"/>
    <n v="584.11549423247561"/>
    <n v="8.2710368939029943E-2"/>
    <n v="9.4464408628138499E-2"/>
    <n v="6.3065775938056401E-2"/>
  </r>
  <r>
    <x v="37"/>
    <n v="144583897.64999899"/>
    <s v="CPT"/>
    <n v="277575"/>
    <n v="83.700664471554404"/>
    <n v="520.88227560118526"/>
    <n v="3.6331827149395446"/>
    <n v="4.1494973484852169"/>
    <n v="2.7702631481586049"/>
  </r>
  <r>
    <x v="38"/>
    <n v="501408.35"/>
    <s v="PEG"/>
    <n v="350"/>
    <n v="0.10553988134754225"/>
    <n v="1432.5952857142856"/>
    <n v="1.2599661372777841E-2"/>
    <n v="1.4390209785808482E-2"/>
    <n v="9.6071076846088975E-3"/>
  </r>
  <r>
    <x v="39"/>
    <n v="16868198.390000101"/>
    <s v="PEG"/>
    <n v="703"/>
    <n v="0.21198439024949201"/>
    <n v="23994.592304409816"/>
    <n v="0.42387325157795569"/>
    <n v="0.48411023378597173"/>
    <n v="0.32319884257627024"/>
  </r>
  <r>
    <x v="40"/>
    <n v="10331844.42"/>
    <s v="CPT"/>
    <n v="8988"/>
    <n v="2.7102641530048852"/>
    <n v="1149.5154005340453"/>
    <n v="0.25962419861620628"/>
    <n v="0.29651961056917925"/>
    <n v="0.1979606879773054"/>
  </r>
  <r>
    <x v="41"/>
    <n v="1280903.77"/>
    <s v="PEG"/>
    <n v="187"/>
    <n v="5.638845089140114E-2"/>
    <n v="6849.7527807486631"/>
    <n v="3.2187245691290368E-2"/>
    <n v="3.6761402090198493E-2"/>
    <n v="2.454243223514628E-2"/>
  </r>
  <r>
    <x v="42"/>
    <n v="536833594.429995"/>
    <s v="ETG"/>
    <n v="52236"/>
    <n v="15.751374977343477"/>
    <n v="10277.080833716116"/>
    <n v="13.489846157027689"/>
    <n v="15.406899474085854"/>
    <n v="10.285864107377991"/>
  </r>
  <r>
    <x v="43"/>
    <n v="28690.85"/>
    <s v="CPT"/>
    <n v="137"/>
    <n v="4.1311324984609397E-2"/>
    <n v="209.42226277372262"/>
    <n v="7.2095926303812673E-4"/>
    <n v="8.234153867464777E-4"/>
    <n v="5.4972376409958299E-4"/>
  </r>
  <r>
    <x v="44"/>
    <n v="116990562.06999999"/>
    <s v="PEG"/>
    <n v="1265"/>
    <n v="0.38145128544183127"/>
    <n v="92482.657762845847"/>
    <n v="2.9398023903928752"/>
    <n v="3.3575801662396501"/>
    <n v="2.2415680311056074"/>
  </r>
  <r>
    <x v="45"/>
    <n v="87630884.960000098"/>
    <s v="PEG"/>
    <n v="3146"/>
    <n v="0.94865276205533688"/>
    <n v="27854.699605848728"/>
    <n v="2.2020364764425082"/>
    <n v="2.5149697213667279"/>
    <n v="1.6790293745772189"/>
  </r>
  <r>
    <x v="46"/>
    <n v="161090582.41999701"/>
    <s v="PEG"/>
    <n v="5915"/>
    <n v="1.783623994773464"/>
    <n v="27234.248929838886"/>
    <n v="4.0479716559078476"/>
    <n v="4.6232322926848521"/>
    <n v="3.0865353005893823"/>
  </r>
  <r>
    <x v="47"/>
    <n v="14261544.410000101"/>
    <s v="PEG"/>
    <n v="500"/>
    <n v="0.1507712590679175"/>
    <n v="28523.088820000201"/>
    <n v="0.35837183449145599"/>
    <n v="0.40930035554758054"/>
    <n v="0.27325470925185635"/>
  </r>
  <r>
    <x v="48"/>
    <n v="915900.96999999904"/>
    <s v="CPT"/>
    <n v="3697"/>
    <n v="1.1148026895481822"/>
    <n v="247.74167433053802"/>
    <n v="2.3015257071404466E-2"/>
    <n v="2.6285974498281628E-2"/>
    <n v="1.7548888540104557E-2"/>
  </r>
  <r>
    <x v="49"/>
    <n v="23386389.059999999"/>
    <s v="CPT"/>
    <n v="35007"/>
    <n v="10.556098932381175"/>
    <n v="668.04893478447161"/>
    <n v="0.58766588727139524"/>
    <n v="0.67117957789481641"/>
    <n v="0.44808898386630258"/>
  </r>
  <r>
    <x v="50"/>
    <n v="17204580.289999999"/>
    <s v="CPT"/>
    <n v="49441"/>
    <n v="14.908563639153819"/>
    <n v="347.98204506381342"/>
    <n v="0.43232603867639618"/>
    <n v="0.49376425352686232"/>
    <n v="0.32964400276646721"/>
  </r>
  <r>
    <x v="51"/>
    <n v="232067078.379998"/>
    <s v="PEG"/>
    <n v="3362"/>
    <n v="1.0137859459726772"/>
    <n v="69026.495651397388"/>
    <n v="5.8315075992608989"/>
    <n v="6.6602280202709645"/>
    <n v="4.4464624732500244"/>
  </r>
  <r>
    <x v="52"/>
    <n v="22154432.539999899"/>
    <s v="PEG"/>
    <n v="1340"/>
    <n v="0.40406697430201893"/>
    <n v="16533.158611940224"/>
    <n v="0.55670861466517108"/>
    <n v="0.63582294139325846"/>
    <n v="0.42448439301655516"/>
  </r>
  <r>
    <x v="53"/>
    <n v="1324807.7"/>
    <s v="CPT/ICD 9PX"/>
    <n v="639"/>
    <n v="0.19268566908879856"/>
    <n v="2073.2514866979654"/>
    <n v="3.3290487491978653E-2"/>
    <n v="3.8021426505670336E-2"/>
    <n v="2.5383642365148167E-2"/>
  </r>
  <r>
    <x v="54"/>
    <n v="392614232.44999999"/>
    <s v="CPT/ICD 9PX"/>
    <n v="48239"/>
    <n v="14.546109532354544"/>
    <n v="8138.9380470158994"/>
    <n v="9.8658236924117553"/>
    <n v="11.267864146757182"/>
    <n v="7.5225855525884624"/>
  </r>
  <r>
    <x v="55"/>
    <n v="31150204.719999801"/>
    <s v="PEG"/>
    <n v="4636"/>
    <n v="1.397951114077731"/>
    <n v="6719.1986022432702"/>
    <n v="0.78275926430962606"/>
    <n v="0.89399783787341924"/>
    <n v="0.59684560726332225"/>
  </r>
  <r>
    <x v="56"/>
    <n v="23509248.809999902"/>
    <s v="PEG"/>
    <n v="4470"/>
    <n v="1.3478950560671825"/>
    <n v="5259.3397785234683"/>
    <n v="0.59075317380410441"/>
    <n v="0.67470560129815749"/>
    <n v="0.45044300698608758"/>
  </r>
  <r>
    <x v="57"/>
    <n v="49641817.2000001"/>
    <s v="PEG"/>
    <n v="5247"/>
    <n v="1.5821935926587263"/>
    <n v="9460.9905088622254"/>
    <n v="1.247426546943903"/>
    <n v="1.4246993765795029"/>
    <n v="0.95114946430403691"/>
  </r>
  <r>
    <x v="58"/>
    <n v="181873709.97000101"/>
    <s v="PEG"/>
    <n v="12046"/>
    <n v="3.6323811734642684"/>
    <n v="15098.265811887848"/>
    <n v="4.5702213739217186"/>
    <n v="5.2196993548105093"/>
    <n v="3.484745151693478"/>
  </r>
  <r>
    <x v="59"/>
    <n v="19274909.66"/>
    <s v="CPT"/>
    <n v="18343"/>
    <n v="5.5311944101656216"/>
    <n v="1050.8046480946409"/>
    <n v="0.48435039964309429"/>
    <n v="0.55318183993127845"/>
    <n v="0.36931202425074944"/>
  </r>
  <r>
    <x v="60"/>
    <n v="36086848.600000203"/>
    <s v="CPT"/>
    <n v="319027"/>
    <n v="96.200204933321046"/>
    <n v="113.11534321546516"/>
    <n v="0.90680993320255776"/>
    <n v="1.0356774510490543"/>
    <n v="0.69143292188568417"/>
  </r>
  <r>
    <x v="61"/>
    <n v="44645417.8299997"/>
    <s v="PEG"/>
    <n v="1677"/>
    <n v="0.50568680291379531"/>
    <n v="26622.193100775014"/>
    <n v="1.1218743096403847"/>
    <n v="1.2813048058509002"/>
    <n v="0.855417219751456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66" firstHeaderRow="0" firstDataRow="1" firstDataCol="1"/>
  <pivotFields count="9">
    <pivotField axis="axisRow" showAll="0" sortType="descending">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n="NISSEN FUNDOPLICATION (REFLUX SURGERY)" x="39"/>
        <item x="40"/>
        <item x="41"/>
        <item x="42"/>
        <item x="43"/>
        <item x="44"/>
        <item x="45"/>
        <item x="46"/>
        <item x="47"/>
        <item x="48"/>
        <item x="49"/>
        <item x="50"/>
        <item x="51"/>
        <item x="52"/>
        <item x="53"/>
        <item x="54"/>
        <item x="55"/>
        <item x="56"/>
        <item x="57"/>
        <item x="58"/>
        <item x="59"/>
        <item x="60"/>
        <item x="61"/>
        <item t="default"/>
      </items>
      <autoSortScope>
        <pivotArea dataOnly="0" outline="0" fieldPosition="0">
          <references count="1">
            <reference field="4294967294" count="1" selected="0">
              <x v="0"/>
            </reference>
          </references>
        </pivotArea>
      </autoSortScope>
    </pivotField>
    <pivotField dataField="1" numFmtId="173" showAll="0"/>
    <pivotField showAll="0"/>
    <pivotField dataField="1" numFmtId="171" showAll="0"/>
    <pivotField numFmtId="43" showAll="0"/>
    <pivotField dataField="1" numFmtId="166" showAll="0"/>
    <pivotField numFmtId="165" showAll="0"/>
    <pivotField numFmtId="165" showAll="0"/>
    <pivotField numFmtId="165" showAll="0"/>
  </pivotFields>
  <rowFields count="1">
    <field x="0"/>
  </rowFields>
  <rowItems count="63">
    <i>
      <x v="42"/>
    </i>
    <i>
      <x v="54"/>
    </i>
    <i>
      <x v="18"/>
    </i>
    <i>
      <x v="12"/>
    </i>
    <i>
      <x v="51"/>
    </i>
    <i>
      <x v="10"/>
    </i>
    <i>
      <x v="58"/>
    </i>
    <i>
      <x v="31"/>
    </i>
    <i>
      <x v="46"/>
    </i>
    <i>
      <x v="37"/>
    </i>
    <i>
      <x v="32"/>
    </i>
    <i>
      <x v="28"/>
    </i>
    <i>
      <x v="44"/>
    </i>
    <i>
      <x v="15"/>
    </i>
    <i>
      <x v="45"/>
    </i>
    <i>
      <x v="26"/>
    </i>
    <i>
      <x v="21"/>
    </i>
    <i>
      <x v="14"/>
    </i>
    <i>
      <x v="17"/>
    </i>
    <i>
      <x v="9"/>
    </i>
    <i>
      <x v="2"/>
    </i>
    <i>
      <x v="57"/>
    </i>
    <i>
      <x v="13"/>
    </i>
    <i>
      <x v="61"/>
    </i>
    <i>
      <x v="60"/>
    </i>
    <i>
      <x v="6"/>
    </i>
    <i>
      <x v="29"/>
    </i>
    <i>
      <x v="55"/>
    </i>
    <i>
      <x v="8"/>
    </i>
    <i>
      <x v="56"/>
    </i>
    <i>
      <x v="49"/>
    </i>
    <i>
      <x v="52"/>
    </i>
    <i>
      <x v="59"/>
    </i>
    <i>
      <x v="35"/>
    </i>
    <i>
      <x v="7"/>
    </i>
    <i>
      <x v="25"/>
    </i>
    <i>
      <x v="50"/>
    </i>
    <i>
      <x/>
    </i>
    <i>
      <x v="39"/>
    </i>
    <i>
      <x v="5"/>
    </i>
    <i>
      <x v="30"/>
    </i>
    <i>
      <x v="47"/>
    </i>
    <i>
      <x v="20"/>
    </i>
    <i>
      <x v="33"/>
    </i>
    <i>
      <x v="1"/>
    </i>
    <i>
      <x v="34"/>
    </i>
    <i>
      <x v="27"/>
    </i>
    <i>
      <x v="24"/>
    </i>
    <i>
      <x v="40"/>
    </i>
    <i>
      <x v="3"/>
    </i>
    <i>
      <x v="11"/>
    </i>
    <i>
      <x v="36"/>
    </i>
    <i>
      <x v="16"/>
    </i>
    <i>
      <x v="19"/>
    </i>
    <i>
      <x v="53"/>
    </i>
    <i>
      <x v="41"/>
    </i>
    <i>
      <x v="48"/>
    </i>
    <i>
      <x v="22"/>
    </i>
    <i>
      <x v="38"/>
    </i>
    <i>
      <x v="23"/>
    </i>
    <i>
      <x v="4"/>
    </i>
    <i>
      <x v="43"/>
    </i>
    <i t="grand">
      <x/>
    </i>
  </rowItems>
  <colFields count="1">
    <field x="-2"/>
  </colFields>
  <colItems count="3">
    <i>
      <x/>
    </i>
    <i i="1">
      <x v="1"/>
    </i>
    <i i="2">
      <x v="2"/>
    </i>
  </colItems>
  <dataFields count="3">
    <dataField name="Sum of Allowed $" fld="1" baseField="0" baseItem="0" numFmtId="166"/>
    <dataField name="Sum of Episode Count [1]" fld="3" baseField="0" baseItem="31" numFmtId="3"/>
    <dataField name="Sum of Allowed/Episode" fld="5" baseField="0" baseItem="31" numFmtId="166"/>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trlProp" Target="../ctrlProps/ctrlProp1.xml"/><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ctrlProp" Target="../ctrlProps/ctrlProp18.xml"/><Relationship Id="rId21" Type="http://schemas.openxmlformats.org/officeDocument/2006/relationships/ctrlProp" Target="../ctrlProps/ctrlProp19.xml"/><Relationship Id="rId22" Type="http://schemas.openxmlformats.org/officeDocument/2006/relationships/ctrlProp" Target="../ctrlProps/ctrlProp20.xml"/><Relationship Id="rId23" Type="http://schemas.openxmlformats.org/officeDocument/2006/relationships/ctrlProp" Target="../ctrlProps/ctrlProp21.xml"/><Relationship Id="rId24" Type="http://schemas.openxmlformats.org/officeDocument/2006/relationships/ctrlProp" Target="../ctrlProps/ctrlProp22.xml"/><Relationship Id="rId25" Type="http://schemas.openxmlformats.org/officeDocument/2006/relationships/ctrlProp" Target="../ctrlProps/ctrlProp23.xml"/><Relationship Id="rId26" Type="http://schemas.openxmlformats.org/officeDocument/2006/relationships/ctrlProp" Target="../ctrlProps/ctrlProp24.xml"/><Relationship Id="rId27" Type="http://schemas.openxmlformats.org/officeDocument/2006/relationships/ctrlProp" Target="../ctrlProps/ctrlProp25.xml"/><Relationship Id="rId28" Type="http://schemas.openxmlformats.org/officeDocument/2006/relationships/ctrlProp" Target="../ctrlProps/ctrlProp26.xml"/><Relationship Id="rId29" Type="http://schemas.openxmlformats.org/officeDocument/2006/relationships/ctrlProp" Target="../ctrlProps/ctrlProp27.xml"/><Relationship Id="rId1" Type="http://schemas.openxmlformats.org/officeDocument/2006/relationships/printerSettings" Target="../printerSettings/printerSettings2.bin"/><Relationship Id="rId2" Type="http://schemas.openxmlformats.org/officeDocument/2006/relationships/drawing" Target="../drawings/drawing2.xml"/><Relationship Id="rId3" Type="http://schemas.openxmlformats.org/officeDocument/2006/relationships/vmlDrawing" Target="../drawings/vmlDrawing2.vml"/><Relationship Id="rId4" Type="http://schemas.openxmlformats.org/officeDocument/2006/relationships/ctrlProp" Target="../ctrlProps/ctrlProp2.xml"/><Relationship Id="rId5" Type="http://schemas.openxmlformats.org/officeDocument/2006/relationships/ctrlProp" Target="../ctrlProps/ctrlProp3.xml"/><Relationship Id="rId30" Type="http://schemas.openxmlformats.org/officeDocument/2006/relationships/ctrlProp" Target="../ctrlProps/ctrlProp28.xml"/><Relationship Id="rId31" Type="http://schemas.openxmlformats.org/officeDocument/2006/relationships/ctrlProp" Target="../ctrlProps/ctrlProp29.xml"/><Relationship Id="rId32" Type="http://schemas.openxmlformats.org/officeDocument/2006/relationships/ctrlProp" Target="../ctrlProps/ctrlProp30.xml"/><Relationship Id="rId9" Type="http://schemas.openxmlformats.org/officeDocument/2006/relationships/ctrlProp" Target="../ctrlProps/ctrlProp7.xml"/><Relationship Id="rId6" Type="http://schemas.openxmlformats.org/officeDocument/2006/relationships/ctrlProp" Target="../ctrlProps/ctrlProp4.xml"/><Relationship Id="rId7" Type="http://schemas.openxmlformats.org/officeDocument/2006/relationships/ctrlProp" Target="../ctrlProps/ctrlProp5.xml"/><Relationship Id="rId8" Type="http://schemas.openxmlformats.org/officeDocument/2006/relationships/ctrlProp" Target="../ctrlProps/ctrlProp6.xml"/><Relationship Id="rId33" Type="http://schemas.openxmlformats.org/officeDocument/2006/relationships/ctrlProp" Target="../ctrlProps/ctrlProp31.xml"/><Relationship Id="rId34" Type="http://schemas.openxmlformats.org/officeDocument/2006/relationships/ctrlProp" Target="../ctrlProps/ctrlProp32.xml"/><Relationship Id="rId35" Type="http://schemas.openxmlformats.org/officeDocument/2006/relationships/ctrlProp" Target="../ctrlProps/ctrlProp33.xml"/><Relationship Id="rId36" Type="http://schemas.openxmlformats.org/officeDocument/2006/relationships/ctrlProp" Target="../ctrlProps/ctrlProp34.xml"/><Relationship Id="rId10" Type="http://schemas.openxmlformats.org/officeDocument/2006/relationships/ctrlProp" Target="../ctrlProps/ctrlProp8.xml"/><Relationship Id="rId11" Type="http://schemas.openxmlformats.org/officeDocument/2006/relationships/ctrlProp" Target="../ctrlProps/ctrlProp9.xml"/><Relationship Id="rId12" Type="http://schemas.openxmlformats.org/officeDocument/2006/relationships/ctrlProp" Target="../ctrlProps/ctrlProp10.xml"/><Relationship Id="rId13" Type="http://schemas.openxmlformats.org/officeDocument/2006/relationships/ctrlProp" Target="../ctrlProps/ctrlProp11.xml"/><Relationship Id="rId14" Type="http://schemas.openxmlformats.org/officeDocument/2006/relationships/ctrlProp" Target="../ctrlProps/ctrlProp12.xml"/><Relationship Id="rId15" Type="http://schemas.openxmlformats.org/officeDocument/2006/relationships/ctrlProp" Target="../ctrlProps/ctrlProp13.xml"/><Relationship Id="rId16" Type="http://schemas.openxmlformats.org/officeDocument/2006/relationships/ctrlProp" Target="../ctrlProps/ctrlProp14.xml"/><Relationship Id="rId17" Type="http://schemas.openxmlformats.org/officeDocument/2006/relationships/ctrlProp" Target="../ctrlProps/ctrlProp15.xml"/><Relationship Id="rId18" Type="http://schemas.openxmlformats.org/officeDocument/2006/relationships/ctrlProp" Target="../ctrlProps/ctrlProp16.xml"/><Relationship Id="rId19" Type="http://schemas.openxmlformats.org/officeDocument/2006/relationships/ctrlProp" Target="../ctrlProps/ctrlProp17.xml"/><Relationship Id="rId37" Type="http://schemas.openxmlformats.org/officeDocument/2006/relationships/ctrlProp" Target="../ctrlProps/ctrlProp35.xml"/><Relationship Id="rId38" Type="http://schemas.openxmlformats.org/officeDocument/2006/relationships/ctrlProp" Target="../ctrlProps/ctrlProp36.xml"/><Relationship Id="rId39" Type="http://schemas.openxmlformats.org/officeDocument/2006/relationships/ctrlProp" Target="../ctrlProps/ctrlProp37.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9.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drawing" Target="../drawings/drawing10.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drawing" Target="../drawings/drawing1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42" Type="http://schemas.openxmlformats.org/officeDocument/2006/relationships/ctrlProp" Target="../ctrlProps/ctrlProp176.xml"/><Relationship Id="rId143" Type="http://schemas.openxmlformats.org/officeDocument/2006/relationships/ctrlProp" Target="../ctrlProps/ctrlProp177.xml"/><Relationship Id="rId144" Type="http://schemas.openxmlformats.org/officeDocument/2006/relationships/ctrlProp" Target="../ctrlProps/ctrlProp178.xml"/><Relationship Id="rId145" Type="http://schemas.openxmlformats.org/officeDocument/2006/relationships/ctrlProp" Target="../ctrlProps/ctrlProp179.xml"/><Relationship Id="rId146" Type="http://schemas.openxmlformats.org/officeDocument/2006/relationships/ctrlProp" Target="../ctrlProps/ctrlProp180.xml"/><Relationship Id="rId147" Type="http://schemas.openxmlformats.org/officeDocument/2006/relationships/ctrlProp" Target="../ctrlProps/ctrlProp181.xml"/><Relationship Id="rId148" Type="http://schemas.openxmlformats.org/officeDocument/2006/relationships/ctrlProp" Target="../ctrlProps/ctrlProp182.xml"/><Relationship Id="rId149" Type="http://schemas.openxmlformats.org/officeDocument/2006/relationships/ctrlProp" Target="../ctrlProps/ctrlProp183.xml"/><Relationship Id="rId40" Type="http://schemas.openxmlformats.org/officeDocument/2006/relationships/ctrlProp" Target="../ctrlProps/ctrlProp74.xml"/><Relationship Id="rId41" Type="http://schemas.openxmlformats.org/officeDocument/2006/relationships/ctrlProp" Target="../ctrlProps/ctrlProp75.xml"/><Relationship Id="rId42" Type="http://schemas.openxmlformats.org/officeDocument/2006/relationships/ctrlProp" Target="../ctrlProps/ctrlProp76.xml"/><Relationship Id="rId43" Type="http://schemas.openxmlformats.org/officeDocument/2006/relationships/ctrlProp" Target="../ctrlProps/ctrlProp77.xml"/><Relationship Id="rId44" Type="http://schemas.openxmlformats.org/officeDocument/2006/relationships/ctrlProp" Target="../ctrlProps/ctrlProp78.xml"/><Relationship Id="rId45" Type="http://schemas.openxmlformats.org/officeDocument/2006/relationships/ctrlProp" Target="../ctrlProps/ctrlProp79.xml"/><Relationship Id="rId46" Type="http://schemas.openxmlformats.org/officeDocument/2006/relationships/ctrlProp" Target="../ctrlProps/ctrlProp80.xml"/><Relationship Id="rId47" Type="http://schemas.openxmlformats.org/officeDocument/2006/relationships/ctrlProp" Target="../ctrlProps/ctrlProp81.xml"/><Relationship Id="rId48" Type="http://schemas.openxmlformats.org/officeDocument/2006/relationships/ctrlProp" Target="../ctrlProps/ctrlProp82.xml"/><Relationship Id="rId49" Type="http://schemas.openxmlformats.org/officeDocument/2006/relationships/ctrlProp" Target="../ctrlProps/ctrlProp83.xml"/><Relationship Id="rId80" Type="http://schemas.openxmlformats.org/officeDocument/2006/relationships/ctrlProp" Target="../ctrlProps/ctrlProp114.xml"/><Relationship Id="rId81" Type="http://schemas.openxmlformats.org/officeDocument/2006/relationships/ctrlProp" Target="../ctrlProps/ctrlProp115.xml"/><Relationship Id="rId82" Type="http://schemas.openxmlformats.org/officeDocument/2006/relationships/ctrlProp" Target="../ctrlProps/ctrlProp116.xml"/><Relationship Id="rId83" Type="http://schemas.openxmlformats.org/officeDocument/2006/relationships/ctrlProp" Target="../ctrlProps/ctrlProp117.xml"/><Relationship Id="rId84" Type="http://schemas.openxmlformats.org/officeDocument/2006/relationships/ctrlProp" Target="../ctrlProps/ctrlProp118.xml"/><Relationship Id="rId85" Type="http://schemas.openxmlformats.org/officeDocument/2006/relationships/ctrlProp" Target="../ctrlProps/ctrlProp119.xml"/><Relationship Id="rId86" Type="http://schemas.openxmlformats.org/officeDocument/2006/relationships/ctrlProp" Target="../ctrlProps/ctrlProp120.xml"/><Relationship Id="rId87" Type="http://schemas.openxmlformats.org/officeDocument/2006/relationships/ctrlProp" Target="../ctrlProps/ctrlProp121.xml"/><Relationship Id="rId88" Type="http://schemas.openxmlformats.org/officeDocument/2006/relationships/ctrlProp" Target="../ctrlProps/ctrlProp122.xml"/><Relationship Id="rId89" Type="http://schemas.openxmlformats.org/officeDocument/2006/relationships/ctrlProp" Target="../ctrlProps/ctrlProp123.xml"/><Relationship Id="rId110" Type="http://schemas.openxmlformats.org/officeDocument/2006/relationships/ctrlProp" Target="../ctrlProps/ctrlProp144.xml"/><Relationship Id="rId111" Type="http://schemas.openxmlformats.org/officeDocument/2006/relationships/ctrlProp" Target="../ctrlProps/ctrlProp145.xml"/><Relationship Id="rId112" Type="http://schemas.openxmlformats.org/officeDocument/2006/relationships/ctrlProp" Target="../ctrlProps/ctrlProp146.xml"/><Relationship Id="rId113" Type="http://schemas.openxmlformats.org/officeDocument/2006/relationships/ctrlProp" Target="../ctrlProps/ctrlProp147.xml"/><Relationship Id="rId114" Type="http://schemas.openxmlformats.org/officeDocument/2006/relationships/ctrlProp" Target="../ctrlProps/ctrlProp148.xml"/><Relationship Id="rId115" Type="http://schemas.openxmlformats.org/officeDocument/2006/relationships/ctrlProp" Target="../ctrlProps/ctrlProp149.xml"/><Relationship Id="rId116" Type="http://schemas.openxmlformats.org/officeDocument/2006/relationships/ctrlProp" Target="../ctrlProps/ctrlProp150.xml"/><Relationship Id="rId117" Type="http://schemas.openxmlformats.org/officeDocument/2006/relationships/ctrlProp" Target="../ctrlProps/ctrlProp151.xml"/><Relationship Id="rId118" Type="http://schemas.openxmlformats.org/officeDocument/2006/relationships/ctrlProp" Target="../ctrlProps/ctrlProp152.xml"/><Relationship Id="rId119" Type="http://schemas.openxmlformats.org/officeDocument/2006/relationships/ctrlProp" Target="../ctrlProps/ctrlProp153.xml"/><Relationship Id="rId150" Type="http://schemas.openxmlformats.org/officeDocument/2006/relationships/ctrlProp" Target="../ctrlProps/ctrlProp184.xml"/><Relationship Id="rId151" Type="http://schemas.openxmlformats.org/officeDocument/2006/relationships/ctrlProp" Target="../ctrlProps/ctrlProp185.xml"/><Relationship Id="rId152" Type="http://schemas.openxmlformats.org/officeDocument/2006/relationships/ctrlProp" Target="../ctrlProps/ctrlProp186.xml"/><Relationship Id="rId10" Type="http://schemas.openxmlformats.org/officeDocument/2006/relationships/ctrlProp" Target="../ctrlProps/ctrlProp44.xml"/><Relationship Id="rId11" Type="http://schemas.openxmlformats.org/officeDocument/2006/relationships/ctrlProp" Target="../ctrlProps/ctrlProp45.xml"/><Relationship Id="rId12" Type="http://schemas.openxmlformats.org/officeDocument/2006/relationships/ctrlProp" Target="../ctrlProps/ctrlProp46.xml"/><Relationship Id="rId13" Type="http://schemas.openxmlformats.org/officeDocument/2006/relationships/ctrlProp" Target="../ctrlProps/ctrlProp47.xml"/><Relationship Id="rId14" Type="http://schemas.openxmlformats.org/officeDocument/2006/relationships/ctrlProp" Target="../ctrlProps/ctrlProp48.xml"/><Relationship Id="rId15" Type="http://schemas.openxmlformats.org/officeDocument/2006/relationships/ctrlProp" Target="../ctrlProps/ctrlProp49.xml"/><Relationship Id="rId16" Type="http://schemas.openxmlformats.org/officeDocument/2006/relationships/ctrlProp" Target="../ctrlProps/ctrlProp50.xml"/><Relationship Id="rId17" Type="http://schemas.openxmlformats.org/officeDocument/2006/relationships/ctrlProp" Target="../ctrlProps/ctrlProp51.xml"/><Relationship Id="rId18" Type="http://schemas.openxmlformats.org/officeDocument/2006/relationships/ctrlProp" Target="../ctrlProps/ctrlProp52.xml"/><Relationship Id="rId19" Type="http://schemas.openxmlformats.org/officeDocument/2006/relationships/ctrlProp" Target="../ctrlProps/ctrlProp53.xml"/><Relationship Id="rId153" Type="http://schemas.openxmlformats.org/officeDocument/2006/relationships/ctrlProp" Target="../ctrlProps/ctrlProp187.xml"/><Relationship Id="rId154" Type="http://schemas.openxmlformats.org/officeDocument/2006/relationships/ctrlProp" Target="../ctrlProps/ctrlProp188.xml"/><Relationship Id="rId155" Type="http://schemas.openxmlformats.org/officeDocument/2006/relationships/ctrlProp" Target="../ctrlProps/ctrlProp189.xml"/><Relationship Id="rId156" Type="http://schemas.openxmlformats.org/officeDocument/2006/relationships/ctrlProp" Target="../ctrlProps/ctrlProp190.xml"/><Relationship Id="rId157" Type="http://schemas.openxmlformats.org/officeDocument/2006/relationships/ctrlProp" Target="../ctrlProps/ctrlProp191.xml"/><Relationship Id="rId158" Type="http://schemas.openxmlformats.org/officeDocument/2006/relationships/ctrlProp" Target="../ctrlProps/ctrlProp192.xml"/><Relationship Id="rId159" Type="http://schemas.openxmlformats.org/officeDocument/2006/relationships/ctrlProp" Target="../ctrlProps/ctrlProp193.xml"/><Relationship Id="rId50" Type="http://schemas.openxmlformats.org/officeDocument/2006/relationships/ctrlProp" Target="../ctrlProps/ctrlProp84.xml"/><Relationship Id="rId51" Type="http://schemas.openxmlformats.org/officeDocument/2006/relationships/ctrlProp" Target="../ctrlProps/ctrlProp85.xml"/><Relationship Id="rId52" Type="http://schemas.openxmlformats.org/officeDocument/2006/relationships/ctrlProp" Target="../ctrlProps/ctrlProp86.xml"/><Relationship Id="rId53" Type="http://schemas.openxmlformats.org/officeDocument/2006/relationships/ctrlProp" Target="../ctrlProps/ctrlProp87.xml"/><Relationship Id="rId54" Type="http://schemas.openxmlformats.org/officeDocument/2006/relationships/ctrlProp" Target="../ctrlProps/ctrlProp88.xml"/><Relationship Id="rId55" Type="http://schemas.openxmlformats.org/officeDocument/2006/relationships/ctrlProp" Target="../ctrlProps/ctrlProp89.xml"/><Relationship Id="rId56" Type="http://schemas.openxmlformats.org/officeDocument/2006/relationships/ctrlProp" Target="../ctrlProps/ctrlProp90.xml"/><Relationship Id="rId57" Type="http://schemas.openxmlformats.org/officeDocument/2006/relationships/ctrlProp" Target="../ctrlProps/ctrlProp91.xml"/><Relationship Id="rId58" Type="http://schemas.openxmlformats.org/officeDocument/2006/relationships/ctrlProp" Target="../ctrlProps/ctrlProp92.xml"/><Relationship Id="rId59" Type="http://schemas.openxmlformats.org/officeDocument/2006/relationships/ctrlProp" Target="../ctrlProps/ctrlProp93.xml"/><Relationship Id="rId90" Type="http://schemas.openxmlformats.org/officeDocument/2006/relationships/ctrlProp" Target="../ctrlProps/ctrlProp124.xml"/><Relationship Id="rId91" Type="http://schemas.openxmlformats.org/officeDocument/2006/relationships/ctrlProp" Target="../ctrlProps/ctrlProp125.xml"/><Relationship Id="rId92" Type="http://schemas.openxmlformats.org/officeDocument/2006/relationships/ctrlProp" Target="../ctrlProps/ctrlProp126.xml"/><Relationship Id="rId93" Type="http://schemas.openxmlformats.org/officeDocument/2006/relationships/ctrlProp" Target="../ctrlProps/ctrlProp127.xml"/><Relationship Id="rId94" Type="http://schemas.openxmlformats.org/officeDocument/2006/relationships/ctrlProp" Target="../ctrlProps/ctrlProp128.xml"/><Relationship Id="rId95" Type="http://schemas.openxmlformats.org/officeDocument/2006/relationships/ctrlProp" Target="../ctrlProps/ctrlProp129.xml"/><Relationship Id="rId96" Type="http://schemas.openxmlformats.org/officeDocument/2006/relationships/ctrlProp" Target="../ctrlProps/ctrlProp130.xml"/><Relationship Id="rId97" Type="http://schemas.openxmlformats.org/officeDocument/2006/relationships/ctrlProp" Target="../ctrlProps/ctrlProp131.xml"/><Relationship Id="rId98" Type="http://schemas.openxmlformats.org/officeDocument/2006/relationships/ctrlProp" Target="../ctrlProps/ctrlProp132.xml"/><Relationship Id="rId99" Type="http://schemas.openxmlformats.org/officeDocument/2006/relationships/ctrlProp" Target="../ctrlProps/ctrlProp133.xml"/><Relationship Id="rId120" Type="http://schemas.openxmlformats.org/officeDocument/2006/relationships/ctrlProp" Target="../ctrlProps/ctrlProp154.xml"/><Relationship Id="rId121" Type="http://schemas.openxmlformats.org/officeDocument/2006/relationships/ctrlProp" Target="../ctrlProps/ctrlProp155.xml"/><Relationship Id="rId122" Type="http://schemas.openxmlformats.org/officeDocument/2006/relationships/ctrlProp" Target="../ctrlProps/ctrlProp156.xml"/><Relationship Id="rId123" Type="http://schemas.openxmlformats.org/officeDocument/2006/relationships/ctrlProp" Target="../ctrlProps/ctrlProp157.xml"/><Relationship Id="rId124" Type="http://schemas.openxmlformats.org/officeDocument/2006/relationships/ctrlProp" Target="../ctrlProps/ctrlProp158.xml"/><Relationship Id="rId125" Type="http://schemas.openxmlformats.org/officeDocument/2006/relationships/ctrlProp" Target="../ctrlProps/ctrlProp159.xml"/><Relationship Id="rId126" Type="http://schemas.openxmlformats.org/officeDocument/2006/relationships/ctrlProp" Target="../ctrlProps/ctrlProp160.xml"/><Relationship Id="rId127" Type="http://schemas.openxmlformats.org/officeDocument/2006/relationships/ctrlProp" Target="../ctrlProps/ctrlProp161.xml"/><Relationship Id="rId128" Type="http://schemas.openxmlformats.org/officeDocument/2006/relationships/ctrlProp" Target="../ctrlProps/ctrlProp162.xml"/><Relationship Id="rId129" Type="http://schemas.openxmlformats.org/officeDocument/2006/relationships/ctrlProp" Target="../ctrlProps/ctrlProp163.xml"/><Relationship Id="rId160" Type="http://schemas.openxmlformats.org/officeDocument/2006/relationships/ctrlProp" Target="../ctrlProps/ctrlProp194.xml"/><Relationship Id="rId161" Type="http://schemas.openxmlformats.org/officeDocument/2006/relationships/ctrlProp" Target="../ctrlProps/ctrlProp195.xml"/><Relationship Id="rId162" Type="http://schemas.openxmlformats.org/officeDocument/2006/relationships/ctrlProp" Target="../ctrlProps/ctrlProp196.xml"/><Relationship Id="rId20" Type="http://schemas.openxmlformats.org/officeDocument/2006/relationships/ctrlProp" Target="../ctrlProps/ctrlProp54.xml"/><Relationship Id="rId21" Type="http://schemas.openxmlformats.org/officeDocument/2006/relationships/ctrlProp" Target="../ctrlProps/ctrlProp55.xml"/><Relationship Id="rId22" Type="http://schemas.openxmlformats.org/officeDocument/2006/relationships/ctrlProp" Target="../ctrlProps/ctrlProp56.xml"/><Relationship Id="rId23" Type="http://schemas.openxmlformats.org/officeDocument/2006/relationships/ctrlProp" Target="../ctrlProps/ctrlProp57.xml"/><Relationship Id="rId24" Type="http://schemas.openxmlformats.org/officeDocument/2006/relationships/ctrlProp" Target="../ctrlProps/ctrlProp58.xml"/><Relationship Id="rId25" Type="http://schemas.openxmlformats.org/officeDocument/2006/relationships/ctrlProp" Target="../ctrlProps/ctrlProp59.xml"/><Relationship Id="rId26" Type="http://schemas.openxmlformats.org/officeDocument/2006/relationships/ctrlProp" Target="../ctrlProps/ctrlProp60.xml"/><Relationship Id="rId27" Type="http://schemas.openxmlformats.org/officeDocument/2006/relationships/ctrlProp" Target="../ctrlProps/ctrlProp61.xml"/><Relationship Id="rId28" Type="http://schemas.openxmlformats.org/officeDocument/2006/relationships/ctrlProp" Target="../ctrlProps/ctrlProp62.xml"/><Relationship Id="rId29" Type="http://schemas.openxmlformats.org/officeDocument/2006/relationships/ctrlProp" Target="../ctrlProps/ctrlProp63.xml"/><Relationship Id="rId163" Type="http://schemas.openxmlformats.org/officeDocument/2006/relationships/ctrlProp" Target="../ctrlProps/ctrlProp197.xml"/><Relationship Id="rId164" Type="http://schemas.openxmlformats.org/officeDocument/2006/relationships/ctrlProp" Target="../ctrlProps/ctrlProp198.xml"/><Relationship Id="rId165" Type="http://schemas.openxmlformats.org/officeDocument/2006/relationships/ctrlProp" Target="../ctrlProps/ctrlProp199.xml"/><Relationship Id="rId166" Type="http://schemas.openxmlformats.org/officeDocument/2006/relationships/ctrlProp" Target="../ctrlProps/ctrlProp200.xml"/><Relationship Id="rId60" Type="http://schemas.openxmlformats.org/officeDocument/2006/relationships/ctrlProp" Target="../ctrlProps/ctrlProp94.xml"/><Relationship Id="rId61" Type="http://schemas.openxmlformats.org/officeDocument/2006/relationships/ctrlProp" Target="../ctrlProps/ctrlProp95.xml"/><Relationship Id="rId62" Type="http://schemas.openxmlformats.org/officeDocument/2006/relationships/ctrlProp" Target="../ctrlProps/ctrlProp96.xml"/><Relationship Id="rId63" Type="http://schemas.openxmlformats.org/officeDocument/2006/relationships/ctrlProp" Target="../ctrlProps/ctrlProp97.xml"/><Relationship Id="rId64" Type="http://schemas.openxmlformats.org/officeDocument/2006/relationships/ctrlProp" Target="../ctrlProps/ctrlProp98.xml"/><Relationship Id="rId65" Type="http://schemas.openxmlformats.org/officeDocument/2006/relationships/ctrlProp" Target="../ctrlProps/ctrlProp99.xml"/><Relationship Id="rId66" Type="http://schemas.openxmlformats.org/officeDocument/2006/relationships/ctrlProp" Target="../ctrlProps/ctrlProp100.xml"/><Relationship Id="rId67" Type="http://schemas.openxmlformats.org/officeDocument/2006/relationships/ctrlProp" Target="../ctrlProps/ctrlProp101.xml"/><Relationship Id="rId68" Type="http://schemas.openxmlformats.org/officeDocument/2006/relationships/ctrlProp" Target="../ctrlProps/ctrlProp102.xml"/><Relationship Id="rId69" Type="http://schemas.openxmlformats.org/officeDocument/2006/relationships/ctrlProp" Target="../ctrlProps/ctrlProp103.xml"/><Relationship Id="rId130" Type="http://schemas.openxmlformats.org/officeDocument/2006/relationships/ctrlProp" Target="../ctrlProps/ctrlProp164.xml"/><Relationship Id="rId131" Type="http://schemas.openxmlformats.org/officeDocument/2006/relationships/ctrlProp" Target="../ctrlProps/ctrlProp165.xml"/><Relationship Id="rId132" Type="http://schemas.openxmlformats.org/officeDocument/2006/relationships/ctrlProp" Target="../ctrlProps/ctrlProp166.xml"/><Relationship Id="rId133" Type="http://schemas.openxmlformats.org/officeDocument/2006/relationships/ctrlProp" Target="../ctrlProps/ctrlProp167.xml"/><Relationship Id="rId134" Type="http://schemas.openxmlformats.org/officeDocument/2006/relationships/ctrlProp" Target="../ctrlProps/ctrlProp168.xml"/><Relationship Id="rId135" Type="http://schemas.openxmlformats.org/officeDocument/2006/relationships/ctrlProp" Target="../ctrlProps/ctrlProp169.xml"/><Relationship Id="rId136" Type="http://schemas.openxmlformats.org/officeDocument/2006/relationships/ctrlProp" Target="../ctrlProps/ctrlProp170.xml"/><Relationship Id="rId137" Type="http://schemas.openxmlformats.org/officeDocument/2006/relationships/ctrlProp" Target="../ctrlProps/ctrlProp171.xml"/><Relationship Id="rId138" Type="http://schemas.openxmlformats.org/officeDocument/2006/relationships/ctrlProp" Target="../ctrlProps/ctrlProp172.xml"/><Relationship Id="rId139" Type="http://schemas.openxmlformats.org/officeDocument/2006/relationships/ctrlProp" Target="../ctrlProps/ctrlProp173.xml"/><Relationship Id="rId30" Type="http://schemas.openxmlformats.org/officeDocument/2006/relationships/ctrlProp" Target="../ctrlProps/ctrlProp64.xml"/><Relationship Id="rId31" Type="http://schemas.openxmlformats.org/officeDocument/2006/relationships/ctrlProp" Target="../ctrlProps/ctrlProp65.xml"/><Relationship Id="rId32" Type="http://schemas.openxmlformats.org/officeDocument/2006/relationships/ctrlProp" Target="../ctrlProps/ctrlProp66.xml"/><Relationship Id="rId33" Type="http://schemas.openxmlformats.org/officeDocument/2006/relationships/ctrlProp" Target="../ctrlProps/ctrlProp67.xml"/><Relationship Id="rId34" Type="http://schemas.openxmlformats.org/officeDocument/2006/relationships/ctrlProp" Target="../ctrlProps/ctrlProp68.xml"/><Relationship Id="rId35" Type="http://schemas.openxmlformats.org/officeDocument/2006/relationships/ctrlProp" Target="../ctrlProps/ctrlProp69.xml"/><Relationship Id="rId36" Type="http://schemas.openxmlformats.org/officeDocument/2006/relationships/ctrlProp" Target="../ctrlProps/ctrlProp70.xml"/><Relationship Id="rId37" Type="http://schemas.openxmlformats.org/officeDocument/2006/relationships/ctrlProp" Target="../ctrlProps/ctrlProp71.xml"/><Relationship Id="rId38" Type="http://schemas.openxmlformats.org/officeDocument/2006/relationships/ctrlProp" Target="../ctrlProps/ctrlProp72.xml"/><Relationship Id="rId39" Type="http://schemas.openxmlformats.org/officeDocument/2006/relationships/ctrlProp" Target="../ctrlProps/ctrlProp73.xml"/><Relationship Id="rId70" Type="http://schemas.openxmlformats.org/officeDocument/2006/relationships/ctrlProp" Target="../ctrlProps/ctrlProp104.xml"/><Relationship Id="rId71" Type="http://schemas.openxmlformats.org/officeDocument/2006/relationships/ctrlProp" Target="../ctrlProps/ctrlProp105.xml"/><Relationship Id="rId72" Type="http://schemas.openxmlformats.org/officeDocument/2006/relationships/ctrlProp" Target="../ctrlProps/ctrlProp106.xml"/><Relationship Id="rId73" Type="http://schemas.openxmlformats.org/officeDocument/2006/relationships/ctrlProp" Target="../ctrlProps/ctrlProp107.xml"/><Relationship Id="rId74" Type="http://schemas.openxmlformats.org/officeDocument/2006/relationships/ctrlProp" Target="../ctrlProps/ctrlProp108.xml"/><Relationship Id="rId75" Type="http://schemas.openxmlformats.org/officeDocument/2006/relationships/ctrlProp" Target="../ctrlProps/ctrlProp109.xml"/><Relationship Id="rId76" Type="http://schemas.openxmlformats.org/officeDocument/2006/relationships/ctrlProp" Target="../ctrlProps/ctrlProp110.xml"/><Relationship Id="rId77" Type="http://schemas.openxmlformats.org/officeDocument/2006/relationships/ctrlProp" Target="../ctrlProps/ctrlProp111.xml"/><Relationship Id="rId78" Type="http://schemas.openxmlformats.org/officeDocument/2006/relationships/ctrlProp" Target="../ctrlProps/ctrlProp112.xml"/><Relationship Id="rId79" Type="http://schemas.openxmlformats.org/officeDocument/2006/relationships/ctrlProp" Target="../ctrlProps/ctrlProp113.xml"/><Relationship Id="rId1" Type="http://schemas.openxmlformats.org/officeDocument/2006/relationships/printerSettings" Target="../printerSettings/printerSettings8.bin"/><Relationship Id="rId2" Type="http://schemas.openxmlformats.org/officeDocument/2006/relationships/drawing" Target="../drawings/drawing15.xml"/><Relationship Id="rId3" Type="http://schemas.openxmlformats.org/officeDocument/2006/relationships/vmlDrawing" Target="../drawings/vmlDrawing3.vml"/><Relationship Id="rId4" Type="http://schemas.openxmlformats.org/officeDocument/2006/relationships/ctrlProp" Target="../ctrlProps/ctrlProp38.xml"/><Relationship Id="rId100" Type="http://schemas.openxmlformats.org/officeDocument/2006/relationships/ctrlProp" Target="../ctrlProps/ctrlProp134.xml"/><Relationship Id="rId101" Type="http://schemas.openxmlformats.org/officeDocument/2006/relationships/ctrlProp" Target="../ctrlProps/ctrlProp135.xml"/><Relationship Id="rId102" Type="http://schemas.openxmlformats.org/officeDocument/2006/relationships/ctrlProp" Target="../ctrlProps/ctrlProp136.xml"/><Relationship Id="rId103" Type="http://schemas.openxmlformats.org/officeDocument/2006/relationships/ctrlProp" Target="../ctrlProps/ctrlProp137.xml"/><Relationship Id="rId104" Type="http://schemas.openxmlformats.org/officeDocument/2006/relationships/ctrlProp" Target="../ctrlProps/ctrlProp138.xml"/><Relationship Id="rId105" Type="http://schemas.openxmlformats.org/officeDocument/2006/relationships/ctrlProp" Target="../ctrlProps/ctrlProp139.xml"/><Relationship Id="rId106" Type="http://schemas.openxmlformats.org/officeDocument/2006/relationships/ctrlProp" Target="../ctrlProps/ctrlProp140.xml"/><Relationship Id="rId107" Type="http://schemas.openxmlformats.org/officeDocument/2006/relationships/ctrlProp" Target="../ctrlProps/ctrlProp141.xml"/><Relationship Id="rId108" Type="http://schemas.openxmlformats.org/officeDocument/2006/relationships/ctrlProp" Target="../ctrlProps/ctrlProp142.xml"/><Relationship Id="rId109" Type="http://schemas.openxmlformats.org/officeDocument/2006/relationships/ctrlProp" Target="../ctrlProps/ctrlProp143.xml"/><Relationship Id="rId5" Type="http://schemas.openxmlformats.org/officeDocument/2006/relationships/ctrlProp" Target="../ctrlProps/ctrlProp39.xml"/><Relationship Id="rId6" Type="http://schemas.openxmlformats.org/officeDocument/2006/relationships/ctrlProp" Target="../ctrlProps/ctrlProp40.xml"/><Relationship Id="rId7" Type="http://schemas.openxmlformats.org/officeDocument/2006/relationships/ctrlProp" Target="../ctrlProps/ctrlProp41.xml"/><Relationship Id="rId8" Type="http://schemas.openxmlformats.org/officeDocument/2006/relationships/ctrlProp" Target="../ctrlProps/ctrlProp42.xml"/><Relationship Id="rId9" Type="http://schemas.openxmlformats.org/officeDocument/2006/relationships/ctrlProp" Target="../ctrlProps/ctrlProp43.xml"/><Relationship Id="rId140" Type="http://schemas.openxmlformats.org/officeDocument/2006/relationships/ctrlProp" Target="../ctrlProps/ctrlProp174.xml"/><Relationship Id="rId141" Type="http://schemas.openxmlformats.org/officeDocument/2006/relationships/ctrlProp" Target="../ctrlProps/ctrlProp17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4" Type="http://schemas.openxmlformats.org/officeDocument/2006/relationships/ctrlProp" Target="../ctrlProps/ctrlProp201.xml"/><Relationship Id="rId5" Type="http://schemas.openxmlformats.org/officeDocument/2006/relationships/ctrlProp" Target="../ctrlProps/ctrlProp202.xml"/><Relationship Id="rId1" Type="http://schemas.openxmlformats.org/officeDocument/2006/relationships/printerSettings" Target="../printerSettings/printerSettings11.bin"/><Relationship Id="rId2"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 Id="rId2"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5.vml"/><Relationship Id="rId4" Type="http://schemas.openxmlformats.org/officeDocument/2006/relationships/ctrlProp" Target="../ctrlProps/ctrlProp203.xml"/><Relationship Id="rId5" Type="http://schemas.openxmlformats.org/officeDocument/2006/relationships/ctrlProp" Target="../ctrlProps/ctrlProp204.xml"/><Relationship Id="rId1" Type="http://schemas.openxmlformats.org/officeDocument/2006/relationships/printerSettings" Target="../printerSettings/printerSettings14.bin"/><Relationship Id="rId2"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enableFormatConditionsCalculation="0">
    <tabColor rgb="FF6F2E91"/>
  </sheetPr>
  <dimension ref="A1:M34"/>
  <sheetViews>
    <sheetView showGridLines="0" showRowColHeaders="0" zoomScale="120" zoomScaleNormal="120" zoomScalePageLayoutView="120" workbookViewId="0"/>
  </sheetViews>
  <sheetFormatPr baseColWidth="10" defaultColWidth="8.83203125" defaultRowHeight="15" x14ac:dyDescent="0.2"/>
  <cols>
    <col min="1" max="1" width="1.1640625" style="578" customWidth="1"/>
    <col min="2" max="2" width="6.5" style="578" customWidth="1"/>
    <col min="3" max="3" width="26.1640625" style="578" customWidth="1"/>
    <col min="4" max="4" width="11.5" style="578" customWidth="1"/>
    <col min="5" max="5" width="6" style="578" customWidth="1"/>
    <col min="6" max="6" width="11.5" style="578" customWidth="1"/>
    <col min="7" max="7" width="6" style="578" customWidth="1"/>
    <col min="8" max="8" width="11.5" style="578" customWidth="1"/>
    <col min="9" max="16384" width="8.83203125" style="578"/>
  </cols>
  <sheetData>
    <row r="1" spans="1:8" ht="6" customHeight="1" x14ac:dyDescent="0.2">
      <c r="A1" s="521"/>
    </row>
    <row r="2" spans="1:8" s="252" customFormat="1" ht="21" x14ac:dyDescent="0.25">
      <c r="C2" s="587" t="str">
        <f>"Core Control Panel for "&amp;plan_sponsor</f>
        <v>Core Control Panel for Your Client</v>
      </c>
    </row>
    <row r="3" spans="1:8" s="252" customFormat="1" ht="14.5" customHeight="1" thickBot="1" x14ac:dyDescent="0.25"/>
    <row r="4" spans="1:8" ht="16" thickBot="1" x14ac:dyDescent="0.25">
      <c r="C4" s="688" t="s">
        <v>924</v>
      </c>
      <c r="D4" s="579" t="s">
        <v>964</v>
      </c>
    </row>
    <row r="5" spans="1:8" ht="16" thickBot="1" x14ac:dyDescent="0.25">
      <c r="C5" s="688" t="s">
        <v>1034</v>
      </c>
      <c r="D5" s="580">
        <f>'2019 Data'!H24</f>
        <v>6634</v>
      </c>
    </row>
    <row r="6" spans="1:8" ht="16" thickBot="1" x14ac:dyDescent="0.25">
      <c r="C6" s="688" t="s">
        <v>926</v>
      </c>
      <c r="D6" s="586">
        <f>'2018 Data'!$J$24</f>
        <v>1.6839915586373226</v>
      </c>
    </row>
    <row r="7" spans="1:8" ht="16" thickBot="1" x14ac:dyDescent="0.25">
      <c r="C7" s="688" t="s">
        <v>929</v>
      </c>
      <c r="D7" s="584">
        <v>0.06</v>
      </c>
      <c r="E7" s="582"/>
      <c r="F7" s="585"/>
      <c r="G7" s="582"/>
    </row>
    <row r="8" spans="1:8" ht="16" thickBot="1" x14ac:dyDescent="0.25">
      <c r="C8" s="688" t="s">
        <v>1048</v>
      </c>
      <c r="D8" s="581">
        <v>0</v>
      </c>
      <c r="E8" s="582"/>
      <c r="F8" s="585"/>
      <c r="G8" s="582"/>
    </row>
    <row r="9" spans="1:8" ht="16" thickBot="1" x14ac:dyDescent="0.25">
      <c r="C9" s="688" t="s">
        <v>925</v>
      </c>
      <c r="D9" s="581">
        <f>'2018 Data'!F96</f>
        <v>961.43676048613258</v>
      </c>
      <c r="E9" s="582" t="s">
        <v>927</v>
      </c>
      <c r="F9" s="583">
        <v>43466</v>
      </c>
      <c r="G9" s="582" t="s">
        <v>928</v>
      </c>
      <c r="H9" s="583">
        <v>43830</v>
      </c>
    </row>
    <row r="10" spans="1:8" ht="16" thickBot="1" x14ac:dyDescent="0.25">
      <c r="C10" s="688" t="s">
        <v>930</v>
      </c>
      <c r="D10" s="612">
        <f>ROUND(pepm_curr*(1+trend_rate)^((AVERAGE(F10,H10)-AVERAGE(F9,H9))/365.25),2)</f>
        <v>961.44</v>
      </c>
      <c r="E10" s="582" t="s">
        <v>927</v>
      </c>
      <c r="F10" s="583">
        <v>43466</v>
      </c>
      <c r="G10" s="582" t="s">
        <v>928</v>
      </c>
      <c r="H10" s="583">
        <v>43830</v>
      </c>
    </row>
    <row r="11" spans="1:8" ht="16" thickBot="1" x14ac:dyDescent="0.25">
      <c r="C11" s="688" t="s">
        <v>946</v>
      </c>
      <c r="D11" s="584">
        <f>curr_av</f>
        <v>0.85748021750474868</v>
      </c>
      <c r="E11" s="582"/>
      <c r="F11" s="585"/>
      <c r="G11" s="582"/>
    </row>
    <row r="12" spans="1:8" ht="16" thickBot="1" x14ac:dyDescent="0.25">
      <c r="C12" s="688" t="s">
        <v>945</v>
      </c>
      <c r="D12" s="584">
        <v>0.1</v>
      </c>
      <c r="E12" s="582"/>
      <c r="F12" s="585"/>
      <c r="G12" s="582"/>
    </row>
    <row r="16" spans="1:8" x14ac:dyDescent="0.2">
      <c r="D16" s="610" t="s">
        <v>939</v>
      </c>
      <c r="E16" s="611"/>
      <c r="F16" s="611"/>
    </row>
    <row r="17" spans="3:13" ht="16" thickBot="1" x14ac:dyDescent="0.25">
      <c r="C17" s="687"/>
      <c r="D17" s="609" t="s">
        <v>1123</v>
      </c>
      <c r="F17" s="609" t="s">
        <v>941</v>
      </c>
      <c r="I17" s="609" t="str">
        <f>'2018 Data'!D$3</f>
        <v>Plan 1</v>
      </c>
      <c r="J17" s="609" t="str">
        <f>'2018 Data'!E$3</f>
        <v>Plan 2</v>
      </c>
      <c r="K17" s="609" t="str">
        <f>'2018 Data'!F$3</f>
        <v>Plan 3</v>
      </c>
      <c r="L17" s="609" t="str">
        <f>'2018 Data'!G$3</f>
        <v>Plan 4</v>
      </c>
      <c r="M17" s="892">
        <v>1</v>
      </c>
    </row>
    <row r="18" spans="3:13" ht="16" thickBot="1" x14ac:dyDescent="0.25">
      <c r="C18" s="606" t="s">
        <v>947</v>
      </c>
      <c r="D18" s="615">
        <v>0.85748021750474868</v>
      </c>
      <c r="F18" s="615">
        <v>0.84059297085898932</v>
      </c>
      <c r="G18" s="925" t="s">
        <v>1022</v>
      </c>
      <c r="I18" s="615">
        <v>0.85748021750474868</v>
      </c>
      <c r="J18" s="615">
        <v>0.8130326515968892</v>
      </c>
      <c r="K18" s="615">
        <v>0.79787783481515973</v>
      </c>
      <c r="L18" s="615">
        <v>0.61861902276933822</v>
      </c>
      <c r="M18" s="892">
        <f>M17+1</f>
        <v>2</v>
      </c>
    </row>
    <row r="19" spans="3:13" ht="22.25" customHeight="1" thickBot="1" x14ac:dyDescent="0.25">
      <c r="C19" s="606"/>
      <c r="G19" s="926"/>
      <c r="J19" s="891"/>
      <c r="K19" s="891"/>
      <c r="L19" s="891"/>
      <c r="M19" s="892">
        <f t="shared" ref="M19:M34" si="0">M18+1</f>
        <v>3</v>
      </c>
    </row>
    <row r="20" spans="3:13" ht="16" thickBot="1" x14ac:dyDescent="0.25">
      <c r="C20" s="606" t="s">
        <v>931</v>
      </c>
      <c r="D20" s="607">
        <f>HLOOKUP($D$17,$I$17:$L$34,M20,FALSE)</f>
        <v>0</v>
      </c>
      <c r="F20" s="613">
        <v>0</v>
      </c>
      <c r="G20" s="926"/>
      <c r="I20" s="607">
        <v>0</v>
      </c>
      <c r="J20" s="607">
        <v>0</v>
      </c>
      <c r="K20" s="607">
        <v>0</v>
      </c>
      <c r="L20" s="607">
        <v>0</v>
      </c>
      <c r="M20" s="892">
        <f t="shared" si="0"/>
        <v>4</v>
      </c>
    </row>
    <row r="21" spans="3:13" ht="16" thickBot="1" x14ac:dyDescent="0.25">
      <c r="C21" s="606" t="s">
        <v>123</v>
      </c>
      <c r="D21" s="607">
        <f>HLOOKUP($D$17,$I$17:$L$34,M21,FALSE)</f>
        <v>500</v>
      </c>
      <c r="F21" s="613">
        <v>0</v>
      </c>
      <c r="G21" s="926"/>
      <c r="I21" s="607">
        <v>500</v>
      </c>
      <c r="J21" s="607">
        <v>1500</v>
      </c>
      <c r="K21" s="607">
        <v>1500</v>
      </c>
      <c r="L21" s="607">
        <v>4000</v>
      </c>
      <c r="M21" s="892">
        <f t="shared" si="0"/>
        <v>5</v>
      </c>
    </row>
    <row r="22" spans="3:13" ht="16" thickBot="1" x14ac:dyDescent="0.25">
      <c r="C22" s="606" t="s">
        <v>932</v>
      </c>
      <c r="D22" s="608">
        <f>HLOOKUP($D$17,$I$17:$L$34,M22,FALSE)</f>
        <v>0.85</v>
      </c>
      <c r="F22" s="614">
        <v>1</v>
      </c>
      <c r="G22" s="926"/>
      <c r="I22" s="608">
        <v>0.85</v>
      </c>
      <c r="J22" s="608">
        <v>0.85</v>
      </c>
      <c r="K22" s="608">
        <v>0.9</v>
      </c>
      <c r="L22" s="608">
        <v>0.6</v>
      </c>
      <c r="M22" s="892">
        <f t="shared" si="0"/>
        <v>6</v>
      </c>
    </row>
    <row r="23" spans="3:13" ht="16" thickBot="1" x14ac:dyDescent="0.25">
      <c r="C23" s="606" t="s">
        <v>933</v>
      </c>
      <c r="D23" s="607">
        <f>HLOOKUP($D$17,$I$17:$L$34,M23,FALSE)</f>
        <v>2500</v>
      </c>
      <c r="F23" s="607">
        <v>4000</v>
      </c>
      <c r="G23" s="926"/>
      <c r="I23" s="607">
        <v>2500</v>
      </c>
      <c r="J23" s="607">
        <v>3500</v>
      </c>
      <c r="K23" s="607">
        <v>3000</v>
      </c>
      <c r="L23" s="607">
        <v>6350</v>
      </c>
      <c r="M23" s="892">
        <f t="shared" si="0"/>
        <v>7</v>
      </c>
    </row>
    <row r="24" spans="3:13" ht="16" thickBot="1" x14ac:dyDescent="0.25">
      <c r="C24" s="606"/>
      <c r="G24" s="926"/>
      <c r="M24" s="892">
        <f t="shared" si="0"/>
        <v>8</v>
      </c>
    </row>
    <row r="25" spans="3:13" ht="16" thickBot="1" x14ac:dyDescent="0.25">
      <c r="C25" s="606" t="s">
        <v>934</v>
      </c>
      <c r="D25" s="607">
        <f>IF(HLOOKUP($D$17,$I$17:$L$34,M25,FALSE)=0,"",HLOOKUP($D$17,$I$17:$L$34,M25,FALSE))</f>
        <v>15</v>
      </c>
      <c r="F25" s="613">
        <f>'Assumptions-Output Override'!$G$17</f>
        <v>30</v>
      </c>
      <c r="G25" s="926"/>
      <c r="I25" s="607">
        <v>15</v>
      </c>
      <c r="J25" s="607">
        <v>15</v>
      </c>
      <c r="K25" s="607"/>
      <c r="L25" s="607"/>
      <c r="M25" s="892">
        <f t="shared" si="0"/>
        <v>9</v>
      </c>
    </row>
    <row r="26" spans="3:13" ht="16" thickBot="1" x14ac:dyDescent="0.25">
      <c r="C26" s="606" t="s">
        <v>165</v>
      </c>
      <c r="D26" s="607">
        <f>IF(HLOOKUP($D$17,$I$17:$L$34,M26,FALSE)=0,"",HLOOKUP($D$17,$I$17:$L$34,M26,FALSE))</f>
        <v>35</v>
      </c>
      <c r="F26" s="613">
        <f>'Assumptions-Output Override'!$H$17</f>
        <v>60</v>
      </c>
      <c r="G26" s="926"/>
      <c r="I26" s="607">
        <v>35</v>
      </c>
      <c r="J26" s="607">
        <v>35</v>
      </c>
      <c r="K26" s="607"/>
      <c r="L26" s="607"/>
      <c r="M26" s="892">
        <f t="shared" si="0"/>
        <v>10</v>
      </c>
    </row>
    <row r="27" spans="3:13" ht="16" thickBot="1" x14ac:dyDescent="0.25">
      <c r="C27" s="606" t="s">
        <v>943</v>
      </c>
      <c r="D27" s="607" t="str">
        <f>IF(HLOOKUP($D$17,$I$17:$L$34,M27,FALSE)=0,"",HLOOKUP($D$17,$I$17:$L$34,M27,FALSE))</f>
        <v/>
      </c>
      <c r="F27" s="613">
        <f>'Assumptions-Output Override'!$D$17</f>
        <v>1000</v>
      </c>
      <c r="G27" s="926"/>
      <c r="I27" s="607"/>
      <c r="J27" s="607"/>
      <c r="K27" s="607"/>
      <c r="L27" s="607"/>
      <c r="M27" s="892">
        <f t="shared" si="0"/>
        <v>11</v>
      </c>
    </row>
    <row r="28" spans="3:13" ht="16" thickBot="1" x14ac:dyDescent="0.25">
      <c r="C28" s="606" t="s">
        <v>944</v>
      </c>
      <c r="D28" s="607">
        <f>IF(HLOOKUP($D$17,$I$17:$L$34,M28,FALSE)=0,"",HLOOKUP($D$17,$I$17:$L$34,M28,FALSE))</f>
        <v>200</v>
      </c>
      <c r="F28" s="613">
        <f>'Assumptions-Output Override'!$E$17</f>
        <v>250</v>
      </c>
      <c r="G28" s="926"/>
      <c r="I28" s="607">
        <v>200</v>
      </c>
      <c r="J28" s="607">
        <v>200</v>
      </c>
      <c r="K28" s="607">
        <v>200</v>
      </c>
      <c r="L28" s="607"/>
      <c r="M28" s="892">
        <f t="shared" si="0"/>
        <v>12</v>
      </c>
    </row>
    <row r="29" spans="3:13" ht="16" thickBot="1" x14ac:dyDescent="0.25">
      <c r="C29" s="606" t="s">
        <v>329</v>
      </c>
      <c r="D29" s="607">
        <f>IF(HLOOKUP($D$17,$I$17:$L$34,M29,FALSE)=0,"",HLOOKUP($D$17,$I$17:$L$34,M29,FALSE))</f>
        <v>50</v>
      </c>
      <c r="F29" s="613">
        <f>'Assumptions-Output Override'!$F$17</f>
        <v>100</v>
      </c>
      <c r="G29" s="926"/>
      <c r="I29" s="607">
        <v>50</v>
      </c>
      <c r="J29" s="607">
        <v>50</v>
      </c>
      <c r="K29" s="607">
        <v>50</v>
      </c>
      <c r="L29" s="607"/>
      <c r="M29" s="892">
        <f t="shared" si="0"/>
        <v>13</v>
      </c>
    </row>
    <row r="30" spans="3:13" ht="16" thickBot="1" x14ac:dyDescent="0.25">
      <c r="C30" s="606"/>
      <c r="G30" s="926"/>
      <c r="M30" s="892">
        <f t="shared" si="0"/>
        <v>14</v>
      </c>
    </row>
    <row r="31" spans="3:13" ht="16" thickBot="1" x14ac:dyDescent="0.25">
      <c r="C31" s="606" t="s">
        <v>935</v>
      </c>
      <c r="D31" s="607">
        <f>IF(HLOOKUP($D$17,$I$17:$L$34,M31,FALSE)=0,"",HLOOKUP($D$17,$I$17:$L$34,M31,FALSE))</f>
        <v>10</v>
      </c>
      <c r="F31" s="613">
        <f>'Assumptions-Output Override'!$J$17</f>
        <v>10</v>
      </c>
      <c r="G31" s="926"/>
      <c r="I31" s="607">
        <v>10</v>
      </c>
      <c r="J31" s="607">
        <v>10</v>
      </c>
      <c r="K31" s="607">
        <v>10</v>
      </c>
      <c r="L31" s="607"/>
      <c r="M31" s="892">
        <f t="shared" si="0"/>
        <v>15</v>
      </c>
    </row>
    <row r="32" spans="3:13" ht="16" thickBot="1" x14ac:dyDescent="0.25">
      <c r="C32" s="606" t="s">
        <v>936</v>
      </c>
      <c r="D32" s="607">
        <f>IF(HLOOKUP($D$17,$I$17:$L$34,M32,FALSE)=0,"",HLOOKUP($D$17,$I$17:$L$34,M32,FALSE))</f>
        <v>40</v>
      </c>
      <c r="F32" s="613">
        <f>'Assumptions-Output Override'!$K$17</f>
        <v>50</v>
      </c>
      <c r="G32" s="926"/>
      <c r="I32" s="607">
        <v>40</v>
      </c>
      <c r="J32" s="607">
        <v>40</v>
      </c>
      <c r="K32" s="607">
        <v>40</v>
      </c>
      <c r="L32" s="607"/>
      <c r="M32" s="892">
        <f t="shared" si="0"/>
        <v>16</v>
      </c>
    </row>
    <row r="33" spans="3:13" ht="16" thickBot="1" x14ac:dyDescent="0.25">
      <c r="C33" s="606" t="s">
        <v>937</v>
      </c>
      <c r="D33" s="607">
        <f>IF(HLOOKUP($D$17,$I$17:$L$34,M33,FALSE)=0,"",HLOOKUP($D$17,$I$17:$L$34,M33,FALSE))</f>
        <v>70</v>
      </c>
      <c r="F33" s="613">
        <f>'Assumptions-Output Override'!$L$17</f>
        <v>80</v>
      </c>
      <c r="G33" s="926"/>
      <c r="I33" s="607">
        <v>70</v>
      </c>
      <c r="J33" s="607">
        <v>70</v>
      </c>
      <c r="K33" s="607">
        <v>70</v>
      </c>
      <c r="L33" s="607"/>
      <c r="M33" s="892">
        <f t="shared" si="0"/>
        <v>17</v>
      </c>
    </row>
    <row r="34" spans="3:13" ht="16" thickBot="1" x14ac:dyDescent="0.25">
      <c r="C34" s="606" t="s">
        <v>938</v>
      </c>
      <c r="D34" s="607">
        <f>IF(HLOOKUP($D$17,$I$17:$L$34,M34,FALSE)=0,"",HLOOKUP($D$17,$I$17:$L$34,M34,FALSE))</f>
        <v>160</v>
      </c>
      <c r="F34" s="613">
        <f>'Assumptions-Output Override'!$M$17</f>
        <v>200</v>
      </c>
      <c r="G34" s="927"/>
      <c r="I34" s="607">
        <v>160</v>
      </c>
      <c r="J34" s="607">
        <v>160</v>
      </c>
      <c r="K34" s="607">
        <v>160</v>
      </c>
      <c r="L34" s="607"/>
      <c r="M34" s="892">
        <f t="shared" si="0"/>
        <v>18</v>
      </c>
    </row>
  </sheetData>
  <mergeCells count="1">
    <mergeCell ref="G18:G34"/>
  </mergeCells>
  <dataValidations count="1">
    <dataValidation type="list" allowBlank="1" showInputMessage="1" showErrorMessage="1" sqref="D17">
      <formula1>$I$17:$L$17</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88067" r:id="rId4" name="Button 3">
              <controlPr defaultSize="0" print="0" autoFill="0" autoPict="0" macro="[0]!Calculate_Curr_AV">
                <anchor moveWithCells="1" sizeWithCells="1">
                  <from>
                    <xdr:col>2</xdr:col>
                    <xdr:colOff>203200</xdr:colOff>
                    <xdr:row>14</xdr:row>
                    <xdr:rowOff>25400</xdr:rowOff>
                  </from>
                  <to>
                    <xdr:col>2</xdr:col>
                    <xdr:colOff>2730500</xdr:colOff>
                    <xdr:row>16</xdr:row>
                    <xdr:rowOff>203200</xdr:rowOff>
                  </to>
                </anchor>
              </controlPr>
            </control>
          </mc:Choice>
          <mc:Fallback/>
        </mc:AlternateContent>
      </controls>
    </mc:Choice>
    <mc:Fallback/>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0" enableFormatConditionsCalculation="0">
    <tabColor rgb="FF6F2E91"/>
  </sheetPr>
  <dimension ref="C1:N44"/>
  <sheetViews>
    <sheetView showGridLines="0" showRowColHeaders="0" zoomScale="120" zoomScaleNormal="120" zoomScalePageLayoutView="120" workbookViewId="0"/>
  </sheetViews>
  <sheetFormatPr baseColWidth="10" defaultColWidth="8.83203125" defaultRowHeight="15" x14ac:dyDescent="0.2"/>
  <cols>
    <col min="1" max="1" width="1.1640625" style="252" customWidth="1"/>
    <col min="2" max="2" width="6.5" style="252" customWidth="1"/>
    <col min="3" max="3" width="4" style="252" customWidth="1"/>
    <col min="4" max="4" width="50.1640625" style="252" customWidth="1"/>
    <col min="5" max="8" width="10.83203125" style="252" customWidth="1"/>
    <col min="9" max="9" width="20.33203125" style="252" customWidth="1"/>
    <col min="10" max="10" width="8.83203125" style="252" hidden="1" customWidth="1"/>
    <col min="11" max="11" width="7.1640625" style="252" customWidth="1"/>
    <col min="12" max="12" width="3.33203125" style="252" customWidth="1"/>
    <col min="13" max="13" width="14.1640625" style="252" customWidth="1"/>
    <col min="14" max="16384" width="8.83203125" style="252"/>
  </cols>
  <sheetData>
    <row r="1" spans="3:14" ht="6" customHeight="1" x14ac:dyDescent="0.2"/>
    <row r="2" spans="3:14" ht="21" x14ac:dyDescent="0.25">
      <c r="C2" s="587" t="str">
        <f>"Add-In Control Panel for "&amp;plan_sponsor</f>
        <v>Add-In Control Panel for Your Client</v>
      </c>
    </row>
    <row r="3" spans="3:14" ht="14.5" customHeight="1" x14ac:dyDescent="0.2"/>
    <row r="4" spans="3:14" ht="14.5" customHeight="1" thickBot="1" x14ac:dyDescent="0.25"/>
    <row r="5" spans="3:14" ht="14.5" customHeight="1" x14ac:dyDescent="0.2">
      <c r="C5" s="253" t="s">
        <v>300</v>
      </c>
      <c r="D5" s="254"/>
      <c r="E5" s="255" t="s">
        <v>301</v>
      </c>
      <c r="F5" s="254"/>
      <c r="G5" s="254"/>
      <c r="H5" s="254"/>
      <c r="I5" s="256" t="s">
        <v>302</v>
      </c>
    </row>
    <row r="6" spans="3:14" ht="25.75" customHeight="1" thickBot="1" x14ac:dyDescent="0.25">
      <c r="C6" s="257"/>
      <c r="D6" s="258"/>
      <c r="E6" s="258"/>
      <c r="F6" s="258"/>
      <c r="G6" s="258"/>
      <c r="H6" s="258"/>
      <c r="I6" s="259"/>
      <c r="J6" s="260">
        <v>85</v>
      </c>
    </row>
    <row r="7" spans="3:14" ht="14.5" customHeight="1" thickBot="1" x14ac:dyDescent="0.25"/>
    <row r="8" spans="3:14" ht="14.5" customHeight="1" x14ac:dyDescent="0.2">
      <c r="C8" s="261" t="s">
        <v>303</v>
      </c>
      <c r="D8" s="262"/>
      <c r="E8" s="263" t="s">
        <v>304</v>
      </c>
      <c r="F8" s="264"/>
      <c r="G8" s="264"/>
      <c r="H8" s="265" t="str">
        <f>"Member Add-In Cost @ "&amp;$D$9</f>
        <v>Member Add-In Cost @ ASC</v>
      </c>
      <c r="I8" s="266"/>
      <c r="M8" s="267" t="s">
        <v>305</v>
      </c>
      <c r="N8" s="268"/>
    </row>
    <row r="9" spans="3:14" ht="14.5" customHeight="1" thickBot="1" x14ac:dyDescent="0.25">
      <c r="C9" s="269"/>
      <c r="D9" s="643" t="s">
        <v>981</v>
      </c>
      <c r="E9" s="270" t="s">
        <v>306</v>
      </c>
      <c r="F9" s="271" t="s">
        <v>307</v>
      </c>
      <c r="G9" s="271" t="s">
        <v>308</v>
      </c>
      <c r="H9" s="272" t="s">
        <v>309</v>
      </c>
      <c r="I9" s="273" t="s">
        <v>310</v>
      </c>
      <c r="M9" s="269"/>
      <c r="N9" s="274"/>
    </row>
    <row r="10" spans="3:14" ht="14.5" customHeight="1" x14ac:dyDescent="0.2">
      <c r="C10" s="275"/>
      <c r="D10" s="588" t="str">
        <f>IF('Add-In_List'!A1="","",'Add-In_List'!A1)</f>
        <v>Ankle Ligament Reconstruction</v>
      </c>
      <c r="E10" s="589">
        <f>IFERROR(VLOOKUP($D10,IP!$B$2:$S$32,7,0),"")</f>
        <v>0.12642705330110243</v>
      </c>
      <c r="F10" s="590">
        <f>IFERROR(VLOOKUP($D10,IP!$B$2:$S$32,8,0),"")</f>
        <v>14139.200827205883</v>
      </c>
      <c r="G10" s="591">
        <f>IFERROR(E10*F10/1000/12,"")</f>
        <v>0.14896479138467913</v>
      </c>
      <c r="H10" s="592" t="str">
        <f ca="1">IFERROR(IF(VLOOKUP($D10,INDIRECT($D$9&amp;"!$B$2:$S$32"),2,0)="","",TEXT(VLOOKUP($D10,INDIRECT($D$9&amp;"!$B$2:$S$32"),2,0),"$#,##0")&amp;" +"),"")</f>
        <v>$1,300 +</v>
      </c>
      <c r="I10" s="593" t="str">
        <f ca="1">IFERROR(VLOOKUP($D10,INDIRECT($D$9&amp;"!$B$2:$S$32"),4,0),"")</f>
        <v>$100 for 12 pay periods</v>
      </c>
      <c r="J10" s="252" t="b">
        <v>1</v>
      </c>
      <c r="L10" s="928" t="s">
        <v>311</v>
      </c>
      <c r="M10" s="276" t="s">
        <v>312</v>
      </c>
      <c r="N10" s="277">
        <v>100</v>
      </c>
    </row>
    <row r="11" spans="3:14" x14ac:dyDescent="0.2">
      <c r="C11" s="269"/>
      <c r="D11" s="594" t="str">
        <f>IF('Add-In_List'!A2="","",'Add-In_List'!A2)</f>
        <v>Back Surgery, Cervical Spine Fusion</v>
      </c>
      <c r="E11" s="595">
        <f>IFERROR(VLOOKUP($D11,IP!$B$2:$S$32,7,0),"")</f>
        <v>0.57019165445285147</v>
      </c>
      <c r="F11" s="596">
        <f>IFERROR(VLOOKUP($D11,IP!$B$2:$S$32,8,0),"")</f>
        <v>41086.631598289983</v>
      </c>
      <c r="G11" s="597">
        <f t="shared" ref="G11:G44" si="0">IFERROR(E11*F11/1000/12,"")</f>
        <v>1.9522712039103141</v>
      </c>
      <c r="H11" s="598" t="str">
        <f t="shared" ref="H11:H44" ca="1" si="1">IFERROR(IF(VLOOKUP($D11,INDIRECT($D$9&amp;"!$B$2:$S$32"),2,0)="","",TEXT(VLOOKUP($D11,INDIRECT($D$9&amp;"!$B$2:$S$32"),2,0),"$#,##0")&amp;" +"),"")</f>
        <v>$1,700 +</v>
      </c>
      <c r="I11" s="599" t="str">
        <f t="shared" ref="I11:I44" ca="1" si="2">IFERROR(VLOOKUP($D11,INDIRECT($D$9&amp;"!$B$2:$S$32"),4,0),"")</f>
        <v>$100 for 17 pay periods</v>
      </c>
      <c r="J11" s="252" t="b">
        <v>1</v>
      </c>
      <c r="L11" s="929"/>
      <c r="M11" s="278" t="s">
        <v>313</v>
      </c>
      <c r="N11" s="277">
        <v>500</v>
      </c>
    </row>
    <row r="12" spans="3:14" ht="16" thickBot="1" x14ac:dyDescent="0.25">
      <c r="C12" s="275"/>
      <c r="D12" s="588" t="str">
        <f>IF('Add-In_List'!A3="","",'Add-In_List'!A3)</f>
        <v>Back Surgery, Lumbar Spine Fusion</v>
      </c>
      <c r="E12" s="589">
        <f>IFERROR(VLOOKUP($D12,IP!$B$2:$S$32,7,0),"")</f>
        <v>0.51516202187759474</v>
      </c>
      <c r="F12" s="590">
        <f>IFERROR(VLOOKUP($D12,IP!$B$2:$S$32,8,0),"")</f>
        <v>78172.246487055003</v>
      </c>
      <c r="G12" s="591">
        <f t="shared" si="0"/>
        <v>3.3559477129154129</v>
      </c>
      <c r="H12" s="592" t="str">
        <f t="shared" ca="1" si="1"/>
        <v>$1,800 +</v>
      </c>
      <c r="I12" s="593" t="str">
        <f t="shared" ca="1" si="2"/>
        <v>$150 for 19 pay periods</v>
      </c>
      <c r="J12" s="252" t="b">
        <v>1</v>
      </c>
      <c r="L12" s="930"/>
      <c r="M12" s="279" t="s">
        <v>314</v>
      </c>
      <c r="N12" s="280">
        <v>2500</v>
      </c>
    </row>
    <row r="13" spans="3:14" ht="16" thickBot="1" x14ac:dyDescent="0.25">
      <c r="C13" s="269"/>
      <c r="D13" s="594" t="str">
        <f>IF('Add-In_List'!A4="","",'Add-In_List'!A4)</f>
        <v>Back Surgery, Discectomy/Laminectomy/Decompression</v>
      </c>
      <c r="E13" s="595">
        <f>IFERROR(VLOOKUP($D13,IP!$B$2:$S$32,7,0),"")</f>
        <v>1.6876459497855307</v>
      </c>
      <c r="F13" s="596">
        <f>IFERROR(VLOOKUP($D13,IP!$B$2:$S$32,8,0),"")</f>
        <v>51704.705835570385</v>
      </c>
      <c r="G13" s="597">
        <f t="shared" si="0"/>
        <v>7.2716031156877214</v>
      </c>
      <c r="H13" s="598" t="str">
        <f t="shared" ca="1" si="1"/>
        <v>$1,800 +</v>
      </c>
      <c r="I13" s="599" t="str">
        <f t="shared" ca="1" si="2"/>
        <v>$150 for 19 pay periods</v>
      </c>
      <c r="J13" s="252" t="b">
        <v>1</v>
      </c>
      <c r="L13" s="281"/>
      <c r="M13" s="282"/>
      <c r="N13" s="282"/>
    </row>
    <row r="14" spans="3:14" ht="14.5" customHeight="1" x14ac:dyDescent="0.2">
      <c r="C14" s="275"/>
      <c r="D14" s="588" t="str">
        <f>IF('Add-In_List'!A5="","",'Add-In_List'!A5)</f>
        <v>Bariatric Surgery</v>
      </c>
      <c r="E14" s="589">
        <f>IFERROR(VLOOKUP($D14,IP!$B$2:$S$32,7,0),"")</f>
        <v>0.68360208312557591</v>
      </c>
      <c r="F14" s="590">
        <f>IFERROR(VLOOKUP($D14,IP!$B$2:$S$32,8,0),"")</f>
        <v>29454.865826672838</v>
      </c>
      <c r="G14" s="591">
        <f t="shared" si="0"/>
        <v>1.6779506364414907</v>
      </c>
      <c r="H14" s="592" t="str">
        <f t="shared" ca="1" si="1"/>
        <v>$1,500 +</v>
      </c>
      <c r="I14" s="593" t="str">
        <f t="shared" ca="1" si="2"/>
        <v>$100 for 15 pay periods</v>
      </c>
      <c r="J14" s="252" t="b">
        <v>1</v>
      </c>
      <c r="L14" s="928" t="s">
        <v>310</v>
      </c>
      <c r="M14" s="283" t="s">
        <v>312</v>
      </c>
      <c r="N14" s="284">
        <v>50</v>
      </c>
    </row>
    <row r="15" spans="3:14" x14ac:dyDescent="0.2">
      <c r="C15" s="269"/>
      <c r="D15" s="594" t="str">
        <f>IF('Add-In_List'!A6="","",'Add-In_List'!A6)</f>
        <v>Breast Reduction</v>
      </c>
      <c r="E15" s="595">
        <f>IFERROR(VLOOKUP($D15,IP!$B$2:$S$32,7,0),"")</f>
        <v>0.2522897001142535</v>
      </c>
      <c r="F15" s="596">
        <f>IFERROR(VLOOKUP($D15,IP!$B$2:$S$32,8,0),"")</f>
        <v>14048.532997211896</v>
      </c>
      <c r="G15" s="597">
        <f t="shared" si="0"/>
        <v>0.29535834807598199</v>
      </c>
      <c r="H15" s="598" t="str">
        <f t="shared" ca="1" si="1"/>
        <v>$1,300 +</v>
      </c>
      <c r="I15" s="599" t="str">
        <f t="shared" ca="1" si="2"/>
        <v>$100 for 12 pay periods</v>
      </c>
      <c r="J15" s="252" t="b">
        <v>1</v>
      </c>
      <c r="L15" s="929"/>
      <c r="M15" s="278" t="s">
        <v>1148</v>
      </c>
      <c r="N15" s="277">
        <v>50</v>
      </c>
    </row>
    <row r="16" spans="3:14" x14ac:dyDescent="0.2">
      <c r="C16" s="275"/>
      <c r="D16" s="588" t="str">
        <f>IF('Add-In_List'!A7="","",'Add-In_List'!A7)</f>
        <v>Bunionectomy</v>
      </c>
      <c r="E16" s="589">
        <f>IFERROR(VLOOKUP($D16,IP!$B$2:$S$32,7,0),"")</f>
        <v>0.59357924829733555</v>
      </c>
      <c r="F16" s="590">
        <f>IFERROR(VLOOKUP($D16,IP!$B$2:$S$32,8,0),"")</f>
        <v>9546.5535446932445</v>
      </c>
      <c r="G16" s="591">
        <f t="shared" si="0"/>
        <v>0.47221967307410667</v>
      </c>
      <c r="H16" s="592" t="str">
        <f t="shared" ca="1" si="1"/>
        <v>$1,300 +</v>
      </c>
      <c r="I16" s="593" t="str">
        <f t="shared" ca="1" si="2"/>
        <v>$100 for 12 pay periods</v>
      </c>
      <c r="J16" s="252" t="b">
        <v>1</v>
      </c>
      <c r="L16" s="929"/>
      <c r="M16" s="278" t="s">
        <v>1149</v>
      </c>
      <c r="N16" s="277">
        <v>200</v>
      </c>
    </row>
    <row r="17" spans="3:14" ht="16" thickBot="1" x14ac:dyDescent="0.25">
      <c r="C17" s="269"/>
      <c r="D17" s="594" t="str">
        <f>IF('Add-In_List'!A8="","",'Add-In_List'!A8)</f>
        <v>Carotid Endarterectomy</v>
      </c>
      <c r="E17" s="595">
        <f>IFERROR(VLOOKUP($D17,IP!$B$2:$S$32,7,0),"")</f>
        <v>7.9016908313189013E-2</v>
      </c>
      <c r="F17" s="596">
        <f>IFERROR(VLOOKUP($D17,IP!$B$2:$S$32,8,0),"")</f>
        <v>43620.802578422488</v>
      </c>
      <c r="G17" s="597">
        <f t="shared" si="0"/>
        <v>0.28723174649057742</v>
      </c>
      <c r="H17" s="598" t="str">
        <f t="shared" ca="1" si="1"/>
        <v/>
      </c>
      <c r="I17" s="599" t="str">
        <f t="shared" ca="1" si="2"/>
        <v/>
      </c>
      <c r="J17" s="252" t="b">
        <v>1</v>
      </c>
      <c r="L17" s="930"/>
      <c r="M17" s="279" t="s">
        <v>1150</v>
      </c>
      <c r="N17" s="280">
        <v>300</v>
      </c>
    </row>
    <row r="18" spans="3:14" ht="14.5" customHeight="1" thickBot="1" x14ac:dyDescent="0.25">
      <c r="C18" s="275"/>
      <c r="D18" s="588" t="str">
        <f>IF('Add-In_List'!A9="","",'Add-In_List'!A9)</f>
        <v>Carpal Tunnel Procedure</v>
      </c>
      <c r="E18" s="589">
        <f>IFERROR(VLOOKUP($D18,IP!$B$2:$S$32,7,0),"")</f>
        <v>0.99212077960198253</v>
      </c>
      <c r="F18" s="590">
        <f>IFERROR(VLOOKUP($D18,IP!$B$2:$S$32,8,0),"")</f>
        <v>6817.5638537543291</v>
      </c>
      <c r="G18" s="591">
        <f t="shared" si="0"/>
        <v>0.56365389713108682</v>
      </c>
      <c r="H18" s="592" t="str">
        <f t="shared" ca="1" si="1"/>
        <v>$1,200 +</v>
      </c>
      <c r="I18" s="593" t="str">
        <f t="shared" ca="1" si="2"/>
        <v>$50 for 11 pay periods</v>
      </c>
      <c r="J18" s="252" t="b">
        <v>1</v>
      </c>
      <c r="L18" s="894"/>
      <c r="M18" s="894"/>
      <c r="N18" s="894"/>
    </row>
    <row r="19" spans="3:14" x14ac:dyDescent="0.2">
      <c r="C19" s="269"/>
      <c r="D19" s="594" t="str">
        <f>IF('Add-In_List'!A10="","",'Add-In_List'!A10)</f>
        <v>Cardiac Catheterization, Diagnostic</v>
      </c>
      <c r="E19" s="595">
        <f>IFERROR(VLOOKUP($D19,IP!$B$2:$S$32,7,0),"")</f>
        <v>2.63874143279455</v>
      </c>
      <c r="F19" s="596">
        <f>IFERROR(VLOOKUP($D19,IP!$B$2:$S$32,8,0),"")</f>
        <v>29063.533991905028</v>
      </c>
      <c r="G19" s="597">
        <f t="shared" si="0"/>
        <v>6.3909292773227149</v>
      </c>
      <c r="H19" s="598" t="str">
        <f t="shared" ca="1" si="1"/>
        <v>$1,500 +</v>
      </c>
      <c r="I19" s="599" t="str">
        <f t="shared" ca="1" si="2"/>
        <v>$100 for 15 pay periods</v>
      </c>
      <c r="J19" s="252" t="b">
        <v>1</v>
      </c>
      <c r="L19" s="931" t="s">
        <v>1047</v>
      </c>
      <c r="M19" s="283" t="s">
        <v>315</v>
      </c>
      <c r="N19" s="285" t="s">
        <v>316</v>
      </c>
    </row>
    <row r="20" spans="3:14" x14ac:dyDescent="0.2">
      <c r="C20" s="275"/>
      <c r="D20" s="588" t="str">
        <f>IF('Add-In_List'!A11="","",'Add-In_List'!A11)</f>
        <v>Coronary Angioplasty, Non-Emergency</v>
      </c>
      <c r="E20" s="589">
        <f>IFERROR(VLOOKUP($D20,IP!$B$2:$S$32,7,0),"")</f>
        <v>0.82692605565972188</v>
      </c>
      <c r="F20" s="590">
        <f>IFERROR(VLOOKUP($D20,IP!$B$2:$S$32,8,0),"")</f>
        <v>41269.522555887037</v>
      </c>
      <c r="G20" s="591">
        <f t="shared" si="0"/>
        <v>2.843903625508299</v>
      </c>
      <c r="H20" s="592" t="str">
        <f t="shared" ca="1" si="1"/>
        <v/>
      </c>
      <c r="I20" s="593" t="str">
        <f t="shared" ca="1" si="2"/>
        <v/>
      </c>
      <c r="J20" s="252" t="b">
        <v>1</v>
      </c>
      <c r="L20" s="932"/>
      <c r="M20" s="278" t="s">
        <v>317</v>
      </c>
      <c r="N20" s="286">
        <v>4</v>
      </c>
    </row>
    <row r="21" spans="3:14" ht="14.5" customHeight="1" thickBot="1" x14ac:dyDescent="0.25">
      <c r="C21" s="269"/>
      <c r="D21" s="594" t="str">
        <f>IF('Add-In_List'!A12="","",'Add-In_List'!A12)</f>
        <v>Coronary Artery Bypass Surgery, Non-Emergency</v>
      </c>
      <c r="E21" s="595">
        <f>IFERROR(VLOOKUP($D21,IP!$B$2:$S$32,7,0),"")</f>
        <v>0.21264014433567116</v>
      </c>
      <c r="F21" s="596">
        <f>IFERROR(VLOOKUP($D21,IP!$B$2:$S$32,8,0),"")</f>
        <v>92446.392879631472</v>
      </c>
      <c r="G21" s="597">
        <f t="shared" si="0"/>
        <v>1.6381511937697499</v>
      </c>
      <c r="H21" s="598" t="str">
        <f t="shared" ca="1" si="1"/>
        <v/>
      </c>
      <c r="I21" s="599" t="str">
        <f t="shared" ca="1" si="2"/>
        <v/>
      </c>
      <c r="J21" s="252" t="b">
        <v>1</v>
      </c>
      <c r="L21" s="933"/>
      <c r="M21" s="279" t="s">
        <v>318</v>
      </c>
      <c r="N21" s="287">
        <v>26</v>
      </c>
    </row>
    <row r="22" spans="3:14" x14ac:dyDescent="0.2">
      <c r="C22" s="275"/>
      <c r="D22" s="588" t="str">
        <f>IF('Add-In_List'!A13="","",'Add-In_List'!A13)</f>
        <v>Ear Tubes</v>
      </c>
      <c r="E22" s="589">
        <f>IFERROR(VLOOKUP($D22,IP!$B$2:$S$32,7,0),"")</f>
        <v>1.7526937975219239</v>
      </c>
      <c r="F22" s="590">
        <f>IFERROR(VLOOKUP($D22,IP!$B$2:$S$32,8,0),"")</f>
        <v>4621.347547509471</v>
      </c>
      <c r="G22" s="591">
        <f t="shared" si="0"/>
        <v>0.6749839318927503</v>
      </c>
      <c r="H22" s="592" t="str">
        <f t="shared" ca="1" si="1"/>
        <v>$1,100 +</v>
      </c>
      <c r="I22" s="593" t="str">
        <f t="shared" ca="1" si="2"/>
        <v>$50 for 10 pay periods</v>
      </c>
      <c r="J22" s="252" t="b">
        <v>1</v>
      </c>
    </row>
    <row r="23" spans="3:14" x14ac:dyDescent="0.2">
      <c r="C23" s="269"/>
      <c r="D23" s="594" t="str">
        <f>IF('Add-In_List'!A14="","",'Add-In_List'!A14)</f>
        <v>Endometrial Ablation</v>
      </c>
      <c r="E23" s="595">
        <f>IFERROR(VLOOKUP($D23,IP!$B$2:$S$32,7,0),"")</f>
        <v>0.76332449954870407</v>
      </c>
      <c r="F23" s="596">
        <f>IFERROR(VLOOKUP($D23,IP!$B$2:$S$32,8,0),"")</f>
        <v>7849.6943655689611</v>
      </c>
      <c r="G23" s="597">
        <f t="shared" si="0"/>
        <v>0.49932200193401743</v>
      </c>
      <c r="H23" s="598" t="str">
        <f t="shared" ca="1" si="1"/>
        <v>$1,200 +</v>
      </c>
      <c r="I23" s="599" t="str">
        <f t="shared" ca="1" si="2"/>
        <v>$50 for 12 pay periods</v>
      </c>
      <c r="J23" s="252" t="b">
        <v>1</v>
      </c>
    </row>
    <row r="24" spans="3:14" x14ac:dyDescent="0.2">
      <c r="C24" s="275"/>
      <c r="D24" s="588" t="str">
        <f>IF('Add-In_List'!A15="","",'Add-In_List'!A15)</f>
        <v>Foot Bone Fusion</v>
      </c>
      <c r="E24" s="589">
        <f>IFERROR(VLOOKUP($D24,IP!$B$2:$S$32,7,0),"")</f>
        <v>0.12695618438355682</v>
      </c>
      <c r="F24" s="590">
        <f>IFERROR(VLOOKUP($D24,IP!$B$2:$S$32,8,0),"")</f>
        <v>20743.070277593557</v>
      </c>
      <c r="G24" s="591">
        <f t="shared" si="0"/>
        <v>0.21945508790360371</v>
      </c>
      <c r="H24" s="592" t="str">
        <f t="shared" ca="1" si="1"/>
        <v>$1,400 +</v>
      </c>
      <c r="I24" s="593" t="str">
        <f t="shared" ca="1" si="2"/>
        <v>$100 for 14 pay periods</v>
      </c>
      <c r="J24" s="252" t="b">
        <v>1</v>
      </c>
    </row>
    <row r="25" spans="3:14" x14ac:dyDescent="0.2">
      <c r="C25" s="269"/>
      <c r="D25" s="594" t="str">
        <f>IF('Add-In_List'!A16="","",'Add-In_List'!A16)</f>
        <v>Ganglion Cyst Surgery</v>
      </c>
      <c r="E25" s="595">
        <f>IFERROR(VLOOKUP($D25,IP!$B$2:$S$32,7,0),"")</f>
        <v>0.1870654753503756</v>
      </c>
      <c r="F25" s="596">
        <f>IFERROR(VLOOKUP($D25,IP!$B$2:$S$32,8,0),"")</f>
        <v>5279.8723912568321</v>
      </c>
      <c r="G25" s="597">
        <f t="shared" si="0"/>
        <v>8.23068198883153E-2</v>
      </c>
      <c r="H25" s="598" t="str">
        <f t="shared" ca="1" si="1"/>
        <v>$1,100 +</v>
      </c>
      <c r="I25" s="599" t="str">
        <f t="shared" ca="1" si="2"/>
        <v>$50 for 11 pay periods</v>
      </c>
      <c r="J25" s="252" t="b">
        <v>1</v>
      </c>
    </row>
    <row r="26" spans="3:14" x14ac:dyDescent="0.2">
      <c r="C26" s="275"/>
      <c r="D26" s="588" t="str">
        <f>IF('Add-In_List'!A17="","",'Add-In_List'!A17)</f>
        <v>Hammertoe Surgery</v>
      </c>
      <c r="E26" s="589">
        <f>IFERROR(VLOOKUP($D26,IP!$B$2:$S$32,7,0),"")</f>
        <v>0.35642269714127761</v>
      </c>
      <c r="F26" s="590">
        <f>IFERROR(VLOOKUP($D26,IP!$B$2:$S$32,8,0),"")</f>
        <v>9607.3675178839803</v>
      </c>
      <c r="G26" s="591">
        <f t="shared" si="0"/>
        <v>0.28535698692930916</v>
      </c>
      <c r="H26" s="592" t="str">
        <f t="shared" ca="1" si="1"/>
        <v>$1,300 +</v>
      </c>
      <c r="I26" s="593" t="str">
        <f t="shared" ca="1" si="2"/>
        <v>$100 for 13 pay periods</v>
      </c>
      <c r="J26" s="252" t="b">
        <v>1</v>
      </c>
    </row>
    <row r="27" spans="3:14" x14ac:dyDescent="0.2">
      <c r="C27" s="269"/>
      <c r="D27" s="594" t="str">
        <f>IF('Add-In_List'!A18="","",'Add-In_List'!A18)</f>
        <v>Hernia Repairs, Ventral</v>
      </c>
      <c r="E27" s="595">
        <f>IFERROR(VLOOKUP($D27,IP!$B$2:$S$32,7,0),"")</f>
        <v>0.72166424565679499</v>
      </c>
      <c r="F27" s="596">
        <f>IFERROR(VLOOKUP($D27,IP!$B$2:$S$32,8,0),"")</f>
        <v>17621.945600242194</v>
      </c>
      <c r="G27" s="597">
        <f t="shared" si="0"/>
        <v>1.0597606732169884</v>
      </c>
      <c r="H27" s="598" t="str">
        <f t="shared" ca="1" si="1"/>
        <v>$1,200 +</v>
      </c>
      <c r="I27" s="599" t="str">
        <f t="shared" ca="1" si="2"/>
        <v>$50 for 12 pay periods</v>
      </c>
      <c r="J27" s="252" t="b">
        <v>1</v>
      </c>
    </row>
    <row r="28" spans="3:14" x14ac:dyDescent="0.2">
      <c r="C28" s="275"/>
      <c r="D28" s="588" t="str">
        <f>IF('Add-In_List'!A19="","",'Add-In_List'!A19)</f>
        <v>Hip Arthroscopy</v>
      </c>
      <c r="E28" s="589">
        <f>IFERROR(VLOOKUP($D28,IP!$B$2:$S$32,7,0),"")</f>
        <v>0.14692206389483584</v>
      </c>
      <c r="F28" s="590">
        <f>IFERROR(VLOOKUP($D28,IP!$B$2:$S$32,8,0),"")</f>
        <v>18773.541745564362</v>
      </c>
      <c r="G28" s="591">
        <f t="shared" si="0"/>
        <v>0.22985395832284791</v>
      </c>
      <c r="H28" s="592" t="str">
        <f t="shared" ca="1" si="1"/>
        <v>$1,400 +</v>
      </c>
      <c r="I28" s="593" t="str">
        <f t="shared" ca="1" si="2"/>
        <v>$100 for 14 pay periods</v>
      </c>
      <c r="J28" s="252" t="b">
        <v>1</v>
      </c>
    </row>
    <row r="29" spans="3:14" x14ac:dyDescent="0.2">
      <c r="C29" s="269"/>
      <c r="D29" s="594" t="str">
        <f>IF('Add-In_List'!A20="","",'Add-In_List'!A20)</f>
        <v>Hip Replacement/Resurfacing</v>
      </c>
      <c r="E29" s="595">
        <f>IFERROR(VLOOKUP($D29,IP!$B$2:$S$32,7,0),"")</f>
        <v>0.67224340255555493</v>
      </c>
      <c r="F29" s="596">
        <f>IFERROR(VLOOKUP($D29,IP!$B$2:$S$32,8,0),"")</f>
        <v>38959.236827678898</v>
      </c>
      <c r="G29" s="597">
        <f t="shared" si="0"/>
        <v>2.1825074938338789</v>
      </c>
      <c r="H29" s="598" t="str">
        <f t="shared" ca="1" si="1"/>
        <v>$1,700 +</v>
      </c>
      <c r="I29" s="599" t="str">
        <f t="shared" ca="1" si="2"/>
        <v>$100 for 17 pay periods</v>
      </c>
      <c r="J29" s="252" t="b">
        <v>1</v>
      </c>
    </row>
    <row r="30" spans="3:14" x14ac:dyDescent="0.2">
      <c r="C30" s="275"/>
      <c r="D30" s="588" t="str">
        <f>IF('Add-In_List'!A21="","",'Add-In_List'!A21)</f>
        <v>Hysterectomy, Non-Cancerous</v>
      </c>
      <c r="E30" s="589">
        <f>IFERROR(VLOOKUP($D30,IP!$B$2:$S$32,7,0),"")</f>
        <v>1.7660984516107685</v>
      </c>
      <c r="F30" s="590">
        <f>IFERROR(VLOOKUP($D30,IP!$B$2:$S$32,8,0),"")</f>
        <v>16976.676317150392</v>
      </c>
      <c r="G30" s="591">
        <f t="shared" si="0"/>
        <v>2.4985401464347095</v>
      </c>
      <c r="H30" s="592" t="str">
        <f t="shared" ca="1" si="1"/>
        <v>$1,200 +</v>
      </c>
      <c r="I30" s="593" t="str">
        <f t="shared" ca="1" si="2"/>
        <v>$50 for 12 pay periods</v>
      </c>
      <c r="J30" s="252" t="b">
        <v>1</v>
      </c>
    </row>
    <row r="31" spans="3:14" x14ac:dyDescent="0.2">
      <c r="C31" s="269"/>
      <c r="D31" s="594" t="str">
        <f>IF('Add-In_List'!A22="","",'Add-In_List'!A22)</f>
        <v>Knee Arthroscopy</v>
      </c>
      <c r="E31" s="595">
        <f>IFERROR(VLOOKUP($D31,IP!$B$2:$S$32,7,0),"")</f>
        <v>3.1861804507018623</v>
      </c>
      <c r="F31" s="596">
        <f>IFERROR(VLOOKUP($D31,IP!$B$2:$S$32,8,0),"")</f>
        <v>9609.7943396683113</v>
      </c>
      <c r="G31" s="597">
        <f t="shared" si="0"/>
        <v>2.5515449050263821</v>
      </c>
      <c r="H31" s="598" t="str">
        <f t="shared" ca="1" si="1"/>
        <v>$1,100 +</v>
      </c>
      <c r="I31" s="599" t="str">
        <f t="shared" ca="1" si="2"/>
        <v>$50 for 11 pay periods</v>
      </c>
      <c r="J31" s="252" t="b">
        <v>1</v>
      </c>
    </row>
    <row r="32" spans="3:14" x14ac:dyDescent="0.2">
      <c r="C32" s="275"/>
      <c r="D32" s="588" t="str">
        <f>IF('Add-In_List'!A23="","",'Add-In_List'!A23)</f>
        <v>Knee Replacement</v>
      </c>
      <c r="E32" s="589">
        <f>IFERROR(VLOOKUP($D32,IP!$B$2:$S$32,7,0),"")</f>
        <v>1.1801739663062731</v>
      </c>
      <c r="F32" s="590">
        <f>IFERROR(VLOOKUP($D32,IP!$B$2:$S$32,8,0),"")</f>
        <v>39673.916914950925</v>
      </c>
      <c r="G32" s="591">
        <f t="shared" si="0"/>
        <v>3.9018436570352644</v>
      </c>
      <c r="H32" s="592" t="str">
        <f t="shared" ca="1" si="1"/>
        <v>$1,700 +</v>
      </c>
      <c r="I32" s="593" t="str">
        <f t="shared" ca="1" si="2"/>
        <v>$100 for 17 pay periods</v>
      </c>
      <c r="J32" s="252" t="b">
        <v>1</v>
      </c>
    </row>
    <row r="33" spans="3:10" x14ac:dyDescent="0.2">
      <c r="C33" s="269"/>
      <c r="D33" s="594" t="str">
        <f>IF('Add-In_List'!A24="","",'Add-In_List'!A24)</f>
        <v>Morton's Neuroma, Excision</v>
      </c>
      <c r="E33" s="595">
        <f>IFERROR(VLOOKUP($D33,IP!$B$2:$S$32,7,0),"")</f>
        <v>0.10441520027099978</v>
      </c>
      <c r="F33" s="596">
        <f>IFERROR(VLOOKUP($D33,IP!$B$2:$S$32,8,0),"")</f>
        <v>6668.4217528438458</v>
      </c>
      <c r="G33" s="597">
        <f t="shared" si="0"/>
        <v>5.8023716067890134E-2</v>
      </c>
      <c r="H33" s="598" t="str">
        <f t="shared" ca="1" si="1"/>
        <v>$1,200 +</v>
      </c>
      <c r="I33" s="599" t="str">
        <f t="shared" ca="1" si="2"/>
        <v>$50 for 11 pay periods</v>
      </c>
      <c r="J33" s="252" t="b">
        <v>1</v>
      </c>
    </row>
    <row r="34" spans="3:10" x14ac:dyDescent="0.2">
      <c r="C34" s="275"/>
      <c r="D34" s="588" t="str">
        <f>IF('Add-In_List'!A25="","",'Add-In_List'!A25)</f>
        <v>Nissen Fundoplication (Reflux Surgery)</v>
      </c>
      <c r="E34" s="589">
        <f>IFERROR(VLOOKUP($D34,IP!$B$2:$S$32,7,0),"")</f>
        <v>0.28802368588267335</v>
      </c>
      <c r="F34" s="590">
        <f>IFERROR(VLOOKUP($D34,IP!$B$2:$S$32,8,0),"")</f>
        <v>27966.137788129003</v>
      </c>
      <c r="G34" s="591">
        <f t="shared" si="0"/>
        <v>0.67124250713663569</v>
      </c>
      <c r="H34" s="592" t="str">
        <f t="shared" ca="1" si="1"/>
        <v>$1,500 +</v>
      </c>
      <c r="I34" s="593" t="str">
        <f t="shared" ca="1" si="2"/>
        <v>$100 for 15 pay periods</v>
      </c>
      <c r="J34" s="252" t="b">
        <v>1</v>
      </c>
    </row>
    <row r="35" spans="3:10" x14ac:dyDescent="0.2">
      <c r="C35" s="269"/>
      <c r="D35" s="594" t="str">
        <f>IF('Add-In_List'!A26="","",'Add-In_List'!A26)</f>
        <v>Plantar Fasciitis Surgery</v>
      </c>
      <c r="E35" s="595">
        <f>IFERROR(VLOOKUP($D35,IP!$B$2:$S$32,7,0),"")</f>
        <v>5.5347111224729274E-2</v>
      </c>
      <c r="F35" s="596">
        <f>IFERROR(VLOOKUP($D35,IP!$B$2:$S$32,8,0),"")</f>
        <v>6532.8774933333325</v>
      </c>
      <c r="G35" s="597">
        <f t="shared" si="0"/>
        <v>3.0131324770087547E-2</v>
      </c>
      <c r="H35" s="598" t="str">
        <f t="shared" ca="1" si="1"/>
        <v>$1,200 +</v>
      </c>
      <c r="I35" s="599" t="str">
        <f t="shared" ca="1" si="2"/>
        <v>$50 for 11 pay periods</v>
      </c>
      <c r="J35" s="252" t="b">
        <v>1</v>
      </c>
    </row>
    <row r="36" spans="3:10" x14ac:dyDescent="0.2">
      <c r="C36" s="275"/>
      <c r="D36" s="588" t="str">
        <f>IF('Add-In_List'!A27="","",'Add-In_List'!A27)</f>
        <v>Septoplasty</v>
      </c>
      <c r="E36" s="589">
        <f>IFERROR(VLOOKUP($D36,IP!$B$2:$S$32,7,0),"")</f>
        <v>1.6971703092697099</v>
      </c>
      <c r="F36" s="590">
        <f>IFERROR(VLOOKUP($D36,IP!$B$2:$S$32,8,0),"")</f>
        <v>15958.156192339397</v>
      </c>
      <c r="G36" s="591">
        <f t="shared" si="0"/>
        <v>2.2569757400272494</v>
      </c>
      <c r="H36" s="592" t="str">
        <f t="shared" ca="1" si="1"/>
        <v>$1,300 +</v>
      </c>
      <c r="I36" s="593" t="str">
        <f t="shared" ca="1" si="2"/>
        <v>$100 for 13 pay periods</v>
      </c>
      <c r="J36" s="252" t="b">
        <v>1</v>
      </c>
    </row>
    <row r="37" spans="3:10" x14ac:dyDescent="0.2">
      <c r="C37" s="269"/>
      <c r="D37" s="594" t="str">
        <f>IF('Add-In_List'!A28="","",'Add-In_List'!A28)</f>
        <v>Shoulder Surgery</v>
      </c>
      <c r="E37" s="595">
        <f>IFERROR(VLOOKUP($D37,IP!$B$2:$S$32,7,0),"")</f>
        <v>9.3127070511972776E-2</v>
      </c>
      <c r="F37" s="596">
        <f>IFERROR(VLOOKUP($D37,IP!$B$2:$S$32,8,0),"")</f>
        <v>38828.665707214328</v>
      </c>
      <c r="G37" s="597">
        <f t="shared" si="0"/>
        <v>0.30133332410013064</v>
      </c>
      <c r="H37" s="598" t="str">
        <f t="shared" ca="1" si="1"/>
        <v>$1,700 +</v>
      </c>
      <c r="I37" s="599" t="str">
        <f t="shared" ca="1" si="2"/>
        <v>$100 for 17 pay periods</v>
      </c>
      <c r="J37" s="252" t="b">
        <v>1</v>
      </c>
    </row>
    <row r="38" spans="3:10" x14ac:dyDescent="0.2">
      <c r="C38" s="275"/>
      <c r="D38" s="588" t="str">
        <f>IF('Add-In_List'!A29="","",'Add-In_List'!A29)</f>
        <v>Sling Procedure for Urinary Incontinence</v>
      </c>
      <c r="E38" s="589">
        <f>IFERROR(VLOOKUP($D38,IP!$B$2:$S$32,7,0),"")</f>
        <v>0.33261179843083005</v>
      </c>
      <c r="F38" s="590">
        <f>IFERROR(VLOOKUP($D38,IP!$B$2:$S$32,8,0),"")</f>
        <v>14615.940124514827</v>
      </c>
      <c r="G38" s="591">
        <f t="shared" si="0"/>
        <v>0.40511951088101728</v>
      </c>
      <c r="H38" s="592" t="str">
        <f t="shared" ca="1" si="1"/>
        <v>$1,300 +</v>
      </c>
      <c r="I38" s="593" t="str">
        <f t="shared" ca="1" si="2"/>
        <v>$100 for 13 pay periods</v>
      </c>
      <c r="J38" s="252" t="b">
        <v>1</v>
      </c>
    </row>
    <row r="39" spans="3:10" x14ac:dyDescent="0.2">
      <c r="C39" s="269"/>
      <c r="D39" s="594" t="str">
        <f>IF('Add-In_List'!A30="","",'Add-In_List'!A30)</f>
        <v>Tonsillectomy / Adenoidectomy</v>
      </c>
      <c r="E39" s="595">
        <f>IFERROR(VLOOKUP($D39,IP!$B$2:$S$32,7,0),"")</f>
        <v>1.8797205327164748</v>
      </c>
      <c r="F39" s="596">
        <f>IFERROR(VLOOKUP($D39,IP!$B$2:$S$32,8,0),"")</f>
        <v>5867.4337200184746</v>
      </c>
      <c r="G39" s="597">
        <f t="shared" si="0"/>
        <v>0.91909463648931122</v>
      </c>
      <c r="H39" s="598" t="str">
        <f t="shared" ca="1" si="1"/>
        <v>$1,100 +</v>
      </c>
      <c r="I39" s="599" t="str">
        <f t="shared" ca="1" si="2"/>
        <v>$50 for 11 pay periods</v>
      </c>
      <c r="J39" s="252" t="b">
        <v>1</v>
      </c>
    </row>
    <row r="40" spans="3:10" x14ac:dyDescent="0.2">
      <c r="C40" s="275"/>
      <c r="D40" s="588" t="str">
        <f>IF('Add-In_List'!A31="","",'Add-In_List'!A31)</f>
        <v>Upper GI Endoscopy</v>
      </c>
      <c r="E40" s="589">
        <f>IFERROR(VLOOKUP($D40,IP!$B$2:$S$32,7,0),"")</f>
        <v>12.99309593291154</v>
      </c>
      <c r="F40" s="590">
        <f>IFERROR(VLOOKUP($D40,IP!$B$2:$S$32,8,0),"")</f>
        <v>6850.0991683065276</v>
      </c>
      <c r="G40" s="591">
        <f t="shared" si="0"/>
        <v>7.4169996369803561</v>
      </c>
      <c r="H40" s="592" t="str">
        <f t="shared" ca="1" si="1"/>
        <v>$1,000 +</v>
      </c>
      <c r="I40" s="593" t="str">
        <f t="shared" ca="1" si="2"/>
        <v>$50 for 10 pay periods</v>
      </c>
      <c r="J40" s="252" t="b">
        <v>1</v>
      </c>
    </row>
    <row r="41" spans="3:10" x14ac:dyDescent="0.2">
      <c r="C41" s="269"/>
      <c r="D41" s="594" t="str">
        <f>IF('Add-In_List'!A32="","",'Add-In_List'!A32)</f>
        <v/>
      </c>
      <c r="E41" s="595" t="str">
        <f>IFERROR(VLOOKUP($D41,IP!$B$2:$S$32,7,0),"")</f>
        <v/>
      </c>
      <c r="F41" s="596" t="str">
        <f>IFERROR(VLOOKUP($D41,IP!$B$2:$S$32,8,0),"")</f>
        <v/>
      </c>
      <c r="G41" s="597" t="str">
        <f t="shared" si="0"/>
        <v/>
      </c>
      <c r="H41" s="598" t="str">
        <f t="shared" ca="1" si="1"/>
        <v/>
      </c>
      <c r="I41" s="599" t="str">
        <f t="shared" ca="1" si="2"/>
        <v/>
      </c>
      <c r="J41" s="252" t="b">
        <v>0</v>
      </c>
    </row>
    <row r="42" spans="3:10" x14ac:dyDescent="0.2">
      <c r="C42" s="275"/>
      <c r="D42" s="588" t="str">
        <f>IF('Add-In_List'!A33="","",'Add-In_List'!A33)</f>
        <v/>
      </c>
      <c r="E42" s="589" t="str">
        <f>IFERROR(VLOOKUP($D42,IP!$B$2:$S$32,7,0),"")</f>
        <v/>
      </c>
      <c r="F42" s="590" t="str">
        <f>IFERROR(VLOOKUP($D42,IP!$B$2:$S$32,8,0),"")</f>
        <v/>
      </c>
      <c r="G42" s="591" t="str">
        <f t="shared" si="0"/>
        <v/>
      </c>
      <c r="H42" s="592" t="str">
        <f t="shared" ca="1" si="1"/>
        <v/>
      </c>
      <c r="I42" s="593" t="str">
        <f t="shared" ca="1" si="2"/>
        <v/>
      </c>
      <c r="J42" s="252" t="b">
        <v>0</v>
      </c>
    </row>
    <row r="43" spans="3:10" x14ac:dyDescent="0.2">
      <c r="C43" s="269"/>
      <c r="D43" s="594" t="str">
        <f>IF('Add-In_List'!A34="","",'Add-In_List'!A34)</f>
        <v/>
      </c>
      <c r="E43" s="595" t="str">
        <f>IFERROR(VLOOKUP($D43,IP!$B$2:$S$32,7,0),"")</f>
        <v/>
      </c>
      <c r="F43" s="596" t="str">
        <f>IFERROR(VLOOKUP($D43,IP!$B$2:$S$32,8,0),"")</f>
        <v/>
      </c>
      <c r="G43" s="597" t="str">
        <f t="shared" si="0"/>
        <v/>
      </c>
      <c r="H43" s="598" t="str">
        <f t="shared" ca="1" si="1"/>
        <v/>
      </c>
      <c r="I43" s="599" t="str">
        <f t="shared" ca="1" si="2"/>
        <v/>
      </c>
      <c r="J43" s="252" t="b">
        <v>0</v>
      </c>
    </row>
    <row r="44" spans="3:10" ht="16" thickBot="1" x14ac:dyDescent="0.25">
      <c r="C44" s="288"/>
      <c r="D44" s="600" t="str">
        <f>IF('Add-In_List'!A35="","",'Add-In_List'!A35)</f>
        <v/>
      </c>
      <c r="E44" s="601" t="str">
        <f>IFERROR(VLOOKUP($D44,IP!$B$2:$S$32,7,0),"")</f>
        <v/>
      </c>
      <c r="F44" s="602" t="str">
        <f>IFERROR(VLOOKUP($D44,IP!$B$2:$S$32,8,0),"")</f>
        <v/>
      </c>
      <c r="G44" s="603" t="str">
        <f t="shared" si="0"/>
        <v/>
      </c>
      <c r="H44" s="604" t="str">
        <f t="shared" ca="1" si="1"/>
        <v/>
      </c>
      <c r="I44" s="605" t="str">
        <f t="shared" ca="1" si="2"/>
        <v/>
      </c>
      <c r="J44" s="252" t="b">
        <v>0</v>
      </c>
    </row>
  </sheetData>
  <mergeCells count="3">
    <mergeCell ref="L10:L12"/>
    <mergeCell ref="L19:L21"/>
    <mergeCell ref="L14:L17"/>
  </mergeCells>
  <dataValidations count="2">
    <dataValidation type="list" allowBlank="1" showInputMessage="1" showErrorMessage="1" sqref="N19">
      <formula1>"Weekly,Biweekly,Semi-Monthly,Monthly"</formula1>
    </dataValidation>
    <dataValidation type="list" allowBlank="1" showInputMessage="1" showErrorMessage="1" sqref="D9">
      <formula1>"IP,OP,ASC,Office"</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71681" r:id="rId4" name="Check Box 1">
              <controlPr defaultSize="0" autoFill="0" autoLine="0" autoPict="0">
                <anchor moveWithCells="1" sizeWithCells="1">
                  <from>
                    <xdr:col>2</xdr:col>
                    <xdr:colOff>165100</xdr:colOff>
                    <xdr:row>9</xdr:row>
                    <xdr:rowOff>266700</xdr:rowOff>
                  </from>
                  <to>
                    <xdr:col>3</xdr:col>
                    <xdr:colOff>114300</xdr:colOff>
                    <xdr:row>11</xdr:row>
                    <xdr:rowOff>25400</xdr:rowOff>
                  </to>
                </anchor>
              </controlPr>
            </control>
          </mc:Choice>
          <mc:Fallback/>
        </mc:AlternateContent>
        <mc:AlternateContent xmlns:mc="http://schemas.openxmlformats.org/markup-compatibility/2006">
          <mc:Choice Requires="x14">
            <control shapeId="71682" r:id="rId5" name="Check Box 2">
              <controlPr defaultSize="0" autoFill="0" autoLine="0" autoPict="0">
                <anchor moveWithCells="1" sizeWithCells="1">
                  <from>
                    <xdr:col>2</xdr:col>
                    <xdr:colOff>165100</xdr:colOff>
                    <xdr:row>11</xdr:row>
                    <xdr:rowOff>266700</xdr:rowOff>
                  </from>
                  <to>
                    <xdr:col>3</xdr:col>
                    <xdr:colOff>114300</xdr:colOff>
                    <xdr:row>13</xdr:row>
                    <xdr:rowOff>25400</xdr:rowOff>
                  </to>
                </anchor>
              </controlPr>
            </control>
          </mc:Choice>
          <mc:Fallback/>
        </mc:AlternateContent>
        <mc:AlternateContent xmlns:mc="http://schemas.openxmlformats.org/markup-compatibility/2006">
          <mc:Choice Requires="x14">
            <control shapeId="71683" r:id="rId6" name="Check Box 3">
              <controlPr defaultSize="0" autoFill="0" autoLine="0" autoPict="0">
                <anchor moveWithCells="1" sizeWithCells="1">
                  <from>
                    <xdr:col>2</xdr:col>
                    <xdr:colOff>165100</xdr:colOff>
                    <xdr:row>10</xdr:row>
                    <xdr:rowOff>266700</xdr:rowOff>
                  </from>
                  <to>
                    <xdr:col>3</xdr:col>
                    <xdr:colOff>114300</xdr:colOff>
                    <xdr:row>12</xdr:row>
                    <xdr:rowOff>25400</xdr:rowOff>
                  </to>
                </anchor>
              </controlPr>
            </control>
          </mc:Choice>
          <mc:Fallback/>
        </mc:AlternateContent>
        <mc:AlternateContent xmlns:mc="http://schemas.openxmlformats.org/markup-compatibility/2006">
          <mc:Choice Requires="x14">
            <control shapeId="71684" r:id="rId7" name="Check Box 4">
              <controlPr defaultSize="0" autoFill="0" autoLine="0" autoPict="0">
                <anchor moveWithCells="1" sizeWithCells="1">
                  <from>
                    <xdr:col>2</xdr:col>
                    <xdr:colOff>165100</xdr:colOff>
                    <xdr:row>12</xdr:row>
                    <xdr:rowOff>266700</xdr:rowOff>
                  </from>
                  <to>
                    <xdr:col>3</xdr:col>
                    <xdr:colOff>114300</xdr:colOff>
                    <xdr:row>14</xdr:row>
                    <xdr:rowOff>25400</xdr:rowOff>
                  </to>
                </anchor>
              </controlPr>
            </control>
          </mc:Choice>
          <mc:Fallback/>
        </mc:AlternateContent>
        <mc:AlternateContent xmlns:mc="http://schemas.openxmlformats.org/markup-compatibility/2006">
          <mc:Choice Requires="x14">
            <control shapeId="71685" r:id="rId8" name="Check Box 5">
              <controlPr defaultSize="0" autoFill="0" autoLine="0" autoPict="0">
                <anchor moveWithCells="1" sizeWithCells="1">
                  <from>
                    <xdr:col>2</xdr:col>
                    <xdr:colOff>165100</xdr:colOff>
                    <xdr:row>13</xdr:row>
                    <xdr:rowOff>266700</xdr:rowOff>
                  </from>
                  <to>
                    <xdr:col>3</xdr:col>
                    <xdr:colOff>114300</xdr:colOff>
                    <xdr:row>15</xdr:row>
                    <xdr:rowOff>25400</xdr:rowOff>
                  </to>
                </anchor>
              </controlPr>
            </control>
          </mc:Choice>
          <mc:Fallback/>
        </mc:AlternateContent>
        <mc:AlternateContent xmlns:mc="http://schemas.openxmlformats.org/markup-compatibility/2006">
          <mc:Choice Requires="x14">
            <control shapeId="71686" r:id="rId9" name="Check Box 6">
              <controlPr defaultSize="0" autoFill="0" autoLine="0" autoPict="0">
                <anchor moveWithCells="1" sizeWithCells="1">
                  <from>
                    <xdr:col>2</xdr:col>
                    <xdr:colOff>165100</xdr:colOff>
                    <xdr:row>14</xdr:row>
                    <xdr:rowOff>266700</xdr:rowOff>
                  </from>
                  <to>
                    <xdr:col>3</xdr:col>
                    <xdr:colOff>114300</xdr:colOff>
                    <xdr:row>16</xdr:row>
                    <xdr:rowOff>25400</xdr:rowOff>
                  </to>
                </anchor>
              </controlPr>
            </control>
          </mc:Choice>
          <mc:Fallback/>
        </mc:AlternateContent>
        <mc:AlternateContent xmlns:mc="http://schemas.openxmlformats.org/markup-compatibility/2006">
          <mc:Choice Requires="x14">
            <control shapeId="71687" r:id="rId10" name="Check Box 7">
              <controlPr defaultSize="0" autoFill="0" autoLine="0" autoPict="0">
                <anchor moveWithCells="1" sizeWithCells="1">
                  <from>
                    <xdr:col>2</xdr:col>
                    <xdr:colOff>165100</xdr:colOff>
                    <xdr:row>15</xdr:row>
                    <xdr:rowOff>266700</xdr:rowOff>
                  </from>
                  <to>
                    <xdr:col>3</xdr:col>
                    <xdr:colOff>114300</xdr:colOff>
                    <xdr:row>17</xdr:row>
                    <xdr:rowOff>25400</xdr:rowOff>
                  </to>
                </anchor>
              </controlPr>
            </control>
          </mc:Choice>
          <mc:Fallback/>
        </mc:AlternateContent>
        <mc:AlternateContent xmlns:mc="http://schemas.openxmlformats.org/markup-compatibility/2006">
          <mc:Choice Requires="x14">
            <control shapeId="71688" r:id="rId11" name="Check Box 8">
              <controlPr defaultSize="0" autoFill="0" autoLine="0" autoPict="0">
                <anchor moveWithCells="1" sizeWithCells="1">
                  <from>
                    <xdr:col>2</xdr:col>
                    <xdr:colOff>165100</xdr:colOff>
                    <xdr:row>16</xdr:row>
                    <xdr:rowOff>266700</xdr:rowOff>
                  </from>
                  <to>
                    <xdr:col>3</xdr:col>
                    <xdr:colOff>114300</xdr:colOff>
                    <xdr:row>18</xdr:row>
                    <xdr:rowOff>25400</xdr:rowOff>
                  </to>
                </anchor>
              </controlPr>
            </control>
          </mc:Choice>
          <mc:Fallback/>
        </mc:AlternateContent>
        <mc:AlternateContent xmlns:mc="http://schemas.openxmlformats.org/markup-compatibility/2006">
          <mc:Choice Requires="x14">
            <control shapeId="71689" r:id="rId12" name="Check Box 9">
              <controlPr defaultSize="0" autoFill="0" autoLine="0" autoPict="0">
                <anchor moveWithCells="1" sizeWithCells="1">
                  <from>
                    <xdr:col>2</xdr:col>
                    <xdr:colOff>165100</xdr:colOff>
                    <xdr:row>17</xdr:row>
                    <xdr:rowOff>266700</xdr:rowOff>
                  </from>
                  <to>
                    <xdr:col>3</xdr:col>
                    <xdr:colOff>114300</xdr:colOff>
                    <xdr:row>19</xdr:row>
                    <xdr:rowOff>25400</xdr:rowOff>
                  </to>
                </anchor>
              </controlPr>
            </control>
          </mc:Choice>
          <mc:Fallback/>
        </mc:AlternateContent>
        <mc:AlternateContent xmlns:mc="http://schemas.openxmlformats.org/markup-compatibility/2006">
          <mc:Choice Requires="x14">
            <control shapeId="71690" r:id="rId13" name="Check Box 10">
              <controlPr defaultSize="0" autoFill="0" autoLine="0" autoPict="0">
                <anchor moveWithCells="1" sizeWithCells="1">
                  <from>
                    <xdr:col>2</xdr:col>
                    <xdr:colOff>165100</xdr:colOff>
                    <xdr:row>18</xdr:row>
                    <xdr:rowOff>266700</xdr:rowOff>
                  </from>
                  <to>
                    <xdr:col>3</xdr:col>
                    <xdr:colOff>114300</xdr:colOff>
                    <xdr:row>20</xdr:row>
                    <xdr:rowOff>12700</xdr:rowOff>
                  </to>
                </anchor>
              </controlPr>
            </control>
          </mc:Choice>
          <mc:Fallback/>
        </mc:AlternateContent>
        <mc:AlternateContent xmlns:mc="http://schemas.openxmlformats.org/markup-compatibility/2006">
          <mc:Choice Requires="x14">
            <control shapeId="71691" r:id="rId14" name="Check Box 11">
              <controlPr defaultSize="0" autoFill="0" autoLine="0" autoPict="0">
                <anchor moveWithCells="1" sizeWithCells="1">
                  <from>
                    <xdr:col>2</xdr:col>
                    <xdr:colOff>165100</xdr:colOff>
                    <xdr:row>19</xdr:row>
                    <xdr:rowOff>266700</xdr:rowOff>
                  </from>
                  <to>
                    <xdr:col>3</xdr:col>
                    <xdr:colOff>114300</xdr:colOff>
                    <xdr:row>21</xdr:row>
                    <xdr:rowOff>12700</xdr:rowOff>
                  </to>
                </anchor>
              </controlPr>
            </control>
          </mc:Choice>
          <mc:Fallback/>
        </mc:AlternateContent>
        <mc:AlternateContent xmlns:mc="http://schemas.openxmlformats.org/markup-compatibility/2006">
          <mc:Choice Requires="x14">
            <control shapeId="71692" r:id="rId15" name="Check Box 12">
              <controlPr defaultSize="0" autoFill="0" autoLine="0" autoPict="0">
                <anchor moveWithCells="1" sizeWithCells="1">
                  <from>
                    <xdr:col>2</xdr:col>
                    <xdr:colOff>165100</xdr:colOff>
                    <xdr:row>20</xdr:row>
                    <xdr:rowOff>254000</xdr:rowOff>
                  </from>
                  <to>
                    <xdr:col>3</xdr:col>
                    <xdr:colOff>114300</xdr:colOff>
                    <xdr:row>22</xdr:row>
                    <xdr:rowOff>12700</xdr:rowOff>
                  </to>
                </anchor>
              </controlPr>
            </control>
          </mc:Choice>
          <mc:Fallback/>
        </mc:AlternateContent>
        <mc:AlternateContent xmlns:mc="http://schemas.openxmlformats.org/markup-compatibility/2006">
          <mc:Choice Requires="x14">
            <control shapeId="71693" r:id="rId16" name="Check Box 13">
              <controlPr defaultSize="0" autoFill="0" autoLine="0" autoPict="0">
                <anchor moveWithCells="1" sizeWithCells="1">
                  <from>
                    <xdr:col>2</xdr:col>
                    <xdr:colOff>165100</xdr:colOff>
                    <xdr:row>21</xdr:row>
                    <xdr:rowOff>254000</xdr:rowOff>
                  </from>
                  <to>
                    <xdr:col>3</xdr:col>
                    <xdr:colOff>114300</xdr:colOff>
                    <xdr:row>23</xdr:row>
                    <xdr:rowOff>12700</xdr:rowOff>
                  </to>
                </anchor>
              </controlPr>
            </control>
          </mc:Choice>
          <mc:Fallback/>
        </mc:AlternateContent>
        <mc:AlternateContent xmlns:mc="http://schemas.openxmlformats.org/markup-compatibility/2006">
          <mc:Choice Requires="x14">
            <control shapeId="71694" r:id="rId17" name="Check Box 14">
              <controlPr defaultSize="0" autoFill="0" autoLine="0" autoPict="0">
                <anchor moveWithCells="1" sizeWithCells="1">
                  <from>
                    <xdr:col>2</xdr:col>
                    <xdr:colOff>165100</xdr:colOff>
                    <xdr:row>22</xdr:row>
                    <xdr:rowOff>254000</xdr:rowOff>
                  </from>
                  <to>
                    <xdr:col>3</xdr:col>
                    <xdr:colOff>114300</xdr:colOff>
                    <xdr:row>24</xdr:row>
                    <xdr:rowOff>12700</xdr:rowOff>
                  </to>
                </anchor>
              </controlPr>
            </control>
          </mc:Choice>
          <mc:Fallback/>
        </mc:AlternateContent>
        <mc:AlternateContent xmlns:mc="http://schemas.openxmlformats.org/markup-compatibility/2006">
          <mc:Choice Requires="x14">
            <control shapeId="71695" r:id="rId18" name="Check Box 15">
              <controlPr defaultSize="0" autoFill="0" autoLine="0" autoPict="0">
                <anchor moveWithCells="1" sizeWithCells="1">
                  <from>
                    <xdr:col>2</xdr:col>
                    <xdr:colOff>165100</xdr:colOff>
                    <xdr:row>23</xdr:row>
                    <xdr:rowOff>254000</xdr:rowOff>
                  </from>
                  <to>
                    <xdr:col>3</xdr:col>
                    <xdr:colOff>114300</xdr:colOff>
                    <xdr:row>25</xdr:row>
                    <xdr:rowOff>12700</xdr:rowOff>
                  </to>
                </anchor>
              </controlPr>
            </control>
          </mc:Choice>
          <mc:Fallback/>
        </mc:AlternateContent>
        <mc:AlternateContent xmlns:mc="http://schemas.openxmlformats.org/markup-compatibility/2006">
          <mc:Choice Requires="x14">
            <control shapeId="71696" r:id="rId19" name="Check Box 16">
              <controlPr defaultSize="0" autoFill="0" autoLine="0" autoPict="0">
                <anchor moveWithCells="1" sizeWithCells="1">
                  <from>
                    <xdr:col>2</xdr:col>
                    <xdr:colOff>165100</xdr:colOff>
                    <xdr:row>24</xdr:row>
                    <xdr:rowOff>254000</xdr:rowOff>
                  </from>
                  <to>
                    <xdr:col>3</xdr:col>
                    <xdr:colOff>114300</xdr:colOff>
                    <xdr:row>26</xdr:row>
                    <xdr:rowOff>12700</xdr:rowOff>
                  </to>
                </anchor>
              </controlPr>
            </control>
          </mc:Choice>
          <mc:Fallback/>
        </mc:AlternateContent>
        <mc:AlternateContent xmlns:mc="http://schemas.openxmlformats.org/markup-compatibility/2006">
          <mc:Choice Requires="x14">
            <control shapeId="71697" r:id="rId20" name="Check Box 17">
              <controlPr defaultSize="0" autoFill="0" autoLine="0" autoPict="0">
                <anchor moveWithCells="1" sizeWithCells="1">
                  <from>
                    <xdr:col>2</xdr:col>
                    <xdr:colOff>165100</xdr:colOff>
                    <xdr:row>27</xdr:row>
                    <xdr:rowOff>266700</xdr:rowOff>
                  </from>
                  <to>
                    <xdr:col>3</xdr:col>
                    <xdr:colOff>114300</xdr:colOff>
                    <xdr:row>29</xdr:row>
                    <xdr:rowOff>25400</xdr:rowOff>
                  </to>
                </anchor>
              </controlPr>
            </control>
          </mc:Choice>
          <mc:Fallback/>
        </mc:AlternateContent>
        <mc:AlternateContent xmlns:mc="http://schemas.openxmlformats.org/markup-compatibility/2006">
          <mc:Choice Requires="x14">
            <control shapeId="71698" r:id="rId21" name="Check Box 18">
              <controlPr defaultSize="0" autoFill="0" autoLine="0" autoPict="0">
                <anchor moveWithCells="1" sizeWithCells="1">
                  <from>
                    <xdr:col>2</xdr:col>
                    <xdr:colOff>165100</xdr:colOff>
                    <xdr:row>26</xdr:row>
                    <xdr:rowOff>266700</xdr:rowOff>
                  </from>
                  <to>
                    <xdr:col>3</xdr:col>
                    <xdr:colOff>114300</xdr:colOff>
                    <xdr:row>28</xdr:row>
                    <xdr:rowOff>25400</xdr:rowOff>
                  </to>
                </anchor>
              </controlPr>
            </control>
          </mc:Choice>
          <mc:Fallback/>
        </mc:AlternateContent>
        <mc:AlternateContent xmlns:mc="http://schemas.openxmlformats.org/markup-compatibility/2006">
          <mc:Choice Requires="x14">
            <control shapeId="71699" r:id="rId22" name="Check Box 19">
              <controlPr defaultSize="0" autoFill="0" autoLine="0" autoPict="0">
                <anchor moveWithCells="1" sizeWithCells="1">
                  <from>
                    <xdr:col>2</xdr:col>
                    <xdr:colOff>165100</xdr:colOff>
                    <xdr:row>25</xdr:row>
                    <xdr:rowOff>254000</xdr:rowOff>
                  </from>
                  <to>
                    <xdr:col>3</xdr:col>
                    <xdr:colOff>114300</xdr:colOff>
                    <xdr:row>27</xdr:row>
                    <xdr:rowOff>12700</xdr:rowOff>
                  </to>
                </anchor>
              </controlPr>
            </control>
          </mc:Choice>
          <mc:Fallback/>
        </mc:AlternateContent>
        <mc:AlternateContent xmlns:mc="http://schemas.openxmlformats.org/markup-compatibility/2006">
          <mc:Choice Requires="x14">
            <control shapeId="71700" r:id="rId23" name="Check Box 20">
              <controlPr defaultSize="0" autoFill="0" autoLine="0" autoPict="0">
                <anchor moveWithCells="1" sizeWithCells="1">
                  <from>
                    <xdr:col>2</xdr:col>
                    <xdr:colOff>165100</xdr:colOff>
                    <xdr:row>29</xdr:row>
                    <xdr:rowOff>266700</xdr:rowOff>
                  </from>
                  <to>
                    <xdr:col>3</xdr:col>
                    <xdr:colOff>114300</xdr:colOff>
                    <xdr:row>31</xdr:row>
                    <xdr:rowOff>25400</xdr:rowOff>
                  </to>
                </anchor>
              </controlPr>
            </control>
          </mc:Choice>
          <mc:Fallback/>
        </mc:AlternateContent>
        <mc:AlternateContent xmlns:mc="http://schemas.openxmlformats.org/markup-compatibility/2006">
          <mc:Choice Requires="x14">
            <control shapeId="71701" r:id="rId24" name="Check Box 21">
              <controlPr defaultSize="0" autoFill="0" autoLine="0" autoPict="0">
                <anchor moveWithCells="1" sizeWithCells="1">
                  <from>
                    <xdr:col>2</xdr:col>
                    <xdr:colOff>165100</xdr:colOff>
                    <xdr:row>31</xdr:row>
                    <xdr:rowOff>266700</xdr:rowOff>
                  </from>
                  <to>
                    <xdr:col>3</xdr:col>
                    <xdr:colOff>114300</xdr:colOff>
                    <xdr:row>33</xdr:row>
                    <xdr:rowOff>25400</xdr:rowOff>
                  </to>
                </anchor>
              </controlPr>
            </control>
          </mc:Choice>
          <mc:Fallback/>
        </mc:AlternateContent>
        <mc:AlternateContent xmlns:mc="http://schemas.openxmlformats.org/markup-compatibility/2006">
          <mc:Choice Requires="x14">
            <control shapeId="71702" r:id="rId25" name="Check Box 22">
              <controlPr defaultSize="0" autoFill="0" autoLine="0" autoPict="0">
                <anchor moveWithCells="1" sizeWithCells="1">
                  <from>
                    <xdr:col>2</xdr:col>
                    <xdr:colOff>165100</xdr:colOff>
                    <xdr:row>33</xdr:row>
                    <xdr:rowOff>266700</xdr:rowOff>
                  </from>
                  <to>
                    <xdr:col>3</xdr:col>
                    <xdr:colOff>114300</xdr:colOff>
                    <xdr:row>35</xdr:row>
                    <xdr:rowOff>25400</xdr:rowOff>
                  </to>
                </anchor>
              </controlPr>
            </control>
          </mc:Choice>
          <mc:Fallback/>
        </mc:AlternateContent>
        <mc:AlternateContent xmlns:mc="http://schemas.openxmlformats.org/markup-compatibility/2006">
          <mc:Choice Requires="x14">
            <control shapeId="71703" r:id="rId26" name="Check Box 23">
              <controlPr defaultSize="0" autoFill="0" autoLine="0" autoPict="0">
                <anchor moveWithCells="1" sizeWithCells="1">
                  <from>
                    <xdr:col>2</xdr:col>
                    <xdr:colOff>165100</xdr:colOff>
                    <xdr:row>35</xdr:row>
                    <xdr:rowOff>266700</xdr:rowOff>
                  </from>
                  <to>
                    <xdr:col>3</xdr:col>
                    <xdr:colOff>114300</xdr:colOff>
                    <xdr:row>37</xdr:row>
                    <xdr:rowOff>25400</xdr:rowOff>
                  </to>
                </anchor>
              </controlPr>
            </control>
          </mc:Choice>
          <mc:Fallback/>
        </mc:AlternateContent>
        <mc:AlternateContent xmlns:mc="http://schemas.openxmlformats.org/markup-compatibility/2006">
          <mc:Choice Requires="x14">
            <control shapeId="71704" r:id="rId27" name="Check Box 24">
              <controlPr defaultSize="0" autoFill="0" autoLine="0" autoPict="0">
                <anchor moveWithCells="1" sizeWithCells="1">
                  <from>
                    <xdr:col>2</xdr:col>
                    <xdr:colOff>165100</xdr:colOff>
                    <xdr:row>28</xdr:row>
                    <xdr:rowOff>266700</xdr:rowOff>
                  </from>
                  <to>
                    <xdr:col>3</xdr:col>
                    <xdr:colOff>114300</xdr:colOff>
                    <xdr:row>30</xdr:row>
                    <xdr:rowOff>25400</xdr:rowOff>
                  </to>
                </anchor>
              </controlPr>
            </control>
          </mc:Choice>
          <mc:Fallback/>
        </mc:AlternateContent>
        <mc:AlternateContent xmlns:mc="http://schemas.openxmlformats.org/markup-compatibility/2006">
          <mc:Choice Requires="x14">
            <control shapeId="71705" r:id="rId28" name="Check Box 25">
              <controlPr defaultSize="0" autoFill="0" autoLine="0" autoPict="0">
                <anchor moveWithCells="1" sizeWithCells="1">
                  <from>
                    <xdr:col>2</xdr:col>
                    <xdr:colOff>165100</xdr:colOff>
                    <xdr:row>30</xdr:row>
                    <xdr:rowOff>266700</xdr:rowOff>
                  </from>
                  <to>
                    <xdr:col>3</xdr:col>
                    <xdr:colOff>114300</xdr:colOff>
                    <xdr:row>32</xdr:row>
                    <xdr:rowOff>25400</xdr:rowOff>
                  </to>
                </anchor>
              </controlPr>
            </control>
          </mc:Choice>
          <mc:Fallback/>
        </mc:AlternateContent>
        <mc:AlternateContent xmlns:mc="http://schemas.openxmlformats.org/markup-compatibility/2006">
          <mc:Choice Requires="x14">
            <control shapeId="71706" r:id="rId29" name="Check Box 26">
              <controlPr defaultSize="0" autoFill="0" autoLine="0" autoPict="0">
                <anchor moveWithCells="1" sizeWithCells="1">
                  <from>
                    <xdr:col>2</xdr:col>
                    <xdr:colOff>165100</xdr:colOff>
                    <xdr:row>32</xdr:row>
                    <xdr:rowOff>266700</xdr:rowOff>
                  </from>
                  <to>
                    <xdr:col>3</xdr:col>
                    <xdr:colOff>114300</xdr:colOff>
                    <xdr:row>34</xdr:row>
                    <xdr:rowOff>25400</xdr:rowOff>
                  </to>
                </anchor>
              </controlPr>
            </control>
          </mc:Choice>
          <mc:Fallback/>
        </mc:AlternateContent>
        <mc:AlternateContent xmlns:mc="http://schemas.openxmlformats.org/markup-compatibility/2006">
          <mc:Choice Requires="x14">
            <control shapeId="71707" r:id="rId30" name="Check Box 27">
              <controlPr defaultSize="0" autoFill="0" autoLine="0" autoPict="0">
                <anchor moveWithCells="1" sizeWithCells="1">
                  <from>
                    <xdr:col>2</xdr:col>
                    <xdr:colOff>165100</xdr:colOff>
                    <xdr:row>34</xdr:row>
                    <xdr:rowOff>266700</xdr:rowOff>
                  </from>
                  <to>
                    <xdr:col>3</xdr:col>
                    <xdr:colOff>114300</xdr:colOff>
                    <xdr:row>36</xdr:row>
                    <xdr:rowOff>25400</xdr:rowOff>
                  </to>
                </anchor>
              </controlPr>
            </control>
          </mc:Choice>
          <mc:Fallback/>
        </mc:AlternateContent>
        <mc:AlternateContent xmlns:mc="http://schemas.openxmlformats.org/markup-compatibility/2006">
          <mc:Choice Requires="x14">
            <control shapeId="71708" r:id="rId31" name="Check Box 28">
              <controlPr defaultSize="0" autoFill="0" autoLine="0" autoPict="0">
                <anchor moveWithCells="1" sizeWithCells="1">
                  <from>
                    <xdr:col>2</xdr:col>
                    <xdr:colOff>165100</xdr:colOff>
                    <xdr:row>36</xdr:row>
                    <xdr:rowOff>266700</xdr:rowOff>
                  </from>
                  <to>
                    <xdr:col>3</xdr:col>
                    <xdr:colOff>114300</xdr:colOff>
                    <xdr:row>38</xdr:row>
                    <xdr:rowOff>25400</xdr:rowOff>
                  </to>
                </anchor>
              </controlPr>
            </control>
          </mc:Choice>
          <mc:Fallback/>
        </mc:AlternateContent>
        <mc:AlternateContent xmlns:mc="http://schemas.openxmlformats.org/markup-compatibility/2006">
          <mc:Choice Requires="x14">
            <control shapeId="71709" r:id="rId32" name="Check Box 29">
              <controlPr defaultSize="0" autoFill="0" autoLine="0" autoPict="0">
                <anchor moveWithCells="1" sizeWithCells="1">
                  <from>
                    <xdr:col>2</xdr:col>
                    <xdr:colOff>165100</xdr:colOff>
                    <xdr:row>37</xdr:row>
                    <xdr:rowOff>266700</xdr:rowOff>
                  </from>
                  <to>
                    <xdr:col>3</xdr:col>
                    <xdr:colOff>114300</xdr:colOff>
                    <xdr:row>39</xdr:row>
                    <xdr:rowOff>25400</xdr:rowOff>
                  </to>
                </anchor>
              </controlPr>
            </control>
          </mc:Choice>
          <mc:Fallback/>
        </mc:AlternateContent>
        <mc:AlternateContent xmlns:mc="http://schemas.openxmlformats.org/markup-compatibility/2006">
          <mc:Choice Requires="x14">
            <control shapeId="71710" r:id="rId33" name="Check Box 30">
              <controlPr defaultSize="0" autoFill="0" autoLine="0" autoPict="0">
                <anchor moveWithCells="1" sizeWithCells="1">
                  <from>
                    <xdr:col>2</xdr:col>
                    <xdr:colOff>165100</xdr:colOff>
                    <xdr:row>38</xdr:row>
                    <xdr:rowOff>266700</xdr:rowOff>
                  </from>
                  <to>
                    <xdr:col>3</xdr:col>
                    <xdr:colOff>114300</xdr:colOff>
                    <xdr:row>40</xdr:row>
                    <xdr:rowOff>25400</xdr:rowOff>
                  </to>
                </anchor>
              </controlPr>
            </control>
          </mc:Choice>
          <mc:Fallback/>
        </mc:AlternateContent>
        <mc:AlternateContent xmlns:mc="http://schemas.openxmlformats.org/markup-compatibility/2006">
          <mc:Choice Requires="x14">
            <control shapeId="71711" r:id="rId34" name="Check Box 31">
              <controlPr defaultSize="0" autoFill="0" autoLine="0" autoPict="0">
                <anchor moveWithCells="1" sizeWithCells="1">
                  <from>
                    <xdr:col>2</xdr:col>
                    <xdr:colOff>165100</xdr:colOff>
                    <xdr:row>40</xdr:row>
                    <xdr:rowOff>266700</xdr:rowOff>
                  </from>
                  <to>
                    <xdr:col>3</xdr:col>
                    <xdr:colOff>114300</xdr:colOff>
                    <xdr:row>42</xdr:row>
                    <xdr:rowOff>25400</xdr:rowOff>
                  </to>
                </anchor>
              </controlPr>
            </control>
          </mc:Choice>
          <mc:Fallback/>
        </mc:AlternateContent>
        <mc:AlternateContent xmlns:mc="http://schemas.openxmlformats.org/markup-compatibility/2006">
          <mc:Choice Requires="x14">
            <control shapeId="71712" r:id="rId35" name="Check Box 32">
              <controlPr defaultSize="0" autoFill="0" autoLine="0" autoPict="0">
                <anchor moveWithCells="1" sizeWithCells="1">
                  <from>
                    <xdr:col>2</xdr:col>
                    <xdr:colOff>165100</xdr:colOff>
                    <xdr:row>41</xdr:row>
                    <xdr:rowOff>266700</xdr:rowOff>
                  </from>
                  <to>
                    <xdr:col>3</xdr:col>
                    <xdr:colOff>114300</xdr:colOff>
                    <xdr:row>43</xdr:row>
                    <xdr:rowOff>25400</xdr:rowOff>
                  </to>
                </anchor>
              </controlPr>
            </control>
          </mc:Choice>
          <mc:Fallback/>
        </mc:AlternateContent>
        <mc:AlternateContent xmlns:mc="http://schemas.openxmlformats.org/markup-compatibility/2006">
          <mc:Choice Requires="x14">
            <control shapeId="71713" r:id="rId36" name="Check Box 33">
              <controlPr defaultSize="0" autoFill="0" autoLine="0" autoPict="0">
                <anchor moveWithCells="1" sizeWithCells="1">
                  <from>
                    <xdr:col>2</xdr:col>
                    <xdr:colOff>165100</xdr:colOff>
                    <xdr:row>39</xdr:row>
                    <xdr:rowOff>266700</xdr:rowOff>
                  </from>
                  <to>
                    <xdr:col>3</xdr:col>
                    <xdr:colOff>114300</xdr:colOff>
                    <xdr:row>41</xdr:row>
                    <xdr:rowOff>25400</xdr:rowOff>
                  </to>
                </anchor>
              </controlPr>
            </control>
          </mc:Choice>
          <mc:Fallback/>
        </mc:AlternateContent>
        <mc:AlternateContent xmlns:mc="http://schemas.openxmlformats.org/markup-compatibility/2006">
          <mc:Choice Requires="x14">
            <control shapeId="71714" r:id="rId37" name="Check Box 34">
              <controlPr defaultSize="0" autoFill="0" autoLine="0" autoPict="0">
                <anchor moveWithCells="1" sizeWithCells="1">
                  <from>
                    <xdr:col>2</xdr:col>
                    <xdr:colOff>165100</xdr:colOff>
                    <xdr:row>42</xdr:row>
                    <xdr:rowOff>266700</xdr:rowOff>
                  </from>
                  <to>
                    <xdr:col>3</xdr:col>
                    <xdr:colOff>114300</xdr:colOff>
                    <xdr:row>44</xdr:row>
                    <xdr:rowOff>12700</xdr:rowOff>
                  </to>
                </anchor>
              </controlPr>
            </control>
          </mc:Choice>
          <mc:Fallback/>
        </mc:AlternateContent>
        <mc:AlternateContent xmlns:mc="http://schemas.openxmlformats.org/markup-compatibility/2006">
          <mc:Choice Requires="x14">
            <control shapeId="71715" r:id="rId38" name="Check Box 35">
              <controlPr defaultSize="0" autoFill="0" autoLine="0" autoPict="0">
                <anchor moveWithCells="1" sizeWithCells="1">
                  <from>
                    <xdr:col>2</xdr:col>
                    <xdr:colOff>165100</xdr:colOff>
                    <xdr:row>8</xdr:row>
                    <xdr:rowOff>266700</xdr:rowOff>
                  </from>
                  <to>
                    <xdr:col>3</xdr:col>
                    <xdr:colOff>114300</xdr:colOff>
                    <xdr:row>10</xdr:row>
                    <xdr:rowOff>25400</xdr:rowOff>
                  </to>
                </anchor>
              </controlPr>
            </control>
          </mc:Choice>
          <mc:Fallback/>
        </mc:AlternateContent>
        <mc:AlternateContent xmlns:mc="http://schemas.openxmlformats.org/markup-compatibility/2006">
          <mc:Choice Requires="x14">
            <control shapeId="71716" r:id="rId39" name="Scroll Bar 36">
              <controlPr defaultSize="0" autoPict="0">
                <anchor moveWithCells="1">
                  <from>
                    <xdr:col>4</xdr:col>
                    <xdr:colOff>228600</xdr:colOff>
                    <xdr:row>5</xdr:row>
                    <xdr:rowOff>101600</xdr:rowOff>
                  </from>
                  <to>
                    <xdr:col>8</xdr:col>
                    <xdr:colOff>2108200</xdr:colOff>
                    <xdr:row>5</xdr:row>
                    <xdr:rowOff>431800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enableFormatConditionsCalculation="0">
    <tabColor rgb="FF6F2E91"/>
  </sheetPr>
  <dimension ref="B1:L24"/>
  <sheetViews>
    <sheetView showGridLines="0" showRowColHeaders="0" zoomScale="120" zoomScaleNormal="120" zoomScaleSheetLayoutView="100" zoomScalePageLayoutView="120" workbookViewId="0"/>
  </sheetViews>
  <sheetFormatPr baseColWidth="10" defaultColWidth="8.83203125" defaultRowHeight="15" x14ac:dyDescent="0.2"/>
  <cols>
    <col min="1" max="1" width="1.1640625" style="252" customWidth="1"/>
    <col min="2" max="2" width="23.5" style="252" bestFit="1" customWidth="1"/>
    <col min="3" max="4" width="10.5" style="252" customWidth="1"/>
    <col min="5" max="9" width="12.83203125" style="252" customWidth="1"/>
    <col min="10" max="10" width="10.83203125" style="252" customWidth="1"/>
    <col min="11" max="24" width="12.83203125" style="252" customWidth="1"/>
    <col min="25" max="16384" width="8.83203125" style="252"/>
  </cols>
  <sheetData>
    <row r="1" spans="2:4" ht="6" customHeight="1" x14ac:dyDescent="0.2"/>
    <row r="2" spans="2:4" ht="21" x14ac:dyDescent="0.25">
      <c r="B2" s="921" t="str">
        <f>plan_sponsor&amp;" — Bind Financial Modeling Summary"</f>
        <v>Your Client — Bind Financial Modeling Summary</v>
      </c>
    </row>
    <row r="4" spans="2:4" x14ac:dyDescent="0.2">
      <c r="B4" s="644" t="s">
        <v>359</v>
      </c>
      <c r="C4" s="645" t="s">
        <v>1035</v>
      </c>
      <c r="D4" s="645" t="s">
        <v>1036</v>
      </c>
    </row>
    <row r="5" spans="2:4" x14ac:dyDescent="0.2">
      <c r="B5" s="646" t="str">
        <f>IF(Core_Control!$C21="","",Core_Control!$C21)</f>
        <v>Deductible</v>
      </c>
      <c r="C5" s="647">
        <f>IF(Core_Control!$F21="","",Core_Control!$F21)</f>
        <v>0</v>
      </c>
      <c r="D5" s="647">
        <f>IF(Core_Control!$F21="","",Core_Control!$F21)</f>
        <v>0</v>
      </c>
    </row>
    <row r="6" spans="2:4" x14ac:dyDescent="0.2">
      <c r="B6" s="252" t="str">
        <f>IF(Core_Control!$C22="","",Core_Control!$C22)</f>
        <v>Coinsurance (Plan Paid)</v>
      </c>
      <c r="C6" s="648">
        <f>IF(Core_Control!$F22="","",Core_Control!$F22)</f>
        <v>1</v>
      </c>
      <c r="D6" s="648">
        <f>IF(Core_Control!$F22="","",Core_Control!$F22)</f>
        <v>1</v>
      </c>
    </row>
    <row r="7" spans="2:4" x14ac:dyDescent="0.2">
      <c r="B7" s="646" t="str">
        <f>IF(Core_Control!$C23="","",Core_Control!$C23)</f>
        <v>OOP Maximum</v>
      </c>
      <c r="C7" s="649">
        <f>IF(Core_Control!$F23="","",Core_Control!$F23)</f>
        <v>4000</v>
      </c>
      <c r="D7" s="649">
        <f>$C$7*2</f>
        <v>8000</v>
      </c>
    </row>
    <row r="9" spans="2:4" x14ac:dyDescent="0.2">
      <c r="B9" s="644" t="s">
        <v>1026</v>
      </c>
    </row>
    <row r="10" spans="2:4" x14ac:dyDescent="0.2">
      <c r="B10" s="646" t="s">
        <v>1027</v>
      </c>
      <c r="C10" s="650">
        <v>0</v>
      </c>
    </row>
    <row r="11" spans="2:4" x14ac:dyDescent="0.2">
      <c r="B11" s="252" t="s">
        <v>1028</v>
      </c>
      <c r="C11" s="651">
        <f>IF(Core_Control!$F25="","",Core_Control!$F25)</f>
        <v>30</v>
      </c>
    </row>
    <row r="12" spans="2:4" x14ac:dyDescent="0.2">
      <c r="B12" s="646" t="s">
        <v>165</v>
      </c>
      <c r="C12" s="650">
        <f>IF(Core_Control!$F26="","",Core_Control!$F26)</f>
        <v>60</v>
      </c>
    </row>
    <row r="13" spans="2:4" x14ac:dyDescent="0.2">
      <c r="B13" s="252" t="s">
        <v>943</v>
      </c>
      <c r="C13" s="651">
        <f>IF(Core_Control!$F27="","",Core_Control!$F27)</f>
        <v>1000</v>
      </c>
    </row>
    <row r="14" spans="2:4" x14ac:dyDescent="0.2">
      <c r="B14" s="646" t="s">
        <v>944</v>
      </c>
      <c r="C14" s="650">
        <f>IF(Core_Control!$F28="","",Core_Control!$F28)</f>
        <v>250</v>
      </c>
    </row>
    <row r="15" spans="2:4" x14ac:dyDescent="0.2">
      <c r="B15" s="252" t="s">
        <v>329</v>
      </c>
      <c r="C15" s="651">
        <f>IF(Core_Control!$F29="","",Core_Control!$F29)</f>
        <v>100</v>
      </c>
    </row>
    <row r="16" spans="2:4" x14ac:dyDescent="0.2">
      <c r="B16" s="646" t="s">
        <v>1029</v>
      </c>
      <c r="C16" s="650">
        <f>$C$14-50</f>
        <v>200</v>
      </c>
    </row>
    <row r="18" spans="2:12" x14ac:dyDescent="0.2">
      <c r="B18" s="644" t="s">
        <v>1030</v>
      </c>
      <c r="C18" s="652" t="s">
        <v>1037</v>
      </c>
      <c r="D18" s="652" t="s">
        <v>1038</v>
      </c>
    </row>
    <row r="19" spans="2:12" x14ac:dyDescent="0.2">
      <c r="B19" s="646" t="s">
        <v>333</v>
      </c>
      <c r="C19" s="647">
        <f>IF(Core_Control!$F31="","",Core_Control!$F31)</f>
        <v>10</v>
      </c>
      <c r="D19" s="647">
        <f>C19*2</f>
        <v>20</v>
      </c>
    </row>
    <row r="20" spans="2:12" x14ac:dyDescent="0.2">
      <c r="B20" s="252" t="s">
        <v>334</v>
      </c>
      <c r="C20" s="653">
        <f>IF(Core_Control!$F32="","",Core_Control!$F32)</f>
        <v>50</v>
      </c>
      <c r="D20" s="653">
        <f>C20*2</f>
        <v>100</v>
      </c>
    </row>
    <row r="21" spans="2:12" x14ac:dyDescent="0.2">
      <c r="B21" s="646" t="s">
        <v>335</v>
      </c>
      <c r="C21" s="647">
        <f>IF(Core_Control!$F33="","",Core_Control!$F33)</f>
        <v>80</v>
      </c>
      <c r="D21" s="647">
        <f>C21*2</f>
        <v>160</v>
      </c>
      <c r="L21" s="686"/>
    </row>
    <row r="22" spans="2:12" x14ac:dyDescent="0.2">
      <c r="B22" s="252" t="s">
        <v>336</v>
      </c>
      <c r="C22" s="653">
        <f>IF(Core_Control!$F34="","",Core_Control!$F34)</f>
        <v>200</v>
      </c>
      <c r="D22" s="653">
        <f>C22*2</f>
        <v>400</v>
      </c>
    </row>
    <row r="24" spans="2:12" x14ac:dyDescent="0.2">
      <c r="B24" s="644"/>
    </row>
  </sheetData>
  <pageMargins left="0.7" right="0.7" top="0.75" bottom="0.75" header="0.3" footer="0.3"/>
  <pageSetup pageOrder="overThenDown" orientation="landscape" r:id="rId1"/>
  <colBreaks count="1" manualBreakCount="1">
    <brk id="12" min="1" max="86"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enableFormatConditionsCalculation="0">
    <tabColor rgb="FF6F2E91"/>
  </sheetPr>
  <dimension ref="B1:X37"/>
  <sheetViews>
    <sheetView showGridLines="0" showRowColHeaders="0" zoomScale="120" zoomScaleNormal="120" zoomScaleSheetLayoutView="100" zoomScalePageLayoutView="120" workbookViewId="0"/>
  </sheetViews>
  <sheetFormatPr baseColWidth="10" defaultColWidth="8.83203125" defaultRowHeight="15" x14ac:dyDescent="0.2"/>
  <cols>
    <col min="1" max="1" width="1.1640625" style="252" customWidth="1"/>
    <col min="2" max="2" width="23.1640625" style="252" bestFit="1" customWidth="1"/>
    <col min="3" max="3" width="16" style="252" customWidth="1"/>
    <col min="4" max="5" width="12.83203125" style="252" customWidth="1"/>
    <col min="6" max="6" width="7.83203125" style="252" bestFit="1" customWidth="1"/>
    <col min="7" max="9" width="12.83203125" style="252" customWidth="1"/>
    <col min="10" max="10" width="7.83203125" style="252" bestFit="1" customWidth="1"/>
    <col min="11" max="17" width="12.83203125" style="252" customWidth="1"/>
    <col min="18" max="18" width="7.83203125" style="252" bestFit="1" customWidth="1"/>
    <col min="19" max="21" width="12.83203125" style="252" customWidth="1"/>
    <col min="22" max="22" width="7.83203125" style="252" bestFit="1" customWidth="1"/>
    <col min="23" max="24" width="12.83203125" style="252" customWidth="1"/>
    <col min="25" max="16384" width="8.83203125" style="252"/>
  </cols>
  <sheetData>
    <row r="1" spans="2:24" ht="6" customHeight="1" x14ac:dyDescent="0.2"/>
    <row r="2" spans="2:24" ht="21" x14ac:dyDescent="0.25">
      <c r="B2" s="921" t="str">
        <f>plan_sponsor&amp;" — Add-In Summary"</f>
        <v>Your Client — Add-In Summary</v>
      </c>
      <c r="M2" s="915" t="str">
        <f>$B2</f>
        <v>Your Client — Add-In Summary</v>
      </c>
    </row>
    <row r="4" spans="2:24" x14ac:dyDescent="0.2">
      <c r="B4" s="644" t="s">
        <v>819</v>
      </c>
      <c r="M4" s="644" t="s">
        <v>819</v>
      </c>
    </row>
    <row r="5" spans="2:24" s="644" customFormat="1" x14ac:dyDescent="0.2">
      <c r="E5" s="654" t="s">
        <v>1039</v>
      </c>
      <c r="F5" s="655"/>
      <c r="G5" s="656"/>
      <c r="H5" s="683"/>
      <c r="I5" s="654" t="s">
        <v>1040</v>
      </c>
      <c r="J5" s="656"/>
      <c r="K5" s="655"/>
      <c r="L5" s="683"/>
      <c r="Q5" s="654" t="s">
        <v>981</v>
      </c>
      <c r="R5" s="656"/>
      <c r="S5" s="655"/>
      <c r="T5" s="683"/>
      <c r="U5" s="654" t="s">
        <v>982</v>
      </c>
      <c r="V5" s="656"/>
      <c r="W5" s="655"/>
      <c r="X5" s="683"/>
    </row>
    <row r="6" spans="2:24" x14ac:dyDescent="0.2">
      <c r="B6" s="646" t="str">
        <f>'Add-In_Control'!$D10</f>
        <v>Ankle Ligament Reconstruction</v>
      </c>
      <c r="C6" s="646"/>
      <c r="D6" s="646"/>
      <c r="E6" s="657" t="str">
        <f>IFERROR(IF(VLOOKUP($B6,IP!$B$2:$S$32,3,0)="","",TEXT(VLOOKUP($B6,IP!$B$2:$S$32,2,0)+VLOOKUP($B6,IP!$B$2:$S$32,3,0),"$#,##0")&amp;" ="),"")</f>
        <v>$5,000 =</v>
      </c>
      <c r="F6" s="658" t="str">
        <f>IFERROR(IF(VLOOKUP($B6,IP!$B$2:$S$32,2,0)="","",TEXT(VLOOKUP($B6,IP!$B$2:$S$32,2,0),"$#,##0")&amp;" +"),"")</f>
        <v>$2,000 +</v>
      </c>
      <c r="G6" s="659" t="str">
        <f>IFERROR(VLOOKUP($B6,IP!$B$2:$S$32,4,0),"")</f>
        <v>$150 for 20 pay periods</v>
      </c>
      <c r="H6" s="684"/>
      <c r="I6" s="657" t="str">
        <f>IFERROR(IF(VLOOKUP($B6,OP!$B$2:$S$32,3,0)="","",TEXT(VLOOKUP($B6,OP!$B$2:$S$32,2,0)+VLOOKUP($B6,OP!$B$2:$S$32,3,0),"$#,##0")&amp;" ="),"")</f>
        <v>$2,800 =</v>
      </c>
      <c r="J6" s="658" t="str">
        <f>IFERROR(IF(VLOOKUP($B6,OP!$B$2:$S$32,2,0)="","",TEXT(VLOOKUP($B6,OP!$B$2:$S$32,2,0),"$#,##0")&amp;" +"),"")</f>
        <v>$1,400 +</v>
      </c>
      <c r="K6" s="659" t="str">
        <f>IFERROR(VLOOKUP($B6,OP!$B$2:$S$32,4,0),"")</f>
        <v>$100 for 14 pay periods</v>
      </c>
      <c r="L6" s="684"/>
      <c r="M6" s="646" t="str">
        <f>'Add-In_Control'!$D10</f>
        <v>Ankle Ligament Reconstruction</v>
      </c>
      <c r="N6" s="646"/>
      <c r="O6" s="646"/>
      <c r="P6" s="646"/>
      <c r="Q6" s="657" t="str">
        <f>IFERROR(IF(VLOOKUP($B6,ASC!$B$2:$S$32,3,0)="","",TEXT(VLOOKUP($B6,ASC!$B$2:$S$32,2,0)+VLOOKUP($B6,ASC!$B$2:$S$32,3,0),"$#,##0")&amp;" ="),"")</f>
        <v>$2,500 =</v>
      </c>
      <c r="R6" s="658" t="str">
        <f>IFERROR(IF(VLOOKUP($B6,ASC!$B$2:$S$32,2,0)="","",TEXT(VLOOKUP($B6,ASC!$B$2:$S$32,2,0),"$#,##0")&amp;" +"),"")</f>
        <v>$1,300 +</v>
      </c>
      <c r="S6" s="659" t="str">
        <f>IFERROR(VLOOKUP($B6,ASC!$B$2:$S$32,4,0),"")</f>
        <v>$100 for 12 pay periods</v>
      </c>
      <c r="T6" s="684"/>
      <c r="U6" s="657" t="str">
        <f>IFERROR(IF(VLOOKUP($B6,Office!$B$2:$S$32,3,0)="","",TEXT(VLOOKUP($B6,Office!$B$2:$S$32,2,0)+VLOOKUP($B6,Office!$B$2:$S$32,3,0),"$#,##0")&amp;" ="),"")</f>
        <v/>
      </c>
      <c r="V6" s="658" t="str">
        <f>IFERROR(IF(VLOOKUP($B6,Office!$B$2:$S$32,2,0)="","",TEXT(VLOOKUP($B6,Office!$B$2:$S$32,2,0),"$#,##0")&amp;" +"),"")</f>
        <v/>
      </c>
      <c r="W6" s="659" t="str">
        <f>IFERROR(VLOOKUP($B6,Office!$B$2:$S$32,4,0),"")</f>
        <v/>
      </c>
      <c r="X6" s="684"/>
    </row>
    <row r="7" spans="2:24" x14ac:dyDescent="0.2">
      <c r="B7" s="252" t="str">
        <f>'Add-In_Control'!$D11</f>
        <v>Back Surgery, Cervical Spine Fusion</v>
      </c>
      <c r="E7" s="660" t="str">
        <f>IFERROR(IF(VLOOKUP($B7,IP!$B$2:$S$32,3,0)="","",TEXT(VLOOKUP($B7,IP!$B$2:$S$32,2,0)+VLOOKUP($B7,IP!$B$2:$S$32,3,0),"$#,##0")&amp;" ="),"")</f>
        <v>$6,900 =</v>
      </c>
      <c r="F7" s="661" t="str">
        <f>IFERROR(IF(VLOOKUP($B7,IP!$B$2:$S$32,2,0)="","",TEXT(VLOOKUP($B7,IP!$B$2:$S$32,2,0),"$#,##0")&amp;" +"),"")</f>
        <v>$2,300 +</v>
      </c>
      <c r="G7" s="662" t="str">
        <f>IFERROR(VLOOKUP($B7,IP!$B$2:$S$32,4,0),"")</f>
        <v>$200 for 23 pay periods</v>
      </c>
      <c r="H7" s="685"/>
      <c r="I7" s="660" t="str">
        <f>IFERROR(IF(VLOOKUP($B7,OP!$B$2:$S$32,3,0)="","",TEXT(VLOOKUP($B7,OP!$B$2:$S$32,2,0)+VLOOKUP($B7,OP!$B$2:$S$32,3,0),"$#,##0")&amp;" ="),"")</f>
        <v>$4,500 =</v>
      </c>
      <c r="J7" s="661" t="str">
        <f>IFERROR(IF(VLOOKUP($B7,OP!$B$2:$S$32,2,0)="","",TEXT(VLOOKUP($B7,OP!$B$2:$S$32,2,0),"$#,##0")&amp;" +"),"")</f>
        <v>$1,800 +</v>
      </c>
      <c r="K7" s="662" t="str">
        <f>IFERROR(VLOOKUP($B7,OP!$B$2:$S$32,4,0),"")</f>
        <v>$150 for 18 pay periods</v>
      </c>
      <c r="L7" s="685"/>
      <c r="M7" s="252" t="str">
        <f>'Add-In_Control'!$D11</f>
        <v>Back Surgery, Cervical Spine Fusion</v>
      </c>
      <c r="Q7" s="660" t="str">
        <f>IFERROR(IF(VLOOKUP($B7,ASC!$B$2:$S$32,3,0)="","",TEXT(VLOOKUP($B7,ASC!$B$2:$S$32,2,0)+VLOOKUP($B7,ASC!$B$2:$S$32,3,0),"$#,##0")&amp;" ="),"")</f>
        <v>$3,400 =</v>
      </c>
      <c r="R7" s="661" t="str">
        <f>IFERROR(IF(VLOOKUP($B7,ASC!$B$2:$S$32,2,0)="","",TEXT(VLOOKUP($B7,ASC!$B$2:$S$32,2,0),"$#,##0")&amp;" +"),"")</f>
        <v>$1,700 +</v>
      </c>
      <c r="S7" s="662" t="str">
        <f>IFERROR(VLOOKUP($B7,ASC!$B$2:$S$32,4,0),"")</f>
        <v>$100 for 17 pay periods</v>
      </c>
      <c r="T7" s="685"/>
      <c r="U7" s="660" t="str">
        <f>IFERROR(IF(VLOOKUP($B7,Office!$B$2:$S$32,3,0)="","",TEXT(VLOOKUP($B7,Office!$B$2:$S$32,2,0)+VLOOKUP($B7,Office!$B$2:$S$32,3,0),"$#,##0")&amp;" ="),"")</f>
        <v/>
      </c>
      <c r="V7" s="661" t="str">
        <f>IFERROR(IF(VLOOKUP($B7,Office!$B$2:$S$32,2,0)="","",TEXT(VLOOKUP($B7,Office!$B$2:$S$32,2,0),"$#,##0")&amp;" +"),"")</f>
        <v/>
      </c>
      <c r="W7" s="662" t="str">
        <f>IFERROR(VLOOKUP($B7,Office!$B$2:$S$32,4,0),"")</f>
        <v/>
      </c>
      <c r="X7" s="685"/>
    </row>
    <row r="8" spans="2:24" x14ac:dyDescent="0.2">
      <c r="B8" s="646" t="str">
        <f>'Add-In_Control'!$D12</f>
        <v>Back Surgery, Lumbar Spine Fusion</v>
      </c>
      <c r="C8" s="646"/>
      <c r="D8" s="646"/>
      <c r="E8" s="657" t="str">
        <f>IFERROR(IF(VLOOKUP($B8,IP!$B$2:$S$32,3,0)="","",TEXT(VLOOKUP($B8,IP!$B$2:$S$32,2,0)+VLOOKUP($B8,IP!$B$2:$S$32,3,0),"$#,##0")&amp;" ="),"")</f>
        <v>$7,400 =</v>
      </c>
      <c r="F8" s="658" t="str">
        <f>IFERROR(IF(VLOOKUP($B8,IP!$B$2:$S$32,2,0)="","",TEXT(VLOOKUP($B8,IP!$B$2:$S$32,2,0),"$#,##0")&amp;" +"),"")</f>
        <v>$2,400 +</v>
      </c>
      <c r="G8" s="659" t="str">
        <f>IFERROR(VLOOKUP($B8,IP!$B$2:$S$32,4,0),"")</f>
        <v>$200 for 25 pay periods</v>
      </c>
      <c r="H8" s="684"/>
      <c r="I8" s="657" t="str">
        <f>IFERROR(IF(VLOOKUP($B8,OP!$B$2:$S$32,3,0)="","",TEXT(VLOOKUP($B8,OP!$B$2:$S$32,2,0)+VLOOKUP($B8,OP!$B$2:$S$32,3,0),"$#,##0")&amp;" ="),"")</f>
        <v>$5,250 =</v>
      </c>
      <c r="J8" s="658" t="str">
        <f>IFERROR(IF(VLOOKUP($B8,OP!$B$2:$S$32,2,0)="","",TEXT(VLOOKUP($B8,OP!$B$2:$S$32,2,0),"$#,##0")&amp;" +"),"")</f>
        <v>$2,100 +</v>
      </c>
      <c r="K8" s="659" t="str">
        <f>IFERROR(VLOOKUP($B8,OP!$B$2:$S$32,4,0),"")</f>
        <v>$150 for 21 pay periods</v>
      </c>
      <c r="L8" s="684"/>
      <c r="M8" s="646" t="str">
        <f>'Add-In_Control'!$D12</f>
        <v>Back Surgery, Lumbar Spine Fusion</v>
      </c>
      <c r="N8" s="646"/>
      <c r="O8" s="646"/>
      <c r="P8" s="646"/>
      <c r="Q8" s="657" t="str">
        <f>IFERROR(IF(VLOOKUP($B8,ASC!$B$2:$S$32,3,0)="","",TEXT(VLOOKUP($B8,ASC!$B$2:$S$32,2,0)+VLOOKUP($B8,ASC!$B$2:$S$32,3,0),"$#,##0")&amp;" ="),"")</f>
        <v>$4,650 =</v>
      </c>
      <c r="R8" s="658" t="str">
        <f>IFERROR(IF(VLOOKUP($B8,ASC!$B$2:$S$32,2,0)="","",TEXT(VLOOKUP($B8,ASC!$B$2:$S$32,2,0),"$#,##0")&amp;" +"),"")</f>
        <v>$1,800 +</v>
      </c>
      <c r="S8" s="659" t="str">
        <f>IFERROR(VLOOKUP($B8,ASC!$B$2:$S$32,4,0),"")</f>
        <v>$150 for 19 pay periods</v>
      </c>
      <c r="T8" s="684"/>
      <c r="U8" s="657" t="str">
        <f>IFERROR(IF(VLOOKUP($B8,Office!$B$2:$S$32,3,0)="","",TEXT(VLOOKUP($B8,Office!$B$2:$S$32,2,0)+VLOOKUP($B8,Office!$B$2:$S$32,3,0),"$#,##0")&amp;" ="),"")</f>
        <v/>
      </c>
      <c r="V8" s="658" t="str">
        <f>IFERROR(IF(VLOOKUP($B8,Office!$B$2:$S$32,2,0)="","",TEXT(VLOOKUP($B8,Office!$B$2:$S$32,2,0),"$#,##0")&amp;" +"),"")</f>
        <v/>
      </c>
      <c r="W8" s="659" t="str">
        <f>IFERROR(VLOOKUP($B8,Office!$B$2:$S$32,4,0),"")</f>
        <v/>
      </c>
      <c r="X8" s="684"/>
    </row>
    <row r="9" spans="2:24" x14ac:dyDescent="0.2">
      <c r="B9" s="252" t="str">
        <f>'Add-In_Control'!$D13</f>
        <v>Back Surgery, Discectomy/Laminectomy/Decompression</v>
      </c>
      <c r="E9" s="660" t="str">
        <f>IFERROR(IF(VLOOKUP($B9,IP!$B$2:$S$32,3,0)="","",TEXT(VLOOKUP($B9,IP!$B$2:$S$32,2,0)+VLOOKUP($B9,IP!$B$2:$S$32,3,0),"$#,##0")&amp;" ="),"")</f>
        <v>$7,100 =</v>
      </c>
      <c r="F9" s="661" t="str">
        <f>IFERROR(IF(VLOOKUP($B9,IP!$B$2:$S$32,2,0)="","",TEXT(VLOOKUP($B9,IP!$B$2:$S$32,2,0),"$#,##0")&amp;" +"),"")</f>
        <v>$2,300 +</v>
      </c>
      <c r="G9" s="662" t="str">
        <f>IFERROR(VLOOKUP($B9,IP!$B$2:$S$32,4,0),"")</f>
        <v>$200 for 24 pay periods</v>
      </c>
      <c r="H9" s="685"/>
      <c r="I9" s="660" t="str">
        <f>IFERROR(IF(VLOOKUP($B9,OP!$B$2:$S$32,3,0)="","",TEXT(VLOOKUP($B9,OP!$B$2:$S$32,2,0)+VLOOKUP($B9,OP!$B$2:$S$32,3,0),"$#,##0")&amp;" ="),"")</f>
        <v>$4,900 =</v>
      </c>
      <c r="J9" s="661" t="str">
        <f>IFERROR(IF(VLOOKUP($B9,OP!$B$2:$S$32,2,0)="","",TEXT(VLOOKUP($B9,OP!$B$2:$S$32,2,0),"$#,##0")&amp;" +"),"")</f>
        <v>$1,900 +</v>
      </c>
      <c r="K9" s="662" t="str">
        <f>IFERROR(VLOOKUP($B9,OP!$B$2:$S$32,4,0),"")</f>
        <v>$150 for 20 pay periods</v>
      </c>
      <c r="L9" s="685"/>
      <c r="M9" s="252" t="str">
        <f>'Add-In_Control'!$D13</f>
        <v>Back Surgery, Discectomy/Laminectomy/Decompression</v>
      </c>
      <c r="Q9" s="660" t="str">
        <f>IFERROR(IF(VLOOKUP($B9,ASC!$B$2:$S$32,3,0)="","",TEXT(VLOOKUP($B9,ASC!$B$2:$S$32,2,0)+VLOOKUP($B9,ASC!$B$2:$S$32,3,0),"$#,##0")&amp;" ="),"")</f>
        <v>$4,650 =</v>
      </c>
      <c r="R9" s="661" t="str">
        <f>IFERROR(IF(VLOOKUP($B9,ASC!$B$2:$S$32,2,0)="","",TEXT(VLOOKUP($B9,ASC!$B$2:$S$32,2,0),"$#,##0")&amp;" +"),"")</f>
        <v>$1,800 +</v>
      </c>
      <c r="S9" s="662" t="str">
        <f>IFERROR(VLOOKUP($B9,ASC!$B$2:$S$32,4,0),"")</f>
        <v>$150 for 19 pay periods</v>
      </c>
      <c r="T9" s="685"/>
      <c r="U9" s="660" t="str">
        <f>IFERROR(IF(VLOOKUP($B9,Office!$B$2:$S$32,3,0)="","",TEXT(VLOOKUP($B9,Office!$B$2:$S$32,2,0)+VLOOKUP($B9,Office!$B$2:$S$32,3,0),"$#,##0")&amp;" ="),"")</f>
        <v/>
      </c>
      <c r="V9" s="661" t="str">
        <f>IFERROR(IF(VLOOKUP($B9,Office!$B$2:$S$32,2,0)="","",TEXT(VLOOKUP($B9,Office!$B$2:$S$32,2,0),"$#,##0")&amp;" +"),"")</f>
        <v/>
      </c>
      <c r="W9" s="662" t="str">
        <f>IFERROR(VLOOKUP($B9,Office!$B$2:$S$32,4,0),"")</f>
        <v/>
      </c>
      <c r="X9" s="685"/>
    </row>
    <row r="10" spans="2:24" x14ac:dyDescent="0.2">
      <c r="B10" s="646" t="str">
        <f>'Add-In_Control'!$D14</f>
        <v>Bariatric Surgery</v>
      </c>
      <c r="C10" s="646"/>
      <c r="D10" s="646"/>
      <c r="E10" s="657" t="str">
        <f>IFERROR(IF(VLOOKUP($B10,IP!$B$2:$S$32,3,0)="","",TEXT(VLOOKUP($B10,IP!$B$2:$S$32,2,0)+VLOOKUP($B10,IP!$B$2:$S$32,3,0),"$#,##0")&amp;" ="),"")</f>
        <v>$5,500 =</v>
      </c>
      <c r="F10" s="658" t="str">
        <f>IFERROR(IF(VLOOKUP($B10,IP!$B$2:$S$32,2,0)="","",TEXT(VLOOKUP($B10,IP!$B$2:$S$32,2,0),"$#,##0")&amp;" +"),"")</f>
        <v>$2,200 +</v>
      </c>
      <c r="G10" s="659" t="str">
        <f>IFERROR(VLOOKUP($B10,IP!$B$2:$S$32,4,0),"")</f>
        <v>$150 for 22 pay periods</v>
      </c>
      <c r="H10" s="684"/>
      <c r="I10" s="657" t="str">
        <f>IFERROR(IF(VLOOKUP($B10,OP!$B$2:$S$32,3,0)="","",TEXT(VLOOKUP($B10,OP!$B$2:$S$32,2,0)+VLOOKUP($B10,OP!$B$2:$S$32,3,0),"$#,##0")&amp;" ="),"")</f>
        <v>$3,200 =</v>
      </c>
      <c r="J10" s="658" t="str">
        <f>IFERROR(IF(VLOOKUP($B10,OP!$B$2:$S$32,2,0)="","",TEXT(VLOOKUP($B10,OP!$B$2:$S$32,2,0),"$#,##0")&amp;" +"),"")</f>
        <v>$1,600 +</v>
      </c>
      <c r="K10" s="659" t="str">
        <f>IFERROR(VLOOKUP($B10,OP!$B$2:$S$32,4,0),"")</f>
        <v>$100 for 16 pay periods</v>
      </c>
      <c r="L10" s="684"/>
      <c r="M10" s="646" t="str">
        <f>'Add-In_Control'!$D14</f>
        <v>Bariatric Surgery</v>
      </c>
      <c r="N10" s="646"/>
      <c r="O10" s="646"/>
      <c r="P10" s="646"/>
      <c r="Q10" s="657" t="str">
        <f>IFERROR(IF(VLOOKUP($B10,ASC!$B$2:$S$32,3,0)="","",TEXT(VLOOKUP($B10,ASC!$B$2:$S$32,2,0)+VLOOKUP($B10,ASC!$B$2:$S$32,3,0),"$#,##0")&amp;" ="),"")</f>
        <v>$3,000 =</v>
      </c>
      <c r="R10" s="658" t="str">
        <f>IFERROR(IF(VLOOKUP($B10,ASC!$B$2:$S$32,2,0)="","",TEXT(VLOOKUP($B10,ASC!$B$2:$S$32,2,0),"$#,##0")&amp;" +"),"")</f>
        <v>$1,500 +</v>
      </c>
      <c r="S10" s="659" t="str">
        <f>IFERROR(VLOOKUP($B10,ASC!$B$2:$S$32,4,0),"")</f>
        <v>$100 for 15 pay periods</v>
      </c>
      <c r="T10" s="684"/>
      <c r="U10" s="657" t="str">
        <f>IFERROR(IF(VLOOKUP($B10,Office!$B$2:$S$32,3,0)="","",TEXT(VLOOKUP($B10,Office!$B$2:$S$32,2,0)+VLOOKUP($B10,Office!$B$2:$S$32,3,0),"$#,##0")&amp;" ="),"")</f>
        <v/>
      </c>
      <c r="V10" s="658" t="str">
        <f>IFERROR(IF(VLOOKUP($B10,Office!$B$2:$S$32,2,0)="","",TEXT(VLOOKUP($B10,Office!$B$2:$S$32,2,0),"$#,##0")&amp;" +"),"")</f>
        <v/>
      </c>
      <c r="W10" s="659" t="str">
        <f>IFERROR(VLOOKUP($B10,Office!$B$2:$S$32,4,0),"")</f>
        <v/>
      </c>
      <c r="X10" s="684"/>
    </row>
    <row r="11" spans="2:24" x14ac:dyDescent="0.2">
      <c r="B11" s="252" t="str">
        <f>'Add-In_Control'!$D15</f>
        <v>Breast Reduction</v>
      </c>
      <c r="E11" s="660" t="str">
        <f>IFERROR(IF(VLOOKUP($B11,IP!$B$2:$S$32,3,0)="","",TEXT(VLOOKUP($B11,IP!$B$2:$S$32,2,0)+VLOOKUP($B11,IP!$B$2:$S$32,3,0),"$#,##0")&amp;" ="),"")</f>
        <v>$5,000 =</v>
      </c>
      <c r="F11" s="661" t="str">
        <f>IFERROR(IF(VLOOKUP($B11,IP!$B$2:$S$32,2,0)="","",TEXT(VLOOKUP($B11,IP!$B$2:$S$32,2,0),"$#,##0")&amp;" +"),"")</f>
        <v>$2,000 +</v>
      </c>
      <c r="G11" s="662" t="str">
        <f>IFERROR(VLOOKUP($B11,IP!$B$2:$S$32,4,0),"")</f>
        <v>$150 for 20 pay periods</v>
      </c>
      <c r="H11" s="685"/>
      <c r="I11" s="660" t="str">
        <f>IFERROR(IF(VLOOKUP($B11,OP!$B$2:$S$32,3,0)="","",TEXT(VLOOKUP($B11,OP!$B$2:$S$32,2,0)+VLOOKUP($B11,OP!$B$2:$S$32,3,0),"$#,##0")&amp;" ="),"")</f>
        <v>$2,800 =</v>
      </c>
      <c r="J11" s="661" t="str">
        <f>IFERROR(IF(VLOOKUP($B11,OP!$B$2:$S$32,2,0)="","",TEXT(VLOOKUP($B11,OP!$B$2:$S$32,2,0),"$#,##0")&amp;" +"),"")</f>
        <v>$1,400 +</v>
      </c>
      <c r="K11" s="662" t="str">
        <f>IFERROR(VLOOKUP($B11,OP!$B$2:$S$32,4,0),"")</f>
        <v>$100 for 14 pay periods</v>
      </c>
      <c r="L11" s="685"/>
      <c r="M11" s="252" t="str">
        <f>'Add-In_Control'!$D15</f>
        <v>Breast Reduction</v>
      </c>
      <c r="Q11" s="660" t="str">
        <f>IFERROR(IF(VLOOKUP($B11,ASC!$B$2:$S$32,3,0)="","",TEXT(VLOOKUP($B11,ASC!$B$2:$S$32,2,0)+VLOOKUP($B11,ASC!$B$2:$S$32,3,0),"$#,##0")&amp;" ="),"")</f>
        <v>$2,500 =</v>
      </c>
      <c r="R11" s="661" t="str">
        <f>IFERROR(IF(VLOOKUP($B11,ASC!$B$2:$S$32,2,0)="","",TEXT(VLOOKUP($B11,ASC!$B$2:$S$32,2,0),"$#,##0")&amp;" +"),"")</f>
        <v>$1,300 +</v>
      </c>
      <c r="S11" s="662" t="str">
        <f>IFERROR(VLOOKUP($B11,ASC!$B$2:$S$32,4,0),"")</f>
        <v>$100 for 12 pay periods</v>
      </c>
      <c r="T11" s="685"/>
      <c r="U11" s="660" t="str">
        <f>IFERROR(IF(VLOOKUP($B11,Office!$B$2:$S$32,3,0)="","",TEXT(VLOOKUP($B11,Office!$B$2:$S$32,2,0)+VLOOKUP($B11,Office!$B$2:$S$32,3,0),"$#,##0")&amp;" ="),"")</f>
        <v>$1,350 =</v>
      </c>
      <c r="V11" s="661" t="str">
        <f>IFERROR(IF(VLOOKUP($B11,Office!$B$2:$S$32,2,0)="","",TEXT(VLOOKUP($B11,Office!$B$2:$S$32,2,0),"$#,##0")&amp;" +"),"")</f>
        <v>$900 +</v>
      </c>
      <c r="W11" s="662" t="str">
        <f>IFERROR(VLOOKUP($B11,Office!$B$2:$S$32,4,0),"")</f>
        <v>$50 for 9 pay periods</v>
      </c>
      <c r="X11" s="685"/>
    </row>
    <row r="12" spans="2:24" x14ac:dyDescent="0.2">
      <c r="B12" s="646" t="str">
        <f>'Add-In_Control'!$D16</f>
        <v>Bunionectomy</v>
      </c>
      <c r="C12" s="646"/>
      <c r="D12" s="646"/>
      <c r="E12" s="657" t="str">
        <f>IFERROR(IF(VLOOKUP($B12,IP!$B$2:$S$32,3,0)="","",TEXT(VLOOKUP($B12,IP!$B$2:$S$32,2,0)+VLOOKUP($B12,IP!$B$2:$S$32,3,0),"$#,##0")&amp;" ="),"")</f>
        <v/>
      </c>
      <c r="F12" s="658" t="str">
        <f>IFERROR(IF(VLOOKUP($B12,IP!$B$2:$S$32,2,0)="","",TEXT(VLOOKUP($B12,IP!$B$2:$S$32,2,0),"$#,##0")&amp;" +"),"")</f>
        <v/>
      </c>
      <c r="G12" s="659" t="str">
        <f>IFERROR(VLOOKUP($B12,IP!$B$2:$S$32,4,0),"")</f>
        <v/>
      </c>
      <c r="H12" s="684"/>
      <c r="I12" s="657" t="str">
        <f>IFERROR(IF(VLOOKUP($B12,OP!$B$2:$S$32,3,0)="","",TEXT(VLOOKUP($B12,OP!$B$2:$S$32,2,0)+VLOOKUP($B12,OP!$B$2:$S$32,3,0),"$#,##0")&amp;" ="),"")</f>
        <v>$2,800 =</v>
      </c>
      <c r="J12" s="658" t="str">
        <f>IFERROR(IF(VLOOKUP($B12,OP!$B$2:$S$32,2,0)="","",TEXT(VLOOKUP($B12,OP!$B$2:$S$32,2,0),"$#,##0")&amp;" +"),"")</f>
        <v>$1,400 +</v>
      </c>
      <c r="K12" s="659" t="str">
        <f>IFERROR(VLOOKUP($B12,OP!$B$2:$S$32,4,0),"")</f>
        <v>$100 for 14 pay periods</v>
      </c>
      <c r="L12" s="684"/>
      <c r="M12" s="646" t="str">
        <f>'Add-In_Control'!$D16</f>
        <v>Bunionectomy</v>
      </c>
      <c r="N12" s="646"/>
      <c r="O12" s="646"/>
      <c r="P12" s="646"/>
      <c r="Q12" s="657" t="str">
        <f>IFERROR(IF(VLOOKUP($B12,ASC!$B$2:$S$32,3,0)="","",TEXT(VLOOKUP($B12,ASC!$B$2:$S$32,2,0)+VLOOKUP($B12,ASC!$B$2:$S$32,3,0),"$#,##0")&amp;" ="),"")</f>
        <v>$2,500 =</v>
      </c>
      <c r="R12" s="658" t="str">
        <f>IFERROR(IF(VLOOKUP($B12,ASC!$B$2:$S$32,2,0)="","",TEXT(VLOOKUP($B12,ASC!$B$2:$S$32,2,0),"$#,##0")&amp;" +"),"")</f>
        <v>$1,300 +</v>
      </c>
      <c r="S12" s="659" t="str">
        <f>IFERROR(VLOOKUP($B12,ASC!$B$2:$S$32,4,0),"")</f>
        <v>$100 for 12 pay periods</v>
      </c>
      <c r="T12" s="684"/>
      <c r="U12" s="657" t="str">
        <f>IFERROR(IF(VLOOKUP($B12,Office!$B$2:$S$32,3,0)="","",TEXT(VLOOKUP($B12,Office!$B$2:$S$32,2,0)+VLOOKUP($B12,Office!$B$2:$S$32,3,0),"$#,##0")&amp;" ="),"")</f>
        <v>$1,150 =</v>
      </c>
      <c r="V12" s="658" t="str">
        <f>IFERROR(IF(VLOOKUP($B12,Office!$B$2:$S$32,2,0)="","",TEXT(VLOOKUP($B12,Office!$B$2:$S$32,2,0),"$#,##0")&amp;" +"),"")</f>
        <v>$800 +</v>
      </c>
      <c r="W12" s="659" t="str">
        <f>IFERROR(VLOOKUP($B12,Office!$B$2:$S$32,4,0),"")</f>
        <v>$50 for 7 pay periods</v>
      </c>
      <c r="X12" s="684"/>
    </row>
    <row r="13" spans="2:24" x14ac:dyDescent="0.2">
      <c r="B13" s="252" t="str">
        <f>'Add-In_Control'!$D17</f>
        <v>Carotid Endarterectomy</v>
      </c>
      <c r="E13" s="660" t="str">
        <f>IFERROR(IF(VLOOKUP($B13,IP!$B$2:$S$32,3,0)="","",TEXT(VLOOKUP($B13,IP!$B$2:$S$32,2,0)+VLOOKUP($B13,IP!$B$2:$S$32,3,0),"$#,##0")&amp;" ="),"")</f>
        <v>$6,900 =</v>
      </c>
      <c r="F13" s="661" t="str">
        <f>IFERROR(IF(VLOOKUP($B13,IP!$B$2:$S$32,2,0)="","",TEXT(VLOOKUP($B13,IP!$B$2:$S$32,2,0),"$#,##0")&amp;" +"),"")</f>
        <v>$2,300 +</v>
      </c>
      <c r="G13" s="662" t="str">
        <f>IFERROR(VLOOKUP($B13,IP!$B$2:$S$32,4,0),"")</f>
        <v>$200 for 23 pay periods</v>
      </c>
      <c r="H13" s="685"/>
      <c r="I13" s="660" t="str">
        <f>IFERROR(IF(VLOOKUP($B13,OP!$B$2:$S$32,3,0)="","",TEXT(VLOOKUP($B13,OP!$B$2:$S$32,2,0)+VLOOKUP($B13,OP!$B$2:$S$32,3,0),"$#,##0")&amp;" ="),"")</f>
        <v/>
      </c>
      <c r="J13" s="661" t="str">
        <f>IFERROR(IF(VLOOKUP($B13,OP!$B$2:$S$32,2,0)="","",TEXT(VLOOKUP($B13,OP!$B$2:$S$32,2,0),"$#,##0")&amp;" +"),"")</f>
        <v/>
      </c>
      <c r="K13" s="662" t="str">
        <f>IFERROR(VLOOKUP($B13,OP!$B$2:$S$32,4,0),"")</f>
        <v/>
      </c>
      <c r="L13" s="685"/>
      <c r="M13" s="252" t="str">
        <f>'Add-In_Control'!$D17</f>
        <v>Carotid Endarterectomy</v>
      </c>
      <c r="Q13" s="660" t="str">
        <f>IFERROR(IF(VLOOKUP($B13,ASC!$B$2:$S$32,3,0)="","",TEXT(VLOOKUP($B13,ASC!$B$2:$S$32,2,0)+VLOOKUP($B13,ASC!$B$2:$S$32,3,0),"$#,##0")&amp;" ="),"")</f>
        <v/>
      </c>
      <c r="R13" s="661" t="str">
        <f>IFERROR(IF(VLOOKUP($B13,ASC!$B$2:$S$32,2,0)="","",TEXT(VLOOKUP($B13,ASC!$B$2:$S$32,2,0),"$#,##0")&amp;" +"),"")</f>
        <v/>
      </c>
      <c r="S13" s="662" t="str">
        <f>IFERROR(VLOOKUP($B13,ASC!$B$2:$S$32,4,0),"")</f>
        <v/>
      </c>
      <c r="T13" s="685"/>
      <c r="U13" s="660" t="str">
        <f>IFERROR(IF(VLOOKUP($B13,Office!$B$2:$S$32,3,0)="","",TEXT(VLOOKUP($B13,Office!$B$2:$S$32,2,0)+VLOOKUP($B13,Office!$B$2:$S$32,3,0),"$#,##0")&amp;" ="),"")</f>
        <v/>
      </c>
      <c r="V13" s="661" t="str">
        <f>IFERROR(IF(VLOOKUP($B13,Office!$B$2:$S$32,2,0)="","",TEXT(VLOOKUP($B13,Office!$B$2:$S$32,2,0),"$#,##0")&amp;" +"),"")</f>
        <v/>
      </c>
      <c r="W13" s="662" t="str">
        <f>IFERROR(VLOOKUP($B13,Office!$B$2:$S$32,4,0),"")</f>
        <v/>
      </c>
      <c r="X13" s="685"/>
    </row>
    <row r="14" spans="2:24" x14ac:dyDescent="0.2">
      <c r="B14" s="646" t="str">
        <f>'Add-In_Control'!$D18</f>
        <v>Carpal Tunnel Procedure</v>
      </c>
      <c r="C14" s="646"/>
      <c r="D14" s="646"/>
      <c r="E14" s="657" t="str">
        <f>IFERROR(IF(VLOOKUP($B14,IP!$B$2:$S$32,3,0)="","",TEXT(VLOOKUP($B14,IP!$B$2:$S$32,2,0)+VLOOKUP($B14,IP!$B$2:$S$32,3,0),"$#,##0")&amp;" ="),"")</f>
        <v/>
      </c>
      <c r="F14" s="658" t="str">
        <f>IFERROR(IF(VLOOKUP($B14,IP!$B$2:$S$32,2,0)="","",TEXT(VLOOKUP($B14,IP!$B$2:$S$32,2,0),"$#,##0")&amp;" +"),"")</f>
        <v/>
      </c>
      <c r="G14" s="659" t="str">
        <f>IFERROR(VLOOKUP($B14,IP!$B$2:$S$32,4,0),"")</f>
        <v/>
      </c>
      <c r="H14" s="684"/>
      <c r="I14" s="657" t="str">
        <f>IFERROR(IF(VLOOKUP($B14,OP!$B$2:$S$32,3,0)="","",TEXT(VLOOKUP($B14,OP!$B$2:$S$32,2,0)+VLOOKUP($B14,OP!$B$2:$S$32,3,0),"$#,##0")&amp;" ="),"")</f>
        <v>$2,600 =</v>
      </c>
      <c r="J14" s="658" t="str">
        <f>IFERROR(IF(VLOOKUP($B14,OP!$B$2:$S$32,2,0)="","",TEXT(VLOOKUP($B14,OP!$B$2:$S$32,2,0),"$#,##0")&amp;" +"),"")</f>
        <v>$1,300 +</v>
      </c>
      <c r="K14" s="659" t="str">
        <f>IFERROR(VLOOKUP($B14,OP!$B$2:$S$32,4,0),"")</f>
        <v>$100 for 13 pay periods</v>
      </c>
      <c r="L14" s="684"/>
      <c r="M14" s="646" t="str">
        <f>'Add-In_Control'!$D18</f>
        <v>Carpal Tunnel Procedure</v>
      </c>
      <c r="N14" s="646"/>
      <c r="O14" s="646"/>
      <c r="P14" s="646"/>
      <c r="Q14" s="657" t="str">
        <f>IFERROR(IF(VLOOKUP($B14,ASC!$B$2:$S$32,3,0)="","",TEXT(VLOOKUP($B14,ASC!$B$2:$S$32,2,0)+VLOOKUP($B14,ASC!$B$2:$S$32,3,0),"$#,##0")&amp;" ="),"")</f>
        <v>$1,750 =</v>
      </c>
      <c r="R14" s="658" t="str">
        <f>IFERROR(IF(VLOOKUP($B14,ASC!$B$2:$S$32,2,0)="","",TEXT(VLOOKUP($B14,ASC!$B$2:$S$32,2,0),"$#,##0")&amp;" +"),"")</f>
        <v>$1,200 +</v>
      </c>
      <c r="S14" s="659" t="str">
        <f>IFERROR(VLOOKUP($B14,ASC!$B$2:$S$32,4,0),"")</f>
        <v>$50 for 11 pay periods</v>
      </c>
      <c r="T14" s="684"/>
      <c r="U14" s="657" t="str">
        <f>IFERROR(IF(VLOOKUP($B14,Office!$B$2:$S$32,3,0)="","",TEXT(VLOOKUP($B14,Office!$B$2:$S$32,2,0)+VLOOKUP($B14,Office!$B$2:$S$32,3,0),"$#,##0")&amp;" ="),"")</f>
        <v>$1,000 =</v>
      </c>
      <c r="V14" s="658" t="str">
        <f>IFERROR(IF(VLOOKUP($B14,Office!$B$2:$S$32,2,0)="","",TEXT(VLOOKUP($B14,Office!$B$2:$S$32,2,0),"$#,##0")&amp;" +"),"")</f>
        <v>$700 +</v>
      </c>
      <c r="W14" s="659" t="str">
        <f>IFERROR(VLOOKUP($B14,Office!$B$2:$S$32,4,0),"")</f>
        <v>$50 for 6 pay periods</v>
      </c>
      <c r="X14" s="684"/>
    </row>
    <row r="15" spans="2:24" x14ac:dyDescent="0.2">
      <c r="B15" s="252" t="str">
        <f>'Add-In_Control'!$D19</f>
        <v>Cardiac Catheterization, Diagnostic</v>
      </c>
      <c r="E15" s="660" t="str">
        <f>IFERROR(IF(VLOOKUP($B15,IP!$B$2:$S$32,3,0)="","",TEXT(VLOOKUP($B15,IP!$B$2:$S$32,2,0)+VLOOKUP($B15,IP!$B$2:$S$32,3,0),"$#,##0")&amp;" ="),"")</f>
        <v>$5,500 =</v>
      </c>
      <c r="F15" s="661" t="str">
        <f>IFERROR(IF(VLOOKUP($B15,IP!$B$2:$S$32,2,0)="","",TEXT(VLOOKUP($B15,IP!$B$2:$S$32,2,0),"$#,##0")&amp;" +"),"")</f>
        <v>$2,200 +</v>
      </c>
      <c r="G15" s="662" t="str">
        <f>IFERROR(VLOOKUP($B15,IP!$B$2:$S$32,4,0),"")</f>
        <v>$150 for 22 pay periods</v>
      </c>
      <c r="H15" s="685"/>
      <c r="I15" s="660" t="str">
        <f>IFERROR(IF(VLOOKUP($B15,OP!$B$2:$S$32,3,0)="","",TEXT(VLOOKUP($B15,OP!$B$2:$S$32,2,0)+VLOOKUP($B15,OP!$B$2:$S$32,3,0),"$#,##0")&amp;" ="),"")</f>
        <v>$3,200 =</v>
      </c>
      <c r="J15" s="661" t="str">
        <f>IFERROR(IF(VLOOKUP($B15,OP!$B$2:$S$32,2,0)="","",TEXT(VLOOKUP($B15,OP!$B$2:$S$32,2,0),"$#,##0")&amp;" +"),"")</f>
        <v>$1,600 +</v>
      </c>
      <c r="K15" s="662" t="str">
        <f>IFERROR(VLOOKUP($B15,OP!$B$2:$S$32,4,0),"")</f>
        <v>$100 for 16 pay periods</v>
      </c>
      <c r="L15" s="685"/>
      <c r="M15" s="252" t="str">
        <f>'Add-In_Control'!$D19</f>
        <v>Cardiac Catheterization, Diagnostic</v>
      </c>
      <c r="Q15" s="660" t="str">
        <f>IFERROR(IF(VLOOKUP($B15,ASC!$B$2:$S$32,3,0)="","",TEXT(VLOOKUP($B15,ASC!$B$2:$S$32,2,0)+VLOOKUP($B15,ASC!$B$2:$S$32,3,0),"$#,##0")&amp;" ="),"")</f>
        <v>$3,000 =</v>
      </c>
      <c r="R15" s="661" t="str">
        <f>IFERROR(IF(VLOOKUP($B15,ASC!$B$2:$S$32,2,0)="","",TEXT(VLOOKUP($B15,ASC!$B$2:$S$32,2,0),"$#,##0")&amp;" +"),"")</f>
        <v>$1,500 +</v>
      </c>
      <c r="S15" s="662" t="str">
        <f>IFERROR(VLOOKUP($B15,ASC!$B$2:$S$32,4,0),"")</f>
        <v>$100 for 15 pay periods</v>
      </c>
      <c r="T15" s="685"/>
      <c r="U15" s="660" t="str">
        <f>IFERROR(IF(VLOOKUP($B15,Office!$B$2:$S$32,3,0)="","",TEXT(VLOOKUP($B15,Office!$B$2:$S$32,2,0)+VLOOKUP($B15,Office!$B$2:$S$32,3,0),"$#,##0")&amp;" ="),"")</f>
        <v>$2,600 =</v>
      </c>
      <c r="V15" s="661" t="str">
        <f>IFERROR(IF(VLOOKUP($B15,Office!$B$2:$S$32,2,0)="","",TEXT(VLOOKUP($B15,Office!$B$2:$S$32,2,0),"$#,##0")&amp;" +"),"")</f>
        <v>$1,300 +</v>
      </c>
      <c r="W15" s="662" t="str">
        <f>IFERROR(VLOOKUP($B15,Office!$B$2:$S$32,4,0),"")</f>
        <v>$100 for 13 pay periods</v>
      </c>
      <c r="X15" s="685"/>
    </row>
    <row r="16" spans="2:24" x14ac:dyDescent="0.2">
      <c r="B16" s="646" t="str">
        <f>'Add-In_Control'!$D20</f>
        <v>Coronary Angioplasty, Non-Emergency</v>
      </c>
      <c r="C16" s="646"/>
      <c r="D16" s="646"/>
      <c r="E16" s="657" t="str">
        <f>IFERROR(IF(VLOOKUP($B16,IP!$B$2:$S$32,3,0)="","",TEXT(VLOOKUP($B16,IP!$B$2:$S$32,2,0)+VLOOKUP($B16,IP!$B$2:$S$32,3,0),"$#,##0")&amp;" ="),"")</f>
        <v>$6,900 =</v>
      </c>
      <c r="F16" s="658" t="str">
        <f>IFERROR(IF(VLOOKUP($B16,IP!$B$2:$S$32,2,0)="","",TEXT(VLOOKUP($B16,IP!$B$2:$S$32,2,0),"$#,##0")&amp;" +"),"")</f>
        <v>$2,300 +</v>
      </c>
      <c r="G16" s="659" t="str">
        <f>IFERROR(VLOOKUP($B16,IP!$B$2:$S$32,4,0),"")</f>
        <v>$200 for 23 pay periods</v>
      </c>
      <c r="H16" s="684"/>
      <c r="I16" s="657" t="str">
        <f>IFERROR(IF(VLOOKUP($B16,OP!$B$2:$S$32,3,0)="","",TEXT(VLOOKUP($B16,OP!$B$2:$S$32,2,0)+VLOOKUP($B16,OP!$B$2:$S$32,3,0),"$#,##0")&amp;" ="),"")</f>
        <v>$4,500 =</v>
      </c>
      <c r="J16" s="658" t="str">
        <f>IFERROR(IF(VLOOKUP($B16,OP!$B$2:$S$32,2,0)="","",TEXT(VLOOKUP($B16,OP!$B$2:$S$32,2,0),"$#,##0")&amp;" +"),"")</f>
        <v>$1,800 +</v>
      </c>
      <c r="K16" s="659" t="str">
        <f>IFERROR(VLOOKUP($B16,OP!$B$2:$S$32,4,0),"")</f>
        <v>$150 for 18 pay periods</v>
      </c>
      <c r="L16" s="684"/>
      <c r="M16" s="646" t="str">
        <f>'Add-In_Control'!$D20</f>
        <v>Coronary Angioplasty, Non-Emergency</v>
      </c>
      <c r="N16" s="646"/>
      <c r="O16" s="646"/>
      <c r="P16" s="646"/>
      <c r="Q16" s="657" t="str">
        <f>IFERROR(IF(VLOOKUP($B16,ASC!$B$2:$S$32,3,0)="","",TEXT(VLOOKUP($B16,ASC!$B$2:$S$32,2,0)+VLOOKUP($B16,ASC!$B$2:$S$32,3,0),"$#,##0")&amp;" ="),"")</f>
        <v/>
      </c>
      <c r="R16" s="658" t="str">
        <f>IFERROR(IF(VLOOKUP($B16,ASC!$B$2:$S$32,2,0)="","",TEXT(VLOOKUP($B16,ASC!$B$2:$S$32,2,0),"$#,##0")&amp;" +"),"")</f>
        <v/>
      </c>
      <c r="S16" s="659" t="str">
        <f>IFERROR(VLOOKUP($B16,ASC!$B$2:$S$32,4,0),"")</f>
        <v/>
      </c>
      <c r="T16" s="684"/>
      <c r="U16" s="657" t="str">
        <f>IFERROR(IF(VLOOKUP($B16,Office!$B$2:$S$32,3,0)="","",TEXT(VLOOKUP($B16,Office!$B$2:$S$32,2,0)+VLOOKUP($B16,Office!$B$2:$S$32,3,0),"$#,##0")&amp;" ="),"")</f>
        <v/>
      </c>
      <c r="V16" s="658" t="str">
        <f>IFERROR(IF(VLOOKUP($B16,Office!$B$2:$S$32,2,0)="","",TEXT(VLOOKUP($B16,Office!$B$2:$S$32,2,0),"$#,##0")&amp;" +"),"")</f>
        <v/>
      </c>
      <c r="W16" s="659" t="str">
        <f>IFERROR(VLOOKUP($B16,Office!$B$2:$S$32,4,0),"")</f>
        <v/>
      </c>
      <c r="X16" s="684"/>
    </row>
    <row r="17" spans="2:24" x14ac:dyDescent="0.2">
      <c r="B17" s="252" t="str">
        <f>'Add-In_Control'!$D21</f>
        <v>Coronary Artery Bypass Surgery, Non-Emergency</v>
      </c>
      <c r="E17" s="660" t="str">
        <f>IFERROR(IF(VLOOKUP($B17,IP!$B$2:$S$32,3,0)="","",TEXT(VLOOKUP($B17,IP!$B$2:$S$32,2,0)+VLOOKUP($B17,IP!$B$2:$S$32,3,0),"$#,##0")&amp;" ="),"")</f>
        <v>$7,700 =</v>
      </c>
      <c r="F17" s="661" t="str">
        <f>IFERROR(IF(VLOOKUP($B17,IP!$B$2:$S$32,2,0)="","",TEXT(VLOOKUP($B17,IP!$B$2:$S$32,2,0),"$#,##0")&amp;" +"),"")</f>
        <v>$2,500 +</v>
      </c>
      <c r="G17" s="662" t="str">
        <f>IFERROR(VLOOKUP($B17,IP!$B$2:$S$32,4,0),"")</f>
        <v>$200 for 26 pay periods</v>
      </c>
      <c r="H17" s="685"/>
      <c r="I17" s="660" t="str">
        <f>IFERROR(IF(VLOOKUP($B17,OP!$B$2:$S$32,3,0)="","",TEXT(VLOOKUP($B17,OP!$B$2:$S$32,2,0)+VLOOKUP($B17,OP!$B$2:$S$32,3,0),"$#,##0")&amp;" ="),"")</f>
        <v/>
      </c>
      <c r="J17" s="661" t="str">
        <f>IFERROR(IF(VLOOKUP($B17,OP!$B$2:$S$32,2,0)="","",TEXT(VLOOKUP($B17,OP!$B$2:$S$32,2,0),"$#,##0")&amp;" +"),"")</f>
        <v/>
      </c>
      <c r="K17" s="662" t="str">
        <f>IFERROR(VLOOKUP($B17,OP!$B$2:$S$32,4,0),"")</f>
        <v/>
      </c>
      <c r="L17" s="685"/>
      <c r="M17" s="252" t="str">
        <f>'Add-In_Control'!$D21</f>
        <v>Coronary Artery Bypass Surgery, Non-Emergency</v>
      </c>
      <c r="Q17" s="660" t="str">
        <f>IFERROR(IF(VLOOKUP($B17,ASC!$B$2:$S$32,3,0)="","",TEXT(VLOOKUP($B17,ASC!$B$2:$S$32,2,0)+VLOOKUP($B17,ASC!$B$2:$S$32,3,0),"$#,##0")&amp;" ="),"")</f>
        <v/>
      </c>
      <c r="R17" s="661" t="str">
        <f>IFERROR(IF(VLOOKUP($B17,ASC!$B$2:$S$32,2,0)="","",TEXT(VLOOKUP($B17,ASC!$B$2:$S$32,2,0),"$#,##0")&amp;" +"),"")</f>
        <v/>
      </c>
      <c r="S17" s="662" t="str">
        <f>IFERROR(VLOOKUP($B17,ASC!$B$2:$S$32,4,0),"")</f>
        <v/>
      </c>
      <c r="T17" s="685"/>
      <c r="U17" s="660" t="str">
        <f>IFERROR(IF(VLOOKUP($B17,Office!$B$2:$S$32,3,0)="","",TEXT(VLOOKUP($B17,Office!$B$2:$S$32,2,0)+VLOOKUP($B17,Office!$B$2:$S$32,3,0),"$#,##0")&amp;" ="),"")</f>
        <v/>
      </c>
      <c r="V17" s="661" t="str">
        <f>IFERROR(IF(VLOOKUP($B17,Office!$B$2:$S$32,2,0)="","",TEXT(VLOOKUP($B17,Office!$B$2:$S$32,2,0),"$#,##0")&amp;" +"),"")</f>
        <v/>
      </c>
      <c r="W17" s="662" t="str">
        <f>IFERROR(VLOOKUP($B17,Office!$B$2:$S$32,4,0),"")</f>
        <v/>
      </c>
      <c r="X17" s="685"/>
    </row>
    <row r="18" spans="2:24" x14ac:dyDescent="0.2">
      <c r="B18" s="646" t="str">
        <f>'Add-In_Control'!$D22</f>
        <v>Ear Tubes</v>
      </c>
      <c r="C18" s="646"/>
      <c r="D18" s="646"/>
      <c r="E18" s="657" t="str">
        <f>IFERROR(IF(VLOOKUP($B18,IP!$B$2:$S$32,3,0)="","",TEXT(VLOOKUP($B18,IP!$B$2:$S$32,2,0)+VLOOKUP($B18,IP!$B$2:$S$32,3,0),"$#,##0")&amp;" ="),"")</f>
        <v>$4,500 =</v>
      </c>
      <c r="F18" s="658" t="str">
        <f>IFERROR(IF(VLOOKUP($B18,IP!$B$2:$S$32,2,0)="","",TEXT(VLOOKUP($B18,IP!$B$2:$S$32,2,0),"$#,##0")&amp;" +"),"")</f>
        <v>$1,800 +</v>
      </c>
      <c r="G18" s="659" t="str">
        <f>IFERROR(VLOOKUP($B18,IP!$B$2:$S$32,4,0),"")</f>
        <v>$150 for 18 pay periods</v>
      </c>
      <c r="H18" s="684"/>
      <c r="I18" s="657" t="str">
        <f>IFERROR(IF(VLOOKUP($B18,OP!$B$2:$S$32,3,0)="","",TEXT(VLOOKUP($B18,OP!$B$2:$S$32,2,0)+VLOOKUP($B18,OP!$B$2:$S$32,3,0),"$#,##0")&amp;" ="),"")</f>
        <v>$1,800 =</v>
      </c>
      <c r="J18" s="658" t="str">
        <f>IFERROR(IF(VLOOKUP($B18,OP!$B$2:$S$32,2,0)="","",TEXT(VLOOKUP($B18,OP!$B$2:$S$32,2,0),"$#,##0")&amp;" +"),"")</f>
        <v>$1,200 +</v>
      </c>
      <c r="K18" s="659" t="str">
        <f>IFERROR(VLOOKUP($B18,OP!$B$2:$S$32,4,0),"")</f>
        <v>$50 for 12 pay periods</v>
      </c>
      <c r="L18" s="684"/>
      <c r="M18" s="646" t="str">
        <f>'Add-In_Control'!$D22</f>
        <v>Ear Tubes</v>
      </c>
      <c r="N18" s="646"/>
      <c r="O18" s="646"/>
      <c r="P18" s="646"/>
      <c r="Q18" s="657" t="str">
        <f>IFERROR(IF(VLOOKUP($B18,ASC!$B$2:$S$32,3,0)="","",TEXT(VLOOKUP($B18,ASC!$B$2:$S$32,2,0)+VLOOKUP($B18,ASC!$B$2:$S$32,3,0),"$#,##0")&amp;" ="),"")</f>
        <v>$1,600 =</v>
      </c>
      <c r="R18" s="658" t="str">
        <f>IFERROR(IF(VLOOKUP($B18,ASC!$B$2:$S$32,2,0)="","",TEXT(VLOOKUP($B18,ASC!$B$2:$S$32,2,0),"$#,##0")&amp;" +"),"")</f>
        <v>$1,100 +</v>
      </c>
      <c r="S18" s="659" t="str">
        <f>IFERROR(VLOOKUP($B18,ASC!$B$2:$S$32,4,0),"")</f>
        <v>$50 for 10 pay periods</v>
      </c>
      <c r="T18" s="684"/>
      <c r="U18" s="657" t="str">
        <f>IFERROR(IF(VLOOKUP($B18,Office!$B$2:$S$32,3,0)="","",TEXT(VLOOKUP($B18,Office!$B$2:$S$32,2,0)+VLOOKUP($B18,Office!$B$2:$S$32,3,0),"$#,##0")&amp;" ="),"")</f>
        <v>$1,000 =</v>
      </c>
      <c r="V18" s="658" t="str">
        <f>IFERROR(IF(VLOOKUP($B18,Office!$B$2:$S$32,2,0)="","",TEXT(VLOOKUP($B18,Office!$B$2:$S$32,2,0),"$#,##0")&amp;" +"),"")</f>
        <v>$700 +</v>
      </c>
      <c r="W18" s="659" t="str">
        <f>IFERROR(VLOOKUP($B18,Office!$B$2:$S$32,4,0),"")</f>
        <v>$50 for 6 pay periods</v>
      </c>
      <c r="X18" s="684"/>
    </row>
    <row r="19" spans="2:24" x14ac:dyDescent="0.2">
      <c r="B19" s="252" t="str">
        <f>'Add-In_Control'!$D23</f>
        <v>Endometrial Ablation</v>
      </c>
      <c r="E19" s="660" t="str">
        <f>IFERROR(IF(VLOOKUP($B19,IP!$B$2:$S$32,3,0)="","",TEXT(VLOOKUP($B19,IP!$B$2:$S$32,2,0)+VLOOKUP($B19,IP!$B$2:$S$32,3,0),"$#,##0")&amp;" ="),"")</f>
        <v/>
      </c>
      <c r="F19" s="661" t="str">
        <f>IFERROR(IF(VLOOKUP($B19,IP!$B$2:$S$32,2,0)="","",TEXT(VLOOKUP($B19,IP!$B$2:$S$32,2,0),"$#,##0")&amp;" +"),"")</f>
        <v/>
      </c>
      <c r="G19" s="662" t="str">
        <f>IFERROR(VLOOKUP($B19,IP!$B$2:$S$32,4,0),"")</f>
        <v/>
      </c>
      <c r="H19" s="685"/>
      <c r="I19" s="660" t="str">
        <f>IFERROR(IF(VLOOKUP($B19,OP!$B$2:$S$32,3,0)="","",TEXT(VLOOKUP($B19,OP!$B$2:$S$32,2,0)+VLOOKUP($B19,OP!$B$2:$S$32,3,0),"$#,##0")&amp;" ="),"")</f>
        <v>$2,800 =</v>
      </c>
      <c r="J19" s="661" t="str">
        <f>IFERROR(IF(VLOOKUP($B19,OP!$B$2:$S$32,2,0)="","",TEXT(VLOOKUP($B19,OP!$B$2:$S$32,2,0),"$#,##0")&amp;" +"),"")</f>
        <v>$1,400 +</v>
      </c>
      <c r="K19" s="662" t="str">
        <f>IFERROR(VLOOKUP($B19,OP!$B$2:$S$32,4,0),"")</f>
        <v>$100 for 14 pay periods</v>
      </c>
      <c r="L19" s="685"/>
      <c r="M19" s="252" t="str">
        <f>'Add-In_Control'!$D23</f>
        <v>Endometrial Ablation</v>
      </c>
      <c r="Q19" s="660" t="str">
        <f>IFERROR(IF(VLOOKUP($B19,ASC!$B$2:$S$32,3,0)="","",TEXT(VLOOKUP($B19,ASC!$B$2:$S$32,2,0)+VLOOKUP($B19,ASC!$B$2:$S$32,3,0),"$#,##0")&amp;" ="),"")</f>
        <v>$1,800 =</v>
      </c>
      <c r="R19" s="661" t="str">
        <f>IFERROR(IF(VLOOKUP($B19,ASC!$B$2:$S$32,2,0)="","",TEXT(VLOOKUP($B19,ASC!$B$2:$S$32,2,0),"$#,##0")&amp;" +"),"")</f>
        <v>$1,200 +</v>
      </c>
      <c r="S19" s="662" t="str">
        <f>IFERROR(VLOOKUP($B19,ASC!$B$2:$S$32,4,0),"")</f>
        <v>$50 for 12 pay periods</v>
      </c>
      <c r="T19" s="685"/>
      <c r="U19" s="660" t="str">
        <f>IFERROR(IF(VLOOKUP($B19,Office!$B$2:$S$32,3,0)="","",TEXT(VLOOKUP($B19,Office!$B$2:$S$32,2,0)+VLOOKUP($B19,Office!$B$2:$S$32,3,0),"$#,##0")&amp;" ="),"")</f>
        <v>$1,050 =</v>
      </c>
      <c r="V19" s="661" t="str">
        <f>IFERROR(IF(VLOOKUP($B19,Office!$B$2:$S$32,2,0)="","",TEXT(VLOOKUP($B19,Office!$B$2:$S$32,2,0),"$#,##0")&amp;" +"),"")</f>
        <v>$700 +</v>
      </c>
      <c r="W19" s="662" t="str">
        <f>IFERROR(VLOOKUP($B19,Office!$B$2:$S$32,4,0),"")</f>
        <v>$50 for 7 pay periods</v>
      </c>
      <c r="X19" s="685"/>
    </row>
    <row r="20" spans="2:24" x14ac:dyDescent="0.2">
      <c r="B20" s="646" t="str">
        <f>'Add-In_Control'!$D24</f>
        <v>Foot Bone Fusion</v>
      </c>
      <c r="C20" s="646"/>
      <c r="D20" s="646"/>
      <c r="E20" s="657" t="str">
        <f>IFERROR(IF(VLOOKUP($B20,IP!$B$2:$S$32,3,0)="","",TEXT(VLOOKUP($B20,IP!$B$2:$S$32,2,0)+VLOOKUP($B20,IP!$B$2:$S$32,3,0),"$#,##0")&amp;" ="),"")</f>
        <v>$5,250 =</v>
      </c>
      <c r="F20" s="658" t="str">
        <f>IFERROR(IF(VLOOKUP($B20,IP!$B$2:$S$32,2,0)="","",TEXT(VLOOKUP($B20,IP!$B$2:$S$32,2,0),"$#,##0")&amp;" +"),"")</f>
        <v>$2,100 +</v>
      </c>
      <c r="G20" s="659" t="str">
        <f>IFERROR(VLOOKUP($B20,IP!$B$2:$S$32,4,0),"")</f>
        <v>$150 for 21 pay periods</v>
      </c>
      <c r="H20" s="684"/>
      <c r="I20" s="657" t="str">
        <f>IFERROR(IF(VLOOKUP($B20,OP!$B$2:$S$32,3,0)="","",TEXT(VLOOKUP($B20,OP!$B$2:$S$32,2,0)+VLOOKUP($B20,OP!$B$2:$S$32,3,0),"$#,##0")&amp;" ="),"")</f>
        <v>$3,200 =</v>
      </c>
      <c r="J20" s="658" t="str">
        <f>IFERROR(IF(VLOOKUP($B20,OP!$B$2:$S$32,2,0)="","",TEXT(VLOOKUP($B20,OP!$B$2:$S$32,2,0),"$#,##0")&amp;" +"),"")</f>
        <v>$1,600 +</v>
      </c>
      <c r="K20" s="659" t="str">
        <f>IFERROR(VLOOKUP($B20,OP!$B$2:$S$32,4,0),"")</f>
        <v>$100 for 16 pay periods</v>
      </c>
      <c r="L20" s="684"/>
      <c r="M20" s="646" t="str">
        <f>'Add-In_Control'!$D24</f>
        <v>Foot Bone Fusion</v>
      </c>
      <c r="N20" s="646"/>
      <c r="O20" s="646"/>
      <c r="P20" s="646"/>
      <c r="Q20" s="657" t="str">
        <f>IFERROR(IF(VLOOKUP($B20,ASC!$B$2:$S$32,3,0)="","",TEXT(VLOOKUP($B20,ASC!$B$2:$S$32,2,0)+VLOOKUP($B20,ASC!$B$2:$S$32,3,0),"$#,##0")&amp;" ="),"")</f>
        <v>$2,800 =</v>
      </c>
      <c r="R20" s="658" t="str">
        <f>IFERROR(IF(VLOOKUP($B20,ASC!$B$2:$S$32,2,0)="","",TEXT(VLOOKUP($B20,ASC!$B$2:$S$32,2,0),"$#,##0")&amp;" +"),"")</f>
        <v>$1,400 +</v>
      </c>
      <c r="S20" s="659" t="str">
        <f>IFERROR(VLOOKUP($B20,ASC!$B$2:$S$32,4,0),"")</f>
        <v>$100 for 14 pay periods</v>
      </c>
      <c r="T20" s="684"/>
      <c r="U20" s="657" t="str">
        <f>IFERROR(IF(VLOOKUP($B20,Office!$B$2:$S$32,3,0)="","",TEXT(VLOOKUP($B20,Office!$B$2:$S$32,2,0)+VLOOKUP($B20,Office!$B$2:$S$32,3,0),"$#,##0")&amp;" ="),"")</f>
        <v/>
      </c>
      <c r="V20" s="658" t="str">
        <f>IFERROR(IF(VLOOKUP($B20,Office!$B$2:$S$32,2,0)="","",TEXT(VLOOKUP($B20,Office!$B$2:$S$32,2,0),"$#,##0")&amp;" +"),"")</f>
        <v/>
      </c>
      <c r="W20" s="659" t="str">
        <f>IFERROR(VLOOKUP($B20,Office!$B$2:$S$32,4,0),"")</f>
        <v/>
      </c>
      <c r="X20" s="684"/>
    </row>
    <row r="21" spans="2:24" x14ac:dyDescent="0.2">
      <c r="B21" s="252" t="str">
        <f>'Add-In_Control'!$D25</f>
        <v>Ganglion Cyst Surgery</v>
      </c>
      <c r="E21" s="660" t="str">
        <f>IFERROR(IF(VLOOKUP($B21,IP!$B$2:$S$32,3,0)="","",TEXT(VLOOKUP($B21,IP!$B$2:$S$32,2,0)+VLOOKUP($B21,IP!$B$2:$S$32,3,0),"$#,##0")&amp;" ="),"")</f>
        <v/>
      </c>
      <c r="F21" s="661" t="str">
        <f>IFERROR(IF(VLOOKUP($B21,IP!$B$2:$S$32,2,0)="","",TEXT(VLOOKUP($B21,IP!$B$2:$S$32,2,0),"$#,##0")&amp;" +"),"")</f>
        <v/>
      </c>
      <c r="G21" s="662" t="str">
        <f>IFERROR(VLOOKUP($B21,IP!$B$2:$S$32,4,0),"")</f>
        <v/>
      </c>
      <c r="H21" s="685"/>
      <c r="I21" s="660" t="str">
        <f>IFERROR(IF(VLOOKUP($B21,OP!$B$2:$S$32,3,0)="","",TEXT(VLOOKUP($B21,OP!$B$2:$S$32,2,0)+VLOOKUP($B21,OP!$B$2:$S$32,3,0),"$#,##0")&amp;" ="),"")</f>
        <v>$2,600 =</v>
      </c>
      <c r="J21" s="661" t="str">
        <f>IFERROR(IF(VLOOKUP($B21,OP!$B$2:$S$32,2,0)="","",TEXT(VLOOKUP($B21,OP!$B$2:$S$32,2,0),"$#,##0")&amp;" +"),"")</f>
        <v>$1,300 +</v>
      </c>
      <c r="K21" s="662" t="str">
        <f>IFERROR(VLOOKUP($B21,OP!$B$2:$S$32,4,0),"")</f>
        <v>$100 for 13 pay periods</v>
      </c>
      <c r="L21" s="685"/>
      <c r="M21" s="252" t="str">
        <f>'Add-In_Control'!$D25</f>
        <v>Ganglion Cyst Surgery</v>
      </c>
      <c r="Q21" s="660" t="str">
        <f>IFERROR(IF(VLOOKUP($B21,ASC!$B$2:$S$32,3,0)="","",TEXT(VLOOKUP($B21,ASC!$B$2:$S$32,2,0)+VLOOKUP($B21,ASC!$B$2:$S$32,3,0),"$#,##0")&amp;" ="),"")</f>
        <v>$1,650 =</v>
      </c>
      <c r="R21" s="661" t="str">
        <f>IFERROR(IF(VLOOKUP($B21,ASC!$B$2:$S$32,2,0)="","",TEXT(VLOOKUP($B21,ASC!$B$2:$S$32,2,0),"$#,##0")&amp;" +"),"")</f>
        <v>$1,100 +</v>
      </c>
      <c r="S21" s="662" t="str">
        <f>IFERROR(VLOOKUP($B21,ASC!$B$2:$S$32,4,0),"")</f>
        <v>$50 for 11 pay periods</v>
      </c>
      <c r="T21" s="685"/>
      <c r="U21" s="660" t="str">
        <f>IFERROR(IF(VLOOKUP($B21,Office!$B$2:$S$32,3,0)="","",TEXT(VLOOKUP($B21,Office!$B$2:$S$32,2,0)+VLOOKUP($B21,Office!$B$2:$S$32,3,0),"$#,##0")&amp;" ="),"")</f>
        <v>$1,000 =</v>
      </c>
      <c r="V21" s="661" t="str">
        <f>IFERROR(IF(VLOOKUP($B21,Office!$B$2:$S$32,2,0)="","",TEXT(VLOOKUP($B21,Office!$B$2:$S$32,2,0),"$#,##0")&amp;" +"),"")</f>
        <v>$700 +</v>
      </c>
      <c r="W21" s="662" t="str">
        <f>IFERROR(VLOOKUP($B21,Office!$B$2:$S$32,4,0),"")</f>
        <v>$50 for 6 pay periods</v>
      </c>
      <c r="X21" s="685"/>
    </row>
    <row r="22" spans="2:24" x14ac:dyDescent="0.2">
      <c r="B22" s="646" t="str">
        <f>'Add-In_Control'!$D26</f>
        <v>Hammertoe Surgery</v>
      </c>
      <c r="C22" s="646"/>
      <c r="D22" s="646"/>
      <c r="E22" s="657" t="str">
        <f>IFERROR(IF(VLOOKUP($B22,IP!$B$2:$S$32,3,0)="","",TEXT(VLOOKUP($B22,IP!$B$2:$S$32,2,0)+VLOOKUP($B22,IP!$B$2:$S$32,3,0),"$#,##0")&amp;" ="),"")</f>
        <v/>
      </c>
      <c r="F22" s="658" t="str">
        <f>IFERROR(IF(VLOOKUP($B22,IP!$B$2:$S$32,2,0)="","",TEXT(VLOOKUP($B22,IP!$B$2:$S$32,2,0),"$#,##0")&amp;" +"),"")</f>
        <v/>
      </c>
      <c r="G22" s="659" t="str">
        <f>IFERROR(VLOOKUP($B22,IP!$B$2:$S$32,4,0),"")</f>
        <v/>
      </c>
      <c r="H22" s="684"/>
      <c r="I22" s="657" t="str">
        <f>IFERROR(IF(VLOOKUP($B22,OP!$B$2:$S$32,3,0)="","",TEXT(VLOOKUP($B22,OP!$B$2:$S$32,2,0)+VLOOKUP($B22,OP!$B$2:$S$32,3,0),"$#,##0")&amp;" ="),"")</f>
        <v>$2,800 =</v>
      </c>
      <c r="J22" s="658" t="str">
        <f>IFERROR(IF(VLOOKUP($B22,OP!$B$2:$S$32,2,0)="","",TEXT(VLOOKUP($B22,OP!$B$2:$S$32,2,0),"$#,##0")&amp;" +"),"")</f>
        <v>$1,400 +</v>
      </c>
      <c r="K22" s="659" t="str">
        <f>IFERROR(VLOOKUP($B22,OP!$B$2:$S$32,4,0),"")</f>
        <v>$100 for 14 pay periods</v>
      </c>
      <c r="L22" s="684"/>
      <c r="M22" s="646" t="str">
        <f>'Add-In_Control'!$D26</f>
        <v>Hammertoe Surgery</v>
      </c>
      <c r="N22" s="646"/>
      <c r="O22" s="646"/>
      <c r="P22" s="646"/>
      <c r="Q22" s="657" t="str">
        <f>IFERROR(IF(VLOOKUP($B22,ASC!$B$2:$S$32,3,0)="","",TEXT(VLOOKUP($B22,ASC!$B$2:$S$32,2,0)+VLOOKUP($B22,ASC!$B$2:$S$32,3,0),"$#,##0")&amp;" ="),"")</f>
        <v>$2,600 =</v>
      </c>
      <c r="R22" s="658" t="str">
        <f>IFERROR(IF(VLOOKUP($B22,ASC!$B$2:$S$32,2,0)="","",TEXT(VLOOKUP($B22,ASC!$B$2:$S$32,2,0),"$#,##0")&amp;" +"),"")</f>
        <v>$1,300 +</v>
      </c>
      <c r="S22" s="659" t="str">
        <f>IFERROR(VLOOKUP($B22,ASC!$B$2:$S$32,4,0),"")</f>
        <v>$100 for 13 pay periods</v>
      </c>
      <c r="T22" s="684"/>
      <c r="U22" s="657" t="str">
        <f>IFERROR(IF(VLOOKUP($B22,Office!$B$2:$S$32,3,0)="","",TEXT(VLOOKUP($B22,Office!$B$2:$S$32,2,0)+VLOOKUP($B22,Office!$B$2:$S$32,3,0),"$#,##0")&amp;" ="),"")</f>
        <v>$1,150 =</v>
      </c>
      <c r="V22" s="658" t="str">
        <f>IFERROR(IF(VLOOKUP($B22,Office!$B$2:$S$32,2,0)="","",TEXT(VLOOKUP($B22,Office!$B$2:$S$32,2,0),"$#,##0")&amp;" +"),"")</f>
        <v>$800 +</v>
      </c>
      <c r="W22" s="659" t="str">
        <f>IFERROR(VLOOKUP($B22,Office!$B$2:$S$32,4,0),"")</f>
        <v>$50 for 7 pay periods</v>
      </c>
      <c r="X22" s="684"/>
    </row>
    <row r="23" spans="2:24" x14ac:dyDescent="0.2">
      <c r="B23" s="252" t="str">
        <f>'Add-In_Control'!$D27</f>
        <v>Hernia Repairs, Ventral</v>
      </c>
      <c r="E23" s="660" t="str">
        <f>IFERROR(IF(VLOOKUP($B23,IP!$B$2:$S$32,3,0)="","",TEXT(VLOOKUP($B23,IP!$B$2:$S$32,2,0)+VLOOKUP($B23,IP!$B$2:$S$32,3,0),"$#,##0")&amp;" ="),"")</f>
        <v>$5,150 =</v>
      </c>
      <c r="F23" s="661" t="str">
        <f>IFERROR(IF(VLOOKUP($B23,IP!$B$2:$S$32,2,0)="","",TEXT(VLOOKUP($B23,IP!$B$2:$S$32,2,0),"$#,##0")&amp;" +"),"")</f>
        <v>$2,000 +</v>
      </c>
      <c r="G23" s="662" t="str">
        <f>IFERROR(VLOOKUP($B23,IP!$B$2:$S$32,4,0),"")</f>
        <v>$150 for 21 pay periods</v>
      </c>
      <c r="H23" s="685"/>
      <c r="I23" s="660" t="str">
        <f>IFERROR(IF(VLOOKUP($B23,OP!$B$2:$S$32,3,0)="","",TEXT(VLOOKUP($B23,OP!$B$2:$S$32,2,0)+VLOOKUP($B23,OP!$B$2:$S$32,3,0),"$#,##0")&amp;" ="),"")</f>
        <v>$2,700 =</v>
      </c>
      <c r="J23" s="661" t="str">
        <f>IFERROR(IF(VLOOKUP($B23,OP!$B$2:$S$32,2,0)="","",TEXT(VLOOKUP($B23,OP!$B$2:$S$32,2,0),"$#,##0")&amp;" +"),"")</f>
        <v>$1,400 +</v>
      </c>
      <c r="K23" s="662" t="str">
        <f>IFERROR(VLOOKUP($B23,OP!$B$2:$S$32,4,0),"")</f>
        <v>$100 for 13 pay periods</v>
      </c>
      <c r="L23" s="685"/>
      <c r="M23" s="252" t="str">
        <f>'Add-In_Control'!$D27</f>
        <v>Hernia Repairs, Ventral</v>
      </c>
      <c r="Q23" s="660" t="str">
        <f>IFERROR(IF(VLOOKUP($B23,ASC!$B$2:$S$32,3,0)="","",TEXT(VLOOKUP($B23,ASC!$B$2:$S$32,2,0)+VLOOKUP($B23,ASC!$B$2:$S$32,3,0),"$#,##0")&amp;" ="),"")</f>
        <v>$1,800 =</v>
      </c>
      <c r="R23" s="661" t="str">
        <f>IFERROR(IF(VLOOKUP($B23,ASC!$B$2:$S$32,2,0)="","",TEXT(VLOOKUP($B23,ASC!$B$2:$S$32,2,0),"$#,##0")&amp;" +"),"")</f>
        <v>$1,200 +</v>
      </c>
      <c r="S23" s="662" t="str">
        <f>IFERROR(VLOOKUP($B23,ASC!$B$2:$S$32,4,0),"")</f>
        <v>$50 for 12 pay periods</v>
      </c>
      <c r="T23" s="685"/>
      <c r="U23" s="660" t="str">
        <f>IFERROR(IF(VLOOKUP($B23,Office!$B$2:$S$32,3,0)="","",TEXT(VLOOKUP($B23,Office!$B$2:$S$32,2,0)+VLOOKUP($B23,Office!$B$2:$S$32,3,0),"$#,##0")&amp;" ="),"")</f>
        <v/>
      </c>
      <c r="V23" s="661" t="str">
        <f>IFERROR(IF(VLOOKUP($B23,Office!$B$2:$S$32,2,0)="","",TEXT(VLOOKUP($B23,Office!$B$2:$S$32,2,0),"$#,##0")&amp;" +"),"")</f>
        <v/>
      </c>
      <c r="W23" s="662" t="str">
        <f>IFERROR(VLOOKUP($B23,Office!$B$2:$S$32,4,0),"")</f>
        <v/>
      </c>
      <c r="X23" s="685"/>
    </row>
    <row r="24" spans="2:24" x14ac:dyDescent="0.2">
      <c r="B24" s="646" t="str">
        <f>'Add-In_Control'!$D28</f>
        <v>Hip Arthroscopy</v>
      </c>
      <c r="C24" s="646"/>
      <c r="D24" s="646"/>
      <c r="E24" s="657" t="str">
        <f>IFERROR(IF(VLOOKUP($B24,IP!$B$2:$S$32,3,0)="","",TEXT(VLOOKUP($B24,IP!$B$2:$S$32,2,0)+VLOOKUP($B24,IP!$B$2:$S$32,3,0),"$#,##0")&amp;" ="),"")</f>
        <v>$5,250 =</v>
      </c>
      <c r="F24" s="658" t="str">
        <f>IFERROR(IF(VLOOKUP($B24,IP!$B$2:$S$32,2,0)="","",TEXT(VLOOKUP($B24,IP!$B$2:$S$32,2,0),"$#,##0")&amp;" +"),"")</f>
        <v>$2,100 +</v>
      </c>
      <c r="G24" s="659" t="str">
        <f>IFERROR(VLOOKUP($B24,IP!$B$2:$S$32,4,0),"")</f>
        <v>$150 for 21 pay periods</v>
      </c>
      <c r="H24" s="684"/>
      <c r="I24" s="657" t="str">
        <f>IFERROR(IF(VLOOKUP($B24,OP!$B$2:$S$32,3,0)="","",TEXT(VLOOKUP($B24,OP!$B$2:$S$32,2,0)+VLOOKUP($B24,OP!$B$2:$S$32,3,0),"$#,##0")&amp;" ="),"")</f>
        <v>$3,000 =</v>
      </c>
      <c r="J24" s="658" t="str">
        <f>IFERROR(IF(VLOOKUP($B24,OP!$B$2:$S$32,2,0)="","",TEXT(VLOOKUP($B24,OP!$B$2:$S$32,2,0),"$#,##0")&amp;" +"),"")</f>
        <v>$1,500 +</v>
      </c>
      <c r="K24" s="659" t="str">
        <f>IFERROR(VLOOKUP($B24,OP!$B$2:$S$32,4,0),"")</f>
        <v>$100 for 15 pay periods</v>
      </c>
      <c r="L24" s="684"/>
      <c r="M24" s="646" t="str">
        <f>'Add-In_Control'!$D28</f>
        <v>Hip Arthroscopy</v>
      </c>
      <c r="N24" s="646"/>
      <c r="O24" s="646"/>
      <c r="P24" s="646"/>
      <c r="Q24" s="657" t="str">
        <f>IFERROR(IF(VLOOKUP($B24,ASC!$B$2:$S$32,3,0)="","",TEXT(VLOOKUP($B24,ASC!$B$2:$S$32,2,0)+VLOOKUP($B24,ASC!$B$2:$S$32,3,0),"$#,##0")&amp;" ="),"")</f>
        <v>$2,800 =</v>
      </c>
      <c r="R24" s="658" t="str">
        <f>IFERROR(IF(VLOOKUP($B24,ASC!$B$2:$S$32,2,0)="","",TEXT(VLOOKUP($B24,ASC!$B$2:$S$32,2,0),"$#,##0")&amp;" +"),"")</f>
        <v>$1,400 +</v>
      </c>
      <c r="S24" s="659" t="str">
        <f>IFERROR(VLOOKUP($B24,ASC!$B$2:$S$32,4,0),"")</f>
        <v>$100 for 14 pay periods</v>
      </c>
      <c r="T24" s="684"/>
      <c r="U24" s="657" t="str">
        <f>IFERROR(IF(VLOOKUP($B24,Office!$B$2:$S$32,3,0)="","",TEXT(VLOOKUP($B24,Office!$B$2:$S$32,2,0)+VLOOKUP($B24,Office!$B$2:$S$32,3,0),"$#,##0")&amp;" ="),"")</f>
        <v/>
      </c>
      <c r="V24" s="658" t="str">
        <f>IFERROR(IF(VLOOKUP($B24,Office!$B$2:$S$32,2,0)="","",TEXT(VLOOKUP($B24,Office!$B$2:$S$32,2,0),"$#,##0")&amp;" +"),"")</f>
        <v/>
      </c>
      <c r="W24" s="659" t="str">
        <f>IFERROR(VLOOKUP($B24,Office!$B$2:$S$32,4,0),"")</f>
        <v/>
      </c>
      <c r="X24" s="684"/>
    </row>
    <row r="25" spans="2:24" x14ac:dyDescent="0.2">
      <c r="B25" s="252" t="str">
        <f>'Add-In_Control'!$D29</f>
        <v>Hip Replacement/Resurfacing</v>
      </c>
      <c r="E25" s="660" t="str">
        <f>IFERROR(IF(VLOOKUP($B25,IP!$B$2:$S$32,3,0)="","",TEXT(VLOOKUP($B25,IP!$B$2:$S$32,2,0)+VLOOKUP($B25,IP!$B$2:$S$32,3,0),"$#,##0")&amp;" ="),"")</f>
        <v>$5,650 =</v>
      </c>
      <c r="F25" s="661" t="str">
        <f>IFERROR(IF(VLOOKUP($B25,IP!$B$2:$S$32,2,0)="","",TEXT(VLOOKUP($B25,IP!$B$2:$S$32,2,0),"$#,##0")&amp;" +"),"")</f>
        <v>$2,200 +</v>
      </c>
      <c r="G25" s="662" t="str">
        <f>IFERROR(VLOOKUP($B25,IP!$B$2:$S$32,4,0),"")</f>
        <v>$150 for 23 pay periods</v>
      </c>
      <c r="H25" s="685"/>
      <c r="I25" s="660" t="str">
        <f>IFERROR(IF(VLOOKUP($B25,OP!$B$2:$S$32,3,0)="","",TEXT(VLOOKUP($B25,OP!$B$2:$S$32,2,0)+VLOOKUP($B25,OP!$B$2:$S$32,3,0),"$#,##0")&amp;" ="),"")</f>
        <v/>
      </c>
      <c r="J25" s="661" t="str">
        <f>IFERROR(IF(VLOOKUP($B25,OP!$B$2:$S$32,2,0)="","",TEXT(VLOOKUP($B25,OP!$B$2:$S$32,2,0),"$#,##0")&amp;" +"),"")</f>
        <v/>
      </c>
      <c r="K25" s="662" t="str">
        <f>IFERROR(VLOOKUP($B25,OP!$B$2:$S$32,4,0),"")</f>
        <v/>
      </c>
      <c r="L25" s="685"/>
      <c r="M25" s="252" t="str">
        <f>'Add-In_Control'!$D29</f>
        <v>Hip Replacement/Resurfacing</v>
      </c>
      <c r="Q25" s="660" t="str">
        <f>IFERROR(IF(VLOOKUP($B25,ASC!$B$2:$S$32,3,0)="","",TEXT(VLOOKUP($B25,ASC!$B$2:$S$32,2,0)+VLOOKUP($B25,ASC!$B$2:$S$32,3,0),"$#,##0")&amp;" ="),"")</f>
        <v>$3,400 =</v>
      </c>
      <c r="R25" s="661" t="str">
        <f>IFERROR(IF(VLOOKUP($B25,ASC!$B$2:$S$32,2,0)="","",TEXT(VLOOKUP($B25,ASC!$B$2:$S$32,2,0),"$#,##0")&amp;" +"),"")</f>
        <v>$1,700 +</v>
      </c>
      <c r="S25" s="662" t="str">
        <f>IFERROR(VLOOKUP($B25,ASC!$B$2:$S$32,4,0),"")</f>
        <v>$100 for 17 pay periods</v>
      </c>
      <c r="T25" s="685"/>
      <c r="U25" s="660" t="str">
        <f>IFERROR(IF(VLOOKUP($B25,Office!$B$2:$S$32,3,0)="","",TEXT(VLOOKUP($B25,Office!$B$2:$S$32,2,0)+VLOOKUP($B25,Office!$B$2:$S$32,3,0),"$#,##0")&amp;" ="),"")</f>
        <v/>
      </c>
      <c r="V25" s="661" t="str">
        <f>IFERROR(IF(VLOOKUP($B25,Office!$B$2:$S$32,2,0)="","",TEXT(VLOOKUP($B25,Office!$B$2:$S$32,2,0),"$#,##0")&amp;" +"),"")</f>
        <v/>
      </c>
      <c r="W25" s="662" t="str">
        <f>IFERROR(VLOOKUP($B25,Office!$B$2:$S$32,4,0),"")</f>
        <v/>
      </c>
      <c r="X25" s="685"/>
    </row>
    <row r="26" spans="2:24" x14ac:dyDescent="0.2">
      <c r="B26" s="646" t="str">
        <f>'Add-In_Control'!$D30</f>
        <v>Hysterectomy, Non-Cancerous</v>
      </c>
      <c r="C26" s="646"/>
      <c r="D26" s="646"/>
      <c r="E26" s="657" t="str">
        <f>IFERROR(IF(VLOOKUP($B26,IP!$B$2:$S$32,3,0)="","",TEXT(VLOOKUP($B26,IP!$B$2:$S$32,2,0)+VLOOKUP($B26,IP!$B$2:$S$32,3,0),"$#,##0")&amp;" ="),"")</f>
        <v>$5,150 =</v>
      </c>
      <c r="F26" s="658" t="str">
        <f>IFERROR(IF(VLOOKUP($B26,IP!$B$2:$S$32,2,0)="","",TEXT(VLOOKUP($B26,IP!$B$2:$S$32,2,0),"$#,##0")&amp;" +"),"")</f>
        <v>$2,000 +</v>
      </c>
      <c r="G26" s="659" t="str">
        <f>IFERROR(VLOOKUP($B26,IP!$B$2:$S$32,4,0),"")</f>
        <v>$150 for 21 pay periods</v>
      </c>
      <c r="H26" s="684"/>
      <c r="I26" s="657" t="str">
        <f>IFERROR(IF(VLOOKUP($B26,OP!$B$2:$S$32,3,0)="","",TEXT(VLOOKUP($B26,OP!$B$2:$S$32,2,0)+VLOOKUP($B26,OP!$B$2:$S$32,3,0),"$#,##0")&amp;" ="),"")</f>
        <v>$2,600 =</v>
      </c>
      <c r="J26" s="658" t="str">
        <f>IFERROR(IF(VLOOKUP($B26,OP!$B$2:$S$32,2,0)="","",TEXT(VLOOKUP($B26,OP!$B$2:$S$32,2,0),"$#,##0")&amp;" +"),"")</f>
        <v>$1,300 +</v>
      </c>
      <c r="K26" s="659" t="str">
        <f>IFERROR(VLOOKUP($B26,OP!$B$2:$S$32,4,0),"")</f>
        <v>$100 for 13 pay periods</v>
      </c>
      <c r="L26" s="684"/>
      <c r="M26" s="646" t="str">
        <f>'Add-In_Control'!$D30</f>
        <v>Hysterectomy, Non-Cancerous</v>
      </c>
      <c r="N26" s="646"/>
      <c r="O26" s="646"/>
      <c r="P26" s="646"/>
      <c r="Q26" s="657" t="str">
        <f>IFERROR(IF(VLOOKUP($B26,ASC!$B$2:$S$32,3,0)="","",TEXT(VLOOKUP($B26,ASC!$B$2:$S$32,2,0)+VLOOKUP($B26,ASC!$B$2:$S$32,3,0),"$#,##0")&amp;" ="),"")</f>
        <v>$1,800 =</v>
      </c>
      <c r="R26" s="658" t="str">
        <f>IFERROR(IF(VLOOKUP($B26,ASC!$B$2:$S$32,2,0)="","",TEXT(VLOOKUP($B26,ASC!$B$2:$S$32,2,0),"$#,##0")&amp;" +"),"")</f>
        <v>$1,200 +</v>
      </c>
      <c r="S26" s="659" t="str">
        <f>IFERROR(VLOOKUP($B26,ASC!$B$2:$S$32,4,0),"")</f>
        <v>$50 for 12 pay periods</v>
      </c>
      <c r="T26" s="684"/>
      <c r="U26" s="657" t="str">
        <f>IFERROR(IF(VLOOKUP($B26,Office!$B$2:$S$32,3,0)="","",TEXT(VLOOKUP($B26,Office!$B$2:$S$32,2,0)+VLOOKUP($B26,Office!$B$2:$S$32,3,0),"$#,##0")&amp;" ="),"")</f>
        <v/>
      </c>
      <c r="V26" s="658" t="str">
        <f>IFERROR(IF(VLOOKUP($B26,Office!$B$2:$S$32,2,0)="","",TEXT(VLOOKUP($B26,Office!$B$2:$S$32,2,0),"$#,##0")&amp;" +"),"")</f>
        <v/>
      </c>
      <c r="W26" s="659" t="str">
        <f>IFERROR(VLOOKUP($B26,Office!$B$2:$S$32,4,0),"")</f>
        <v/>
      </c>
      <c r="X26" s="684"/>
    </row>
    <row r="27" spans="2:24" x14ac:dyDescent="0.2">
      <c r="B27" s="252" t="str">
        <f>'Add-In_Control'!$D31</f>
        <v>Knee Arthroscopy</v>
      </c>
      <c r="E27" s="660" t="str">
        <f>IFERROR(IF(VLOOKUP($B27,IP!$B$2:$S$32,3,0)="","",TEXT(VLOOKUP($B27,IP!$B$2:$S$32,2,0)+VLOOKUP($B27,IP!$B$2:$S$32,3,0),"$#,##0")&amp;" ="),"")</f>
        <v>$4,750 =</v>
      </c>
      <c r="F27" s="661" t="str">
        <f>IFERROR(IF(VLOOKUP($B27,IP!$B$2:$S$32,2,0)="","",TEXT(VLOOKUP($B27,IP!$B$2:$S$32,2,0),"$#,##0")&amp;" +"),"")</f>
        <v>$1,900 +</v>
      </c>
      <c r="G27" s="662" t="str">
        <f>IFERROR(VLOOKUP($B27,IP!$B$2:$S$32,4,0),"")</f>
        <v>$150 for 19 pay periods</v>
      </c>
      <c r="H27" s="685"/>
      <c r="I27" s="660" t="str">
        <f>IFERROR(IF(VLOOKUP($B27,OP!$B$2:$S$32,3,0)="","",TEXT(VLOOKUP($B27,OP!$B$2:$S$32,2,0)+VLOOKUP($B27,OP!$B$2:$S$32,3,0),"$#,##0")&amp;" ="),"")</f>
        <v>$2,600 =</v>
      </c>
      <c r="J27" s="661" t="str">
        <f>IFERROR(IF(VLOOKUP($B27,OP!$B$2:$S$32,2,0)="","",TEXT(VLOOKUP($B27,OP!$B$2:$S$32,2,0),"$#,##0")&amp;" +"),"")</f>
        <v>$1,300 +</v>
      </c>
      <c r="K27" s="662" t="str">
        <f>IFERROR(VLOOKUP($B27,OP!$B$2:$S$32,4,0),"")</f>
        <v>$100 for 13 pay periods</v>
      </c>
      <c r="L27" s="685"/>
      <c r="M27" s="252" t="str">
        <f>'Add-In_Control'!$D31</f>
        <v>Knee Arthroscopy</v>
      </c>
      <c r="Q27" s="660" t="str">
        <f>IFERROR(IF(VLOOKUP($B27,ASC!$B$2:$S$32,3,0)="","",TEXT(VLOOKUP($B27,ASC!$B$2:$S$32,2,0)+VLOOKUP($B27,ASC!$B$2:$S$32,3,0),"$#,##0")&amp;" ="),"")</f>
        <v>$1,650 =</v>
      </c>
      <c r="R27" s="661" t="str">
        <f>IFERROR(IF(VLOOKUP($B27,ASC!$B$2:$S$32,2,0)="","",TEXT(VLOOKUP($B27,ASC!$B$2:$S$32,2,0),"$#,##0")&amp;" +"),"")</f>
        <v>$1,100 +</v>
      </c>
      <c r="S27" s="662" t="str">
        <f>IFERROR(VLOOKUP($B27,ASC!$B$2:$S$32,4,0),"")</f>
        <v>$50 for 11 pay periods</v>
      </c>
      <c r="T27" s="685"/>
      <c r="U27" s="660" t="str">
        <f>IFERROR(IF(VLOOKUP($B27,Office!$B$2:$S$32,3,0)="","",TEXT(VLOOKUP($B27,Office!$B$2:$S$32,2,0)+VLOOKUP($B27,Office!$B$2:$S$32,3,0),"$#,##0")&amp;" ="),"")</f>
        <v/>
      </c>
      <c r="V27" s="661" t="str">
        <f>IFERROR(IF(VLOOKUP($B27,Office!$B$2:$S$32,2,0)="","",TEXT(VLOOKUP($B27,Office!$B$2:$S$32,2,0),"$#,##0")&amp;" +"),"")</f>
        <v/>
      </c>
      <c r="W27" s="662" t="str">
        <f>IFERROR(VLOOKUP($B27,Office!$B$2:$S$32,4,0),"")</f>
        <v/>
      </c>
      <c r="X27" s="685"/>
    </row>
    <row r="28" spans="2:24" x14ac:dyDescent="0.2">
      <c r="B28" s="646" t="str">
        <f>'Add-In_Control'!$D32</f>
        <v>Knee Replacement</v>
      </c>
      <c r="C28" s="646"/>
      <c r="D28" s="646"/>
      <c r="E28" s="657" t="str">
        <f>IFERROR(IF(VLOOKUP($B28,IP!$B$2:$S$32,3,0)="","",TEXT(VLOOKUP($B28,IP!$B$2:$S$32,2,0)+VLOOKUP($B28,IP!$B$2:$S$32,3,0),"$#,##0")&amp;" ="),"")</f>
        <v>$5,650 =</v>
      </c>
      <c r="F28" s="658" t="str">
        <f>IFERROR(IF(VLOOKUP($B28,IP!$B$2:$S$32,2,0)="","",TEXT(VLOOKUP($B28,IP!$B$2:$S$32,2,0),"$#,##0")&amp;" +"),"")</f>
        <v>$2,200 +</v>
      </c>
      <c r="G28" s="659" t="str">
        <f>IFERROR(VLOOKUP($B28,IP!$B$2:$S$32,4,0),"")</f>
        <v>$150 for 23 pay periods</v>
      </c>
      <c r="H28" s="684"/>
      <c r="I28" s="657" t="str">
        <f>IFERROR(IF(VLOOKUP($B28,OP!$B$2:$S$32,3,0)="","",TEXT(VLOOKUP($B28,OP!$B$2:$S$32,2,0)+VLOOKUP($B28,OP!$B$2:$S$32,3,0),"$#,##0")&amp;" ="),"")</f>
        <v>$4,500 =</v>
      </c>
      <c r="J28" s="658" t="str">
        <f>IFERROR(IF(VLOOKUP($B28,OP!$B$2:$S$32,2,0)="","",TEXT(VLOOKUP($B28,OP!$B$2:$S$32,2,0),"$#,##0")&amp;" +"),"")</f>
        <v>$1,800 +</v>
      </c>
      <c r="K28" s="659" t="str">
        <f>IFERROR(VLOOKUP($B28,OP!$B$2:$S$32,4,0),"")</f>
        <v>$150 for 18 pay periods</v>
      </c>
      <c r="L28" s="684"/>
      <c r="M28" s="646" t="str">
        <f>'Add-In_Control'!$D32</f>
        <v>Knee Replacement</v>
      </c>
      <c r="N28" s="646"/>
      <c r="O28" s="646"/>
      <c r="P28" s="646"/>
      <c r="Q28" s="657" t="str">
        <f>IFERROR(IF(VLOOKUP($B28,ASC!$B$2:$S$32,3,0)="","",TEXT(VLOOKUP($B28,ASC!$B$2:$S$32,2,0)+VLOOKUP($B28,ASC!$B$2:$S$32,3,0),"$#,##0")&amp;" ="),"")</f>
        <v>$3,400 =</v>
      </c>
      <c r="R28" s="658" t="str">
        <f>IFERROR(IF(VLOOKUP($B28,ASC!$B$2:$S$32,2,0)="","",TEXT(VLOOKUP($B28,ASC!$B$2:$S$32,2,0),"$#,##0")&amp;" +"),"")</f>
        <v>$1,700 +</v>
      </c>
      <c r="S28" s="659" t="str">
        <f>IFERROR(VLOOKUP($B28,ASC!$B$2:$S$32,4,0),"")</f>
        <v>$100 for 17 pay periods</v>
      </c>
      <c r="T28" s="684"/>
      <c r="U28" s="657" t="str">
        <f>IFERROR(IF(VLOOKUP($B28,Office!$B$2:$S$32,3,0)="","",TEXT(VLOOKUP($B28,Office!$B$2:$S$32,2,0)+VLOOKUP($B28,Office!$B$2:$S$32,3,0),"$#,##0")&amp;" ="),"")</f>
        <v/>
      </c>
      <c r="V28" s="658" t="str">
        <f>IFERROR(IF(VLOOKUP($B28,Office!$B$2:$S$32,2,0)="","",TEXT(VLOOKUP($B28,Office!$B$2:$S$32,2,0),"$#,##0")&amp;" +"),"")</f>
        <v/>
      </c>
      <c r="W28" s="659" t="str">
        <f>IFERROR(VLOOKUP($B28,Office!$B$2:$S$32,4,0),"")</f>
        <v/>
      </c>
      <c r="X28" s="684"/>
    </row>
    <row r="29" spans="2:24" x14ac:dyDescent="0.2">
      <c r="B29" s="252" t="str">
        <f>'Add-In_Control'!$D33</f>
        <v>Morton's Neuroma, Excision</v>
      </c>
      <c r="E29" s="660" t="str">
        <f>IFERROR(IF(VLOOKUP($B29,IP!$B$2:$S$32,3,0)="","",TEXT(VLOOKUP($B29,IP!$B$2:$S$32,2,0)+VLOOKUP($B29,IP!$B$2:$S$32,3,0),"$#,##0")&amp;" ="),"")</f>
        <v/>
      </c>
      <c r="F29" s="661" t="str">
        <f>IFERROR(IF(VLOOKUP($B29,IP!$B$2:$S$32,2,0)="","",TEXT(VLOOKUP($B29,IP!$B$2:$S$32,2,0),"$#,##0")&amp;" +"),"")</f>
        <v/>
      </c>
      <c r="G29" s="662" t="str">
        <f>IFERROR(VLOOKUP($B29,IP!$B$2:$S$32,4,0),"")</f>
        <v/>
      </c>
      <c r="H29" s="685"/>
      <c r="I29" s="660" t="str">
        <f>IFERROR(IF(VLOOKUP($B29,OP!$B$2:$S$32,3,0)="","",TEXT(VLOOKUP($B29,OP!$B$2:$S$32,2,0)+VLOOKUP($B29,OP!$B$2:$S$32,3,0),"$#,##0")&amp;" ="),"")</f>
        <v>$2,600 =</v>
      </c>
      <c r="J29" s="661" t="str">
        <f>IFERROR(IF(VLOOKUP($B29,OP!$B$2:$S$32,2,0)="","",TEXT(VLOOKUP($B29,OP!$B$2:$S$32,2,0),"$#,##0")&amp;" +"),"")</f>
        <v>$1,300 +</v>
      </c>
      <c r="K29" s="662" t="str">
        <f>IFERROR(VLOOKUP($B29,OP!$B$2:$S$32,4,0),"")</f>
        <v>$100 for 13 pay periods</v>
      </c>
      <c r="L29" s="685"/>
      <c r="M29" s="252" t="str">
        <f>'Add-In_Control'!$D33</f>
        <v>Morton's Neuroma, Excision</v>
      </c>
      <c r="Q29" s="660" t="str">
        <f>IFERROR(IF(VLOOKUP($B29,ASC!$B$2:$S$32,3,0)="","",TEXT(VLOOKUP($B29,ASC!$B$2:$S$32,2,0)+VLOOKUP($B29,ASC!$B$2:$S$32,3,0),"$#,##0")&amp;" ="),"")</f>
        <v>$1,750 =</v>
      </c>
      <c r="R29" s="661" t="str">
        <f>IFERROR(IF(VLOOKUP($B29,ASC!$B$2:$S$32,2,0)="","",TEXT(VLOOKUP($B29,ASC!$B$2:$S$32,2,0),"$#,##0")&amp;" +"),"")</f>
        <v>$1,200 +</v>
      </c>
      <c r="S29" s="662" t="str">
        <f>IFERROR(VLOOKUP($B29,ASC!$B$2:$S$32,4,0),"")</f>
        <v>$50 for 11 pay periods</v>
      </c>
      <c r="T29" s="685"/>
      <c r="U29" s="660" t="str">
        <f>IFERROR(IF(VLOOKUP($B29,Office!$B$2:$S$32,3,0)="","",TEXT(VLOOKUP($B29,Office!$B$2:$S$32,2,0)+VLOOKUP($B29,Office!$B$2:$S$32,3,0),"$#,##0")&amp;" ="),"")</f>
        <v>$1,000 =</v>
      </c>
      <c r="V29" s="661" t="str">
        <f>IFERROR(IF(VLOOKUP($B29,Office!$B$2:$S$32,2,0)="","",TEXT(VLOOKUP($B29,Office!$B$2:$S$32,2,0),"$#,##0")&amp;" +"),"")</f>
        <v>$700 +</v>
      </c>
      <c r="W29" s="662" t="str">
        <f>IFERROR(VLOOKUP($B29,Office!$B$2:$S$32,4,0),"")</f>
        <v>$50 for 6 pay periods</v>
      </c>
      <c r="X29" s="685"/>
    </row>
    <row r="30" spans="2:24" x14ac:dyDescent="0.2">
      <c r="B30" s="646" t="str">
        <f>'Add-In_Control'!$D34</f>
        <v>Nissen Fundoplication (Reflux Surgery)</v>
      </c>
      <c r="C30" s="646"/>
      <c r="D30" s="646"/>
      <c r="E30" s="657" t="str">
        <f>IFERROR(IF(VLOOKUP($B30,IP!$B$2:$S$32,3,0)="","",TEXT(VLOOKUP($B30,IP!$B$2:$S$32,2,0)+VLOOKUP($B30,IP!$B$2:$S$32,3,0),"$#,##0")&amp;" ="),"")</f>
        <v>$5,500 =</v>
      </c>
      <c r="F30" s="658" t="str">
        <f>IFERROR(IF(VLOOKUP($B30,IP!$B$2:$S$32,2,0)="","",TEXT(VLOOKUP($B30,IP!$B$2:$S$32,2,0),"$#,##0")&amp;" +"),"")</f>
        <v>$2,200 +</v>
      </c>
      <c r="G30" s="659" t="str">
        <f>IFERROR(VLOOKUP($B30,IP!$B$2:$S$32,4,0),"")</f>
        <v>$150 for 22 pay periods</v>
      </c>
      <c r="H30" s="684"/>
      <c r="I30" s="657" t="str">
        <f>IFERROR(IF(VLOOKUP($B30,OP!$B$2:$S$32,3,0)="","",TEXT(VLOOKUP($B30,OP!$B$2:$S$32,2,0)+VLOOKUP($B30,OP!$B$2:$S$32,3,0),"$#,##0")&amp;" ="),"")</f>
        <v>$3,200 =</v>
      </c>
      <c r="J30" s="658" t="str">
        <f>IFERROR(IF(VLOOKUP($B30,OP!$B$2:$S$32,2,0)="","",TEXT(VLOOKUP($B30,OP!$B$2:$S$32,2,0),"$#,##0")&amp;" +"),"")</f>
        <v>$1,600 +</v>
      </c>
      <c r="K30" s="659" t="str">
        <f>IFERROR(VLOOKUP($B30,OP!$B$2:$S$32,4,0),"")</f>
        <v>$100 for 16 pay periods</v>
      </c>
      <c r="L30" s="684"/>
      <c r="M30" s="646" t="str">
        <f>'Add-In_Control'!$D34</f>
        <v>Nissen Fundoplication (Reflux Surgery)</v>
      </c>
      <c r="N30" s="646"/>
      <c r="O30" s="646"/>
      <c r="P30" s="646"/>
      <c r="Q30" s="657" t="str">
        <f>IFERROR(IF(VLOOKUP($B30,ASC!$B$2:$S$32,3,0)="","",TEXT(VLOOKUP($B30,ASC!$B$2:$S$32,2,0)+VLOOKUP($B30,ASC!$B$2:$S$32,3,0),"$#,##0")&amp;" ="),"")</f>
        <v>$3,000 =</v>
      </c>
      <c r="R30" s="658" t="str">
        <f>IFERROR(IF(VLOOKUP($B30,ASC!$B$2:$S$32,2,0)="","",TEXT(VLOOKUP($B30,ASC!$B$2:$S$32,2,0),"$#,##0")&amp;" +"),"")</f>
        <v>$1,500 +</v>
      </c>
      <c r="S30" s="659" t="str">
        <f>IFERROR(VLOOKUP($B30,ASC!$B$2:$S$32,4,0),"")</f>
        <v>$100 for 15 pay periods</v>
      </c>
      <c r="T30" s="684"/>
      <c r="U30" s="657" t="str">
        <f>IFERROR(IF(VLOOKUP($B30,Office!$B$2:$S$32,3,0)="","",TEXT(VLOOKUP($B30,Office!$B$2:$S$32,2,0)+VLOOKUP($B30,Office!$B$2:$S$32,3,0),"$#,##0")&amp;" ="),"")</f>
        <v/>
      </c>
      <c r="V30" s="658" t="str">
        <f>IFERROR(IF(VLOOKUP($B30,Office!$B$2:$S$32,2,0)="","",TEXT(VLOOKUP($B30,Office!$B$2:$S$32,2,0),"$#,##0")&amp;" +"),"")</f>
        <v/>
      </c>
      <c r="W30" s="659" t="str">
        <f>IFERROR(VLOOKUP($B30,Office!$B$2:$S$32,4,0),"")</f>
        <v/>
      </c>
      <c r="X30" s="684"/>
    </row>
    <row r="31" spans="2:24" x14ac:dyDescent="0.2">
      <c r="B31" s="252" t="str">
        <f>'Add-In_Control'!$D35</f>
        <v>Plantar Fasciitis Surgery</v>
      </c>
      <c r="E31" s="660" t="str">
        <f>IFERROR(IF(VLOOKUP($B31,IP!$B$2:$S$32,3,0)="","",TEXT(VLOOKUP($B31,IP!$B$2:$S$32,2,0)+VLOOKUP($B31,IP!$B$2:$S$32,3,0),"$#,##0")&amp;" ="),"")</f>
        <v/>
      </c>
      <c r="F31" s="661" t="str">
        <f>IFERROR(IF(VLOOKUP($B31,IP!$B$2:$S$32,2,0)="","",TEXT(VLOOKUP($B31,IP!$B$2:$S$32,2,0),"$#,##0")&amp;" +"),"")</f>
        <v/>
      </c>
      <c r="G31" s="662" t="str">
        <f>IFERROR(VLOOKUP($B31,IP!$B$2:$S$32,4,0),"")</f>
        <v/>
      </c>
      <c r="H31" s="685"/>
      <c r="I31" s="660" t="str">
        <f>IFERROR(IF(VLOOKUP($B31,OP!$B$2:$S$32,3,0)="","",TEXT(VLOOKUP($B31,OP!$B$2:$S$32,2,0)+VLOOKUP($B31,OP!$B$2:$S$32,3,0),"$#,##0")&amp;" ="),"")</f>
        <v>$2,600 =</v>
      </c>
      <c r="J31" s="661" t="str">
        <f>IFERROR(IF(VLOOKUP($B31,OP!$B$2:$S$32,2,0)="","",TEXT(VLOOKUP($B31,OP!$B$2:$S$32,2,0),"$#,##0")&amp;" +"),"")</f>
        <v>$1,300 +</v>
      </c>
      <c r="K31" s="662" t="str">
        <f>IFERROR(VLOOKUP($B31,OP!$B$2:$S$32,4,0),"")</f>
        <v>$100 for 13 pay periods</v>
      </c>
      <c r="L31" s="685"/>
      <c r="M31" s="252" t="str">
        <f>'Add-In_Control'!$D35</f>
        <v>Plantar Fasciitis Surgery</v>
      </c>
      <c r="Q31" s="660" t="str">
        <f>IFERROR(IF(VLOOKUP($B31,ASC!$B$2:$S$32,3,0)="","",TEXT(VLOOKUP($B31,ASC!$B$2:$S$32,2,0)+VLOOKUP($B31,ASC!$B$2:$S$32,3,0),"$#,##0")&amp;" ="),"")</f>
        <v>$1,750 =</v>
      </c>
      <c r="R31" s="661" t="str">
        <f>IFERROR(IF(VLOOKUP($B31,ASC!$B$2:$S$32,2,0)="","",TEXT(VLOOKUP($B31,ASC!$B$2:$S$32,2,0),"$#,##0")&amp;" +"),"")</f>
        <v>$1,200 +</v>
      </c>
      <c r="S31" s="662" t="str">
        <f>IFERROR(VLOOKUP($B31,ASC!$B$2:$S$32,4,0),"")</f>
        <v>$50 for 11 pay periods</v>
      </c>
      <c r="T31" s="685"/>
      <c r="U31" s="660" t="str">
        <f>IFERROR(IF(VLOOKUP($B31,Office!$B$2:$S$32,3,0)="","",TEXT(VLOOKUP($B31,Office!$B$2:$S$32,2,0)+VLOOKUP($B31,Office!$B$2:$S$32,3,0),"$#,##0")&amp;" ="),"")</f>
        <v>$1,000 =</v>
      </c>
      <c r="V31" s="661" t="str">
        <f>IFERROR(IF(VLOOKUP($B31,Office!$B$2:$S$32,2,0)="","",TEXT(VLOOKUP($B31,Office!$B$2:$S$32,2,0),"$#,##0")&amp;" +"),"")</f>
        <v>$700 +</v>
      </c>
      <c r="W31" s="662" t="str">
        <f>IFERROR(VLOOKUP($B31,Office!$B$2:$S$32,4,0),"")</f>
        <v>$50 for 6 pay periods</v>
      </c>
      <c r="X31" s="685"/>
    </row>
    <row r="32" spans="2:24" x14ac:dyDescent="0.2">
      <c r="B32" s="646" t="str">
        <f>'Add-In_Control'!$D36</f>
        <v>Septoplasty</v>
      </c>
      <c r="C32" s="646"/>
      <c r="D32" s="646"/>
      <c r="E32" s="657" t="str">
        <f>IFERROR(IF(VLOOKUP($B32,IP!$B$2:$S$32,3,0)="","",TEXT(VLOOKUP($B32,IP!$B$2:$S$32,2,0)+VLOOKUP($B32,IP!$B$2:$S$32,3,0),"$#,##0")&amp;" ="),"")</f>
        <v>$5,150 =</v>
      </c>
      <c r="F32" s="658" t="str">
        <f>IFERROR(IF(VLOOKUP($B32,IP!$B$2:$S$32,2,0)="","",TEXT(VLOOKUP($B32,IP!$B$2:$S$32,2,0),"$#,##0")&amp;" +"),"")</f>
        <v>$2,000 +</v>
      </c>
      <c r="G32" s="659" t="str">
        <f>IFERROR(VLOOKUP($B32,IP!$B$2:$S$32,4,0),"")</f>
        <v>$150 for 21 pay periods</v>
      </c>
      <c r="H32" s="684"/>
      <c r="I32" s="657" t="str">
        <f>IFERROR(IF(VLOOKUP($B32,OP!$B$2:$S$32,3,0)="","",TEXT(VLOOKUP($B32,OP!$B$2:$S$32,2,0)+VLOOKUP($B32,OP!$B$2:$S$32,3,0),"$#,##0")&amp;" ="),"")</f>
        <v>$2,900 =</v>
      </c>
      <c r="J32" s="658" t="str">
        <f>IFERROR(IF(VLOOKUP($B32,OP!$B$2:$S$32,2,0)="","",TEXT(VLOOKUP($B32,OP!$B$2:$S$32,2,0),"$#,##0")&amp;" +"),"")</f>
        <v>$1,500 +</v>
      </c>
      <c r="K32" s="659" t="str">
        <f>IFERROR(VLOOKUP($B32,OP!$B$2:$S$32,4,0),"")</f>
        <v>$100 for 14 pay periods</v>
      </c>
      <c r="L32" s="684"/>
      <c r="M32" s="646" t="str">
        <f>'Add-In_Control'!$D36</f>
        <v>Septoplasty</v>
      </c>
      <c r="N32" s="646"/>
      <c r="O32" s="646"/>
      <c r="P32" s="646"/>
      <c r="Q32" s="657" t="str">
        <f>IFERROR(IF(VLOOKUP($B32,ASC!$B$2:$S$32,3,0)="","",TEXT(VLOOKUP($B32,ASC!$B$2:$S$32,2,0)+VLOOKUP($B32,ASC!$B$2:$S$32,3,0),"$#,##0")&amp;" ="),"")</f>
        <v>$2,600 =</v>
      </c>
      <c r="R32" s="658" t="str">
        <f>IFERROR(IF(VLOOKUP($B32,ASC!$B$2:$S$32,2,0)="","",TEXT(VLOOKUP($B32,ASC!$B$2:$S$32,2,0),"$#,##0")&amp;" +"),"")</f>
        <v>$1,300 +</v>
      </c>
      <c r="S32" s="659" t="str">
        <f>IFERROR(VLOOKUP($B32,ASC!$B$2:$S$32,4,0),"")</f>
        <v>$100 for 13 pay periods</v>
      </c>
      <c r="T32" s="684"/>
      <c r="U32" s="657" t="str">
        <f>IFERROR(IF(VLOOKUP($B32,Office!$B$2:$S$32,3,0)="","",TEXT(VLOOKUP($B32,Office!$B$2:$S$32,2,0)+VLOOKUP($B32,Office!$B$2:$S$32,3,0),"$#,##0")&amp;" ="),"")</f>
        <v>$1,450 =</v>
      </c>
      <c r="V32" s="658" t="str">
        <f>IFERROR(IF(VLOOKUP($B32,Office!$B$2:$S$32,2,0)="","",TEXT(VLOOKUP($B32,Office!$B$2:$S$32,2,0),"$#,##0")&amp;" +"),"")</f>
        <v>$1,000 +</v>
      </c>
      <c r="W32" s="659" t="str">
        <f>IFERROR(VLOOKUP($B32,Office!$B$2:$S$32,4,0),"")</f>
        <v>$50 for 9 pay periods</v>
      </c>
      <c r="X32" s="684"/>
    </row>
    <row r="33" spans="2:24" x14ac:dyDescent="0.2">
      <c r="B33" s="252" t="str">
        <f>'Add-In_Control'!$D37</f>
        <v>Shoulder Surgery</v>
      </c>
      <c r="E33" s="660" t="str">
        <f>IFERROR(IF(VLOOKUP($B33,IP!$B$2:$S$32,3,0)="","",TEXT(VLOOKUP($B33,IP!$B$2:$S$32,2,0)+VLOOKUP($B33,IP!$B$2:$S$32,3,0),"$#,##0")&amp;" ="),"")</f>
        <v>$5,650 =</v>
      </c>
      <c r="F33" s="661" t="str">
        <f>IFERROR(IF(VLOOKUP($B33,IP!$B$2:$S$32,2,0)="","",TEXT(VLOOKUP($B33,IP!$B$2:$S$32,2,0),"$#,##0")&amp;" +"),"")</f>
        <v>$2,200 +</v>
      </c>
      <c r="G33" s="662" t="str">
        <f>IFERROR(VLOOKUP($B33,IP!$B$2:$S$32,4,0),"")</f>
        <v>$150 for 23 pay periods</v>
      </c>
      <c r="H33" s="685"/>
      <c r="I33" s="660" t="str">
        <f>IFERROR(IF(VLOOKUP($B33,OP!$B$2:$S$32,3,0)="","",TEXT(VLOOKUP($B33,OP!$B$2:$S$32,2,0)+VLOOKUP($B33,OP!$B$2:$S$32,3,0),"$#,##0")&amp;" ="),"")</f>
        <v>$4,500 =</v>
      </c>
      <c r="J33" s="661" t="str">
        <f>IFERROR(IF(VLOOKUP($B33,OP!$B$2:$S$32,2,0)="","",TEXT(VLOOKUP($B33,OP!$B$2:$S$32,2,0),"$#,##0")&amp;" +"),"")</f>
        <v>$1,800 +</v>
      </c>
      <c r="K33" s="662" t="str">
        <f>IFERROR(VLOOKUP($B33,OP!$B$2:$S$32,4,0),"")</f>
        <v>$150 for 18 pay periods</v>
      </c>
      <c r="L33" s="685"/>
      <c r="M33" s="252" t="str">
        <f>'Add-In_Control'!$D37</f>
        <v>Shoulder Surgery</v>
      </c>
      <c r="Q33" s="660" t="str">
        <f>IFERROR(IF(VLOOKUP($B33,ASC!$B$2:$S$32,3,0)="","",TEXT(VLOOKUP($B33,ASC!$B$2:$S$32,2,0)+VLOOKUP($B33,ASC!$B$2:$S$32,3,0),"$#,##0")&amp;" ="),"")</f>
        <v>$3,400 =</v>
      </c>
      <c r="R33" s="661" t="str">
        <f>IFERROR(IF(VLOOKUP($B33,ASC!$B$2:$S$32,2,0)="","",TEXT(VLOOKUP($B33,ASC!$B$2:$S$32,2,0),"$#,##0")&amp;" +"),"")</f>
        <v>$1,700 +</v>
      </c>
      <c r="S33" s="662" t="str">
        <f>IFERROR(VLOOKUP($B33,ASC!$B$2:$S$32,4,0),"")</f>
        <v>$100 for 17 pay periods</v>
      </c>
      <c r="T33" s="685"/>
      <c r="U33" s="660" t="str">
        <f>IFERROR(IF(VLOOKUP($B33,Office!$B$2:$S$32,3,0)="","",TEXT(VLOOKUP($B33,Office!$B$2:$S$32,2,0)+VLOOKUP($B33,Office!$B$2:$S$32,3,0),"$#,##0")&amp;" ="),"")</f>
        <v/>
      </c>
      <c r="V33" s="661" t="str">
        <f>IFERROR(IF(VLOOKUP($B33,Office!$B$2:$S$32,2,0)="","",TEXT(VLOOKUP($B33,Office!$B$2:$S$32,2,0),"$#,##0")&amp;" +"),"")</f>
        <v/>
      </c>
      <c r="W33" s="662" t="str">
        <f>IFERROR(VLOOKUP($B33,Office!$B$2:$S$32,4,0),"")</f>
        <v/>
      </c>
      <c r="X33" s="685"/>
    </row>
    <row r="34" spans="2:24" x14ac:dyDescent="0.2">
      <c r="B34" s="646" t="str">
        <f>'Add-In_Control'!$D38</f>
        <v>Sling Procedure for Urinary Incontinence</v>
      </c>
      <c r="C34" s="646"/>
      <c r="D34" s="646"/>
      <c r="E34" s="657" t="str">
        <f>IFERROR(IF(VLOOKUP($B34,IP!$B$2:$S$32,3,0)="","",TEXT(VLOOKUP($B34,IP!$B$2:$S$32,2,0)+VLOOKUP($B34,IP!$B$2:$S$32,3,0),"$#,##0")&amp;" ="),"")</f>
        <v>$5,000 =</v>
      </c>
      <c r="F34" s="658" t="str">
        <f>IFERROR(IF(VLOOKUP($B34,IP!$B$2:$S$32,2,0)="","",TEXT(VLOOKUP($B34,IP!$B$2:$S$32,2,0),"$#,##0")&amp;" +"),"")</f>
        <v>$2,000 +</v>
      </c>
      <c r="G34" s="659" t="str">
        <f>IFERROR(VLOOKUP($B34,IP!$B$2:$S$32,4,0),"")</f>
        <v>$150 for 20 pay periods</v>
      </c>
      <c r="H34" s="684"/>
      <c r="I34" s="657" t="str">
        <f>IFERROR(IF(VLOOKUP($B34,OP!$B$2:$S$32,3,0)="","",TEXT(VLOOKUP($B34,OP!$B$2:$S$32,2,0)+VLOOKUP($B34,OP!$B$2:$S$32,3,0),"$#,##0")&amp;" ="),"")</f>
        <v>$2,800 =</v>
      </c>
      <c r="J34" s="658" t="str">
        <f>IFERROR(IF(VLOOKUP($B34,OP!$B$2:$S$32,2,0)="","",TEXT(VLOOKUP($B34,OP!$B$2:$S$32,2,0),"$#,##0")&amp;" +"),"")</f>
        <v>$1,400 +</v>
      </c>
      <c r="K34" s="659" t="str">
        <f>IFERROR(VLOOKUP($B34,OP!$B$2:$S$32,4,0),"")</f>
        <v>$100 for 14 pay periods</v>
      </c>
      <c r="L34" s="684"/>
      <c r="M34" s="646" t="str">
        <f>'Add-In_Control'!$D38</f>
        <v>Sling Procedure for Urinary Incontinence</v>
      </c>
      <c r="N34" s="646"/>
      <c r="O34" s="646"/>
      <c r="P34" s="646"/>
      <c r="Q34" s="657" t="str">
        <f>IFERROR(IF(VLOOKUP($B34,ASC!$B$2:$S$32,3,0)="","",TEXT(VLOOKUP($B34,ASC!$B$2:$S$32,2,0)+VLOOKUP($B34,ASC!$B$2:$S$32,3,0),"$#,##0")&amp;" ="),"")</f>
        <v>$2,600 =</v>
      </c>
      <c r="R34" s="658" t="str">
        <f>IFERROR(IF(VLOOKUP($B34,ASC!$B$2:$S$32,2,0)="","",TEXT(VLOOKUP($B34,ASC!$B$2:$S$32,2,0),"$#,##0")&amp;" +"),"")</f>
        <v>$1,300 +</v>
      </c>
      <c r="S34" s="659" t="str">
        <f>IFERROR(VLOOKUP($B34,ASC!$B$2:$S$32,4,0),"")</f>
        <v>$100 for 13 pay periods</v>
      </c>
      <c r="T34" s="684"/>
      <c r="U34" s="657" t="str">
        <f>IFERROR(IF(VLOOKUP($B34,Office!$B$2:$S$32,3,0)="","",TEXT(VLOOKUP($B34,Office!$B$2:$S$32,2,0)+VLOOKUP($B34,Office!$B$2:$S$32,3,0),"$#,##0")&amp;" ="),"")</f>
        <v/>
      </c>
      <c r="V34" s="658" t="str">
        <f>IFERROR(IF(VLOOKUP($B34,Office!$B$2:$S$32,2,0)="","",TEXT(VLOOKUP($B34,Office!$B$2:$S$32,2,0),"$#,##0")&amp;" +"),"")</f>
        <v/>
      </c>
      <c r="W34" s="659" t="str">
        <f>IFERROR(VLOOKUP($B34,Office!$B$2:$S$32,4,0),"")</f>
        <v/>
      </c>
      <c r="X34" s="684"/>
    </row>
    <row r="35" spans="2:24" x14ac:dyDescent="0.2">
      <c r="B35" s="252" t="s">
        <v>1145</v>
      </c>
      <c r="E35" s="660" t="str">
        <f>E34</f>
        <v>$5,000 =</v>
      </c>
      <c r="F35" s="661" t="str">
        <f t="shared" ref="F35:K35" si="0">F34</f>
        <v>$2,000 +</v>
      </c>
      <c r="G35" s="662" t="str">
        <f t="shared" si="0"/>
        <v>$150 for 20 pay periods</v>
      </c>
      <c r="H35" s="685"/>
      <c r="I35" s="660" t="str">
        <f t="shared" si="0"/>
        <v>$2,800 =</v>
      </c>
      <c r="J35" s="661" t="str">
        <f t="shared" si="0"/>
        <v>$1,400 +</v>
      </c>
      <c r="K35" s="662" t="str">
        <f t="shared" si="0"/>
        <v>$100 for 14 pay periods</v>
      </c>
      <c r="L35" s="685"/>
      <c r="M35" s="252" t="s">
        <v>1145</v>
      </c>
      <c r="Q35" s="660" t="str">
        <f>Q34</f>
        <v>$2,600 =</v>
      </c>
      <c r="R35" s="661" t="str">
        <f t="shared" ref="R35:W35" si="1">R34</f>
        <v>$1,300 +</v>
      </c>
      <c r="S35" s="662" t="str">
        <f t="shared" si="1"/>
        <v>$100 for 13 pay periods</v>
      </c>
      <c r="T35" s="685"/>
      <c r="U35" s="660" t="str">
        <f t="shared" si="1"/>
        <v/>
      </c>
      <c r="V35" s="661" t="str">
        <f t="shared" si="1"/>
        <v/>
      </c>
      <c r="W35" s="662" t="str">
        <f t="shared" si="1"/>
        <v/>
      </c>
      <c r="X35" s="685"/>
    </row>
    <row r="36" spans="2:24" x14ac:dyDescent="0.2">
      <c r="B36" s="646" t="str">
        <f>'Add-In_Control'!$D39</f>
        <v>Tonsillectomy / Adenoidectomy</v>
      </c>
      <c r="C36" s="646"/>
      <c r="D36" s="646"/>
      <c r="E36" s="657" t="str">
        <f>IFERROR(IF(VLOOKUP($B36,IP!$B$2:$S$32,3,0)="","",TEXT(VLOOKUP($B36,IP!$B$2:$S$32,2,0)+VLOOKUP($B36,IP!$B$2:$S$32,3,0),"$#,##0")&amp;" ="),"")</f>
        <v>$4,500 =</v>
      </c>
      <c r="F36" s="658" t="str">
        <f>IFERROR(IF(VLOOKUP($B36,IP!$B$2:$S$32,2,0)="","",TEXT(VLOOKUP($B36,IP!$B$2:$S$32,2,0),"$#,##0")&amp;" +"),"")</f>
        <v>$1,800 +</v>
      </c>
      <c r="G36" s="659" t="str">
        <f>IFERROR(VLOOKUP($B36,IP!$B$2:$S$32,4,0),"")</f>
        <v>$150 for 18 pay periods</v>
      </c>
      <c r="H36" s="684"/>
      <c r="I36" s="657" t="str">
        <f>IFERROR(IF(VLOOKUP($B36,OP!$B$2:$S$32,3,0)="","",TEXT(VLOOKUP($B36,OP!$B$2:$S$32,2,0)+VLOOKUP($B36,OP!$B$2:$S$32,3,0),"$#,##0")&amp;" ="),"")</f>
        <v>$2,600 =</v>
      </c>
      <c r="J36" s="658" t="str">
        <f>IFERROR(IF(VLOOKUP($B36,OP!$B$2:$S$32,2,0)="","",TEXT(VLOOKUP($B36,OP!$B$2:$S$32,2,0),"$#,##0")&amp;" +"),"")</f>
        <v>$1,300 +</v>
      </c>
      <c r="K36" s="659" t="str">
        <f>IFERROR(VLOOKUP($B36,OP!$B$2:$S$32,4,0),"")</f>
        <v>$100 for 13 pay periods</v>
      </c>
      <c r="L36" s="684"/>
      <c r="M36" s="646" t="str">
        <f>'Add-In_Control'!$D39</f>
        <v>Tonsillectomy / Adenoidectomy</v>
      </c>
      <c r="N36" s="646"/>
      <c r="O36" s="646"/>
      <c r="P36" s="646"/>
      <c r="Q36" s="657" t="str">
        <f>IFERROR(IF(VLOOKUP($B36,ASC!$B$2:$S$32,3,0)="","",TEXT(VLOOKUP($B36,ASC!$B$2:$S$32,2,0)+VLOOKUP($B36,ASC!$B$2:$S$32,3,0),"$#,##0")&amp;" ="),"")</f>
        <v>$1,650 =</v>
      </c>
      <c r="R36" s="658" t="str">
        <f>IFERROR(IF(VLOOKUP($B36,ASC!$B$2:$S$32,2,0)="","",TEXT(VLOOKUP($B36,ASC!$B$2:$S$32,2,0),"$#,##0")&amp;" +"),"")</f>
        <v>$1,100 +</v>
      </c>
      <c r="S36" s="659" t="str">
        <f>IFERROR(VLOOKUP($B36,ASC!$B$2:$S$32,4,0),"")</f>
        <v>$50 for 11 pay periods</v>
      </c>
      <c r="T36" s="684"/>
      <c r="U36" s="657" t="str">
        <f>IFERROR(IF(VLOOKUP($B36,Office!$B$2:$S$32,3,0)="","",TEXT(VLOOKUP($B36,Office!$B$2:$S$32,2,0)+VLOOKUP($B36,Office!$B$2:$S$32,3,0),"$#,##0")&amp;" ="),"")</f>
        <v/>
      </c>
      <c r="V36" s="658" t="str">
        <f>IFERROR(IF(VLOOKUP($B36,Office!$B$2:$S$32,2,0)="","",TEXT(VLOOKUP($B36,Office!$B$2:$S$32,2,0),"$#,##0")&amp;" +"),"")</f>
        <v/>
      </c>
      <c r="W36" s="659" t="str">
        <f>IFERROR(VLOOKUP($B36,Office!$B$2:$S$32,4,0),"")</f>
        <v/>
      </c>
      <c r="X36" s="684"/>
    </row>
    <row r="37" spans="2:24" x14ac:dyDescent="0.2">
      <c r="B37" s="252" t="str">
        <f>'Add-In_Control'!$D40</f>
        <v>Upper GI Endoscopy</v>
      </c>
      <c r="E37" s="660" t="str">
        <f>IFERROR(IF(VLOOKUP($B37,IP!$B$2:$S$32,3,0)="","",TEXT(VLOOKUP($B37,IP!$B$2:$S$32,2,0)+VLOOKUP($B37,IP!$B$2:$S$32,3,0),"$#,##0")&amp;" ="),"")</f>
        <v>$4,650 =</v>
      </c>
      <c r="F37" s="661" t="str">
        <f>IFERROR(IF(VLOOKUP($B37,IP!$B$2:$S$32,2,0)="","",TEXT(VLOOKUP($B37,IP!$B$2:$S$32,2,0),"$#,##0")&amp;" +"),"")</f>
        <v>$1,800 +</v>
      </c>
      <c r="G37" s="662" t="str">
        <f>IFERROR(VLOOKUP($B37,IP!$B$2:$S$32,4,0),"")</f>
        <v>$150 for 19 pay periods</v>
      </c>
      <c r="H37" s="685"/>
      <c r="I37" s="660" t="str">
        <f>IFERROR(IF(VLOOKUP($B37,OP!$B$2:$S$32,3,0)="","",TEXT(VLOOKUP($B37,OP!$B$2:$S$32,2,0)+VLOOKUP($B37,OP!$B$2:$S$32,3,0),"$#,##0")&amp;" ="),"")</f>
        <v>$1,750 =</v>
      </c>
      <c r="J37" s="661" t="str">
        <f>IFERROR(IF(VLOOKUP($B37,OP!$B$2:$S$32,2,0)="","",TEXT(VLOOKUP($B37,OP!$B$2:$S$32,2,0),"$#,##0")&amp;" +"),"")</f>
        <v>$1,200 +</v>
      </c>
      <c r="K37" s="662" t="str">
        <f>IFERROR(VLOOKUP($B37,OP!$B$2:$S$32,4,0),"")</f>
        <v>$50 for 11 pay periods</v>
      </c>
      <c r="L37" s="685"/>
      <c r="M37" s="252" t="str">
        <f>'Add-In_Control'!$D40</f>
        <v>Upper GI Endoscopy</v>
      </c>
      <c r="Q37" s="660" t="str">
        <f>IFERROR(IF(VLOOKUP($B37,ASC!$B$2:$S$32,3,0)="","",TEXT(VLOOKUP($B37,ASC!$B$2:$S$32,2,0)+VLOOKUP($B37,ASC!$B$2:$S$32,3,0),"$#,##0")&amp;" ="),"")</f>
        <v>$1,500 =</v>
      </c>
      <c r="R37" s="661" t="str">
        <f>IFERROR(IF(VLOOKUP($B37,ASC!$B$2:$S$32,2,0)="","",TEXT(VLOOKUP($B37,ASC!$B$2:$S$32,2,0),"$#,##0")&amp;" +"),"")</f>
        <v>$1,000 +</v>
      </c>
      <c r="S37" s="662" t="str">
        <f>IFERROR(VLOOKUP($B37,ASC!$B$2:$S$32,4,0),"")</f>
        <v>$50 for 10 pay periods</v>
      </c>
      <c r="T37" s="685"/>
      <c r="U37" s="660" t="str">
        <f>IFERROR(IF(VLOOKUP($B37,Office!$B$2:$S$32,3,0)="","",TEXT(VLOOKUP($B37,Office!$B$2:$S$32,2,0)+VLOOKUP($B37,Office!$B$2:$S$32,3,0),"$#,##0")&amp;" ="),"")</f>
        <v>$1,050 =</v>
      </c>
      <c r="V37" s="661" t="str">
        <f>IFERROR(IF(VLOOKUP($B37,Office!$B$2:$S$32,2,0)="","",TEXT(VLOOKUP($B37,Office!$B$2:$S$32,2,0),"$#,##0")&amp;" +"),"")</f>
        <v>$700 +</v>
      </c>
      <c r="W37" s="662" t="str">
        <f>IFERROR(VLOOKUP($B37,Office!$B$2:$S$32,4,0),"")</f>
        <v>$50 for 7 pay periods</v>
      </c>
      <c r="X37" s="685"/>
    </row>
  </sheetData>
  <pageMargins left="0.7" right="0.7" top="0.75" bottom="0.75" header="0.3" footer="0.3"/>
  <pageSetup scale="83" pageOrder="overThenDown" orientation="landscape" r:id="rId1"/>
  <colBreaks count="1" manualBreakCount="1">
    <brk id="12" max="36" man="1"/>
  </colBreaks>
  <ignoredErrors>
    <ignoredError sqref="E35:G35 I35:K35 Q35:X35"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0" enableFormatConditionsCalculation="0">
    <tabColor rgb="FF6F2E91"/>
  </sheetPr>
  <dimension ref="C1:N61"/>
  <sheetViews>
    <sheetView showGridLines="0" showRowColHeaders="0" zoomScale="120" zoomScaleNormal="120" zoomScalePageLayoutView="120" workbookViewId="0"/>
  </sheetViews>
  <sheetFormatPr baseColWidth="10" defaultColWidth="8.83203125" defaultRowHeight="15" x14ac:dyDescent="0.2"/>
  <cols>
    <col min="1" max="1" width="1.1640625" style="252" customWidth="1"/>
    <col min="2" max="2" width="6.5" style="252" customWidth="1"/>
    <col min="3" max="3" width="8.83203125" style="252"/>
    <col min="4" max="4" width="10.5" style="252" customWidth="1"/>
    <col min="5" max="5" width="11.5" style="252" customWidth="1"/>
    <col min="6" max="8" width="10.5" style="252" customWidth="1"/>
    <col min="9" max="10" width="8.83203125" style="252"/>
    <col min="11" max="11" width="2.83203125" style="252" customWidth="1"/>
    <col min="12" max="12" width="8.83203125" style="252"/>
    <col min="13" max="13" width="7.1640625" style="252" customWidth="1"/>
    <col min="14" max="14" width="11.1640625" style="252" customWidth="1"/>
    <col min="15" max="15" width="8.83203125" style="252"/>
    <col min="16" max="16" width="11.1640625" style="252" bestFit="1" customWidth="1"/>
    <col min="17" max="16384" width="8.83203125" style="252"/>
  </cols>
  <sheetData>
    <row r="1" spans="3:3" ht="6" customHeight="1" x14ac:dyDescent="0.2"/>
    <row r="2" spans="3:3" ht="21" x14ac:dyDescent="0.25">
      <c r="C2" s="587" t="str">
        <f>plan_sponsor&amp;" Financial Dashboard"</f>
        <v>Your Client Financial Dashboard</v>
      </c>
    </row>
    <row r="3" spans="3:3" ht="14.5" customHeight="1" x14ac:dyDescent="0.2"/>
    <row r="20" spans="3:14" hidden="1" x14ac:dyDescent="0.2">
      <c r="C20" s="618" t="s">
        <v>950</v>
      </c>
      <c r="D20" s="618"/>
      <c r="E20" s="621" t="e">
        <f>#REF!/#REF!</f>
        <v>#REF!</v>
      </c>
      <c r="F20" s="621" t="e">
        <f>#REF!/#REF!</f>
        <v>#REF!</v>
      </c>
      <c r="K20" s="619" t="s">
        <v>962</v>
      </c>
      <c r="L20" s="622"/>
      <c r="M20" s="623">
        <v>45</v>
      </c>
      <c r="N20" s="620"/>
    </row>
    <row r="21" spans="3:14" hidden="1" x14ac:dyDescent="0.2">
      <c r="C21" s="618" t="s">
        <v>951</v>
      </c>
      <c r="D21" s="618"/>
      <c r="E21" s="621" t="e">
        <f>E20*'Assumptions-Output Override'!$F$73</f>
        <v>#REF!</v>
      </c>
      <c r="F21" s="621" t="e">
        <f>1-E21</f>
        <v>#REF!</v>
      </c>
      <c r="H21" s="616"/>
      <c r="K21" s="619" t="s">
        <v>949</v>
      </c>
      <c r="L21" s="622"/>
      <c r="M21" s="623">
        <v>0</v>
      </c>
      <c r="N21" s="620"/>
    </row>
    <row r="22" spans="3:14" hidden="1" x14ac:dyDescent="0.2">
      <c r="C22" s="252" t="s">
        <v>963</v>
      </c>
    </row>
    <row r="23" spans="3:14" hidden="1" x14ac:dyDescent="0.2">
      <c r="E23" s="617" t="e">
        <f>#REF!*ee_count*12</f>
        <v>#REF!</v>
      </c>
    </row>
    <row r="61" spans="13:13" ht="16" x14ac:dyDescent="0.2">
      <c r="M61" s="913"/>
    </row>
  </sheetData>
  <pageMargins left="0.7" right="0.7" top="0.75" bottom="0.75" header="0.3" footer="0.3"/>
  <pageSetup scale="9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enableFormatConditionsCalculation="0">
    <tabColor rgb="FF6F2E91"/>
  </sheetPr>
  <dimension ref="A1:S144"/>
  <sheetViews>
    <sheetView showGridLines="0" showRowColHeaders="0" tabSelected="1" zoomScale="120" zoomScaleNormal="120" zoomScalePageLayoutView="120" workbookViewId="0"/>
  </sheetViews>
  <sheetFormatPr baseColWidth="10" defaultColWidth="8.83203125" defaultRowHeight="15" outlineLevelRow="1" x14ac:dyDescent="0.2"/>
  <cols>
    <col min="1" max="1" width="5.1640625" style="521" bestFit="1" customWidth="1"/>
    <col min="2" max="11" width="15.6640625" style="521" customWidth="1"/>
    <col min="12" max="14" width="8.83203125" style="521"/>
    <col min="15" max="15" width="10.83203125" style="521" bestFit="1" customWidth="1"/>
    <col min="16" max="16384" width="8.83203125" style="521"/>
  </cols>
  <sheetData>
    <row r="1" spans="1:11" ht="5" customHeight="1" x14ac:dyDescent="0.2"/>
    <row r="2" spans="1:11" ht="34" customHeight="1" x14ac:dyDescent="0.2">
      <c r="B2" s="922" t="str">
        <f>plan_sponsor&amp;" Budget &amp; Rate Setting"</f>
        <v>Your Client Budget &amp; Rate Setting</v>
      </c>
      <c r="F2" s="692"/>
      <c r="G2" s="692"/>
      <c r="H2" s="692"/>
      <c r="I2" s="692"/>
      <c r="J2" s="692"/>
      <c r="K2" s="692"/>
    </row>
    <row r="3" spans="1:11" x14ac:dyDescent="0.2">
      <c r="D3" s="693"/>
      <c r="E3" s="694"/>
      <c r="F3" s="694"/>
      <c r="G3" s="695"/>
      <c r="H3" s="696"/>
      <c r="I3" s="697"/>
    </row>
    <row r="4" spans="1:11" hidden="1" outlineLevel="1" x14ac:dyDescent="0.2">
      <c r="A4" s="698" t="s">
        <v>1049</v>
      </c>
      <c r="B4" s="699" t="s">
        <v>1050</v>
      </c>
      <c r="C4" s="700"/>
      <c r="D4" s="701"/>
      <c r="E4" s="702"/>
      <c r="F4" s="703"/>
      <c r="G4" s="704"/>
      <c r="H4" s="704"/>
    </row>
    <row r="5" spans="1:11" hidden="1" outlineLevel="1" x14ac:dyDescent="0.2">
      <c r="B5" s="705"/>
      <c r="C5" s="700"/>
      <c r="D5" s="701"/>
      <c r="E5" s="702"/>
      <c r="F5" s="703"/>
      <c r="G5" s="704"/>
      <c r="H5" s="704"/>
    </row>
    <row r="6" spans="1:11" hidden="1" outlineLevel="1" x14ac:dyDescent="0.2">
      <c r="B6" s="705" t="s">
        <v>1114</v>
      </c>
      <c r="C6" s="693"/>
      <c r="D6" s="701"/>
      <c r="E6" s="702"/>
      <c r="F6" s="703"/>
      <c r="G6" s="704"/>
      <c r="H6" s="704"/>
    </row>
    <row r="7" spans="1:11" hidden="1" outlineLevel="1" x14ac:dyDescent="0.2">
      <c r="B7" s="708" t="s">
        <v>1112</v>
      </c>
      <c r="C7" s="708" t="str">
        <f>TEXT(YEAR(Core_Control!F10),"0000")&amp;" Status Quo"</f>
        <v>2019 Status Quo</v>
      </c>
      <c r="D7" s="708" t="str">
        <f>TEXT(YEAR(Core_Control!F10),"0000")&amp;" Bind"</f>
        <v>2019 Bind</v>
      </c>
      <c r="E7" s="702"/>
      <c r="F7" s="703"/>
      <c r="G7" s="704"/>
      <c r="H7" s="704"/>
    </row>
    <row r="8" spans="1:11" hidden="1" outlineLevel="1" x14ac:dyDescent="0.2">
      <c r="B8" s="852" t="s">
        <v>1113</v>
      </c>
      <c r="C8" s="851">
        <v>36.050000000000004</v>
      </c>
      <c r="D8" s="851">
        <v>45</v>
      </c>
      <c r="E8" s="702"/>
      <c r="F8" s="703"/>
      <c r="G8" s="704"/>
      <c r="H8" s="704"/>
    </row>
    <row r="9" spans="1:11" hidden="1" outlineLevel="1" x14ac:dyDescent="0.2">
      <c r="B9" s="852" t="s">
        <v>1110</v>
      </c>
      <c r="C9" s="851">
        <v>0</v>
      </c>
      <c r="D9" s="851">
        <v>0</v>
      </c>
      <c r="E9" s="702"/>
      <c r="F9" s="703"/>
      <c r="G9" s="704"/>
      <c r="H9" s="704"/>
    </row>
    <row r="10" spans="1:11" hidden="1" outlineLevel="1" x14ac:dyDescent="0.2">
      <c r="B10" s="852" t="s">
        <v>1111</v>
      </c>
      <c r="C10" s="851">
        <v>0</v>
      </c>
      <c r="D10" s="851">
        <v>0</v>
      </c>
      <c r="E10" s="702"/>
      <c r="F10" s="703"/>
      <c r="G10" s="704"/>
      <c r="H10" s="704"/>
    </row>
    <row r="11" spans="1:11" hidden="1" outlineLevel="1" x14ac:dyDescent="0.2">
      <c r="B11" s="852" t="s">
        <v>1109</v>
      </c>
      <c r="C11" s="851">
        <v>0</v>
      </c>
      <c r="D11" s="851">
        <v>0</v>
      </c>
      <c r="E11" s="702"/>
      <c r="F11" s="703"/>
      <c r="G11" s="704"/>
      <c r="H11" s="704"/>
    </row>
    <row r="12" spans="1:11" hidden="1" outlineLevel="1" x14ac:dyDescent="0.2">
      <c r="B12" s="852" t="s">
        <v>538</v>
      </c>
      <c r="C12" s="851">
        <v>0</v>
      </c>
      <c r="D12" s="851">
        <v>0</v>
      </c>
      <c r="E12" s="702"/>
      <c r="F12" s="703"/>
      <c r="G12" s="704"/>
      <c r="H12" s="704"/>
    </row>
    <row r="13" spans="1:11" hidden="1" outlineLevel="1" x14ac:dyDescent="0.2">
      <c r="B13" s="706"/>
      <c r="C13" s="706"/>
      <c r="D13" s="706"/>
      <c r="E13" s="706"/>
      <c r="F13" s="706"/>
      <c r="G13" s="706"/>
      <c r="H13" s="706"/>
    </row>
    <row r="14" spans="1:11" collapsed="1" x14ac:dyDescent="0.2">
      <c r="G14" s="706"/>
    </row>
    <row r="15" spans="1:11" x14ac:dyDescent="0.2">
      <c r="B15" s="711" t="str">
        <f>"2019 "&amp;Core_Control!$D$17&amp;"  vs. Bind - Gross Plan Savings by ER &amp; EE for All Groups:"</f>
        <v>2019 Plan 1  vs. Bind - Gross Plan Savings by ER &amp; EE for All Groups:</v>
      </c>
      <c r="C15" s="706"/>
      <c r="D15" s="706"/>
      <c r="G15" s="706"/>
    </row>
    <row r="16" spans="1:11" x14ac:dyDescent="0.2">
      <c r="B16" s="714" t="s">
        <v>1056</v>
      </c>
      <c r="C16" s="934">
        <f>IFERROR('Contribution Calc'!E9/SUM('Contribution Calc'!C4:C7)/12,0)</f>
        <v>-91.73408423402249</v>
      </c>
      <c r="D16" s="935"/>
      <c r="G16" s="706"/>
    </row>
    <row r="17" spans="1:12" x14ac:dyDescent="0.2">
      <c r="B17" s="716" t="s">
        <v>1057</v>
      </c>
      <c r="C17" s="717">
        <f>1-C18</f>
        <v>0.5</v>
      </c>
      <c r="D17" s="715">
        <f>IFERROR($C$16*C17,"N/A")</f>
        <v>-45.867042117011245</v>
      </c>
      <c r="G17" s="706"/>
    </row>
    <row r="18" spans="1:12" x14ac:dyDescent="0.2">
      <c r="B18" s="716" t="s">
        <v>1058</v>
      </c>
      <c r="C18" s="718">
        <v>0.5</v>
      </c>
      <c r="D18" s="715">
        <f>IFERROR($C$16*C18,"N/A")</f>
        <v>-45.867042117011245</v>
      </c>
      <c r="G18" s="706"/>
    </row>
    <row r="19" spans="1:12" x14ac:dyDescent="0.2">
      <c r="G19" s="706"/>
    </row>
    <row r="20" spans="1:12" x14ac:dyDescent="0.2">
      <c r="B20" s="711" t="s">
        <v>1059</v>
      </c>
      <c r="G20" s="706"/>
      <c r="H20" s="706"/>
    </row>
    <row r="21" spans="1:12" ht="5" customHeight="1" thickBot="1" x14ac:dyDescent="0.25">
      <c r="B21" s="711"/>
      <c r="G21" s="706"/>
      <c r="H21" s="706"/>
    </row>
    <row r="22" spans="1:12" ht="16" thickBot="1" x14ac:dyDescent="0.25">
      <c r="B22" s="698" t="s">
        <v>1187</v>
      </c>
      <c r="C22" s="917" t="s">
        <v>1186</v>
      </c>
      <c r="G22" s="706"/>
      <c r="H22" s="706"/>
    </row>
    <row r="23" spans="1:12" x14ac:dyDescent="0.2">
      <c r="B23" s="711"/>
      <c r="G23" s="706"/>
      <c r="H23" s="706"/>
    </row>
    <row r="24" spans="1:12" hidden="1" outlineLevel="1" x14ac:dyDescent="0.2">
      <c r="B24" s="721" t="s">
        <v>1064</v>
      </c>
      <c r="C24" s="721" t="s">
        <v>1065</v>
      </c>
      <c r="D24"/>
      <c r="G24" s="713"/>
      <c r="H24" s="706"/>
    </row>
    <row r="25" spans="1:12" hidden="1" outlineLevel="1" x14ac:dyDescent="0.2">
      <c r="B25" s="723" t="s">
        <v>948</v>
      </c>
      <c r="C25" s="727"/>
      <c r="D25"/>
      <c r="K25" s="713"/>
      <c r="L25"/>
    </row>
    <row r="26" spans="1:12" hidden="1" outlineLevel="1" x14ac:dyDescent="0.2">
      <c r="B26" s="723" t="s">
        <v>1066</v>
      </c>
      <c r="C26" s="890">
        <v>0.1</v>
      </c>
      <c r="D26"/>
      <c r="K26" s="713"/>
      <c r="L26"/>
    </row>
    <row r="27" spans="1:12" hidden="1" outlineLevel="1" x14ac:dyDescent="0.2">
      <c r="B27" s="723" t="s">
        <v>1067</v>
      </c>
      <c r="C27" s="890">
        <v>0.1</v>
      </c>
      <c r="D27"/>
      <c r="K27" s="706"/>
      <c r="L27"/>
    </row>
    <row r="28" spans="1:12" hidden="1" outlineLevel="1" x14ac:dyDescent="0.2">
      <c r="B28" s="723" t="s">
        <v>1068</v>
      </c>
      <c r="C28" s="890">
        <v>0.1</v>
      </c>
      <c r="D28"/>
      <c r="K28" s="706"/>
      <c r="L28"/>
    </row>
    <row r="29" spans="1:12" hidden="1" outlineLevel="1" x14ac:dyDescent="0.2">
      <c r="A29" s="706"/>
      <c r="C29" s="720"/>
      <c r="D29" s="706"/>
      <c r="E29" s="706"/>
      <c r="F29" s="712"/>
      <c r="K29" s="706"/>
      <c r="L29"/>
    </row>
    <row r="30" spans="1:12" collapsed="1" x14ac:dyDescent="0.2">
      <c r="A30" s="706"/>
      <c r="B30" s="721" t="s">
        <v>1052</v>
      </c>
      <c r="C30" s="721" t="s">
        <v>1060</v>
      </c>
      <c r="D30" s="721" t="s">
        <v>1061</v>
      </c>
      <c r="E30" s="722" t="s">
        <v>1062</v>
      </c>
      <c r="F30" s="721" t="s">
        <v>1063</v>
      </c>
      <c r="K30" s="706"/>
      <c r="L30"/>
    </row>
    <row r="31" spans="1:12" x14ac:dyDescent="0.2">
      <c r="A31" s="706"/>
      <c r="B31" s="709" t="str">
        <f>'2019 Data'!$K$4</f>
        <v>EE</v>
      </c>
      <c r="C31" s="724">
        <f>'Enrollment Table'!$Q$25</f>
        <v>763</v>
      </c>
      <c r="D31" s="725">
        <f>'Rate Table'!$Q$25</f>
        <v>507.20002527727468</v>
      </c>
      <c r="E31" s="725">
        <f>HLOOKUP($C$22,'Contribution Calc'!$E$11:$F$16,'Contribution Calc'!C13,FALSE)</f>
        <v>102.41073103663652</v>
      </c>
      <c r="F31" s="726">
        <f>IFERROR(E31/D31,"N/A")</f>
        <v>0.20191389182335098</v>
      </c>
      <c r="L31"/>
    </row>
    <row r="32" spans="1:12" x14ac:dyDescent="0.2">
      <c r="A32" s="706"/>
      <c r="B32" s="709" t="str">
        <f>'2019 Data'!$K$5</f>
        <v>EE + SP</v>
      </c>
      <c r="C32" s="724">
        <f>'Enrollment Table'!$Q$26</f>
        <v>292</v>
      </c>
      <c r="D32" s="725">
        <f>'Rate Table'!$Q$26</f>
        <v>1185.4777070996352</v>
      </c>
      <c r="E32" s="725">
        <f>HLOOKUP($C$22,'Contribution Calc'!$E$11:$F$16,'Contribution Calc'!C14,FALSE)</f>
        <v>307.19218569254593</v>
      </c>
      <c r="F32" s="726">
        <f>IFERROR(E32/D32,"N/A")</f>
        <v>0.25912944954833095</v>
      </c>
      <c r="L32"/>
    </row>
    <row r="33" spans="1:16" x14ac:dyDescent="0.2">
      <c r="A33" s="706"/>
      <c r="B33" s="709" t="str">
        <f>'2019 Data'!$K$6</f>
        <v>EE + C</v>
      </c>
      <c r="C33" s="724">
        <f>'Enrollment Table'!$Q$27</f>
        <v>255</v>
      </c>
      <c r="D33" s="725">
        <f>'Rate Table'!$Q$27</f>
        <v>986.0619106302471</v>
      </c>
      <c r="E33" s="725">
        <f>HLOOKUP($C$22,'Contribution Calc'!$E$11:$F$16,'Contribution Calc'!C15,FALSE)</f>
        <v>246.98578648941975</v>
      </c>
      <c r="F33" s="726">
        <f>IFERROR(E33/D33,"N/A")</f>
        <v>0.25047695669692521</v>
      </c>
      <c r="L33"/>
    </row>
    <row r="34" spans="1:16" x14ac:dyDescent="0.2">
      <c r="A34" s="706"/>
      <c r="B34" s="709" t="str">
        <f>'2019 Data'!$K$7</f>
        <v>EE + F</v>
      </c>
      <c r="C34" s="724">
        <f>'Enrollment Table'!Q28</f>
        <v>290</v>
      </c>
      <c r="D34" s="725">
        <f>'Rate Table'!$Q$28</f>
        <v>1599.5295654916151</v>
      </c>
      <c r="E34" s="725">
        <f>HLOOKUP($C$22,'Contribution Calc'!$E$11:$F$16,'Contribution Calc'!C16,FALSE)</f>
        <v>432.20019367635962</v>
      </c>
      <c r="F34" s="726">
        <f>IFERROR(E34/D34,"N/A")</f>
        <v>0.27020456701813006</v>
      </c>
      <c r="K34" s="706"/>
      <c r="L34"/>
    </row>
    <row r="35" spans="1:16" x14ac:dyDescent="0.2">
      <c r="A35" s="706"/>
      <c r="B35" s="729"/>
      <c r="C35" s="730"/>
      <c r="D35" s="731"/>
      <c r="E35" s="731"/>
      <c r="F35" s="732"/>
      <c r="G35" s="733"/>
      <c r="K35" s="706"/>
      <c r="L35"/>
    </row>
    <row r="36" spans="1:16" x14ac:dyDescent="0.2">
      <c r="A36" s="706"/>
      <c r="B36" s="711" t="s">
        <v>1069</v>
      </c>
      <c r="C36" s="720"/>
      <c r="D36" s="706"/>
      <c r="E36" s="706"/>
      <c r="F36" s="712"/>
      <c r="K36" s="706"/>
      <c r="L36"/>
    </row>
    <row r="37" spans="1:16" x14ac:dyDescent="0.2">
      <c r="A37" s="734"/>
      <c r="B37" s="721" t="s">
        <v>1052</v>
      </c>
      <c r="C37" s="735" t="str">
        <f>TEXT(YEAR(Core_Control!F10),"0000 ")&amp;'2019 Data'!L3</f>
        <v>2019 Plan 1</v>
      </c>
      <c r="D37" s="722" t="s">
        <v>1070</v>
      </c>
      <c r="E37" s="735" t="s">
        <v>1071</v>
      </c>
      <c r="F37" s="735" t="s">
        <v>1072</v>
      </c>
    </row>
    <row r="38" spans="1:16" x14ac:dyDescent="0.2">
      <c r="A38" s="736">
        <f>C38/$C$38</f>
        <v>1</v>
      </c>
      <c r="B38" s="709" t="str">
        <f>'2019 Data'!$K$4</f>
        <v>EE</v>
      </c>
      <c r="C38" s="737">
        <f>'Contributions Table'!M25</f>
        <v>124.86657963446476</v>
      </c>
      <c r="D38" s="737">
        <f>$E$31</f>
        <v>102.41073103663652</v>
      </c>
      <c r="E38" s="738">
        <f>IFERROR(D38/C38-1,"N/A")</f>
        <v>-0.17983874198817362</v>
      </c>
      <c r="F38" s="737">
        <f>IFERROR(D38-C38,"N/A")</f>
        <v>-22.455848597828236</v>
      </c>
      <c r="O38" s="739"/>
      <c r="P38" s="523"/>
    </row>
    <row r="39" spans="1:16" x14ac:dyDescent="0.2">
      <c r="A39" s="736">
        <f>C39/$C$38</f>
        <v>2.9038853498989838</v>
      </c>
      <c r="B39" s="709" t="str">
        <f>'2019 Data'!$K$5</f>
        <v>EE + SP</v>
      </c>
      <c r="C39" s="737">
        <f>'Contributions Table'!M26</f>
        <v>362.59823129251703</v>
      </c>
      <c r="D39" s="737">
        <f>$E$32</f>
        <v>307.19218569254593</v>
      </c>
      <c r="E39" s="738">
        <f>IFERROR(D39/C39-1,"N/A")</f>
        <v>-0.15280285676648453</v>
      </c>
      <c r="F39" s="737">
        <f>IFERROR(D39-C39,"N/A")</f>
        <v>-55.406045599971094</v>
      </c>
      <c r="O39" s="739"/>
      <c r="P39" s="523"/>
    </row>
    <row r="40" spans="1:16" x14ac:dyDescent="0.2">
      <c r="A40" s="736">
        <f>C40/$C$38</f>
        <v>2.4258437303660658</v>
      </c>
      <c r="B40" s="709" t="str">
        <f>'2019 Data'!$K$6</f>
        <v>EE + C</v>
      </c>
      <c r="C40" s="737">
        <f>'Contributions Table'!M27</f>
        <v>302.90680933852138</v>
      </c>
      <c r="D40" s="737">
        <f>$E$33</f>
        <v>246.98578648941975</v>
      </c>
      <c r="E40" s="738">
        <f>IFERROR(D40/C40-1,"N/A")</f>
        <v>-0.18461461124370315</v>
      </c>
      <c r="F40" s="737">
        <f>IFERROR(D40-C40,"N/A")</f>
        <v>-55.921022849101632</v>
      </c>
      <c r="O40" s="739"/>
      <c r="P40" s="523"/>
    </row>
    <row r="41" spans="1:16" x14ac:dyDescent="0.2">
      <c r="A41" s="736">
        <f>C41/$C$38</f>
        <v>4.1741956556541462</v>
      </c>
      <c r="B41" s="709" t="str">
        <f>'2019 Data'!$K$7</f>
        <v>EE + F</v>
      </c>
      <c r="C41" s="737">
        <f>'Contributions Table'!M28</f>
        <v>521.21753424657527</v>
      </c>
      <c r="D41" s="737">
        <f>$E$34</f>
        <v>432.20019367635962</v>
      </c>
      <c r="E41" s="738">
        <f>IFERROR(D41/C41-1,"N/A")</f>
        <v>-0.17078730994514801</v>
      </c>
      <c r="F41" s="737">
        <f>IFERROR(D41-C41,"N/A")</f>
        <v>-89.017340570215651</v>
      </c>
      <c r="O41" s="739"/>
      <c r="P41" s="523"/>
    </row>
    <row r="42" spans="1:16" x14ac:dyDescent="0.2">
      <c r="A42" s="736">
        <f>SUMPRODUCT(A38:A41,E123:E126)/SUM(E123:E126)</f>
        <v>2.1500258834709705</v>
      </c>
      <c r="B42" s="740" t="s">
        <v>1073</v>
      </c>
      <c r="C42" s="741">
        <f>IFERROR(SUMPRODUCT(C38:C41,'Contribution Calc'!$C$4:$C$7)/SUM('Contribution Calc'!$C$4:$C$7),"N/A")</f>
        <v>268.46637819458834</v>
      </c>
      <c r="D42" s="741">
        <f>IFERROR(SUMPRODUCT(D38:D41,'Contribution Calc'!$C$4:$C$7)/SUM('Contribution Calc'!$C$4:$C$7),"N/A")</f>
        <v>222.59933607757714</v>
      </c>
      <c r="E42" s="742">
        <f>IFERROR(D42/C42-1,"N/A")</f>
        <v>-0.17084836628505529</v>
      </c>
      <c r="F42" s="741">
        <f>IFERROR(D42-C42,"N/A")</f>
        <v>-45.867042117011209</v>
      </c>
      <c r="O42" s="739"/>
    </row>
    <row r="43" spans="1:16" x14ac:dyDescent="0.2">
      <c r="A43" s="736"/>
      <c r="B43" s="918"/>
      <c r="C43" s="919"/>
      <c r="D43" s="919"/>
      <c r="E43" s="920"/>
      <c r="F43" s="919"/>
      <c r="O43" s="739"/>
    </row>
    <row r="44" spans="1:16" x14ac:dyDescent="0.2">
      <c r="A44" s="736"/>
      <c r="B44" s="721" t="s">
        <v>1052</v>
      </c>
      <c r="C44" s="735" t="str">
        <f>TEXT(YEAR(Core_Control!F10),"0000 ")&amp;'2019 Data'!M3</f>
        <v>2019 Plan 2</v>
      </c>
      <c r="D44" s="722" t="s">
        <v>1070</v>
      </c>
      <c r="E44" s="735" t="s">
        <v>1071</v>
      </c>
      <c r="F44" s="735" t="s">
        <v>1072</v>
      </c>
      <c r="O44" s="739"/>
    </row>
    <row r="45" spans="1:16" x14ac:dyDescent="0.2">
      <c r="A45" s="736"/>
      <c r="B45" s="709" t="str">
        <f>'2019 Data'!$K$4</f>
        <v>EE</v>
      </c>
      <c r="C45" s="737">
        <f>'Contributions Table'!N25</f>
        <v>53.495653809971778</v>
      </c>
      <c r="D45" s="737">
        <f>$E$31</f>
        <v>102.41073103663652</v>
      </c>
      <c r="E45" s="738">
        <f>IFERROR(D45/C45-1,"N/A")</f>
        <v>0.91437479015438816</v>
      </c>
      <c r="F45" s="737">
        <f>IFERROR(D45-C45,"N/A")</f>
        <v>48.915077226664742</v>
      </c>
      <c r="O45" s="739"/>
    </row>
    <row r="46" spans="1:16" x14ac:dyDescent="0.2">
      <c r="A46" s="736"/>
      <c r="B46" s="709" t="str">
        <f>'2019 Data'!$K$5</f>
        <v>EE + SP</v>
      </c>
      <c r="C46" s="737">
        <f>'Contributions Table'!N26</f>
        <v>189.43341968911918</v>
      </c>
      <c r="D46" s="737">
        <f>$E$32</f>
        <v>307.19218569254593</v>
      </c>
      <c r="E46" s="738">
        <f>IFERROR(D46/C46-1,"N/A")</f>
        <v>0.62163670062379528</v>
      </c>
      <c r="F46" s="737">
        <f>IFERROR(D46-C46,"N/A")</f>
        <v>117.75876600342676</v>
      </c>
      <c r="O46" s="739"/>
    </row>
    <row r="47" spans="1:16" x14ac:dyDescent="0.2">
      <c r="A47" s="736"/>
      <c r="B47" s="709" t="str">
        <f>'2019 Data'!$K$6</f>
        <v>EE + C</v>
      </c>
      <c r="C47" s="737">
        <f>'Contributions Table'!N27</f>
        <v>144.22095940959412</v>
      </c>
      <c r="D47" s="737">
        <f>$E$33</f>
        <v>246.98578648941975</v>
      </c>
      <c r="E47" s="738">
        <f>IFERROR(D47/C47-1,"N/A")</f>
        <v>0.71255126509017885</v>
      </c>
      <c r="F47" s="737">
        <f>IFERROR(D47-C47,"N/A")</f>
        <v>102.76482707982564</v>
      </c>
      <c r="O47" s="739"/>
    </row>
    <row r="48" spans="1:16" x14ac:dyDescent="0.2">
      <c r="A48" s="736"/>
      <c r="B48" s="709" t="str">
        <f>'2019 Data'!$K$7</f>
        <v>EE + F</v>
      </c>
      <c r="C48" s="737">
        <f>'Contributions Table'!N28</f>
        <v>246.69610824742267</v>
      </c>
      <c r="D48" s="737">
        <f>$E$34</f>
        <v>432.20019367635962</v>
      </c>
      <c r="E48" s="738">
        <f>IFERROR(D48/C48-1,"N/A")</f>
        <v>0.75195383805117233</v>
      </c>
      <c r="F48" s="737">
        <f>IFERROR(D48-C48,"N/A")</f>
        <v>185.50408542893695</v>
      </c>
      <c r="O48" s="739"/>
    </row>
    <row r="49" spans="1:19" x14ac:dyDescent="0.2">
      <c r="A49" s="736"/>
      <c r="B49" s="740" t="s">
        <v>1073</v>
      </c>
      <c r="C49" s="741">
        <f>IFERROR(SUMPRODUCT(C45:C48,'Contribution Calc'!$C$4:$C$7)/SUM('Contribution Calc'!$C$4:$C$7),"N/A")</f>
        <v>127.78122402964397</v>
      </c>
      <c r="D49" s="741">
        <f>IFERROR(SUMPRODUCT(D45:D48,'Contribution Calc'!$C$4:$C$7)/SUM('Contribution Calc'!$C$4:$C$7),"N/A")</f>
        <v>222.59933607757714</v>
      </c>
      <c r="E49" s="742">
        <f>IFERROR(D49/C49-1,"N/A")</f>
        <v>0.74203477676764407</v>
      </c>
      <c r="F49" s="741">
        <f>IFERROR(D49-C49,"N/A")</f>
        <v>94.81811204793317</v>
      </c>
      <c r="O49" s="739"/>
    </row>
    <row r="50" spans="1:19" x14ac:dyDescent="0.2">
      <c r="A50" s="736"/>
      <c r="B50" s="918"/>
      <c r="C50" s="919"/>
      <c r="D50" s="919"/>
      <c r="E50" s="920"/>
      <c r="F50" s="919"/>
      <c r="O50" s="739"/>
    </row>
    <row r="51" spans="1:19" x14ac:dyDescent="0.2">
      <c r="A51" s="736"/>
      <c r="B51" s="721" t="s">
        <v>1052</v>
      </c>
      <c r="C51" s="735" t="str">
        <f>TEXT(YEAR(Core_Control!F10),"0000 ")&amp;'2019 Data'!N3</f>
        <v>2019 Plan 3</v>
      </c>
      <c r="D51" s="722" t="s">
        <v>1070</v>
      </c>
      <c r="E51" s="735" t="s">
        <v>1071</v>
      </c>
      <c r="F51" s="735" t="s">
        <v>1072</v>
      </c>
      <c r="O51" s="739"/>
    </row>
    <row r="52" spans="1:19" x14ac:dyDescent="0.2">
      <c r="A52" s="736"/>
      <c r="B52" s="709" t="str">
        <f>'2019 Data'!$K$4</f>
        <v>EE</v>
      </c>
      <c r="C52" s="737">
        <f>'Contributions Table'!O25</f>
        <v>105.49829015544043</v>
      </c>
      <c r="D52" s="737">
        <f>$E$31</f>
        <v>102.41073103663652</v>
      </c>
      <c r="E52" s="738">
        <f>IFERROR(D52/C52-1,"N/A")</f>
        <v>-2.9266437534245515E-2</v>
      </c>
      <c r="F52" s="737">
        <f>IFERROR(D52-C52,"N/A")</f>
        <v>-3.0875591188039095</v>
      </c>
      <c r="O52" s="739"/>
    </row>
    <row r="53" spans="1:19" x14ac:dyDescent="0.2">
      <c r="A53" s="736"/>
      <c r="B53" s="709" t="str">
        <f>'2019 Data'!$K$5</f>
        <v>EE + SP</v>
      </c>
      <c r="C53" s="737">
        <f>'Contributions Table'!O26</f>
        <v>333.56527777777774</v>
      </c>
      <c r="D53" s="737">
        <f>$E$32</f>
        <v>307.19218569254593</v>
      </c>
      <c r="E53" s="738">
        <f>IFERROR(D53/C53-1,"N/A")</f>
        <v>-7.9064260707619738E-2</v>
      </c>
      <c r="F53" s="737">
        <f>IFERROR(D53-C53,"N/A")</f>
        <v>-26.373092085231804</v>
      </c>
      <c r="O53" s="739"/>
    </row>
    <row r="54" spans="1:19" x14ac:dyDescent="0.2">
      <c r="A54" s="736"/>
      <c r="B54" s="709" t="str">
        <f>'2019 Data'!$K$6</f>
        <v>EE + C</v>
      </c>
      <c r="C54" s="737">
        <f>'Contributions Table'!O27</f>
        <v>257.01813559322034</v>
      </c>
      <c r="D54" s="737">
        <f>$E$33</f>
        <v>246.98578648941975</v>
      </c>
      <c r="E54" s="738">
        <f>IFERROR(D54/C54-1,"N/A")</f>
        <v>-3.9033623369203241E-2</v>
      </c>
      <c r="F54" s="737">
        <f>IFERROR(D54-C54,"N/A")</f>
        <v>-10.032349103800584</v>
      </c>
      <c r="O54" s="739"/>
    </row>
    <row r="55" spans="1:19" x14ac:dyDescent="0.2">
      <c r="A55" s="736"/>
      <c r="B55" s="709" t="str">
        <f>'2019 Data'!$K$7</f>
        <v>EE + F</v>
      </c>
      <c r="C55" s="737">
        <f>'Contributions Table'!O28</f>
        <v>481.4635741444867</v>
      </c>
      <c r="D55" s="737">
        <f>$E$34</f>
        <v>432.20019367635962</v>
      </c>
      <c r="E55" s="738">
        <f>IFERROR(D55/C55-1,"N/A")</f>
        <v>-0.10232005724558346</v>
      </c>
      <c r="F55" s="737">
        <f>IFERROR(D55-C55,"N/A")</f>
        <v>-49.263380468127082</v>
      </c>
      <c r="O55" s="739"/>
    </row>
    <row r="56" spans="1:19" x14ac:dyDescent="0.2">
      <c r="A56" s="736"/>
      <c r="B56" s="740" t="s">
        <v>1073</v>
      </c>
      <c r="C56" s="741">
        <f>IFERROR(SUMPRODUCT(C52:C55,'Contribution Calc'!$C$4:$C$7)/SUM('Contribution Calc'!$C$4:$C$7),"N/A")</f>
        <v>239.41269848617779</v>
      </c>
      <c r="D56" s="741">
        <f>IFERROR(SUMPRODUCT(D52:D55,'Contribution Calc'!$C$4:$C$7)/SUM('Contribution Calc'!$C$4:$C$7),"N/A")</f>
        <v>222.59933607757714</v>
      </c>
      <c r="E56" s="742">
        <f>IFERROR(D56/C56-1,"N/A")</f>
        <v>-7.0227529763093766E-2</v>
      </c>
      <c r="F56" s="741">
        <f>IFERROR(D56-C56,"N/A")</f>
        <v>-16.813362408600653</v>
      </c>
      <c r="O56" s="739"/>
    </row>
    <row r="57" spans="1:19" x14ac:dyDescent="0.2">
      <c r="A57" s="736"/>
      <c r="B57" s="918"/>
      <c r="C57" s="919"/>
      <c r="D57" s="919"/>
      <c r="E57" s="920"/>
      <c r="F57" s="919"/>
      <c r="O57" s="739"/>
    </row>
    <row r="58" spans="1:19" x14ac:dyDescent="0.2">
      <c r="A58" s="736"/>
      <c r="B58" s="721" t="s">
        <v>1052</v>
      </c>
      <c r="C58" s="735" t="str">
        <f>TEXT(YEAR(Core_Control!F10),"0000 ")&amp;'2019 Data'!O3</f>
        <v>2019 Plan 4</v>
      </c>
      <c r="D58" s="722" t="s">
        <v>1070</v>
      </c>
      <c r="E58" s="735" t="s">
        <v>1071</v>
      </c>
      <c r="F58" s="735" t="s">
        <v>1072</v>
      </c>
      <c r="O58" s="739"/>
    </row>
    <row r="59" spans="1:19" x14ac:dyDescent="0.2">
      <c r="A59" s="736"/>
      <c r="B59" s="709" t="str">
        <f>'2019 Data'!$K$4</f>
        <v>EE</v>
      </c>
      <c r="C59" s="737">
        <f>'Contributions Table'!P25</f>
        <v>101.73</v>
      </c>
      <c r="D59" s="737">
        <f>$E$31</f>
        <v>102.41073103663652</v>
      </c>
      <c r="E59" s="738">
        <f>IFERROR(D59/C59-1,"N/A")</f>
        <v>6.6915466100119225E-3</v>
      </c>
      <c r="F59" s="737">
        <f>IFERROR(D59-C59,"N/A")</f>
        <v>0.6807310366365158</v>
      </c>
      <c r="O59" s="739"/>
    </row>
    <row r="60" spans="1:19" x14ac:dyDescent="0.2">
      <c r="A60" s="736"/>
      <c r="B60" s="709" t="str">
        <f>'2019 Data'!$K$5</f>
        <v>EE + SP</v>
      </c>
      <c r="C60" s="737">
        <f>'Contributions Table'!P26</f>
        <v>597.01</v>
      </c>
      <c r="D60" s="737">
        <f>$E$32</f>
        <v>307.19218569254593</v>
      </c>
      <c r="E60" s="738">
        <f>IFERROR(D60/C60-1,"N/A")</f>
        <v>-0.48544884391794785</v>
      </c>
      <c r="F60" s="737">
        <f>IFERROR(D60-C60,"N/A")</f>
        <v>-289.81781430745406</v>
      </c>
      <c r="O60" s="739"/>
    </row>
    <row r="61" spans="1:19" x14ac:dyDescent="0.2">
      <c r="A61" s="736"/>
      <c r="B61" s="709" t="str">
        <f>'2019 Data'!$K$6</f>
        <v>EE + C</v>
      </c>
      <c r="C61" s="737">
        <f>'Contributions Table'!P27</f>
        <v>459.63</v>
      </c>
      <c r="D61" s="737">
        <f>$E$33</f>
        <v>246.98578648941975</v>
      </c>
      <c r="E61" s="738">
        <f>IFERROR(D61/C61-1,"N/A")</f>
        <v>-0.46264215458212099</v>
      </c>
      <c r="F61" s="737">
        <f>IFERROR(D61-C61,"N/A")</f>
        <v>-212.64421351058024</v>
      </c>
      <c r="O61" s="739"/>
    </row>
    <row r="62" spans="1:19" x14ac:dyDescent="0.2">
      <c r="A62" s="736"/>
      <c r="B62" s="709" t="str">
        <f>'2019 Data'!$K$7</f>
        <v>EE + F</v>
      </c>
      <c r="C62" s="737">
        <f>'Contributions Table'!P28</f>
        <v>899.81</v>
      </c>
      <c r="D62" s="737">
        <f>$E$34</f>
        <v>432.20019367635962</v>
      </c>
      <c r="E62" s="738">
        <f>IFERROR(D62/C62-1,"N/A")</f>
        <v>-0.51967616088245339</v>
      </c>
      <c r="F62" s="737">
        <f>IFERROR(D62-C62,"N/A")</f>
        <v>-467.60980632364033</v>
      </c>
      <c r="O62" s="739"/>
    </row>
    <row r="63" spans="1:19" x14ac:dyDescent="0.2">
      <c r="A63" s="736"/>
      <c r="B63" s="740" t="s">
        <v>1073</v>
      </c>
      <c r="C63" s="741">
        <f>IFERROR(SUMPRODUCT(C59:C62,'Contribution Calc'!$C$4:$C$7)/SUM('Contribution Calc'!$C$4:$C$7),"N/A")</f>
        <v>393.81091249999997</v>
      </c>
      <c r="D63" s="741">
        <f>IFERROR(SUMPRODUCT(D59:D62,'Contribution Calc'!$C$4:$C$7)/SUM('Contribution Calc'!$C$4:$C$7),"N/A")</f>
        <v>222.59933607757714</v>
      </c>
      <c r="E63" s="742">
        <f>IFERROR(D63/C63-1,"N/A")</f>
        <v>-0.4347557952001212</v>
      </c>
      <c r="F63" s="741">
        <f>IFERROR(D63-C63,"N/A")</f>
        <v>-171.21157642242284</v>
      </c>
      <c r="O63" s="739"/>
    </row>
    <row r="64" spans="1:19" x14ac:dyDescent="0.2">
      <c r="B64" s="719"/>
      <c r="C64" s="720"/>
      <c r="D64" s="706"/>
      <c r="E64" s="706"/>
      <c r="F64" s="712"/>
      <c r="G64" s="713"/>
      <c r="J64" s="743"/>
      <c r="S64" s="523"/>
    </row>
    <row r="65" spans="1:19" x14ac:dyDescent="0.2">
      <c r="B65" s="705" t="s">
        <v>1051</v>
      </c>
      <c r="C65" s="707"/>
      <c r="D65" s="707"/>
      <c r="E65" s="706"/>
      <c r="F65" s="706"/>
      <c r="G65" s="713"/>
      <c r="J65" s="743"/>
      <c r="S65" s="523"/>
    </row>
    <row r="66" spans="1:19" x14ac:dyDescent="0.2">
      <c r="B66" s="708" t="s">
        <v>1052</v>
      </c>
      <c r="C66" s="708" t="str">
        <f>'Enrollment Table'!$M$4&amp;" --&gt; Bind"</f>
        <v>Plan 1 --&gt; Bind</v>
      </c>
      <c r="D66" s="708" t="str">
        <f>'Enrollment Table'!$N$4&amp;" --&gt; Bind"</f>
        <v>Plan 2 --&gt; Bind</v>
      </c>
      <c r="E66" s="708" t="str">
        <f>'Enrollment Table'!$O$4&amp;" --&gt; Bind"</f>
        <v>Plan 3 --&gt; Bind</v>
      </c>
      <c r="F66" s="708" t="str">
        <f>'Enrollment Table'!$P$4&amp;" --&gt; Bind"</f>
        <v>Plan 4 --&gt; Bind</v>
      </c>
      <c r="G66" s="713"/>
      <c r="J66" s="743"/>
      <c r="S66" s="523"/>
    </row>
    <row r="67" spans="1:19" x14ac:dyDescent="0.2">
      <c r="B67" s="709" t="str">
        <f>'2019 Data'!$K$4</f>
        <v>EE</v>
      </c>
      <c r="C67" s="710">
        <v>0.5</v>
      </c>
      <c r="D67" s="710">
        <v>0</v>
      </c>
      <c r="E67" s="710">
        <v>0</v>
      </c>
      <c r="F67" s="710">
        <v>0</v>
      </c>
      <c r="G67" s="713"/>
      <c r="J67" s="743"/>
      <c r="S67" s="523"/>
    </row>
    <row r="68" spans="1:19" x14ac:dyDescent="0.2">
      <c r="B68" s="709" t="str">
        <f>'2019 Data'!$K$5</f>
        <v>EE + SP</v>
      </c>
      <c r="C68" s="710">
        <v>0.5</v>
      </c>
      <c r="D68" s="710">
        <v>0</v>
      </c>
      <c r="E68" s="710">
        <v>0</v>
      </c>
      <c r="F68" s="710">
        <v>0</v>
      </c>
      <c r="G68" s="713"/>
      <c r="J68" s="743"/>
      <c r="S68" s="523"/>
    </row>
    <row r="69" spans="1:19" x14ac:dyDescent="0.2">
      <c r="B69" s="709" t="str">
        <f>'2019 Data'!$K$6</f>
        <v>EE + C</v>
      </c>
      <c r="C69" s="710">
        <v>0.5</v>
      </c>
      <c r="D69" s="710">
        <v>0</v>
      </c>
      <c r="E69" s="710">
        <v>0</v>
      </c>
      <c r="F69" s="710">
        <v>0</v>
      </c>
      <c r="G69" s="713"/>
      <c r="J69" s="743"/>
      <c r="S69" s="523"/>
    </row>
    <row r="70" spans="1:19" x14ac:dyDescent="0.2">
      <c r="B70" s="709" t="str">
        <f>'2019 Data'!$K$7</f>
        <v>EE + F</v>
      </c>
      <c r="C70" s="710">
        <v>0.5</v>
      </c>
      <c r="D70" s="710">
        <v>0</v>
      </c>
      <c r="E70" s="710">
        <v>0</v>
      </c>
      <c r="F70" s="710">
        <v>0</v>
      </c>
      <c r="G70" s="713"/>
      <c r="J70" s="743"/>
      <c r="S70" s="523"/>
    </row>
    <row r="71" spans="1:19" x14ac:dyDescent="0.2">
      <c r="B71" s="719"/>
      <c r="C71" s="720"/>
      <c r="D71" s="706"/>
      <c r="E71" s="706"/>
      <c r="F71" s="712"/>
      <c r="G71" s="713"/>
      <c r="J71" s="743"/>
      <c r="S71" s="523"/>
    </row>
    <row r="72" spans="1:19" x14ac:dyDescent="0.2">
      <c r="A72" s="698" t="s">
        <v>1074</v>
      </c>
      <c r="B72" s="744" t="s">
        <v>1132</v>
      </c>
      <c r="C72" s="706"/>
      <c r="D72" s="706"/>
      <c r="E72" s="706"/>
      <c r="F72" s="712"/>
      <c r="G72" s="712"/>
      <c r="H72" s="706"/>
      <c r="I72" s="706"/>
      <c r="J72" s="706"/>
      <c r="K72" s="706"/>
      <c r="S72" s="523"/>
    </row>
    <row r="73" spans="1:19" ht="16" thickBot="1" x14ac:dyDescent="0.25">
      <c r="A73" s="698"/>
      <c r="B73" s="745"/>
      <c r="C73" s="706"/>
      <c r="D73" s="706"/>
      <c r="E73" s="706"/>
      <c r="F73" s="712"/>
      <c r="G73" s="712"/>
      <c r="H73" s="706"/>
      <c r="I73" s="706"/>
      <c r="J73" s="706"/>
      <c r="K73" s="706"/>
      <c r="S73" s="523"/>
    </row>
    <row r="74" spans="1:19" ht="16" thickBot="1" x14ac:dyDescent="0.25">
      <c r="A74" s="698"/>
      <c r="B74" s="746" t="s">
        <v>1075</v>
      </c>
      <c r="C74" s="747" t="s">
        <v>1076</v>
      </c>
      <c r="D74" s="706"/>
      <c r="E74" s="706"/>
      <c r="F74" s="712"/>
      <c r="G74" s="712"/>
      <c r="H74" s="706"/>
      <c r="I74" s="706"/>
      <c r="J74" s="706"/>
      <c r="K74" s="706"/>
    </row>
    <row r="75" spans="1:19" x14ac:dyDescent="0.2">
      <c r="A75" s="712"/>
      <c r="B75" s="748"/>
      <c r="C75" s="706"/>
      <c r="D75" s="706"/>
      <c r="E75" s="706"/>
      <c r="F75" s="712"/>
      <c r="G75" s="712"/>
      <c r="H75" s="706"/>
      <c r="I75" s="706"/>
      <c r="J75" s="706"/>
      <c r="K75" s="706"/>
    </row>
    <row r="76" spans="1:19" hidden="1" outlineLevel="1" x14ac:dyDescent="0.2">
      <c r="A76" s="712"/>
      <c r="B76" s="711" t="s">
        <v>1077</v>
      </c>
      <c r="C76" s="720"/>
      <c r="D76" s="706"/>
      <c r="E76" s="706"/>
      <c r="F76" s="712"/>
      <c r="G76" s="712"/>
      <c r="H76" s="706"/>
      <c r="I76" s="706"/>
      <c r="J76" s="706"/>
      <c r="K76" s="706"/>
    </row>
    <row r="77" spans="1:19" hidden="1" outlineLevel="1" x14ac:dyDescent="0.2">
      <c r="A77" s="712"/>
      <c r="B77" s="721" t="s">
        <v>1052</v>
      </c>
      <c r="C77" s="735" t="str">
        <f>TEXT(YEAR(Core_Control!F10),"0000 ")&amp;'2019 Data'!L3</f>
        <v>2019 Plan 1</v>
      </c>
      <c r="D77" s="750" t="s">
        <v>1070</v>
      </c>
      <c r="E77" s="749" t="s">
        <v>1071</v>
      </c>
      <c r="F77" s="749" t="s">
        <v>1072</v>
      </c>
      <c r="G77" s="712"/>
      <c r="H77" s="706"/>
      <c r="I77" s="706"/>
      <c r="J77" s="706"/>
      <c r="K77" s="706"/>
    </row>
    <row r="78" spans="1:19" hidden="1" outlineLevel="1" x14ac:dyDescent="0.2">
      <c r="A78" s="712"/>
      <c r="B78" s="709" t="str">
        <f>'2019 Data'!$K$4</f>
        <v>EE</v>
      </c>
      <c r="C78" s="751">
        <f>K107</f>
        <v>124.86657963446476</v>
      </c>
      <c r="D78" s="751">
        <f>$K$123</f>
        <v>102.41073103663652</v>
      </c>
      <c r="E78" s="738">
        <f>IFERROR(D78/C78-1,"N/A")</f>
        <v>-0.17983874198817362</v>
      </c>
      <c r="F78" s="737">
        <f>IFERROR(D78-C78,"N/A")</f>
        <v>-22.455848597828236</v>
      </c>
      <c r="G78" s="712"/>
      <c r="H78" s="706"/>
      <c r="I78" s="706"/>
      <c r="J78" s="706"/>
      <c r="K78" s="706"/>
    </row>
    <row r="79" spans="1:19" hidden="1" outlineLevel="1" x14ac:dyDescent="0.2">
      <c r="A79" s="712"/>
      <c r="B79" s="709" t="str">
        <f>'2019 Data'!$K$5</f>
        <v>EE + SP</v>
      </c>
      <c r="C79" s="751">
        <f>K108</f>
        <v>362.59823129251703</v>
      </c>
      <c r="D79" s="751">
        <f>$K$124</f>
        <v>307.19218569254593</v>
      </c>
      <c r="E79" s="738">
        <f>IFERROR(D79/C79-1,"N/A")</f>
        <v>-0.15280285676648453</v>
      </c>
      <c r="F79" s="737">
        <f>IFERROR(D79-C79,"N/A")</f>
        <v>-55.406045599971094</v>
      </c>
      <c r="G79" s="712"/>
      <c r="H79" s="706"/>
      <c r="I79" s="706"/>
      <c r="J79" s="706"/>
      <c r="K79" s="706"/>
    </row>
    <row r="80" spans="1:19" hidden="1" outlineLevel="1" x14ac:dyDescent="0.2">
      <c r="A80" s="712"/>
      <c r="B80" s="709" t="str">
        <f>'2019 Data'!$K$6</f>
        <v>EE + C</v>
      </c>
      <c r="C80" s="751">
        <f>K109</f>
        <v>302.90680933852138</v>
      </c>
      <c r="D80" s="751">
        <f>$K$125</f>
        <v>246.98578648941975</v>
      </c>
      <c r="E80" s="738">
        <f>IFERROR(D80/C80-1,"N/A")</f>
        <v>-0.18461461124370315</v>
      </c>
      <c r="F80" s="737">
        <f>IFERROR(D80-C80,"N/A")</f>
        <v>-55.921022849101632</v>
      </c>
      <c r="G80" s="712"/>
      <c r="H80" s="706"/>
      <c r="I80" s="706"/>
      <c r="J80" s="706"/>
      <c r="K80" s="706"/>
    </row>
    <row r="81" spans="1:11" hidden="1" outlineLevel="1" x14ac:dyDescent="0.2">
      <c r="A81" s="712"/>
      <c r="B81" s="709" t="str">
        <f>'2019 Data'!$K$7</f>
        <v>EE + F</v>
      </c>
      <c r="C81" s="751">
        <f>K110</f>
        <v>521.21753424657527</v>
      </c>
      <c r="D81" s="751">
        <f>$K$126</f>
        <v>432.20019367635962</v>
      </c>
      <c r="E81" s="738">
        <f>IFERROR(D81/C81-1,"N/A")</f>
        <v>-0.17078730994514801</v>
      </c>
      <c r="F81" s="737">
        <f>IFERROR(D81-C81,"N/A")</f>
        <v>-89.017340570215651</v>
      </c>
      <c r="G81" s="712"/>
      <c r="H81" s="706"/>
      <c r="I81" s="706"/>
      <c r="J81" s="706"/>
      <c r="K81" s="706"/>
    </row>
    <row r="82" spans="1:11" hidden="1" outlineLevel="1" x14ac:dyDescent="0.2">
      <c r="A82" s="712"/>
      <c r="B82" s="740" t="s">
        <v>1073</v>
      </c>
      <c r="C82" s="752">
        <f>IFERROR(SUMPRODUCT(C78:C81,$E$123:$E$126)/SUM($E$123:$E$126),"N/A")</f>
        <v>268.46637819458834</v>
      </c>
      <c r="D82" s="752">
        <f>IFERROR(SUMPRODUCT(D78:D81,$E$123:$E$126)/SUM($E$123:$E$126),"N/A")</f>
        <v>222.59933607757714</v>
      </c>
      <c r="E82" s="742">
        <f>IFERROR(D82/C82-1,"N/A")</f>
        <v>-0.17084836628505529</v>
      </c>
      <c r="F82" s="741">
        <f>IFERROR(D82-C82,"N/A")</f>
        <v>-45.867042117011209</v>
      </c>
      <c r="G82" s="712"/>
      <c r="H82" s="706"/>
      <c r="I82" s="706"/>
      <c r="J82" s="706"/>
      <c r="K82" s="706"/>
    </row>
    <row r="83" spans="1:11" hidden="1" outlineLevel="1" x14ac:dyDescent="0.2">
      <c r="A83" s="712"/>
      <c r="B83" s="711"/>
      <c r="C83" s="720"/>
      <c r="D83" s="706"/>
      <c r="E83" s="706"/>
      <c r="F83" s="712"/>
      <c r="G83" s="712"/>
      <c r="H83" s="706"/>
      <c r="I83" s="706"/>
      <c r="J83" s="706"/>
      <c r="K83" s="706"/>
    </row>
    <row r="84" spans="1:11" hidden="1" outlineLevel="1" x14ac:dyDescent="0.2">
      <c r="A84" s="712"/>
      <c r="B84" s="721" t="s">
        <v>1052</v>
      </c>
      <c r="C84" s="906" t="str">
        <f>TEXT(YEAR(Core_Control!F10),"0000 ")&amp;'2019 Data'!M3</f>
        <v>2019 Plan 2</v>
      </c>
      <c r="D84" s="750" t="s">
        <v>1070</v>
      </c>
      <c r="E84" s="906" t="s">
        <v>1071</v>
      </c>
      <c r="F84" s="906" t="s">
        <v>1072</v>
      </c>
      <c r="G84" s="712"/>
      <c r="H84" s="706"/>
      <c r="I84" s="706"/>
      <c r="J84" s="706"/>
      <c r="K84" s="706"/>
    </row>
    <row r="85" spans="1:11" hidden="1" outlineLevel="1" x14ac:dyDescent="0.2">
      <c r="A85" s="712"/>
      <c r="B85" s="709" t="str">
        <f>'2019 Data'!$K$4</f>
        <v>EE</v>
      </c>
      <c r="C85" s="751">
        <f>K111</f>
        <v>53.495653809971778</v>
      </c>
      <c r="D85" s="751">
        <f>$K$123</f>
        <v>102.41073103663652</v>
      </c>
      <c r="E85" s="738">
        <f>IFERROR(D85/C85-1,"N/A")</f>
        <v>0.91437479015438816</v>
      </c>
      <c r="F85" s="737">
        <f>IFERROR(D85-C85,"N/A")</f>
        <v>48.915077226664742</v>
      </c>
      <c r="G85" s="712"/>
      <c r="H85" s="706"/>
      <c r="I85" s="706"/>
      <c r="J85" s="706"/>
      <c r="K85" s="706"/>
    </row>
    <row r="86" spans="1:11" hidden="1" outlineLevel="1" x14ac:dyDescent="0.2">
      <c r="A86" s="712"/>
      <c r="B86" s="709" t="str">
        <f>'2019 Data'!$K$5</f>
        <v>EE + SP</v>
      </c>
      <c r="C86" s="751">
        <f>K112</f>
        <v>189.43341968911918</v>
      </c>
      <c r="D86" s="751">
        <f>$K$124</f>
        <v>307.19218569254593</v>
      </c>
      <c r="E86" s="738">
        <f>IFERROR(D86/C86-1,"N/A")</f>
        <v>0.62163670062379528</v>
      </c>
      <c r="F86" s="737">
        <f>IFERROR(D86-C86,"N/A")</f>
        <v>117.75876600342676</v>
      </c>
      <c r="G86" s="712"/>
      <c r="H86" s="706"/>
      <c r="I86" s="706"/>
      <c r="J86" s="706"/>
      <c r="K86" s="706"/>
    </row>
    <row r="87" spans="1:11" hidden="1" outlineLevel="1" x14ac:dyDescent="0.2">
      <c r="A87" s="712"/>
      <c r="B87" s="709" t="str">
        <f>'2019 Data'!$K$6</f>
        <v>EE + C</v>
      </c>
      <c r="C87" s="751">
        <f>K113</f>
        <v>144.22095940959412</v>
      </c>
      <c r="D87" s="751">
        <f>$K$125</f>
        <v>246.98578648941975</v>
      </c>
      <c r="E87" s="738">
        <f>IFERROR(D87/C87-1,"N/A")</f>
        <v>0.71255126509017885</v>
      </c>
      <c r="F87" s="737">
        <f>IFERROR(D87-C87,"N/A")</f>
        <v>102.76482707982564</v>
      </c>
      <c r="G87" s="712"/>
      <c r="H87" s="706"/>
      <c r="I87" s="706"/>
      <c r="J87" s="706"/>
      <c r="K87" s="706"/>
    </row>
    <row r="88" spans="1:11" hidden="1" outlineLevel="1" x14ac:dyDescent="0.2">
      <c r="A88" s="712"/>
      <c r="B88" s="709" t="str">
        <f>'2019 Data'!$K$7</f>
        <v>EE + F</v>
      </c>
      <c r="C88" s="751">
        <f>K114</f>
        <v>246.69610824742267</v>
      </c>
      <c r="D88" s="751">
        <f>$K$126</f>
        <v>432.20019367635962</v>
      </c>
      <c r="E88" s="738">
        <f>IFERROR(D88/C88-1,"N/A")</f>
        <v>0.75195383805117233</v>
      </c>
      <c r="F88" s="737">
        <f>IFERROR(D88-C88,"N/A")</f>
        <v>185.50408542893695</v>
      </c>
      <c r="G88" s="712"/>
      <c r="H88" s="706"/>
      <c r="I88" s="706"/>
      <c r="J88" s="706"/>
      <c r="K88" s="706"/>
    </row>
    <row r="89" spans="1:11" hidden="1" outlineLevel="1" x14ac:dyDescent="0.2">
      <c r="A89" s="712"/>
      <c r="B89" s="740" t="s">
        <v>1073</v>
      </c>
      <c r="C89" s="752">
        <f>IFERROR(SUMPRODUCT(C85:C88,$E$123:$E$126)/SUM($E$123:$E$126),"N/A")</f>
        <v>127.78122402964397</v>
      </c>
      <c r="D89" s="752">
        <f>IFERROR(SUMPRODUCT(D85:D88,$E$123:$E$126)/SUM($E$123:$E$126),"N/A")</f>
        <v>222.59933607757714</v>
      </c>
      <c r="E89" s="742">
        <f>IFERROR(D89/C89-1,"N/A")</f>
        <v>0.74203477676764407</v>
      </c>
      <c r="F89" s="741">
        <f>IFERROR(D89-C89,"N/A")</f>
        <v>94.81811204793317</v>
      </c>
      <c r="G89" s="712"/>
      <c r="H89" s="706"/>
      <c r="I89" s="706"/>
      <c r="J89" s="706"/>
      <c r="K89" s="706"/>
    </row>
    <row r="90" spans="1:11" hidden="1" outlineLevel="1" x14ac:dyDescent="0.2">
      <c r="A90" s="712"/>
      <c r="B90" s="711"/>
      <c r="C90" s="720"/>
      <c r="D90" s="706"/>
      <c r="E90" s="706"/>
      <c r="F90" s="712"/>
      <c r="G90" s="712"/>
      <c r="H90" s="706"/>
      <c r="I90" s="706"/>
      <c r="J90" s="706"/>
      <c r="K90" s="706"/>
    </row>
    <row r="91" spans="1:11" hidden="1" outlineLevel="1" x14ac:dyDescent="0.2">
      <c r="A91" s="712"/>
      <c r="B91" s="721" t="s">
        <v>1052</v>
      </c>
      <c r="C91" s="906" t="str">
        <f>TEXT(YEAR(Core_Control!F10),"0000 ")&amp;'2019 Data'!N3</f>
        <v>2019 Plan 3</v>
      </c>
      <c r="D91" s="750" t="s">
        <v>1070</v>
      </c>
      <c r="E91" s="906" t="s">
        <v>1071</v>
      </c>
      <c r="F91" s="906" t="s">
        <v>1072</v>
      </c>
      <c r="G91" s="712"/>
      <c r="H91" s="706"/>
      <c r="I91" s="706"/>
      <c r="J91" s="706"/>
      <c r="K91" s="706"/>
    </row>
    <row r="92" spans="1:11" hidden="1" outlineLevel="1" x14ac:dyDescent="0.2">
      <c r="A92" s="712"/>
      <c r="B92" s="709" t="str">
        <f>'2019 Data'!$K$4</f>
        <v>EE</v>
      </c>
      <c r="C92" s="751">
        <f>K115</f>
        <v>105.49829015544043</v>
      </c>
      <c r="D92" s="751">
        <f>$K$123</f>
        <v>102.41073103663652</v>
      </c>
      <c r="E92" s="738">
        <f>IFERROR(D92/C92-1,"N/A")</f>
        <v>-2.9266437534245515E-2</v>
      </c>
      <c r="F92" s="737">
        <f>IFERROR(D92-C92,"N/A")</f>
        <v>-3.0875591188039095</v>
      </c>
      <c r="G92" s="712"/>
      <c r="H92" s="706"/>
      <c r="I92" s="706"/>
      <c r="J92" s="706"/>
      <c r="K92" s="706"/>
    </row>
    <row r="93" spans="1:11" hidden="1" outlineLevel="1" x14ac:dyDescent="0.2">
      <c r="A93" s="712"/>
      <c r="B93" s="709" t="str">
        <f>'2019 Data'!$K$5</f>
        <v>EE + SP</v>
      </c>
      <c r="C93" s="751">
        <f>K116</f>
        <v>333.56527777777774</v>
      </c>
      <c r="D93" s="751">
        <f>$K$124</f>
        <v>307.19218569254593</v>
      </c>
      <c r="E93" s="738">
        <f>IFERROR(D93/C93-1,"N/A")</f>
        <v>-7.9064260707619738E-2</v>
      </c>
      <c r="F93" s="737">
        <f>IFERROR(D93-C93,"N/A")</f>
        <v>-26.373092085231804</v>
      </c>
      <c r="G93" s="712"/>
      <c r="H93" s="706"/>
      <c r="I93" s="706"/>
      <c r="J93" s="706"/>
      <c r="K93" s="706"/>
    </row>
    <row r="94" spans="1:11" hidden="1" outlineLevel="1" x14ac:dyDescent="0.2">
      <c r="A94" s="712"/>
      <c r="B94" s="709" t="str">
        <f>'2019 Data'!$K$6</f>
        <v>EE + C</v>
      </c>
      <c r="C94" s="751">
        <f>K117</f>
        <v>257.01813559322034</v>
      </c>
      <c r="D94" s="751">
        <f>$K$125</f>
        <v>246.98578648941975</v>
      </c>
      <c r="E94" s="738">
        <f>IFERROR(D94/C94-1,"N/A")</f>
        <v>-3.9033623369203241E-2</v>
      </c>
      <c r="F94" s="737">
        <f>IFERROR(D94-C94,"N/A")</f>
        <v>-10.032349103800584</v>
      </c>
      <c r="G94" s="712"/>
      <c r="H94" s="706"/>
      <c r="I94" s="706"/>
      <c r="J94" s="706"/>
      <c r="K94" s="706"/>
    </row>
    <row r="95" spans="1:11" hidden="1" outlineLevel="1" x14ac:dyDescent="0.2">
      <c r="A95" s="712"/>
      <c r="B95" s="709" t="str">
        <f>'2019 Data'!$K$7</f>
        <v>EE + F</v>
      </c>
      <c r="C95" s="751">
        <f>K118</f>
        <v>481.4635741444867</v>
      </c>
      <c r="D95" s="751">
        <f>$K$126</f>
        <v>432.20019367635962</v>
      </c>
      <c r="E95" s="738">
        <f>IFERROR(D95/C95-1,"N/A")</f>
        <v>-0.10232005724558346</v>
      </c>
      <c r="F95" s="737">
        <f>IFERROR(D95-C95,"N/A")</f>
        <v>-49.263380468127082</v>
      </c>
      <c r="G95" s="712"/>
      <c r="H95" s="706"/>
      <c r="I95" s="706"/>
      <c r="J95" s="706"/>
      <c r="K95" s="706"/>
    </row>
    <row r="96" spans="1:11" hidden="1" outlineLevel="1" x14ac:dyDescent="0.2">
      <c r="A96" s="712"/>
      <c r="B96" s="740" t="s">
        <v>1073</v>
      </c>
      <c r="C96" s="752">
        <f>IFERROR(SUMPRODUCT(C92:C95,$E$123:$E$126)/SUM($E$123:$E$126),"N/A")</f>
        <v>239.41269848617779</v>
      </c>
      <c r="D96" s="752">
        <f>IFERROR(SUMPRODUCT(D92:D95,$E$123:$E$126)/SUM($E$123:$E$126),"N/A")</f>
        <v>222.59933607757714</v>
      </c>
      <c r="E96" s="742">
        <f>IFERROR(D96/C96-1,"N/A")</f>
        <v>-7.0227529763093766E-2</v>
      </c>
      <c r="F96" s="741">
        <f>IFERROR(D96-C96,"N/A")</f>
        <v>-16.813362408600653</v>
      </c>
      <c r="G96" s="712"/>
      <c r="H96" s="706"/>
      <c r="I96" s="706"/>
      <c r="J96" s="706"/>
      <c r="K96" s="706"/>
    </row>
    <row r="97" spans="1:11" hidden="1" outlineLevel="1" x14ac:dyDescent="0.2">
      <c r="A97" s="712"/>
      <c r="B97" s="711"/>
      <c r="C97" s="720"/>
      <c r="D97" s="706"/>
      <c r="E97" s="706"/>
      <c r="F97" s="712"/>
      <c r="G97" s="712"/>
      <c r="H97" s="706"/>
      <c r="I97" s="706"/>
      <c r="J97" s="706"/>
      <c r="K97" s="706"/>
    </row>
    <row r="98" spans="1:11" hidden="1" outlineLevel="1" x14ac:dyDescent="0.2">
      <c r="A98" s="712"/>
      <c r="B98" s="721" t="s">
        <v>1052</v>
      </c>
      <c r="C98" s="906" t="str">
        <f>TEXT(YEAR(Core_Control!F10),"0000 ")&amp;'2019 Data'!O3</f>
        <v>2019 Plan 4</v>
      </c>
      <c r="D98" s="750" t="s">
        <v>1070</v>
      </c>
      <c r="E98" s="906" t="s">
        <v>1071</v>
      </c>
      <c r="F98" s="906" t="s">
        <v>1072</v>
      </c>
      <c r="G98" s="712"/>
      <c r="H98" s="706"/>
      <c r="I98" s="706"/>
      <c r="J98" s="706"/>
      <c r="K98" s="706"/>
    </row>
    <row r="99" spans="1:11" hidden="1" outlineLevel="1" x14ac:dyDescent="0.2">
      <c r="A99" s="712"/>
      <c r="B99" s="709" t="str">
        <f>'2019 Data'!$K$4</f>
        <v>EE</v>
      </c>
      <c r="C99" s="751">
        <f>K119</f>
        <v>101.73</v>
      </c>
      <c r="D99" s="751">
        <f>$K$123</f>
        <v>102.41073103663652</v>
      </c>
      <c r="E99" s="738">
        <f>IFERROR(D99/C99-1,"N/A")</f>
        <v>6.6915466100119225E-3</v>
      </c>
      <c r="F99" s="737">
        <f>IFERROR(D99-C99,"N/A")</f>
        <v>0.6807310366365158</v>
      </c>
      <c r="G99" s="712"/>
      <c r="H99" s="706"/>
      <c r="I99" s="706"/>
      <c r="J99" s="706"/>
      <c r="K99" s="706"/>
    </row>
    <row r="100" spans="1:11" hidden="1" outlineLevel="1" x14ac:dyDescent="0.2">
      <c r="A100" s="712"/>
      <c r="B100" s="709" t="str">
        <f>'2019 Data'!$K$5</f>
        <v>EE + SP</v>
      </c>
      <c r="C100" s="751">
        <f>K120</f>
        <v>597.01</v>
      </c>
      <c r="D100" s="751">
        <f>$K$124</f>
        <v>307.19218569254593</v>
      </c>
      <c r="E100" s="738">
        <f>IFERROR(D100/C100-1,"N/A")</f>
        <v>-0.48544884391794785</v>
      </c>
      <c r="F100" s="737">
        <f>IFERROR(D100-C100,"N/A")</f>
        <v>-289.81781430745406</v>
      </c>
      <c r="G100" s="712"/>
      <c r="H100" s="706"/>
      <c r="I100" s="706"/>
      <c r="J100" s="706"/>
      <c r="K100" s="706"/>
    </row>
    <row r="101" spans="1:11" hidden="1" outlineLevel="1" x14ac:dyDescent="0.2">
      <c r="A101" s="712"/>
      <c r="B101" s="709" t="str">
        <f>'2019 Data'!$K$6</f>
        <v>EE + C</v>
      </c>
      <c r="C101" s="751">
        <f>K121</f>
        <v>459.63</v>
      </c>
      <c r="D101" s="751">
        <f>$K$125</f>
        <v>246.98578648941975</v>
      </c>
      <c r="E101" s="738">
        <f>IFERROR(D101/C101-1,"N/A")</f>
        <v>-0.46264215458212099</v>
      </c>
      <c r="F101" s="737">
        <f>IFERROR(D101-C101,"N/A")</f>
        <v>-212.64421351058024</v>
      </c>
      <c r="G101" s="712"/>
      <c r="H101" s="706"/>
      <c r="I101" s="706"/>
      <c r="J101" s="706"/>
      <c r="K101" s="706"/>
    </row>
    <row r="102" spans="1:11" hidden="1" outlineLevel="1" x14ac:dyDescent="0.2">
      <c r="A102" s="712"/>
      <c r="B102" s="709" t="str">
        <f>'2019 Data'!$K$7</f>
        <v>EE + F</v>
      </c>
      <c r="C102" s="751">
        <f>K122</f>
        <v>899.81</v>
      </c>
      <c r="D102" s="751">
        <f>$K$126</f>
        <v>432.20019367635962</v>
      </c>
      <c r="E102" s="738">
        <f>IFERROR(D102/C102-1,"N/A")</f>
        <v>-0.51967616088245339</v>
      </c>
      <c r="F102" s="737">
        <f>IFERROR(D102-C102,"N/A")</f>
        <v>-467.60980632364033</v>
      </c>
      <c r="G102" s="712"/>
      <c r="H102" s="706"/>
      <c r="I102" s="706"/>
      <c r="J102" s="706"/>
      <c r="K102" s="706"/>
    </row>
    <row r="103" spans="1:11" hidden="1" outlineLevel="1" x14ac:dyDescent="0.2">
      <c r="A103" s="712"/>
      <c r="B103" s="740" t="s">
        <v>1073</v>
      </c>
      <c r="C103" s="752">
        <f>IFERROR(SUMPRODUCT(C99:C102,$E$123:$E$126)/SUM($E$123:$E$126),"N/A")</f>
        <v>393.81091249999997</v>
      </c>
      <c r="D103" s="752">
        <f>IFERROR(SUMPRODUCT(D99:D102,$E$123:$E$126)/SUM($E$123:$E$126),"N/A")</f>
        <v>222.59933607757714</v>
      </c>
      <c r="E103" s="742">
        <f>IFERROR(D103/C103-1,"N/A")</f>
        <v>-0.4347557952001212</v>
      </c>
      <c r="F103" s="741">
        <f>IFERROR(D103-C103,"N/A")</f>
        <v>-171.21157642242284</v>
      </c>
      <c r="G103" s="712"/>
      <c r="H103" s="706"/>
      <c r="I103" s="706"/>
      <c r="J103" s="706"/>
      <c r="K103" s="706"/>
    </row>
    <row r="104" spans="1:11" collapsed="1" x14ac:dyDescent="0.2">
      <c r="A104" s="712"/>
      <c r="B104" s="748"/>
      <c r="C104" s="706"/>
      <c r="D104" s="706"/>
      <c r="E104" s="706"/>
      <c r="F104" s="712"/>
      <c r="G104" s="712"/>
      <c r="H104" s="706"/>
      <c r="I104" s="706"/>
      <c r="J104" s="706"/>
      <c r="K104" s="706"/>
    </row>
    <row r="105" spans="1:11" x14ac:dyDescent="0.2">
      <c r="A105" s="748"/>
      <c r="B105" s="711" t="s">
        <v>1078</v>
      </c>
      <c r="C105" s="706"/>
      <c r="D105" s="937" t="s">
        <v>1060</v>
      </c>
      <c r="E105" s="938"/>
      <c r="F105" s="937" t="s">
        <v>1079</v>
      </c>
      <c r="G105" s="938"/>
      <c r="H105" s="937" t="s">
        <v>1080</v>
      </c>
      <c r="I105" s="938"/>
      <c r="J105" s="937" t="s">
        <v>1081</v>
      </c>
      <c r="K105" s="938"/>
    </row>
    <row r="106" spans="1:11" x14ac:dyDescent="0.2">
      <c r="A106" s="748"/>
      <c r="B106" s="753" t="s">
        <v>1082</v>
      </c>
      <c r="C106" s="754" t="s">
        <v>1052</v>
      </c>
      <c r="D106" s="755" t="str">
        <f>$F$106</f>
        <v>2019 SQ</v>
      </c>
      <c r="E106" s="755" t="str">
        <f>$G$106</f>
        <v>2019 w/Bind</v>
      </c>
      <c r="F106" s="756" t="s">
        <v>1084</v>
      </c>
      <c r="G106" s="755" t="s">
        <v>1083</v>
      </c>
      <c r="H106" s="755" t="str">
        <f>$F$106</f>
        <v>2019 SQ</v>
      </c>
      <c r="I106" s="755" t="str">
        <f>$G$106</f>
        <v>2019 w/Bind</v>
      </c>
      <c r="J106" s="755" t="str">
        <f>$F$106</f>
        <v>2019 SQ</v>
      </c>
      <c r="K106" s="755" t="str">
        <f>$G$106</f>
        <v>2019 w/Bind</v>
      </c>
    </row>
    <row r="107" spans="1:11" x14ac:dyDescent="0.2">
      <c r="A107" s="701"/>
      <c r="B107" s="939" t="str">
        <f>'2019 Data'!$L$3</f>
        <v>Plan 1</v>
      </c>
      <c r="C107" s="757" t="str">
        <f>$B$67</f>
        <v>EE</v>
      </c>
      <c r="D107" s="758">
        <f>VLOOKUP($C$74&amp;$C$107,'Enrollment Table'!$D$5:$Q$28,'Enrollment Table'!$C$2,FALSE)</f>
        <v>1529</v>
      </c>
      <c r="E107" s="758">
        <f>VLOOKUP($C$74&amp;$C$107,'Enrollment Table'!$D$5:$Q$28,'Enrollment Table'!$M$2,FALSE)</f>
        <v>766</v>
      </c>
      <c r="F107" s="759">
        <f>VLOOKUP($C$74&amp;$C$107,'Rate Table'!$D$5:$Q$28,'Rate Table'!$C$2,FALSE)</f>
        <v>558.75366252452579</v>
      </c>
      <c r="G107" s="759">
        <f>VLOOKUP($C$74&amp;$C$107,'Rate Table'!$D$5:$Q$28,'Rate Table'!$M$2,FALSE)</f>
        <v>558.74520887728454</v>
      </c>
      <c r="H107" s="759">
        <f>F107-J107</f>
        <v>433.87373446697183</v>
      </c>
      <c r="I107" s="759">
        <f t="shared" ref="I107:I122" si="0">G107-K107</f>
        <v>433.87862924281978</v>
      </c>
      <c r="J107" s="759">
        <f>VLOOKUP($C$74&amp;$C$107,'Contributions Table'!$D$5:$Q$28,'Contributions Table'!$C$2,FALSE)</f>
        <v>124.87992805755395</v>
      </c>
      <c r="K107" s="759">
        <f>VLOOKUP($C$74&amp;$C$107,'Contributions Table'!$D$5:$Q$28,'Contributions Table'!$M$2,FALSE)</f>
        <v>124.86657963446476</v>
      </c>
    </row>
    <row r="108" spans="1:11" x14ac:dyDescent="0.2">
      <c r="A108" s="701"/>
      <c r="B108" s="939"/>
      <c r="C108" s="757" t="str">
        <f>$B$68</f>
        <v>EE + SP</v>
      </c>
      <c r="D108" s="758">
        <f>VLOOKUP($C$74&amp;$C$108,'Enrollment Table'!$D$5:$Q$28,'Enrollment Table'!$C$2,FALSE)</f>
        <v>586</v>
      </c>
      <c r="E108" s="758">
        <f>VLOOKUP($C$74&amp;$C$108,'Enrollment Table'!$D$5:$Q$28,'Enrollment Table'!$M$2,FALSE)</f>
        <v>294</v>
      </c>
      <c r="F108" s="759">
        <f>VLOOKUP($C$74&amp;$C$108,'Rate Table'!$D$5:$Q$28,'Rate Table'!$C$2,FALSE)</f>
        <v>1305.5000682593857</v>
      </c>
      <c r="G108" s="759">
        <f>VLOOKUP($C$74&amp;$C$108,'Rate Table'!$D$5:$Q$28,'Rate Table'!$M$2,FALSE)</f>
        <v>1305.0097278911567</v>
      </c>
      <c r="H108" s="759">
        <f t="shared" ref="H108:H122" si="1">F108-J108</f>
        <v>942.96003412969276</v>
      </c>
      <c r="I108" s="759">
        <f t="shared" si="0"/>
        <v>942.41149659863959</v>
      </c>
      <c r="J108" s="759">
        <f>VLOOKUP($C$74&amp;$C$108,'Contributions Table'!$D$5:$Q$28,'Contributions Table'!$C$2,FALSE)</f>
        <v>362.54003412969286</v>
      </c>
      <c r="K108" s="759">
        <f>VLOOKUP($C$74&amp;$C$108,'Contributions Table'!$D$5:$Q$28,'Contributions Table'!$M$2,FALSE)</f>
        <v>362.59823129251703</v>
      </c>
    </row>
    <row r="109" spans="1:11" x14ac:dyDescent="0.2">
      <c r="A109" s="701"/>
      <c r="B109" s="939"/>
      <c r="C109" s="757" t="str">
        <f>$B$69</f>
        <v>EE + C</v>
      </c>
      <c r="D109" s="758">
        <f>VLOOKUP($C$74&amp;$C$109,'Enrollment Table'!$D$5:$Q$28,'Enrollment Table'!$C$2,FALSE)</f>
        <v>512</v>
      </c>
      <c r="E109" s="758">
        <f>VLOOKUP($C$74&amp;$C$109,'Enrollment Table'!$D$5:$Q$28,'Enrollment Table'!$M$2,FALSE)</f>
        <v>257</v>
      </c>
      <c r="F109" s="759">
        <f>VLOOKUP($C$74&amp;$C$109,'Rate Table'!$D$5:$Q$28,'Rate Table'!$C$2,FALSE)</f>
        <v>1086.364453125</v>
      </c>
      <c r="G109" s="759">
        <f>VLOOKUP($C$74&amp;$C$109,'Rate Table'!$D$5:$Q$28,'Rate Table'!$M$2,FALSE)</f>
        <v>1086.4231517509727</v>
      </c>
      <c r="H109" s="759">
        <f t="shared" si="1"/>
        <v>783.33201171874998</v>
      </c>
      <c r="I109" s="759">
        <f t="shared" si="0"/>
        <v>783.51634241245131</v>
      </c>
      <c r="J109" s="759">
        <f>VLOOKUP($C$74&amp;$C$109,'Contributions Table'!$D$5:$Q$28,'Contributions Table'!$C$2,FALSE)</f>
        <v>303.03244140625003</v>
      </c>
      <c r="K109" s="759">
        <f>VLOOKUP($C$74&amp;$C$109,'Contributions Table'!$D$5:$Q$28,'Contributions Table'!$M$2,FALSE)</f>
        <v>302.90680933852138</v>
      </c>
    </row>
    <row r="110" spans="1:11" x14ac:dyDescent="0.2">
      <c r="A110" s="701"/>
      <c r="B110" s="940"/>
      <c r="C110" s="760" t="str">
        <f>$B$70</f>
        <v>EE + F</v>
      </c>
      <c r="D110" s="761">
        <f>VLOOKUP($C$74&amp;$C$110,'Enrollment Table'!$D$5:$Q$28,'Enrollment Table'!$C$2,FALSE)</f>
        <v>582</v>
      </c>
      <c r="E110" s="761">
        <f>VLOOKUP($C$74&amp;$C$110,'Enrollment Table'!$D$5:$Q$28,'Enrollment Table'!$M$2,FALSE)</f>
        <v>292</v>
      </c>
      <c r="F110" s="762">
        <f>VLOOKUP($C$74&amp;$C$110,'Rate Table'!$D$5:$Q$28,'Rate Table'!$C$2,FALSE)</f>
        <v>1761.7811340206185</v>
      </c>
      <c r="G110" s="762">
        <f>VLOOKUP($C$74&amp;$C$110,'Rate Table'!$D$5:$Q$28,'Rate Table'!$M$2,FALSE)</f>
        <v>1761.4264383561645</v>
      </c>
      <c r="H110" s="762">
        <f t="shared" si="1"/>
        <v>1240.5744329896906</v>
      </c>
      <c r="I110" s="762">
        <f t="shared" si="0"/>
        <v>1240.2089041095892</v>
      </c>
      <c r="J110" s="762">
        <f>VLOOKUP($C$74&amp;$C$110,'Contributions Table'!$D$5:$Q$28,'Contributions Table'!$C$2,FALSE)</f>
        <v>521.20670103092777</v>
      </c>
      <c r="K110" s="762">
        <f>VLOOKUP($C$74&amp;$C$110,'Contributions Table'!$D$5:$Q$28,'Contributions Table'!$M$2,FALSE)</f>
        <v>521.21753424657527</v>
      </c>
    </row>
    <row r="111" spans="1:11" x14ac:dyDescent="0.2">
      <c r="A111" s="701"/>
      <c r="B111" s="939" t="str">
        <f>'2019 Data'!$M$3</f>
        <v>Plan 2</v>
      </c>
      <c r="C111" s="757" t="str">
        <f>$B$67</f>
        <v>EE</v>
      </c>
      <c r="D111" s="763">
        <f>VLOOKUP($C$74&amp;$C$111,'Enrollment Table'!$D$5:$Q$28,'Enrollment Table'!$C$2+1,FALSE)</f>
        <v>1063</v>
      </c>
      <c r="E111" s="758">
        <f>VLOOKUP($C$74&amp;$C$111,'Enrollment Table'!$D$5:$Q$28,'Enrollment Table'!$M$2+1,FALSE)</f>
        <v>1063</v>
      </c>
      <c r="F111" s="759">
        <f>VLOOKUP($C$74&amp;$C$111,'Rate Table'!$D$5:$Q$28,'Rate Table'!$C$2+1,FALSE)</f>
        <v>478.92</v>
      </c>
      <c r="G111" s="759">
        <f>VLOOKUP($C$74&amp;$C$111,'Rate Table'!$D$5:$Q$28,'Rate Table'!$M$2+1,FALSE)</f>
        <v>478.92</v>
      </c>
      <c r="H111" s="759">
        <f t="shared" si="1"/>
        <v>425.42434619002825</v>
      </c>
      <c r="I111" s="759">
        <f t="shared" si="0"/>
        <v>425.42434619002825</v>
      </c>
      <c r="J111" s="759">
        <f>VLOOKUP($C$74&amp;$C$111,'Contributions Table'!$D$5:$Q$28,'Contributions Table'!$C$2+1,FALSE)</f>
        <v>53.495653809971778</v>
      </c>
      <c r="K111" s="759">
        <f>VLOOKUP($C$74&amp;$C$111,'Contributions Table'!$D$5:$Q$28,'Contributions Table'!$M$2+1,FALSE)</f>
        <v>53.495653809971778</v>
      </c>
    </row>
    <row r="112" spans="1:11" x14ac:dyDescent="0.2">
      <c r="A112" s="701"/>
      <c r="B112" s="939"/>
      <c r="C112" s="757" t="str">
        <f>$B$68</f>
        <v>EE + SP</v>
      </c>
      <c r="D112" s="758">
        <f>VLOOKUP($C$74&amp;$C$112,'Enrollment Table'!$D$5:$Q$28,'Enrollment Table'!$C$2+1,FALSE)</f>
        <v>193</v>
      </c>
      <c r="E112" s="758">
        <f>VLOOKUP($C$74&amp;$C$112,'Enrollment Table'!$D$5:$Q$28,'Enrollment Table'!$M$2+1,FALSE)</f>
        <v>193</v>
      </c>
      <c r="F112" s="759">
        <f>VLOOKUP($C$74&amp;$C$112,'Rate Table'!$D$5:$Q$28,'Rate Table'!$C$2+1,FALSE)</f>
        <v>1063.98</v>
      </c>
      <c r="G112" s="759">
        <f>VLOOKUP($C$74&amp;$C$112,'Rate Table'!$D$5:$Q$28,'Rate Table'!$M$2+1,FALSE)</f>
        <v>1063.98</v>
      </c>
      <c r="H112" s="759">
        <f t="shared" si="1"/>
        <v>874.54658031088081</v>
      </c>
      <c r="I112" s="759">
        <f t="shared" si="0"/>
        <v>874.54658031088081</v>
      </c>
      <c r="J112" s="759">
        <f>VLOOKUP($C$74&amp;$C$112,'Contributions Table'!$D$5:$Q$28,'Contributions Table'!$C$2+1,FALSE)</f>
        <v>189.43341968911918</v>
      </c>
      <c r="K112" s="759">
        <f>VLOOKUP($C$74&amp;$C$112,'Contributions Table'!$D$5:$Q$28,'Contributions Table'!$M$2+1,FALSE)</f>
        <v>189.43341968911918</v>
      </c>
    </row>
    <row r="113" spans="1:11" x14ac:dyDescent="0.2">
      <c r="A113" s="701"/>
      <c r="B113" s="939"/>
      <c r="C113" s="757" t="str">
        <f>$B$69</f>
        <v>EE + C</v>
      </c>
      <c r="D113" s="758">
        <f>VLOOKUP($C$74&amp;$C$113,'Enrollment Table'!$D$5:$Q$28,'Enrollment Table'!$C$2+1,FALSE)</f>
        <v>271</v>
      </c>
      <c r="E113" s="758">
        <f>VLOOKUP($C$74&amp;$C$113,'Enrollment Table'!$D$5:$Q$28,'Enrollment Table'!$M$2+1,FALSE)</f>
        <v>271</v>
      </c>
      <c r="F113" s="759">
        <f>VLOOKUP($C$74&amp;$C$113,'Rate Table'!$D$5:$Q$28,'Rate Table'!$C$2+1,FALSE)</f>
        <v>918.88</v>
      </c>
      <c r="G113" s="759">
        <f>VLOOKUP($C$74&amp;$C$113,'Rate Table'!$D$5:$Q$28,'Rate Table'!$M$2+1,FALSE)</f>
        <v>918.88</v>
      </c>
      <c r="H113" s="759">
        <f t="shared" si="1"/>
        <v>774.65904059040588</v>
      </c>
      <c r="I113" s="759">
        <f t="shared" si="0"/>
        <v>774.65904059040588</v>
      </c>
      <c r="J113" s="759">
        <f>VLOOKUP($C$74&amp;$C$113,'Contributions Table'!$D$5:$Q$28,'Contributions Table'!$C$2+1,FALSE)</f>
        <v>144.22095940959412</v>
      </c>
      <c r="K113" s="759">
        <f>VLOOKUP($C$74&amp;$C$113,'Contributions Table'!$D$5:$Q$28,'Contributions Table'!$M$2+1,FALSE)</f>
        <v>144.22095940959412</v>
      </c>
    </row>
    <row r="114" spans="1:11" x14ac:dyDescent="0.2">
      <c r="A114" s="701"/>
      <c r="B114" s="940"/>
      <c r="C114" s="760" t="str">
        <f>$B$70</f>
        <v>EE + F</v>
      </c>
      <c r="D114" s="761">
        <f>VLOOKUP($C$74&amp;$C$114,'Enrollment Table'!$D$5:$Q$28,'Enrollment Table'!$C$2+1,FALSE)</f>
        <v>388</v>
      </c>
      <c r="E114" s="761">
        <f>VLOOKUP($C$74&amp;$C$114,'Enrollment Table'!$D$5:$Q$28,'Enrollment Table'!$M$2+1,FALSE)</f>
        <v>388</v>
      </c>
      <c r="F114" s="762">
        <f>VLOOKUP($C$74&amp;$C$114,'Rate Table'!$D$5:$Q$28,'Rate Table'!$C$2+1,FALSE)</f>
        <v>1436.16</v>
      </c>
      <c r="G114" s="762">
        <f>VLOOKUP($C$74&amp;$C$114,'Rate Table'!$D$5:$Q$28,'Rate Table'!$M$2+1,FALSE)</f>
        <v>1436.16</v>
      </c>
      <c r="H114" s="762">
        <f t="shared" si="1"/>
        <v>1189.4638917525774</v>
      </c>
      <c r="I114" s="762">
        <f t="shared" si="0"/>
        <v>1189.4638917525774</v>
      </c>
      <c r="J114" s="762">
        <f>VLOOKUP($C$74&amp;$C$114,'Contributions Table'!$D$5:$Q$28,'Contributions Table'!$C$2+1,FALSE)</f>
        <v>246.69610824742267</v>
      </c>
      <c r="K114" s="762">
        <f>VLOOKUP($C$74&amp;$C$114,'Contributions Table'!$D$5:$Q$28,'Contributions Table'!$M$2+1,FALSE)</f>
        <v>246.69610824742267</v>
      </c>
    </row>
    <row r="115" spans="1:11" x14ac:dyDescent="0.2">
      <c r="A115" s="701"/>
      <c r="B115" s="939" t="str">
        <f>'2019 Data'!$N$3</f>
        <v>Plan 3</v>
      </c>
      <c r="C115" s="757" t="str">
        <f>$B$67</f>
        <v>EE</v>
      </c>
      <c r="D115" s="763">
        <f>VLOOKUP($C$74&amp;$C$115,'Enrollment Table'!$D$5:$Q$28,'Enrollment Table'!$C$2+2,FALSE)</f>
        <v>772</v>
      </c>
      <c r="E115" s="758">
        <f>VLOOKUP($C$74&amp;$C$115,'Enrollment Table'!$D$5:$Q$28,'Enrollment Table'!$M$2+2,FALSE)</f>
        <v>772</v>
      </c>
      <c r="F115" s="759">
        <f>VLOOKUP($C$74&amp;$C$115,'Rate Table'!$D$5:$Q$28,'Rate Table'!$C$2+2,FALSE)</f>
        <v>574.74</v>
      </c>
      <c r="G115" s="759">
        <f>VLOOKUP($C$74&amp;$C$115,'Rate Table'!$D$5:$Q$28,'Rate Table'!$M$2+2,FALSE)</f>
        <v>574.74</v>
      </c>
      <c r="H115" s="759">
        <f t="shared" si="1"/>
        <v>469.24170984455958</v>
      </c>
      <c r="I115" s="759">
        <f t="shared" si="0"/>
        <v>469.24170984455958</v>
      </c>
      <c r="J115" s="759">
        <f>VLOOKUP($C$74&amp;$C$115,'Contributions Table'!$D$5:$Q$28,'Contributions Table'!$C$2+2,FALSE)</f>
        <v>105.49829015544043</v>
      </c>
      <c r="K115" s="759">
        <f>VLOOKUP($C$74&amp;$C$115,'Contributions Table'!$D$5:$Q$28,'Contributions Table'!$M$2+2,FALSE)</f>
        <v>105.49829015544043</v>
      </c>
    </row>
    <row r="116" spans="1:11" x14ac:dyDescent="0.2">
      <c r="A116" s="701"/>
      <c r="B116" s="939"/>
      <c r="C116" s="757" t="str">
        <f>$B$68</f>
        <v>EE + SP</v>
      </c>
      <c r="D116" s="758">
        <f>VLOOKUP($C$74&amp;$C$116,'Enrollment Table'!$D$5:$Q$28,'Enrollment Table'!$C$2+2,FALSE)</f>
        <v>144</v>
      </c>
      <c r="E116" s="758">
        <f>VLOOKUP($C$74&amp;$C$116,'Enrollment Table'!$D$5:$Q$28,'Enrollment Table'!$M$2+2,FALSE)</f>
        <v>144</v>
      </c>
      <c r="F116" s="759">
        <f>VLOOKUP($C$74&amp;$C$116,'Rate Table'!$D$5:$Q$28,'Rate Table'!$C$2+2,FALSE)</f>
        <v>1329.0500000000002</v>
      </c>
      <c r="G116" s="759">
        <f>VLOOKUP($C$74&amp;$C$116,'Rate Table'!$D$5:$Q$28,'Rate Table'!$M$2+2,FALSE)</f>
        <v>1329.0500000000002</v>
      </c>
      <c r="H116" s="759">
        <f t="shared" si="1"/>
        <v>995.48472222222244</v>
      </c>
      <c r="I116" s="759">
        <f t="shared" si="0"/>
        <v>995.48472222222244</v>
      </c>
      <c r="J116" s="759">
        <f>VLOOKUP($C$74&amp;$C$116,'Contributions Table'!$D$5:$Q$28,'Contributions Table'!$C$2+2,FALSE)</f>
        <v>333.56527777777774</v>
      </c>
      <c r="K116" s="759">
        <f>VLOOKUP($C$74&amp;$C$116,'Contributions Table'!$D$5:$Q$28,'Contributions Table'!$M$2+2,FALSE)</f>
        <v>333.56527777777774</v>
      </c>
    </row>
    <row r="117" spans="1:11" x14ac:dyDescent="0.2">
      <c r="A117" s="701"/>
      <c r="B117" s="939"/>
      <c r="C117" s="757" t="str">
        <f>$B$69</f>
        <v>EE + C</v>
      </c>
      <c r="D117" s="758">
        <f>VLOOKUP($C$74&amp;$C$117,'Enrollment Table'!$D$5:$Q$28,'Enrollment Table'!$C$2+2,FALSE)</f>
        <v>177</v>
      </c>
      <c r="E117" s="758">
        <f>VLOOKUP($C$74&amp;$C$117,'Enrollment Table'!$D$5:$Q$28,'Enrollment Table'!$M$2+2,FALSE)</f>
        <v>177</v>
      </c>
      <c r="F117" s="759">
        <f>VLOOKUP($C$74&amp;$C$117,'Rate Table'!$D$5:$Q$28,'Rate Table'!$C$2+2,FALSE)</f>
        <v>1113.45</v>
      </c>
      <c r="G117" s="759">
        <f>VLOOKUP($C$74&amp;$C$117,'Rate Table'!$D$5:$Q$28,'Rate Table'!$M$2+2,FALSE)</f>
        <v>1113.45</v>
      </c>
      <c r="H117" s="759">
        <f t="shared" si="1"/>
        <v>856.43186440677971</v>
      </c>
      <c r="I117" s="759">
        <f t="shared" si="0"/>
        <v>856.43186440677971</v>
      </c>
      <c r="J117" s="759">
        <f>VLOOKUP($C$74&amp;$C$117,'Contributions Table'!$D$5:$Q$28,'Contributions Table'!$C$2+2,FALSE)</f>
        <v>257.01813559322034</v>
      </c>
      <c r="K117" s="759">
        <f>VLOOKUP($C$74&amp;$C$117,'Contributions Table'!$D$5:$Q$28,'Contributions Table'!$M$2+2,FALSE)</f>
        <v>257.01813559322034</v>
      </c>
    </row>
    <row r="118" spans="1:11" x14ac:dyDescent="0.2">
      <c r="A118" s="701"/>
      <c r="B118" s="940"/>
      <c r="C118" s="760" t="str">
        <f>$B$70</f>
        <v>EE + F</v>
      </c>
      <c r="D118" s="761">
        <f>VLOOKUP($C$74&amp;$C$118,'Enrollment Table'!$D$5:$Q$28,'Enrollment Table'!$C$2+2,FALSE)</f>
        <v>263</v>
      </c>
      <c r="E118" s="761">
        <f>VLOOKUP($C$74&amp;$C$118,'Enrollment Table'!$D$5:$Q$28,'Enrollment Table'!$M$2+2,FALSE)</f>
        <v>263</v>
      </c>
      <c r="F118" s="762">
        <f>VLOOKUP($C$74&amp;$C$118,'Rate Table'!$D$5:$Q$28,'Rate Table'!$C$2+2,FALSE)</f>
        <v>1807.9000000000003</v>
      </c>
      <c r="G118" s="762">
        <f>VLOOKUP($C$74&amp;$C$118,'Rate Table'!$D$5:$Q$28,'Rate Table'!$M$2+2,FALSE)</f>
        <v>1807.9000000000003</v>
      </c>
      <c r="H118" s="762">
        <f t="shared" si="1"/>
        <v>1326.4364258555136</v>
      </c>
      <c r="I118" s="762">
        <f t="shared" si="0"/>
        <v>1326.4364258555136</v>
      </c>
      <c r="J118" s="762">
        <f>VLOOKUP($C$74&amp;$C$118,'Contributions Table'!$D$5:$Q$28,'Contributions Table'!$C$2+2,FALSE)</f>
        <v>481.4635741444867</v>
      </c>
      <c r="K118" s="762">
        <f>VLOOKUP($C$74&amp;$C$118,'Contributions Table'!$D$5:$Q$28,'Contributions Table'!$M$2+2,FALSE)</f>
        <v>481.4635741444867</v>
      </c>
    </row>
    <row r="119" spans="1:11" x14ac:dyDescent="0.2">
      <c r="A119" s="701"/>
      <c r="B119" s="939" t="str">
        <f>'2019 Data'!$O$3</f>
        <v>Plan 4</v>
      </c>
      <c r="C119" s="757" t="str">
        <f>$B$67</f>
        <v>EE</v>
      </c>
      <c r="D119" s="763">
        <f>VLOOKUP($C$74&amp;$C$119,'Enrollment Table'!$D$5:$Q$28,'Enrollment Table'!$C$2+3,FALSE)</f>
        <v>147</v>
      </c>
      <c r="E119" s="758">
        <f>VLOOKUP($C$74&amp;$C$119,'Enrollment Table'!$D$5:$Q$28,'Enrollment Table'!$M$2+3,FALSE)</f>
        <v>147</v>
      </c>
      <c r="F119" s="759">
        <f>VLOOKUP($C$74&amp;$C$119,'Rate Table'!$D$5:$Q$28,'Rate Table'!$C$2+3,FALSE)</f>
        <v>408.98</v>
      </c>
      <c r="G119" s="759">
        <f>VLOOKUP($C$74&amp;$C$119,'Rate Table'!$D$5:$Q$28,'Rate Table'!$M$2+3,FALSE)</f>
        <v>408.98</v>
      </c>
      <c r="H119" s="759">
        <f t="shared" si="1"/>
        <v>307.25</v>
      </c>
      <c r="I119" s="759">
        <f t="shared" si="0"/>
        <v>307.25</v>
      </c>
      <c r="J119" s="759">
        <f>VLOOKUP($C$74&amp;$C$119,'Contributions Table'!$D$5:$Q$28,'Contributions Table'!$C$2+3,FALSE)</f>
        <v>101.73</v>
      </c>
      <c r="K119" s="759">
        <f>VLOOKUP($C$74&amp;$C$119,'Contributions Table'!$D$5:$Q$28,'Contributions Table'!$M$2+3,FALSE)</f>
        <v>101.73</v>
      </c>
    </row>
    <row r="120" spans="1:11" x14ac:dyDescent="0.2">
      <c r="A120" s="701"/>
      <c r="B120" s="939"/>
      <c r="C120" s="757" t="str">
        <f>$B$68</f>
        <v>EE + SP</v>
      </c>
      <c r="D120" s="758">
        <f>VLOOKUP($C$74&amp;$C$120,'Enrollment Table'!$D$5:$Q$28,'Enrollment Table'!$C$2+3,FALSE)</f>
        <v>3</v>
      </c>
      <c r="E120" s="758">
        <f>VLOOKUP($C$74&amp;$C$120,'Enrollment Table'!$D$5:$Q$28,'Enrollment Table'!$M$2+3,FALSE)</f>
        <v>3</v>
      </c>
      <c r="F120" s="759">
        <f>VLOOKUP($C$74&amp;$C$120,'Rate Table'!$D$5:$Q$28,'Rate Table'!$C$2+3,FALSE)</f>
        <v>904.28000000000009</v>
      </c>
      <c r="G120" s="759">
        <f>VLOOKUP($C$74&amp;$C$120,'Rate Table'!$D$5:$Q$28,'Rate Table'!$M$2+3,FALSE)</f>
        <v>904.28000000000009</v>
      </c>
      <c r="H120" s="759">
        <f t="shared" si="1"/>
        <v>307.2700000000001</v>
      </c>
      <c r="I120" s="759">
        <f t="shared" si="0"/>
        <v>307.2700000000001</v>
      </c>
      <c r="J120" s="759">
        <f>VLOOKUP($C$74&amp;$C$120,'Contributions Table'!$D$5:$Q$28,'Contributions Table'!$C$2+3,FALSE)</f>
        <v>597.01</v>
      </c>
      <c r="K120" s="759">
        <f>VLOOKUP($C$74&amp;$C$120,'Contributions Table'!$D$5:$Q$28,'Contributions Table'!$M$2+3,FALSE)</f>
        <v>597.01</v>
      </c>
    </row>
    <row r="121" spans="1:11" x14ac:dyDescent="0.2">
      <c r="A121" s="701"/>
      <c r="B121" s="939"/>
      <c r="C121" s="757" t="str">
        <f>$B$69</f>
        <v>EE + C</v>
      </c>
      <c r="D121" s="758">
        <f>VLOOKUP($C$74&amp;$C$121,'Enrollment Table'!$D$5:$Q$28,'Enrollment Table'!$C$2+3,FALSE)</f>
        <v>1</v>
      </c>
      <c r="E121" s="758">
        <f>VLOOKUP($C$74&amp;$C$121,'Enrollment Table'!$D$5:$Q$28,'Enrollment Table'!$M$2+3,FALSE)</f>
        <v>1</v>
      </c>
      <c r="F121" s="759">
        <f>VLOOKUP($C$74&amp;$C$121,'Rate Table'!$D$5:$Q$28,'Rate Table'!$C$2+3,FALSE)</f>
        <v>766.87</v>
      </c>
      <c r="G121" s="759">
        <f>VLOOKUP($C$74&amp;$C$121,'Rate Table'!$D$5:$Q$28,'Rate Table'!$M$2+3,FALSE)</f>
        <v>766.87</v>
      </c>
      <c r="H121" s="759">
        <f t="shared" si="1"/>
        <v>307.24</v>
      </c>
      <c r="I121" s="759">
        <f t="shared" si="0"/>
        <v>307.24</v>
      </c>
      <c r="J121" s="759">
        <f>VLOOKUP($C$74&amp;$C$121,'Contributions Table'!$D$5:$Q$28,'Contributions Table'!$C$2+3,FALSE)</f>
        <v>459.63</v>
      </c>
      <c r="K121" s="759">
        <f>VLOOKUP($C$74&amp;$C$121,'Contributions Table'!$D$5:$Q$28,'Contributions Table'!$M$2+3,FALSE)</f>
        <v>459.63</v>
      </c>
    </row>
    <row r="122" spans="1:11" x14ac:dyDescent="0.2">
      <c r="A122" s="701"/>
      <c r="B122" s="940"/>
      <c r="C122" s="760" t="str">
        <f>$B$70</f>
        <v>EE + F</v>
      </c>
      <c r="D122" s="761">
        <f>VLOOKUP($C$74&amp;$C$122,'Enrollment Table'!$D$5:$Q$28,'Enrollment Table'!$C$2+3,FALSE)</f>
        <v>3</v>
      </c>
      <c r="E122" s="761">
        <f>VLOOKUP($C$74&amp;$C$122,'Enrollment Table'!$D$5:$Q$28,'Enrollment Table'!$M$2+3,FALSE)</f>
        <v>3</v>
      </c>
      <c r="F122" s="762">
        <f>VLOOKUP($C$74&amp;$C$122,'Rate Table'!$D$5:$Q$28,'Rate Table'!$C$2+3,FALSE)</f>
        <v>1207.04</v>
      </c>
      <c r="G122" s="762">
        <f>VLOOKUP($C$74&amp;$C$122,'Rate Table'!$D$5:$Q$28,'Rate Table'!$M$2+3,FALSE)</f>
        <v>1207.04</v>
      </c>
      <c r="H122" s="762">
        <f t="shared" si="1"/>
        <v>307.23</v>
      </c>
      <c r="I122" s="762">
        <f t="shared" si="0"/>
        <v>307.23</v>
      </c>
      <c r="J122" s="762">
        <f>VLOOKUP($C$74&amp;$C$122,'Contributions Table'!$D$5:$Q$28,'Contributions Table'!$C$2+3,FALSE)</f>
        <v>899.81</v>
      </c>
      <c r="K122" s="762">
        <f>VLOOKUP($C$74&amp;$C$122,'Contributions Table'!$D$5:$Q$28,'Contributions Table'!$M$2+3,FALSE)</f>
        <v>899.81</v>
      </c>
    </row>
    <row r="123" spans="1:11" x14ac:dyDescent="0.2">
      <c r="A123" s="701"/>
      <c r="B123" s="936" t="str">
        <f>'2019 Data'!$P$3</f>
        <v>Bind</v>
      </c>
      <c r="C123" s="757" t="str">
        <f>$B$67</f>
        <v>EE</v>
      </c>
      <c r="D123" s="764"/>
      <c r="E123" s="758">
        <f>VLOOKUP($C$74&amp;$C$123,'Enrollment Table'!$D$5:$Q$28,'Enrollment Table'!$M$2+4,FALSE)</f>
        <v>763</v>
      </c>
      <c r="F123" s="765"/>
      <c r="G123" s="759">
        <f>VLOOKUP($C$74&amp;$C$123,'Rate Table'!$D$5:$Q$28,'Rate Table'!$M$2+4,FALSE)</f>
        <v>507.20002527727468</v>
      </c>
      <c r="H123" s="765"/>
      <c r="I123" s="759">
        <f>IFERROR(G123-K123,"N/A")</f>
        <v>404.78929424063813</v>
      </c>
      <c r="J123" s="765"/>
      <c r="K123" s="759">
        <f>VLOOKUP($C$74&amp;$C$123,'Contributions Table'!$D$5:$Q$28,'Contributions Table'!$M$2+4,FALSE)</f>
        <v>102.41073103663652</v>
      </c>
    </row>
    <row r="124" spans="1:11" x14ac:dyDescent="0.2">
      <c r="A124" s="701"/>
      <c r="B124" s="936"/>
      <c r="C124" s="757" t="str">
        <f>$B$68</f>
        <v>EE + SP</v>
      </c>
      <c r="D124" s="764"/>
      <c r="E124" s="758">
        <f>VLOOKUP($C$74&amp;$C$124,'Enrollment Table'!$D$5:$Q$28,'Enrollment Table'!$M$2+4,FALSE)</f>
        <v>292</v>
      </c>
      <c r="F124" s="765"/>
      <c r="G124" s="759">
        <f>VLOOKUP($C$74&amp;$C$124,'Rate Table'!$D$5:$Q$28,'Rate Table'!$M$2+4,FALSE)</f>
        <v>1185.4777070996352</v>
      </c>
      <c r="H124" s="765"/>
      <c r="I124" s="759">
        <f>IFERROR(G124-K124,"N/A")</f>
        <v>878.28552140708916</v>
      </c>
      <c r="J124" s="765"/>
      <c r="K124" s="759">
        <f>VLOOKUP($C$74&amp;$C$124,'Contributions Table'!$D$5:$Q$28,'Contributions Table'!$M$2+4,FALSE)</f>
        <v>307.19218569254593</v>
      </c>
    </row>
    <row r="125" spans="1:11" x14ac:dyDescent="0.2">
      <c r="A125" s="701"/>
      <c r="B125" s="936"/>
      <c r="C125" s="757" t="str">
        <f>$B$69</f>
        <v>EE + C</v>
      </c>
      <c r="D125" s="764"/>
      <c r="E125" s="758">
        <f>VLOOKUP($C$74&amp;$C$125,'Enrollment Table'!$D$5:$Q$28,'Enrollment Table'!$M$2+4,FALSE)</f>
        <v>255</v>
      </c>
      <c r="F125" s="765"/>
      <c r="G125" s="759">
        <f>VLOOKUP($C$74&amp;$C$125,'Rate Table'!$D$5:$Q$28,'Rate Table'!$M$2+4,FALSE)</f>
        <v>986.0619106302471</v>
      </c>
      <c r="H125" s="765"/>
      <c r="I125" s="759">
        <f>IFERROR(G125-K125,"N/A")</f>
        <v>739.07612414082735</v>
      </c>
      <c r="J125" s="765"/>
      <c r="K125" s="759">
        <f>VLOOKUP($C$74&amp;$C$125,'Contributions Table'!$D$5:$Q$28,'Contributions Table'!$M$2+4,FALSE)</f>
        <v>246.98578648941975</v>
      </c>
    </row>
    <row r="126" spans="1:11" x14ac:dyDescent="0.2">
      <c r="A126" s="701"/>
      <c r="B126" s="936"/>
      <c r="C126" s="760" t="str">
        <f>$B$70</f>
        <v>EE + F</v>
      </c>
      <c r="D126" s="766"/>
      <c r="E126" s="761">
        <f>VLOOKUP($C$74&amp;$C$126,'Enrollment Table'!$D$5:$Q$28,'Enrollment Table'!$M$2+4,FALSE)</f>
        <v>290</v>
      </c>
      <c r="F126" s="767"/>
      <c r="G126" s="759">
        <f>VLOOKUP($C$74&amp;$C$126,'Rate Table'!$D$5:$Q$28,'Rate Table'!$M$2+4,FALSE)</f>
        <v>1599.5295654916151</v>
      </c>
      <c r="H126" s="767"/>
      <c r="I126" s="762">
        <f>IFERROR(G126-K126,"N/A")</f>
        <v>1167.3293718152554</v>
      </c>
      <c r="J126" s="767"/>
      <c r="K126" s="762">
        <f>VLOOKUP($C$74&amp;$C$126,'Contributions Table'!$D$5:$Q$28,'Contributions Table'!$M$2+4,FALSE)</f>
        <v>432.20019367635962</v>
      </c>
    </row>
    <row r="127" spans="1:11" x14ac:dyDescent="0.2">
      <c r="A127" s="748"/>
      <c r="B127" s="768" t="s">
        <v>1085</v>
      </c>
      <c r="C127" s="769"/>
      <c r="D127" s="770">
        <f>SUM(D107:D126)</f>
        <v>6634</v>
      </c>
      <c r="E127" s="770">
        <f>SUM(E107:E126)</f>
        <v>6634</v>
      </c>
      <c r="F127" s="771">
        <f>SUMPRODUCT($D$107:$D$126,F107:F126)*12</f>
        <v>73157771.88000001</v>
      </c>
      <c r="G127" s="771">
        <f>SUMPRODUCT($E$107:$E$126,G107:G126)*12</f>
        <v>71390757.731555223</v>
      </c>
      <c r="H127" s="771">
        <f>SUMPRODUCT($D$107:$D$126,H107:H126)*12</f>
        <v>56218417.200000018</v>
      </c>
      <c r="I127" s="771">
        <f>SUMPRODUCT($E$107:$E$126,I107:I126)*12</f>
        <v>55332582.15886575</v>
      </c>
      <c r="J127" s="771">
        <f>SUMPRODUCT($D$107:$D$126,J107:J126)*12</f>
        <v>16939354.679999996</v>
      </c>
      <c r="K127" s="771">
        <f>SUMPRODUCT($E$107:$E$126,K107:K126)*12</f>
        <v>16058175.572689485</v>
      </c>
    </row>
    <row r="128" spans="1:11" x14ac:dyDescent="0.2">
      <c r="A128" s="748"/>
      <c r="B128" s="772" t="s">
        <v>1072</v>
      </c>
      <c r="C128" s="773"/>
      <c r="D128" s="773"/>
      <c r="E128" s="773"/>
      <c r="F128" s="774"/>
      <c r="G128" s="775">
        <f>G127-F127</f>
        <v>-1767014.1484447867</v>
      </c>
      <c r="H128" s="773"/>
      <c r="I128" s="775">
        <f>I127-H127</f>
        <v>-885835.04113426805</v>
      </c>
      <c r="J128" s="773"/>
      <c r="K128" s="775">
        <f>K127-J127</f>
        <v>-881179.10731051117</v>
      </c>
    </row>
    <row r="129" spans="1:12" x14ac:dyDescent="0.2">
      <c r="A129" s="748"/>
      <c r="B129" s="776" t="s">
        <v>1071</v>
      </c>
      <c r="C129" s="777"/>
      <c r="D129" s="777"/>
      <c r="E129" s="777"/>
      <c r="F129" s="778"/>
      <c r="G129" s="779">
        <f>G127/F127-1</f>
        <v>-2.4153471367925228E-2</v>
      </c>
      <c r="H129" s="777"/>
      <c r="I129" s="779">
        <f>I127/H127-1</f>
        <v>-1.5757025637752498E-2</v>
      </c>
      <c r="J129" s="777"/>
      <c r="K129" s="779">
        <f>K127/J127-1</f>
        <v>-5.2019638525598877E-2</v>
      </c>
    </row>
    <row r="130" spans="1:12" ht="5" customHeight="1" x14ac:dyDescent="0.2">
      <c r="A130" s="748"/>
      <c r="B130" s="706"/>
      <c r="C130" s="706"/>
      <c r="D130" s="706"/>
      <c r="E130" s="706"/>
      <c r="F130" s="712"/>
      <c r="G130" s="713"/>
      <c r="H130" s="706"/>
      <c r="I130" s="706"/>
      <c r="J130" s="706"/>
      <c r="K130" s="706"/>
    </row>
    <row r="131" spans="1:12" x14ac:dyDescent="0.2">
      <c r="A131" s="748"/>
      <c r="B131" s="768" t="s">
        <v>1086</v>
      </c>
      <c r="C131" s="769"/>
      <c r="D131" s="770">
        <f>D127</f>
        <v>6634</v>
      </c>
      <c r="E131" s="770">
        <f>E127</f>
        <v>6634</v>
      </c>
      <c r="F131" s="771">
        <f>F127/$D$131</f>
        <v>11027.701519445283</v>
      </c>
      <c r="G131" s="771">
        <f>G127/$E$131</f>
        <v>10761.344246541335</v>
      </c>
      <c r="H131" s="771">
        <f>F131-J131</f>
        <v>8474.2865842628908</v>
      </c>
      <c r="I131" s="771">
        <f>G131-K131</f>
        <v>8340.7570332929954</v>
      </c>
      <c r="J131" s="771">
        <f>J127/$D$131</f>
        <v>2553.414935182393</v>
      </c>
      <c r="K131" s="771">
        <f>K127/$E$131</f>
        <v>2420.5872132483396</v>
      </c>
    </row>
    <row r="132" spans="1:12" x14ac:dyDescent="0.2">
      <c r="A132" s="748"/>
      <c r="B132" s="772" t="s">
        <v>1072</v>
      </c>
      <c r="C132" s="773"/>
      <c r="D132" s="773"/>
      <c r="E132" s="773"/>
      <c r="F132" s="774"/>
      <c r="G132" s="775">
        <f>G131-F131</f>
        <v>-266.35727290394789</v>
      </c>
      <c r="H132" s="773"/>
      <c r="I132" s="775">
        <f>I131-H131</f>
        <v>-133.52955096989535</v>
      </c>
      <c r="J132" s="773"/>
      <c r="K132" s="775">
        <f>K131-J131</f>
        <v>-132.82772193405344</v>
      </c>
    </row>
    <row r="133" spans="1:12" x14ac:dyDescent="0.2">
      <c r="A133" s="748"/>
      <c r="B133" s="776" t="s">
        <v>1071</v>
      </c>
      <c r="C133" s="777"/>
      <c r="D133" s="777"/>
      <c r="E133" s="777"/>
      <c r="F133" s="778"/>
      <c r="G133" s="779">
        <f>G131/F131-1</f>
        <v>-2.4153471367925339E-2</v>
      </c>
      <c r="H133" s="777"/>
      <c r="I133" s="779">
        <f>I131/H131-1</f>
        <v>-1.5757025637752831E-2</v>
      </c>
      <c r="J133" s="777"/>
      <c r="K133" s="779">
        <f>K131/J131-1</f>
        <v>-5.2019638525598877E-2</v>
      </c>
    </row>
    <row r="134" spans="1:12" x14ac:dyDescent="0.2">
      <c r="A134" s="748"/>
      <c r="I134" s="706"/>
      <c r="J134" s="706"/>
      <c r="K134" s="780"/>
    </row>
    <row r="135" spans="1:12" x14ac:dyDescent="0.2">
      <c r="A135" s="748"/>
      <c r="H135" s="739"/>
      <c r="I135" s="739"/>
      <c r="J135" s="706"/>
      <c r="K135" s="706"/>
    </row>
    <row r="136" spans="1:12" x14ac:dyDescent="0.2">
      <c r="A136" s="781"/>
      <c r="I136" s="706"/>
      <c r="J136" s="706"/>
      <c r="K136" s="706"/>
    </row>
    <row r="137" spans="1:12" x14ac:dyDescent="0.2">
      <c r="A137" s="781"/>
      <c r="G137" s="924"/>
      <c r="I137" s="706"/>
      <c r="J137" s="707"/>
      <c r="K137" s="707"/>
    </row>
    <row r="138" spans="1:12" x14ac:dyDescent="0.2">
      <c r="A138" s="782"/>
      <c r="B138" s="783"/>
      <c r="I138" s="784"/>
      <c r="J138" s="707"/>
      <c r="K138" s="785"/>
      <c r="L138" s="786"/>
    </row>
    <row r="139" spans="1:12" x14ac:dyDescent="0.2">
      <c r="A139" s="782"/>
      <c r="B139" s="783"/>
      <c r="I139" s="784"/>
      <c r="J139" s="707"/>
      <c r="K139" s="785"/>
      <c r="L139" s="786"/>
    </row>
    <row r="140" spans="1:12" x14ac:dyDescent="0.2">
      <c r="A140" s="782"/>
      <c r="B140" s="783"/>
      <c r="I140" s="784"/>
      <c r="J140" s="707"/>
      <c r="K140" s="785"/>
      <c r="L140" s="786"/>
    </row>
    <row r="141" spans="1:12" x14ac:dyDescent="0.2">
      <c r="A141" s="782"/>
      <c r="B141" s="783"/>
      <c r="I141" s="787"/>
      <c r="J141" s="706"/>
      <c r="K141" s="785"/>
      <c r="L141" s="786"/>
    </row>
    <row r="142" spans="1:12" x14ac:dyDescent="0.2">
      <c r="A142" s="782"/>
      <c r="B142" s="783"/>
      <c r="I142" s="694"/>
      <c r="J142" s="706"/>
      <c r="K142" s="706"/>
    </row>
    <row r="143" spans="1:12" x14ac:dyDescent="0.2">
      <c r="A143" s="783"/>
      <c r="B143" s="782"/>
      <c r="C143" s="706"/>
      <c r="D143" s="706"/>
      <c r="E143" s="706"/>
      <c r="F143" s="706"/>
      <c r="G143" s="706"/>
      <c r="H143" s="706"/>
      <c r="I143" s="706"/>
      <c r="J143" s="706"/>
      <c r="K143" s="706"/>
    </row>
    <row r="144" spans="1:12" x14ac:dyDescent="0.2">
      <c r="A144" s="783"/>
      <c r="B144" s="783"/>
    </row>
  </sheetData>
  <mergeCells count="10">
    <mergeCell ref="J105:K105"/>
    <mergeCell ref="B107:B110"/>
    <mergeCell ref="B111:B114"/>
    <mergeCell ref="B115:B118"/>
    <mergeCell ref="B119:B122"/>
    <mergeCell ref="C16:D16"/>
    <mergeCell ref="B123:B126"/>
    <mergeCell ref="D105:E105"/>
    <mergeCell ref="F105:G105"/>
    <mergeCell ref="H105:I105"/>
  </mergeCells>
  <pageMargins left="0.7" right="0.7" top="0.75" bottom="0.75" header="0.3" footer="0.3"/>
  <pageSetup orientation="portrait" r:id="rId1"/>
  <ignoredErrors>
    <ignoredError sqref="I106:J106 G127:I128 J127"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14:formula1>
            <xm:f>'2019 Data'!$R$5:$R$10</xm:f>
          </x14:formula1>
          <xm:sqref>C74</xm:sqref>
        </x14:dataValidation>
        <x14:dataValidation type="list" allowBlank="1" showInputMessage="1" showErrorMessage="1">
          <x14:formula1>
            <xm:f>'2019 Data'!$R$2:$R$3</xm:f>
          </x14:formula1>
          <xm:sqref>F106</xm:sqref>
        </x14:dataValidation>
        <x14:dataValidation type="list" allowBlank="1" showInputMessage="1" showErrorMessage="1">
          <x14:formula1>
            <xm:f>'Data Lists'!$G$2:$G$3</xm:f>
          </x14:formula1>
          <xm:sqref>C22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enableFormatConditionsCalculation="0">
    <tabColor rgb="FF6F2E91"/>
  </sheetPr>
  <dimension ref="B1:AG77"/>
  <sheetViews>
    <sheetView showGridLines="0" showRowColHeaders="0" zoomScale="120" zoomScaleNormal="120" zoomScalePageLayoutView="120" workbookViewId="0"/>
  </sheetViews>
  <sheetFormatPr baseColWidth="10" defaultColWidth="8.83203125" defaultRowHeight="15" x14ac:dyDescent="0.2"/>
  <cols>
    <col min="1" max="1" width="1.6640625" style="252" customWidth="1"/>
    <col min="2" max="2" width="31.33203125" style="252" customWidth="1"/>
    <col min="3" max="4" width="17.1640625" style="666" customWidth="1"/>
    <col min="5" max="5" width="12.6640625" style="666" hidden="1" customWidth="1"/>
    <col min="6" max="6" width="2.6640625" style="252" hidden="1" customWidth="1"/>
    <col min="7" max="14" width="9.6640625" style="666" hidden="1" customWidth="1"/>
    <col min="15" max="15" width="2.6640625" style="666" hidden="1" customWidth="1"/>
    <col min="16" max="23" width="9.6640625" style="666" hidden="1" customWidth="1"/>
    <col min="24" max="24" width="2.6640625" style="666" hidden="1" customWidth="1"/>
    <col min="25" max="32" width="9.6640625" style="666" hidden="1" customWidth="1"/>
    <col min="33" max="33" width="2.6640625" style="666" hidden="1" customWidth="1"/>
    <col min="34" max="34" width="31.33203125" style="252" bestFit="1" customWidth="1"/>
    <col min="35" max="35" width="10.6640625" style="252" customWidth="1"/>
    <col min="36" max="16384" width="8.83203125" style="252"/>
  </cols>
  <sheetData>
    <row r="1" spans="2:6" ht="5" customHeight="1" x14ac:dyDescent="0.2"/>
    <row r="2" spans="2:6" ht="26" customHeight="1" x14ac:dyDescent="0.2">
      <c r="B2" s="923" t="str">
        <f>plan_sponsor&amp;" Employee Modeler"</f>
        <v>Your Client Employee Modeler</v>
      </c>
    </row>
    <row r="3" spans="2:6" ht="21" customHeight="1" thickBot="1" x14ac:dyDescent="0.25">
      <c r="B3" s="691"/>
    </row>
    <row r="4" spans="2:6" s="666" customFormat="1" ht="14" customHeight="1" thickBot="1" x14ac:dyDescent="0.25">
      <c r="B4" s="788" t="s">
        <v>1075</v>
      </c>
      <c r="C4" s="789" t="s">
        <v>1127</v>
      </c>
      <c r="D4" s="790" t="str">
        <f>IF($C$4="Total","ERROR: PLEASE SPECIFY GROUP","")</f>
        <v/>
      </c>
      <c r="F4" s="252"/>
    </row>
    <row r="5" spans="2:6" s="666" customFormat="1" ht="14" customHeight="1" thickBot="1" x14ac:dyDescent="0.25">
      <c r="B5" s="788" t="s">
        <v>1087</v>
      </c>
      <c r="C5" s="789" t="s">
        <v>1124</v>
      </c>
      <c r="F5" s="252"/>
    </row>
    <row r="6" spans="2:6" s="666" customFormat="1" ht="14" customHeight="1" thickBot="1" x14ac:dyDescent="0.25">
      <c r="B6" s="788" t="s">
        <v>1088</v>
      </c>
      <c r="C6" s="789" t="s">
        <v>948</v>
      </c>
      <c r="F6" s="252"/>
    </row>
    <row r="7" spans="2:6" s="666" customFormat="1" ht="14" customHeight="1" x14ac:dyDescent="0.2">
      <c r="B7" s="691"/>
      <c r="F7" s="252"/>
    </row>
    <row r="8" spans="2:6" s="666" customFormat="1" ht="14" customHeight="1" x14ac:dyDescent="0.2">
      <c r="B8" s="791" t="s">
        <v>1089</v>
      </c>
      <c r="C8" s="792" t="s">
        <v>315</v>
      </c>
      <c r="F8" s="252"/>
    </row>
    <row r="9" spans="2:6" s="666" customFormat="1" ht="14" customHeight="1" x14ac:dyDescent="0.2">
      <c r="B9" s="793" t="s">
        <v>1090</v>
      </c>
      <c r="C9" s="794">
        <v>0</v>
      </c>
      <c r="F9" s="252"/>
    </row>
    <row r="10" spans="2:6" s="666" customFormat="1" ht="14" customHeight="1" x14ac:dyDescent="0.2">
      <c r="B10" s="793" t="s">
        <v>1091</v>
      </c>
      <c r="C10" s="795">
        <v>0</v>
      </c>
      <c r="F10" s="252"/>
    </row>
    <row r="11" spans="2:6" s="666" customFormat="1" ht="14" customHeight="1" x14ac:dyDescent="0.2">
      <c r="B11" s="793" t="s">
        <v>1092</v>
      </c>
      <c r="C11" s="795">
        <v>0</v>
      </c>
      <c r="F11" s="252"/>
    </row>
    <row r="12" spans="2:6" s="666" customFormat="1" ht="14" customHeight="1" x14ac:dyDescent="0.2">
      <c r="B12" s="793" t="s">
        <v>1094</v>
      </c>
      <c r="C12" s="795">
        <v>0</v>
      </c>
      <c r="F12" s="252"/>
    </row>
    <row r="13" spans="2:6" s="666" customFormat="1" ht="14" customHeight="1" x14ac:dyDescent="0.2">
      <c r="B13" s="793" t="s">
        <v>1093</v>
      </c>
      <c r="C13" s="795">
        <v>0</v>
      </c>
      <c r="F13" s="252"/>
    </row>
    <row r="14" spans="2:6" s="666" customFormat="1" ht="14" customHeight="1" x14ac:dyDescent="0.2">
      <c r="B14" s="793" t="s">
        <v>1095</v>
      </c>
      <c r="C14" s="795">
        <v>0</v>
      </c>
      <c r="F14" s="252"/>
    </row>
    <row r="15" spans="2:6" s="666" customFormat="1" ht="14" customHeight="1" x14ac:dyDescent="0.2">
      <c r="B15" s="793" t="s">
        <v>1043</v>
      </c>
      <c r="C15" s="795">
        <v>0</v>
      </c>
      <c r="F15" s="252"/>
    </row>
    <row r="16" spans="2:6" s="666" customFormat="1" ht="14" customHeight="1" x14ac:dyDescent="0.2">
      <c r="B16" s="796" t="s">
        <v>1044</v>
      </c>
      <c r="C16" s="797">
        <v>0</v>
      </c>
      <c r="F16" s="252"/>
    </row>
    <row r="17" spans="2:32" s="666" customFormat="1" ht="14" customHeight="1" x14ac:dyDescent="0.2">
      <c r="B17" s="691"/>
      <c r="F17" s="252"/>
      <c r="S17"/>
    </row>
    <row r="18" spans="2:32" s="666" customFormat="1" ht="14" customHeight="1" x14ac:dyDescent="0.2">
      <c r="B18" s="798" t="s">
        <v>1096</v>
      </c>
      <c r="C18" s="799" t="str">
        <f>$C$29</f>
        <v>Plan 2</v>
      </c>
      <c r="D18" s="792" t="str">
        <f>$D$29</f>
        <v>Bind</v>
      </c>
      <c r="F18" s="252"/>
      <c r="S18"/>
    </row>
    <row r="19" spans="2:32" s="666" customFormat="1" ht="14" customHeight="1" x14ac:dyDescent="0.2">
      <c r="B19" s="664" t="s">
        <v>1097</v>
      </c>
      <c r="C19" s="800">
        <f>MIN(SUMPRODUCT(C35:C56,$E$35:$E$56),$C$33-$C$31)</f>
        <v>0</v>
      </c>
      <c r="D19" s="801">
        <f>MIN(SUMPRODUCT(D35:D56,$E$35:$E$56)-K41*D41-J44*D44,$D$33)</f>
        <v>0</v>
      </c>
      <c r="F19" s="252"/>
      <c r="S19"/>
    </row>
    <row r="20" spans="2:32" s="666" customFormat="1" ht="14" customHeight="1" x14ac:dyDescent="0.2">
      <c r="B20" s="664" t="s">
        <v>1146</v>
      </c>
      <c r="C20" s="893"/>
      <c r="D20" s="801">
        <f>MIN(J34*J29+K34*K29,$D$33-$D$19)</f>
        <v>0</v>
      </c>
      <c r="F20" s="252"/>
      <c r="S20"/>
    </row>
    <row r="21" spans="2:32" s="666" customFormat="1" ht="14" customHeight="1" x14ac:dyDescent="0.2">
      <c r="B21" s="664" t="s">
        <v>123</v>
      </c>
      <c r="C21" s="800">
        <f>IF(C$31=0,0,MIN(SUMPRODUCT((C$35:C$56="")*($P$35:$W$56)*($G$35:$N$56)),C$31))</f>
        <v>0</v>
      </c>
      <c r="D21" s="801">
        <f>IF(D$31=0,0,MIN(SUMPRODUCT((D$35:D$56="")*($P$35:$W$56)*($G$35:$N$56)),D$31))</f>
        <v>0</v>
      </c>
      <c r="F21" s="252"/>
      <c r="S21"/>
    </row>
    <row r="22" spans="2:32" s="666" customFormat="1" ht="14" customHeight="1" x14ac:dyDescent="0.2">
      <c r="B22" s="664" t="s">
        <v>120</v>
      </c>
      <c r="C22" s="800">
        <f>IF(C$32&lt;&gt;1,MIN((SUMPRODUCT((C$35:C$56="")*($P$35:$W$56)*($G$35:$N$56))-C$21)*(1-C$32),C$33-SUM(C$19:C$21)),0)</f>
        <v>0</v>
      </c>
      <c r="D22" s="801">
        <f>IF(D$32&lt;&gt;1,MIN((SUMPRODUCT((D$35:D$56="")*($P$35:$W$56)*($G$35:$N$56))-D$21)*(1-D$32),D$33-SUM(D$19:D$21)),0)</f>
        <v>0</v>
      </c>
      <c r="F22" s="252"/>
      <c r="S22"/>
    </row>
    <row r="23" spans="2:32" s="666" customFormat="1" ht="14" customHeight="1" x14ac:dyDescent="0.2">
      <c r="B23" s="664" t="s">
        <v>931</v>
      </c>
      <c r="C23" s="800">
        <f>-C$30</f>
        <v>0</v>
      </c>
      <c r="D23" s="801">
        <f>-D$30</f>
        <v>0</v>
      </c>
      <c r="F23" s="252"/>
      <c r="S23"/>
    </row>
    <row r="24" spans="2:32" s="666" customFormat="1" ht="14" customHeight="1" x14ac:dyDescent="0.2">
      <c r="B24" s="672" t="s">
        <v>403</v>
      </c>
      <c r="C24" s="802">
        <f>MAX(MIN(SUM(C$19:C$22),C$33)+C$23,0)</f>
        <v>0</v>
      </c>
      <c r="D24" s="803">
        <f>MAX(MIN(SUM(D$19:D$22),D$33)+D$23,0)</f>
        <v>0</v>
      </c>
      <c r="F24" s="252"/>
      <c r="S24"/>
    </row>
    <row r="25" spans="2:32" s="666" customFormat="1" ht="14" customHeight="1" x14ac:dyDescent="0.2">
      <c r="B25" s="664" t="s">
        <v>1098</v>
      </c>
      <c r="C25" s="800">
        <f>VLOOKUP($C$4&amp;$C$6,'Contributions Table'!$D$5:$P$28,VLOOKUP($C$5,'Contributions Table'!$T$3:$U$6,2,FALSE),FALSE)*12</f>
        <v>657.96</v>
      </c>
      <c r="D25" s="804">
        <f>VLOOKUP($C$4&amp;$C$6,'Contributions Table'!$D$5:$Q$28,'Contributions Table'!M2+4,FALSE)*12</f>
        <v>1231.9150159840838</v>
      </c>
      <c r="F25" s="252"/>
      <c r="S25"/>
    </row>
    <row r="26" spans="2:32" s="666" customFormat="1" ht="14" customHeight="1" x14ac:dyDescent="0.2">
      <c r="B26" s="673" t="s">
        <v>1147</v>
      </c>
      <c r="C26" s="805"/>
      <c r="D26" s="806">
        <f>SUMPRODUCT(G30:N30,G34:N34)</f>
        <v>0</v>
      </c>
      <c r="F26" s="252"/>
      <c r="S26"/>
    </row>
    <row r="27" spans="2:32" s="666" customFormat="1" ht="14" customHeight="1" x14ac:dyDescent="0.2">
      <c r="B27" s="807" t="s">
        <v>1099</v>
      </c>
      <c r="C27" s="808">
        <f>C24+C25+C26</f>
        <v>657.96</v>
      </c>
      <c r="D27" s="809">
        <f>D24+D25+D26</f>
        <v>1231.9150159840838</v>
      </c>
      <c r="E27" s="810"/>
      <c r="F27" s="252"/>
      <c r="S27"/>
    </row>
    <row r="28" spans="2:32" s="666" customFormat="1" ht="14" customHeight="1" x14ac:dyDescent="0.2">
      <c r="B28" s="252"/>
      <c r="F28" s="252"/>
      <c r="S28"/>
    </row>
    <row r="29" spans="2:32" s="666" customFormat="1" ht="14" customHeight="1" x14ac:dyDescent="0.2">
      <c r="B29" s="798" t="s">
        <v>1100</v>
      </c>
      <c r="C29" s="799" t="str">
        <f>$C$5</f>
        <v>Plan 2</v>
      </c>
      <c r="D29" s="792" t="s">
        <v>818</v>
      </c>
      <c r="F29" s="252"/>
      <c r="J29" s="666">
        <f>ASC!C23</f>
        <v>1100</v>
      </c>
      <c r="K29" s="666">
        <f>IP!C23</f>
        <v>1900</v>
      </c>
      <c r="S29"/>
    </row>
    <row r="30" spans="2:32" s="666" customFormat="1" ht="14" customHeight="1" x14ac:dyDescent="0.2">
      <c r="B30" s="667" t="s">
        <v>931</v>
      </c>
      <c r="C30" s="811">
        <f>IF(C6="EE",HLOOKUP($C$29,Core_Control!$I$17:$L$34,Core_Control!M20,FALSE),HLOOKUP($C$29,Core_Control!$I$17:$L$34,Core_Control!M20,FALSE)*2)</f>
        <v>0</v>
      </c>
      <c r="D30" s="812">
        <v>0</v>
      </c>
      <c r="F30" s="252"/>
      <c r="J30" s="666">
        <f>+ASC!D23</f>
        <v>550</v>
      </c>
      <c r="K30" s="666">
        <f>+IP!D23</f>
        <v>2850</v>
      </c>
    </row>
    <row r="31" spans="2:32" s="666" customFormat="1" ht="14" customHeight="1" x14ac:dyDescent="0.2">
      <c r="B31" s="669" t="s">
        <v>123</v>
      </c>
      <c r="C31" s="813">
        <f>IF(C6="EE",HLOOKUP($C$29,Core_Control!$I$17:$L$34,Core_Control!M21,FALSE),HLOOKUP($C$29,Core_Control!$I$17:$L$34,Core_Control!M21,FALSE)*2)</f>
        <v>1500</v>
      </c>
      <c r="D31" s="814">
        <f>IF(core_ded="",0,core_ded)</f>
        <v>0</v>
      </c>
      <c r="F31" s="252"/>
      <c r="G31" s="815">
        <v>0</v>
      </c>
      <c r="H31" s="815">
        <v>0</v>
      </c>
      <c r="I31" s="815">
        <v>0</v>
      </c>
      <c r="J31" s="815">
        <f>ASC!C23+ASC!D23</f>
        <v>1650</v>
      </c>
      <c r="K31" s="815">
        <f>IP!C23+IP!D23</f>
        <v>4750</v>
      </c>
      <c r="L31" s="815">
        <v>0</v>
      </c>
      <c r="M31" s="815">
        <v>0</v>
      </c>
      <c r="N31" s="815">
        <v>0</v>
      </c>
    </row>
    <row r="32" spans="2:32" s="666" customFormat="1" ht="14" customHeight="1" x14ac:dyDescent="0.2">
      <c r="B32" s="669" t="s">
        <v>120</v>
      </c>
      <c r="C32" s="816">
        <f>HLOOKUP($C$29,Core_Control!$I$17:$L$34,Core_Control!M22,FALSE)</f>
        <v>0.85</v>
      </c>
      <c r="D32" s="817">
        <f>IF(core_coins="",1,core_coins)</f>
        <v>1</v>
      </c>
      <c r="F32" s="252"/>
      <c r="G32" s="941" t="s">
        <v>1101</v>
      </c>
      <c r="H32" s="942"/>
      <c r="I32" s="942"/>
      <c r="J32" s="942"/>
      <c r="K32" s="942"/>
      <c r="L32" s="942"/>
      <c r="M32" s="942"/>
      <c r="N32" s="943"/>
      <c r="P32" s="944" t="s">
        <v>1102</v>
      </c>
      <c r="Q32" s="944"/>
      <c r="R32" s="944"/>
      <c r="S32" s="944"/>
      <c r="T32" s="944"/>
      <c r="U32" s="944"/>
      <c r="V32" s="944"/>
      <c r="W32" s="944"/>
      <c r="Y32" s="944" t="s">
        <v>1103</v>
      </c>
      <c r="Z32" s="944"/>
      <c r="AA32" s="944"/>
      <c r="AB32" s="944"/>
      <c r="AC32" s="944"/>
      <c r="AD32" s="944"/>
      <c r="AE32" s="944"/>
      <c r="AF32" s="944"/>
    </row>
    <row r="33" spans="2:33" ht="14" customHeight="1" x14ac:dyDescent="0.2">
      <c r="B33" s="665" t="s">
        <v>1025</v>
      </c>
      <c r="C33" s="818">
        <f>IF(C6="EE",HLOOKUP($C$29,Core_Control!$I$17:$L$34,Core_Control!M23,FALSE),HLOOKUP($C$29,Core_Control!$I$17:$L$34,Core_Control!M23,FALSE)*2)</f>
        <v>3500</v>
      </c>
      <c r="D33" s="819">
        <f>IF(C6="EE",IF(core_oopm="",7350,core_oopm),IF(core_oopm="",7350,core_oopm)*2)</f>
        <v>4000</v>
      </c>
      <c r="G33" s="820" t="str">
        <f>$B$9</f>
        <v>Rheumatoid Arthritis (Methotrexate)</v>
      </c>
      <c r="H33" s="820" t="str">
        <f>$B$10</f>
        <v>Rheumatoid Arthritis (Biologic)</v>
      </c>
      <c r="I33" s="820" t="str">
        <f>$B$11</f>
        <v>Knee Pain (Physical Therapy)</v>
      </c>
      <c r="J33" s="820" t="str">
        <f>$B$12</f>
        <v>Knee Pain (Arthroscopy - ASC)</v>
      </c>
      <c r="K33" s="820" t="str">
        <f>$B$13</f>
        <v>Knee Pain (Arthroscopy - Inpatient)</v>
      </c>
      <c r="L33" s="820" t="str">
        <f>$B$14</f>
        <v>Organ Transplant</v>
      </c>
      <c r="M33" s="820" t="str">
        <f>$B$15</f>
        <v>Diabetes</v>
      </c>
      <c r="N33" s="820" t="str">
        <f>$B$16</f>
        <v>C-Section Pregnancy</v>
      </c>
      <c r="P33" s="820" t="str">
        <f>$B$9</f>
        <v>Rheumatoid Arthritis (Methotrexate)</v>
      </c>
      <c r="Q33" s="820" t="str">
        <f>$B$10</f>
        <v>Rheumatoid Arthritis (Biologic)</v>
      </c>
      <c r="R33" s="820" t="str">
        <f>$B$11</f>
        <v>Knee Pain (Physical Therapy)</v>
      </c>
      <c r="S33" s="820" t="str">
        <f>$B$12</f>
        <v>Knee Pain (Arthroscopy - ASC)</v>
      </c>
      <c r="T33" s="820" t="str">
        <f>$B$13</f>
        <v>Knee Pain (Arthroscopy - Inpatient)</v>
      </c>
      <c r="U33" s="820" t="str">
        <f>$B$14</f>
        <v>Organ Transplant</v>
      </c>
      <c r="V33" s="820" t="str">
        <f>$B$15</f>
        <v>Diabetes</v>
      </c>
      <c r="W33" s="820" t="str">
        <f>$B$16</f>
        <v>C-Section Pregnancy</v>
      </c>
      <c r="Y33" s="820" t="str">
        <f>$B$9</f>
        <v>Rheumatoid Arthritis (Methotrexate)</v>
      </c>
      <c r="Z33" s="820" t="str">
        <f>$B$10</f>
        <v>Rheumatoid Arthritis (Biologic)</v>
      </c>
      <c r="AA33" s="820" t="str">
        <f>$B$11</f>
        <v>Knee Pain (Physical Therapy)</v>
      </c>
      <c r="AB33" s="820" t="str">
        <f>$B$12</f>
        <v>Knee Pain (Arthroscopy - ASC)</v>
      </c>
      <c r="AC33" s="820" t="str">
        <f>$B$13</f>
        <v>Knee Pain (Arthroscopy - Inpatient)</v>
      </c>
      <c r="AD33" s="820" t="str">
        <f>$B$14</f>
        <v>Organ Transplant</v>
      </c>
      <c r="AE33" s="820" t="str">
        <f>$B$15</f>
        <v>Diabetes</v>
      </c>
      <c r="AF33" s="820" t="str">
        <f>$B$16</f>
        <v>C-Section Pregnancy</v>
      </c>
    </row>
    <row r="34" spans="2:33" ht="14" customHeight="1" x14ac:dyDescent="0.2">
      <c r="G34" s="821">
        <f>$C$9</f>
        <v>0</v>
      </c>
      <c r="H34" s="821">
        <f>$C$10</f>
        <v>0</v>
      </c>
      <c r="I34" s="821">
        <f>$C$11</f>
        <v>0</v>
      </c>
      <c r="J34" s="821">
        <f>$C$12</f>
        <v>0</v>
      </c>
      <c r="K34" s="821">
        <f>$C$13</f>
        <v>0</v>
      </c>
      <c r="L34" s="821">
        <f>$C$14</f>
        <v>0</v>
      </c>
      <c r="M34" s="821">
        <f>$C$15</f>
        <v>0</v>
      </c>
      <c r="N34" s="821">
        <f>$C$16</f>
        <v>0</v>
      </c>
      <c r="O34" s="822"/>
      <c r="P34" s="822"/>
      <c r="Q34" s="822"/>
      <c r="R34" s="822"/>
      <c r="S34" s="822"/>
      <c r="T34" s="822"/>
      <c r="U34" s="822"/>
      <c r="V34" s="822"/>
      <c r="W34" s="822"/>
      <c r="X34" s="822"/>
      <c r="Y34" s="822"/>
      <c r="Z34" s="822"/>
      <c r="AA34" s="822"/>
      <c r="AB34" s="822"/>
      <c r="AC34" s="822"/>
      <c r="AD34" s="822"/>
      <c r="AE34" s="822"/>
      <c r="AF34" s="822"/>
      <c r="AG34" s="822"/>
    </row>
    <row r="35" spans="2:33" ht="14" customHeight="1" x14ac:dyDescent="0.2">
      <c r="B35" s="798" t="s">
        <v>1026</v>
      </c>
      <c r="C35" s="799" t="str">
        <f>$C$29</f>
        <v>Plan 2</v>
      </c>
      <c r="D35" s="792" t="str">
        <f>$D$29</f>
        <v>Bind</v>
      </c>
      <c r="E35" s="663"/>
      <c r="G35" s="822"/>
      <c r="H35" s="822"/>
      <c r="I35" s="822"/>
      <c r="J35" s="822"/>
      <c r="K35" s="822"/>
      <c r="L35" s="822"/>
      <c r="M35" s="822"/>
      <c r="N35" s="822"/>
      <c r="O35" s="822"/>
      <c r="P35" s="822"/>
      <c r="Q35" s="822"/>
      <c r="R35" s="822"/>
      <c r="S35" s="822"/>
      <c r="T35" s="822"/>
      <c r="U35" s="822"/>
      <c r="V35" s="822"/>
      <c r="W35" s="822"/>
      <c r="X35" s="822"/>
      <c r="Y35" s="822"/>
      <c r="Z35" s="822"/>
      <c r="AA35" s="822"/>
      <c r="AB35" s="822"/>
      <c r="AC35" s="822"/>
      <c r="AD35" s="822"/>
      <c r="AE35" s="822"/>
      <c r="AF35" s="822"/>
      <c r="AG35" s="822"/>
    </row>
    <row r="36" spans="2:33" ht="14" customHeight="1" x14ac:dyDescent="0.2">
      <c r="B36" s="672" t="s">
        <v>1027</v>
      </c>
      <c r="C36" s="823">
        <v>0</v>
      </c>
      <c r="D36" s="812">
        <v>0</v>
      </c>
      <c r="E36" s="678">
        <f>SUMPRODUCT($Y36:$AF36,$G$34:$N$34)</f>
        <v>0</v>
      </c>
      <c r="G36" s="824">
        <f>G$34*Y36</f>
        <v>0</v>
      </c>
      <c r="H36" s="824">
        <f t="shared" ref="H36:N47" si="0">H$34*Z36</f>
        <v>0</v>
      </c>
      <c r="I36" s="824">
        <f t="shared" si="0"/>
        <v>0</v>
      </c>
      <c r="J36" s="824">
        <f t="shared" si="0"/>
        <v>0</v>
      </c>
      <c r="K36" s="824">
        <f t="shared" si="0"/>
        <v>0</v>
      </c>
      <c r="L36" s="824">
        <f t="shared" si="0"/>
        <v>0</v>
      </c>
      <c r="M36" s="824">
        <f t="shared" si="0"/>
        <v>0</v>
      </c>
      <c r="N36" s="824">
        <f t="shared" si="0"/>
        <v>0</v>
      </c>
      <c r="O36" s="825"/>
      <c r="P36" s="826">
        <v>36</v>
      </c>
      <c r="Q36" s="827">
        <v>36</v>
      </c>
      <c r="R36" s="827">
        <v>36</v>
      </c>
      <c r="S36" s="827">
        <v>36</v>
      </c>
      <c r="T36" s="827">
        <v>36</v>
      </c>
      <c r="U36" s="827">
        <v>36</v>
      </c>
      <c r="V36" s="827">
        <v>36</v>
      </c>
      <c r="W36" s="827">
        <v>36</v>
      </c>
      <c r="X36" s="825"/>
      <c r="Y36" s="828">
        <v>0</v>
      </c>
      <c r="Z36" s="828">
        <v>0</v>
      </c>
      <c r="AA36" s="828">
        <v>0</v>
      </c>
      <c r="AB36" s="828">
        <v>0</v>
      </c>
      <c r="AC36" s="828">
        <v>0</v>
      </c>
      <c r="AD36" s="828">
        <v>0</v>
      </c>
      <c r="AE36" s="828">
        <v>0</v>
      </c>
      <c r="AF36" s="828">
        <v>0</v>
      </c>
      <c r="AG36" s="825"/>
    </row>
    <row r="37" spans="2:33" ht="14" customHeight="1" x14ac:dyDescent="0.2">
      <c r="B37" s="664" t="s">
        <v>1041</v>
      </c>
      <c r="C37" s="829">
        <v>0</v>
      </c>
      <c r="D37" s="814">
        <v>0</v>
      </c>
      <c r="E37" s="680">
        <f t="shared" ref="E37:E47" si="1">SUMPRODUCT($Y37:$AF37,$G$34:$N$34)</f>
        <v>0</v>
      </c>
      <c r="G37" s="830">
        <f t="shared" ref="G37:G47" si="2">G$34*Y37</f>
        <v>0</v>
      </c>
      <c r="H37" s="830">
        <f t="shared" si="0"/>
        <v>0</v>
      </c>
      <c r="I37" s="830">
        <f t="shared" si="0"/>
        <v>0</v>
      </c>
      <c r="J37" s="830">
        <f t="shared" si="0"/>
        <v>0</v>
      </c>
      <c r="K37" s="830">
        <f t="shared" si="0"/>
        <v>0</v>
      </c>
      <c r="L37" s="830">
        <f t="shared" si="0"/>
        <v>0</v>
      </c>
      <c r="M37" s="830">
        <f t="shared" si="0"/>
        <v>0</v>
      </c>
      <c r="N37" s="830">
        <f t="shared" si="0"/>
        <v>0</v>
      </c>
      <c r="O37" s="825"/>
      <c r="P37" s="831">
        <v>80</v>
      </c>
      <c r="Q37" s="832">
        <v>80</v>
      </c>
      <c r="R37" s="832">
        <v>80</v>
      </c>
      <c r="S37" s="832">
        <v>80</v>
      </c>
      <c r="T37" s="832">
        <v>80</v>
      </c>
      <c r="U37" s="832">
        <v>80</v>
      </c>
      <c r="V37" s="832">
        <v>80</v>
      </c>
      <c r="W37" s="832">
        <v>80</v>
      </c>
      <c r="X37" s="825"/>
      <c r="Y37" s="833">
        <v>0</v>
      </c>
      <c r="Z37" s="833">
        <v>0</v>
      </c>
      <c r="AA37" s="833">
        <v>0</v>
      </c>
      <c r="AB37" s="833">
        <v>0</v>
      </c>
      <c r="AC37" s="833">
        <v>0</v>
      </c>
      <c r="AD37" s="833">
        <v>0</v>
      </c>
      <c r="AE37" s="833">
        <v>0</v>
      </c>
      <c r="AF37" s="833">
        <v>0</v>
      </c>
      <c r="AG37" s="825"/>
    </row>
    <row r="38" spans="2:33" ht="14" customHeight="1" x14ac:dyDescent="0.2">
      <c r="B38" s="664" t="s">
        <v>1028</v>
      </c>
      <c r="C38" s="679">
        <f>IF(HLOOKUP($C$35,Core_Control!$I$17:$L$34,Core_Control!M25,FALSE)=0,"",HLOOKUP($C$35,Core_Control!$I$17:$L$34,Core_Control!M25,FALSE))</f>
        <v>15</v>
      </c>
      <c r="D38" s="670">
        <f>SUM(core_pcp)</f>
        <v>30</v>
      </c>
      <c r="E38" s="680">
        <f t="shared" si="1"/>
        <v>0</v>
      </c>
      <c r="G38" s="830">
        <f t="shared" si="2"/>
        <v>0</v>
      </c>
      <c r="H38" s="830">
        <f t="shared" si="0"/>
        <v>0</v>
      </c>
      <c r="I38" s="830">
        <f t="shared" si="0"/>
        <v>0</v>
      </c>
      <c r="J38" s="830">
        <f t="shared" si="0"/>
        <v>0</v>
      </c>
      <c r="K38" s="830">
        <f t="shared" si="0"/>
        <v>0</v>
      </c>
      <c r="L38" s="830">
        <f t="shared" si="0"/>
        <v>0</v>
      </c>
      <c r="M38" s="830">
        <f t="shared" si="0"/>
        <v>0</v>
      </c>
      <c r="N38" s="830">
        <f t="shared" si="0"/>
        <v>0</v>
      </c>
      <c r="O38" s="825"/>
      <c r="P38" s="834">
        <v>104</v>
      </c>
      <c r="Q38" s="835">
        <v>104</v>
      </c>
      <c r="R38" s="835">
        <v>104</v>
      </c>
      <c r="S38" s="835">
        <v>104</v>
      </c>
      <c r="T38" s="835">
        <v>104</v>
      </c>
      <c r="U38" s="835">
        <v>104</v>
      </c>
      <c r="V38" s="835">
        <v>104</v>
      </c>
      <c r="W38" s="835">
        <v>104</v>
      </c>
      <c r="X38" s="825"/>
      <c r="Y38" s="833">
        <v>1</v>
      </c>
      <c r="Z38" s="833">
        <v>1</v>
      </c>
      <c r="AA38" s="833">
        <v>2</v>
      </c>
      <c r="AB38" s="833">
        <v>5</v>
      </c>
      <c r="AC38" s="833">
        <v>5</v>
      </c>
      <c r="AD38" s="833">
        <v>26</v>
      </c>
      <c r="AE38" s="833">
        <v>6</v>
      </c>
      <c r="AF38" s="833">
        <v>15</v>
      </c>
      <c r="AG38" s="825"/>
    </row>
    <row r="39" spans="2:33" ht="14" customHeight="1" x14ac:dyDescent="0.2">
      <c r="B39" s="664" t="s">
        <v>165</v>
      </c>
      <c r="C39" s="679">
        <f>IF(HLOOKUP($C$35,Core_Control!$I$17:$L$34,Core_Control!M26,FALSE)=0,"",HLOOKUP($C$35,Core_Control!$I$17:$L$34,Core_Control!M26,FALSE))</f>
        <v>35</v>
      </c>
      <c r="D39" s="670">
        <f>SUM(core_spec)</f>
        <v>60</v>
      </c>
      <c r="E39" s="680">
        <f t="shared" si="1"/>
        <v>0</v>
      </c>
      <c r="G39" s="830">
        <f t="shared" si="2"/>
        <v>0</v>
      </c>
      <c r="H39" s="830">
        <f t="shared" si="0"/>
        <v>0</v>
      </c>
      <c r="I39" s="830">
        <f t="shared" si="0"/>
        <v>0</v>
      </c>
      <c r="J39" s="830">
        <f t="shared" si="0"/>
        <v>0</v>
      </c>
      <c r="K39" s="830">
        <f t="shared" si="0"/>
        <v>0</v>
      </c>
      <c r="L39" s="830">
        <f t="shared" si="0"/>
        <v>0</v>
      </c>
      <c r="M39" s="830">
        <f t="shared" si="0"/>
        <v>0</v>
      </c>
      <c r="N39" s="830">
        <f t="shared" si="0"/>
        <v>0</v>
      </c>
      <c r="O39" s="825"/>
      <c r="P39" s="834">
        <v>153</v>
      </c>
      <c r="Q39" s="835">
        <v>153</v>
      </c>
      <c r="R39" s="835">
        <v>153</v>
      </c>
      <c r="S39" s="835">
        <v>153</v>
      </c>
      <c r="T39" s="835">
        <v>153</v>
      </c>
      <c r="U39" s="832">
        <v>153</v>
      </c>
      <c r="V39" s="832">
        <v>153</v>
      </c>
      <c r="W39" s="832">
        <v>153</v>
      </c>
      <c r="X39" s="825"/>
      <c r="Y39" s="833">
        <v>3</v>
      </c>
      <c r="Z39" s="833">
        <v>3</v>
      </c>
      <c r="AA39" s="833">
        <v>1</v>
      </c>
      <c r="AB39" s="833">
        <v>2</v>
      </c>
      <c r="AC39" s="833">
        <v>2</v>
      </c>
      <c r="AD39" s="833">
        <v>0</v>
      </c>
      <c r="AE39" s="833">
        <v>0</v>
      </c>
      <c r="AF39" s="833">
        <v>0</v>
      </c>
      <c r="AG39" s="825"/>
    </row>
    <row r="40" spans="2:33" ht="14" customHeight="1" x14ac:dyDescent="0.2">
      <c r="B40" s="664" t="s">
        <v>1042</v>
      </c>
      <c r="C40" s="679">
        <f>$C$39</f>
        <v>35</v>
      </c>
      <c r="D40" s="670">
        <f>SUM(core_spec)</f>
        <v>60</v>
      </c>
      <c r="E40" s="680">
        <f t="shared" si="1"/>
        <v>0</v>
      </c>
      <c r="G40" s="830">
        <f t="shared" si="2"/>
        <v>0</v>
      </c>
      <c r="H40" s="830">
        <f t="shared" si="0"/>
        <v>0</v>
      </c>
      <c r="I40" s="830">
        <f t="shared" si="0"/>
        <v>0</v>
      </c>
      <c r="J40" s="830">
        <f t="shared" si="0"/>
        <v>0</v>
      </c>
      <c r="K40" s="830">
        <f t="shared" si="0"/>
        <v>0</v>
      </c>
      <c r="L40" s="830">
        <f t="shared" si="0"/>
        <v>0</v>
      </c>
      <c r="M40" s="830">
        <f t="shared" si="0"/>
        <v>0</v>
      </c>
      <c r="N40" s="830">
        <f t="shared" si="0"/>
        <v>0</v>
      </c>
      <c r="O40" s="825"/>
      <c r="P40" s="831">
        <v>90</v>
      </c>
      <c r="Q40" s="832">
        <v>90</v>
      </c>
      <c r="R40" s="835">
        <v>90</v>
      </c>
      <c r="S40" s="835">
        <v>90</v>
      </c>
      <c r="T40" s="835">
        <v>90</v>
      </c>
      <c r="U40" s="832">
        <v>90</v>
      </c>
      <c r="V40" s="832">
        <v>90</v>
      </c>
      <c r="W40" s="832">
        <v>90</v>
      </c>
      <c r="X40" s="825"/>
      <c r="Y40" s="833">
        <v>0</v>
      </c>
      <c r="Z40" s="833">
        <v>0</v>
      </c>
      <c r="AA40" s="833">
        <v>5</v>
      </c>
      <c r="AB40" s="833">
        <v>3</v>
      </c>
      <c r="AC40" s="833">
        <v>3</v>
      </c>
      <c r="AD40" s="833">
        <v>0</v>
      </c>
      <c r="AE40" s="833">
        <v>0</v>
      </c>
      <c r="AF40" s="833">
        <v>0</v>
      </c>
      <c r="AG40" s="825"/>
    </row>
    <row r="41" spans="2:33" ht="14" customHeight="1" x14ac:dyDescent="0.2">
      <c r="B41" s="664" t="s">
        <v>943</v>
      </c>
      <c r="C41" s="679" t="str">
        <f>IF(HLOOKUP($C$35,Core_Control!$I$17:$L$34,Core_Control!M27,FALSE)=0,"",HLOOKUP($C$35,Core_Control!$I$17:$L$34,Core_Control!M27,FALSE))</f>
        <v/>
      </c>
      <c r="D41" s="670">
        <f>SUM(core_inpt)</f>
        <v>1000</v>
      </c>
      <c r="E41" s="680">
        <f t="shared" si="1"/>
        <v>0</v>
      </c>
      <c r="G41" s="830">
        <f t="shared" si="2"/>
        <v>0</v>
      </c>
      <c r="H41" s="830">
        <f t="shared" si="0"/>
        <v>0</v>
      </c>
      <c r="I41" s="830">
        <f t="shared" si="0"/>
        <v>0</v>
      </c>
      <c r="J41" s="830">
        <f t="shared" si="0"/>
        <v>0</v>
      </c>
      <c r="K41" s="830">
        <f t="shared" si="0"/>
        <v>0</v>
      </c>
      <c r="L41" s="830">
        <f t="shared" si="0"/>
        <v>0</v>
      </c>
      <c r="M41" s="830">
        <f t="shared" si="0"/>
        <v>0</v>
      </c>
      <c r="N41" s="830">
        <f t="shared" si="0"/>
        <v>0</v>
      </c>
      <c r="O41" s="825"/>
      <c r="P41" s="831">
        <v>10000</v>
      </c>
      <c r="Q41" s="832">
        <v>10000</v>
      </c>
      <c r="R41" s="832">
        <v>10000</v>
      </c>
      <c r="S41" s="832">
        <v>10000</v>
      </c>
      <c r="T41" s="835">
        <v>27980</v>
      </c>
      <c r="U41" s="835">
        <v>80000</v>
      </c>
      <c r="V41" s="832">
        <v>10000</v>
      </c>
      <c r="W41" s="835">
        <v>19000</v>
      </c>
      <c r="X41" s="825"/>
      <c r="Y41" s="833">
        <v>0</v>
      </c>
      <c r="Z41" s="833">
        <v>0</v>
      </c>
      <c r="AA41" s="833">
        <v>0</v>
      </c>
      <c r="AB41" s="833">
        <v>0</v>
      </c>
      <c r="AC41" s="833">
        <v>1</v>
      </c>
      <c r="AD41" s="833">
        <v>1</v>
      </c>
      <c r="AE41" s="833">
        <v>0</v>
      </c>
      <c r="AF41" s="833">
        <v>1</v>
      </c>
      <c r="AG41" s="825"/>
    </row>
    <row r="42" spans="2:33" ht="14" customHeight="1" x14ac:dyDescent="0.2">
      <c r="B42" s="664" t="s">
        <v>944</v>
      </c>
      <c r="C42" s="679">
        <f>IF(HLOOKUP($C$35,Core_Control!$I$17:$L$34,Core_Control!M28,FALSE)=0,"",HLOOKUP($C$35,Core_Control!$I$17:$L$34,Core_Control!M28,FALSE))</f>
        <v>200</v>
      </c>
      <c r="D42" s="670">
        <f>SUM(core_er)</f>
        <v>250</v>
      </c>
      <c r="E42" s="680">
        <f t="shared" si="1"/>
        <v>0</v>
      </c>
      <c r="G42" s="830">
        <f t="shared" si="2"/>
        <v>0</v>
      </c>
      <c r="H42" s="830">
        <f t="shared" si="0"/>
        <v>0</v>
      </c>
      <c r="I42" s="830">
        <f t="shared" si="0"/>
        <v>0</v>
      </c>
      <c r="J42" s="830">
        <f t="shared" si="0"/>
        <v>0</v>
      </c>
      <c r="K42" s="830">
        <f t="shared" si="0"/>
        <v>0</v>
      </c>
      <c r="L42" s="830">
        <f t="shared" si="0"/>
        <v>0</v>
      </c>
      <c r="M42" s="830">
        <f t="shared" si="0"/>
        <v>0</v>
      </c>
      <c r="N42" s="830">
        <f t="shared" si="0"/>
        <v>0</v>
      </c>
      <c r="O42" s="825"/>
      <c r="P42" s="831">
        <v>2000</v>
      </c>
      <c r="Q42" s="832">
        <v>2000</v>
      </c>
      <c r="R42" s="832">
        <v>2000</v>
      </c>
      <c r="S42" s="832">
        <v>2000</v>
      </c>
      <c r="T42" s="832">
        <v>2000</v>
      </c>
      <c r="U42" s="832">
        <v>2000</v>
      </c>
      <c r="V42" s="832">
        <v>2000</v>
      </c>
      <c r="W42" s="832">
        <v>2000</v>
      </c>
      <c r="X42" s="825"/>
      <c r="Y42" s="833">
        <v>0</v>
      </c>
      <c r="Z42" s="833">
        <v>0</v>
      </c>
      <c r="AA42" s="833">
        <v>0</v>
      </c>
      <c r="AB42" s="833">
        <v>0</v>
      </c>
      <c r="AC42" s="833">
        <v>0</v>
      </c>
      <c r="AD42" s="833">
        <v>0</v>
      </c>
      <c r="AE42" s="833">
        <v>0</v>
      </c>
      <c r="AF42" s="833">
        <v>0</v>
      </c>
      <c r="AG42" s="825"/>
    </row>
    <row r="43" spans="2:33" ht="14" customHeight="1" x14ac:dyDescent="0.2">
      <c r="B43" s="664" t="s">
        <v>329</v>
      </c>
      <c r="C43" s="679">
        <f>IF(HLOOKUP($C$35,Core_Control!$I$17:$L$34,Core_Control!M29,FALSE)=0,"",HLOOKUP($C$35,Core_Control!$I$17:$L$34,Core_Control!M29,FALSE))</f>
        <v>50</v>
      </c>
      <c r="D43" s="670">
        <f>SUM(core_uc)</f>
        <v>100</v>
      </c>
      <c r="E43" s="680">
        <f t="shared" si="1"/>
        <v>0</v>
      </c>
      <c r="G43" s="830">
        <f t="shared" si="2"/>
        <v>0</v>
      </c>
      <c r="H43" s="830">
        <f t="shared" si="0"/>
        <v>0</v>
      </c>
      <c r="I43" s="830">
        <f t="shared" si="0"/>
        <v>0</v>
      </c>
      <c r="J43" s="830">
        <f t="shared" si="0"/>
        <v>0</v>
      </c>
      <c r="K43" s="830">
        <f t="shared" si="0"/>
        <v>0</v>
      </c>
      <c r="L43" s="830">
        <f t="shared" si="0"/>
        <v>0</v>
      </c>
      <c r="M43" s="830">
        <f t="shared" si="0"/>
        <v>0</v>
      </c>
      <c r="N43" s="830">
        <f t="shared" si="0"/>
        <v>0</v>
      </c>
      <c r="O43" s="825"/>
      <c r="P43" s="831">
        <v>240</v>
      </c>
      <c r="Q43" s="832">
        <v>240</v>
      </c>
      <c r="R43" s="832">
        <v>240</v>
      </c>
      <c r="S43" s="832">
        <v>240</v>
      </c>
      <c r="T43" s="832">
        <v>240</v>
      </c>
      <c r="U43" s="832">
        <v>240</v>
      </c>
      <c r="V43" s="832">
        <v>240</v>
      </c>
      <c r="W43" s="832">
        <v>240</v>
      </c>
      <c r="X43" s="836"/>
      <c r="Y43" s="833">
        <v>0</v>
      </c>
      <c r="Z43" s="833">
        <v>0</v>
      </c>
      <c r="AA43" s="833">
        <v>0</v>
      </c>
      <c r="AB43" s="833">
        <v>0</v>
      </c>
      <c r="AC43" s="833">
        <v>0</v>
      </c>
      <c r="AD43" s="833">
        <v>0</v>
      </c>
      <c r="AE43" s="833">
        <v>0</v>
      </c>
      <c r="AF43" s="833">
        <v>0</v>
      </c>
      <c r="AG43" s="836"/>
    </row>
    <row r="44" spans="2:33" ht="14" customHeight="1" x14ac:dyDescent="0.2">
      <c r="B44" s="664" t="s">
        <v>1104</v>
      </c>
      <c r="C44" s="679"/>
      <c r="D44" s="837">
        <f>D42+50</f>
        <v>300</v>
      </c>
      <c r="E44" s="680">
        <f t="shared" si="1"/>
        <v>0</v>
      </c>
      <c r="G44" s="830">
        <f t="shared" si="2"/>
        <v>0</v>
      </c>
      <c r="H44" s="830">
        <f t="shared" si="0"/>
        <v>0</v>
      </c>
      <c r="I44" s="830">
        <f t="shared" si="0"/>
        <v>0</v>
      </c>
      <c r="J44" s="830">
        <f>J$34*AB44</f>
        <v>0</v>
      </c>
      <c r="K44" s="830">
        <f t="shared" si="0"/>
        <v>0</v>
      </c>
      <c r="L44" s="830">
        <f t="shared" si="0"/>
        <v>0</v>
      </c>
      <c r="M44" s="830">
        <f t="shared" si="0"/>
        <v>0</v>
      </c>
      <c r="N44" s="830">
        <f t="shared" si="0"/>
        <v>0</v>
      </c>
      <c r="O44" s="836"/>
      <c r="P44" s="831">
        <v>5000</v>
      </c>
      <c r="Q44" s="832">
        <v>5000</v>
      </c>
      <c r="R44" s="832">
        <v>5000</v>
      </c>
      <c r="S44" s="835">
        <f>6498-SUMPRODUCT(S38:S40,AB38:AB40)-S45*AB45-S50*AB50</f>
        <v>5032</v>
      </c>
      <c r="T44" s="832">
        <v>5000</v>
      </c>
      <c r="U44" s="832">
        <v>5000</v>
      </c>
      <c r="V44" s="832">
        <v>5000</v>
      </c>
      <c r="W44" s="832">
        <v>5000</v>
      </c>
      <c r="X44" s="836"/>
      <c r="Y44" s="833">
        <v>0</v>
      </c>
      <c r="Z44" s="833">
        <v>0</v>
      </c>
      <c r="AA44" s="833">
        <v>0</v>
      </c>
      <c r="AB44" s="833">
        <v>1</v>
      </c>
      <c r="AC44" s="833">
        <v>0</v>
      </c>
      <c r="AD44" s="833">
        <v>0</v>
      </c>
      <c r="AE44" s="833">
        <v>0</v>
      </c>
      <c r="AF44" s="833">
        <v>0</v>
      </c>
      <c r="AG44" s="836"/>
    </row>
    <row r="45" spans="2:33" ht="14" customHeight="1" x14ac:dyDescent="0.2">
      <c r="B45" s="664" t="s">
        <v>1105</v>
      </c>
      <c r="C45" s="679"/>
      <c r="D45" s="670">
        <v>100</v>
      </c>
      <c r="E45" s="680">
        <f t="shared" si="1"/>
        <v>0</v>
      </c>
      <c r="G45" s="830">
        <f t="shared" si="2"/>
        <v>0</v>
      </c>
      <c r="H45" s="830">
        <f t="shared" si="0"/>
        <v>0</v>
      </c>
      <c r="I45" s="830">
        <f t="shared" si="0"/>
        <v>0</v>
      </c>
      <c r="J45" s="830">
        <f t="shared" si="0"/>
        <v>0</v>
      </c>
      <c r="K45" s="830">
        <f t="shared" si="0"/>
        <v>0</v>
      </c>
      <c r="L45" s="830">
        <f t="shared" si="0"/>
        <v>0</v>
      </c>
      <c r="M45" s="830">
        <f t="shared" si="0"/>
        <v>0</v>
      </c>
      <c r="N45" s="830">
        <f t="shared" si="0"/>
        <v>0</v>
      </c>
      <c r="O45" s="836"/>
      <c r="P45" s="831">
        <v>250</v>
      </c>
      <c r="Q45" s="832">
        <v>250</v>
      </c>
      <c r="R45" s="832">
        <v>250</v>
      </c>
      <c r="S45" s="835">
        <v>250</v>
      </c>
      <c r="T45" s="835">
        <v>250</v>
      </c>
      <c r="U45" s="832">
        <v>250</v>
      </c>
      <c r="V45" s="832">
        <v>250</v>
      </c>
      <c r="W45" s="832">
        <v>250</v>
      </c>
      <c r="X45" s="836"/>
      <c r="Y45" s="833">
        <v>0</v>
      </c>
      <c r="Z45" s="833">
        <v>0</v>
      </c>
      <c r="AA45" s="833">
        <v>0</v>
      </c>
      <c r="AB45" s="833">
        <v>1</v>
      </c>
      <c r="AC45" s="833">
        <v>1</v>
      </c>
      <c r="AD45" s="833">
        <v>0</v>
      </c>
      <c r="AE45" s="833">
        <v>0</v>
      </c>
      <c r="AF45" s="833">
        <v>0</v>
      </c>
      <c r="AG45" s="836"/>
    </row>
    <row r="46" spans="2:33" ht="14" customHeight="1" x14ac:dyDescent="0.2">
      <c r="B46" s="664" t="s">
        <v>1045</v>
      </c>
      <c r="C46" s="679"/>
      <c r="D46" s="670">
        <v>0</v>
      </c>
      <c r="E46" s="680">
        <f t="shared" si="1"/>
        <v>0</v>
      </c>
      <c r="G46" s="830">
        <f t="shared" si="2"/>
        <v>0</v>
      </c>
      <c r="H46" s="830">
        <f t="shared" si="0"/>
        <v>0</v>
      </c>
      <c r="I46" s="830">
        <f t="shared" si="0"/>
        <v>0</v>
      </c>
      <c r="J46" s="830">
        <f t="shared" si="0"/>
        <v>0</v>
      </c>
      <c r="K46" s="830">
        <f t="shared" si="0"/>
        <v>0</v>
      </c>
      <c r="L46" s="830">
        <f t="shared" si="0"/>
        <v>0</v>
      </c>
      <c r="M46" s="830">
        <f t="shared" si="0"/>
        <v>0</v>
      </c>
      <c r="N46" s="830">
        <f t="shared" si="0"/>
        <v>0</v>
      </c>
      <c r="O46" s="836"/>
      <c r="P46" s="834">
        <v>70</v>
      </c>
      <c r="Q46" s="835">
        <v>70</v>
      </c>
      <c r="R46" s="832">
        <v>70</v>
      </c>
      <c r="S46" s="832">
        <v>70</v>
      </c>
      <c r="T46" s="832">
        <v>70</v>
      </c>
      <c r="U46" s="835">
        <v>70</v>
      </c>
      <c r="V46" s="832">
        <v>70</v>
      </c>
      <c r="W46" s="835">
        <v>70</v>
      </c>
      <c r="X46" s="836"/>
      <c r="Y46" s="833">
        <v>1</v>
      </c>
      <c r="Z46" s="833">
        <v>1</v>
      </c>
      <c r="AA46" s="833">
        <v>0</v>
      </c>
      <c r="AB46" s="833">
        <v>0</v>
      </c>
      <c r="AC46" s="833">
        <v>0</v>
      </c>
      <c r="AD46" s="833">
        <v>1</v>
      </c>
      <c r="AE46" s="833">
        <v>0</v>
      </c>
      <c r="AF46" s="833">
        <v>20</v>
      </c>
      <c r="AG46" s="836"/>
    </row>
    <row r="47" spans="2:33" ht="14" customHeight="1" x14ac:dyDescent="0.2">
      <c r="B47" s="673" t="s">
        <v>1029</v>
      </c>
      <c r="C47" s="681"/>
      <c r="D47" s="838">
        <f>'Core Design'!C16</f>
        <v>200</v>
      </c>
      <c r="E47" s="682">
        <f t="shared" si="1"/>
        <v>0</v>
      </c>
      <c r="G47" s="839">
        <f t="shared" si="2"/>
        <v>0</v>
      </c>
      <c r="H47" s="839">
        <f t="shared" si="0"/>
        <v>0</v>
      </c>
      <c r="I47" s="839">
        <f t="shared" si="0"/>
        <v>0</v>
      </c>
      <c r="J47" s="839">
        <f t="shared" si="0"/>
        <v>0</v>
      </c>
      <c r="K47" s="839">
        <f t="shared" si="0"/>
        <v>0</v>
      </c>
      <c r="L47" s="839">
        <f t="shared" si="0"/>
        <v>0</v>
      </c>
      <c r="M47" s="839">
        <f t="shared" si="0"/>
        <v>0</v>
      </c>
      <c r="N47" s="839">
        <f t="shared" si="0"/>
        <v>0</v>
      </c>
      <c r="O47" s="836"/>
      <c r="P47" s="840">
        <v>500</v>
      </c>
      <c r="Q47" s="841">
        <v>500</v>
      </c>
      <c r="R47" s="841">
        <v>500</v>
      </c>
      <c r="S47" s="841">
        <v>500</v>
      </c>
      <c r="T47" s="841">
        <v>500</v>
      </c>
      <c r="U47" s="841">
        <v>500</v>
      </c>
      <c r="V47" s="841">
        <v>500</v>
      </c>
      <c r="W47" s="841">
        <v>500</v>
      </c>
      <c r="X47" s="836"/>
      <c r="Y47" s="842">
        <v>0</v>
      </c>
      <c r="Z47" s="842">
        <v>0</v>
      </c>
      <c r="AA47" s="842">
        <v>0</v>
      </c>
      <c r="AB47" s="842">
        <v>0</v>
      </c>
      <c r="AC47" s="842">
        <v>0</v>
      </c>
      <c r="AD47" s="842">
        <v>0</v>
      </c>
      <c r="AE47" s="842">
        <v>0</v>
      </c>
      <c r="AF47" s="842">
        <v>0</v>
      </c>
      <c r="AG47" s="836"/>
    </row>
    <row r="48" spans="2:33" ht="14" customHeight="1" x14ac:dyDescent="0.2">
      <c r="G48" s="822"/>
      <c r="H48" s="822"/>
      <c r="I48" s="822"/>
      <c r="J48" s="822"/>
      <c r="K48" s="822"/>
      <c r="L48" s="822"/>
      <c r="M48" s="822"/>
      <c r="N48" s="822"/>
      <c r="O48" s="822"/>
      <c r="P48" s="822"/>
      <c r="Q48" s="822"/>
      <c r="R48" s="822"/>
      <c r="S48" s="822"/>
      <c r="T48" s="822"/>
      <c r="U48" s="822"/>
      <c r="V48" s="822"/>
      <c r="W48" s="822"/>
      <c r="X48" s="822"/>
      <c r="Y48" s="822"/>
      <c r="Z48" s="822"/>
      <c r="AA48" s="822"/>
      <c r="AB48" s="822"/>
      <c r="AC48" s="822"/>
      <c r="AD48" s="822"/>
      <c r="AE48" s="822"/>
      <c r="AF48" s="822"/>
      <c r="AG48" s="822"/>
    </row>
    <row r="49" spans="2:33" ht="14" customHeight="1" x14ac:dyDescent="0.2">
      <c r="B49" s="798" t="s">
        <v>1030</v>
      </c>
      <c r="C49" s="799" t="str">
        <f>$C$29</f>
        <v>Plan 2</v>
      </c>
      <c r="D49" s="792" t="str">
        <f>$D$29</f>
        <v>Bind</v>
      </c>
      <c r="E49" s="663"/>
      <c r="G49" s="822"/>
      <c r="H49" s="822"/>
      <c r="I49" s="822"/>
      <c r="J49" s="822"/>
      <c r="K49" s="822"/>
      <c r="L49" s="822"/>
      <c r="M49" s="822"/>
      <c r="N49" s="822"/>
      <c r="O49" s="822"/>
      <c r="P49" s="822"/>
      <c r="Q49" s="822"/>
      <c r="R49" s="822"/>
      <c r="S49" s="822"/>
      <c r="T49" s="822"/>
      <c r="U49" s="822"/>
      <c r="V49" s="822"/>
      <c r="W49" s="822"/>
      <c r="X49" s="822"/>
      <c r="Y49" s="822"/>
      <c r="Z49" s="822"/>
      <c r="AA49" s="822"/>
      <c r="AB49" s="822"/>
      <c r="AC49" s="822"/>
      <c r="AD49" s="822"/>
      <c r="AE49" s="822"/>
      <c r="AF49" s="822"/>
      <c r="AG49" s="822"/>
    </row>
    <row r="50" spans="2:33" ht="14" customHeight="1" x14ac:dyDescent="0.2">
      <c r="B50" s="672" t="s">
        <v>1031</v>
      </c>
      <c r="C50" s="677">
        <f>IF(HLOOKUP($C$35,Core_Control!$I$17:$L$34,Core_Control!M31,FALSE)=0,"",HLOOKUP($C$35,Core_Control!$I$17:$L$34,Core_Control!M31,FALSE))</f>
        <v>10</v>
      </c>
      <c r="D50" s="668">
        <f>'Core Design'!C19</f>
        <v>10</v>
      </c>
      <c r="E50" s="678">
        <f t="shared" ref="E50:E55" si="3">SUMPRODUCT($Y50:$AF50,$G$34:$N$34)</f>
        <v>0</v>
      </c>
      <c r="G50" s="824">
        <f t="shared" ref="G50:N55" si="4">G$34*Y50</f>
        <v>0</v>
      </c>
      <c r="H50" s="824">
        <f t="shared" si="4"/>
        <v>0</v>
      </c>
      <c r="I50" s="824">
        <f t="shared" si="4"/>
        <v>0</v>
      </c>
      <c r="J50" s="824">
        <f t="shared" si="4"/>
        <v>0</v>
      </c>
      <c r="K50" s="824">
        <f t="shared" si="4"/>
        <v>0</v>
      </c>
      <c r="L50" s="824">
        <f t="shared" si="4"/>
        <v>0</v>
      </c>
      <c r="M50" s="824">
        <f t="shared" si="4"/>
        <v>0</v>
      </c>
      <c r="N50" s="824">
        <f t="shared" si="4"/>
        <v>0</v>
      </c>
      <c r="O50" s="836"/>
      <c r="P50" s="843">
        <v>20</v>
      </c>
      <c r="Q50" s="674">
        <v>20</v>
      </c>
      <c r="R50" s="844">
        <v>20</v>
      </c>
      <c r="S50" s="844">
        <v>20</v>
      </c>
      <c r="T50" s="844">
        <v>20</v>
      </c>
      <c r="U50" s="844">
        <v>20</v>
      </c>
      <c r="V50" s="674">
        <v>20</v>
      </c>
      <c r="W50" s="844">
        <v>20</v>
      </c>
      <c r="X50" s="836"/>
      <c r="Y50" s="828">
        <v>0</v>
      </c>
      <c r="Z50" s="828">
        <v>0</v>
      </c>
      <c r="AA50" s="828">
        <v>4</v>
      </c>
      <c r="AB50" s="828">
        <v>6</v>
      </c>
      <c r="AC50" s="828">
        <v>6</v>
      </c>
      <c r="AD50" s="828">
        <v>12</v>
      </c>
      <c r="AE50" s="828">
        <v>0</v>
      </c>
      <c r="AF50" s="828">
        <v>5</v>
      </c>
      <c r="AG50" s="836"/>
    </row>
    <row r="51" spans="2:33" ht="14" customHeight="1" x14ac:dyDescent="0.2">
      <c r="B51" s="664" t="s">
        <v>1032</v>
      </c>
      <c r="C51" s="679">
        <f>IF(HLOOKUP($C$35,Core_Control!$I$17:$L$34,Core_Control!M32,FALSE)=0,"",HLOOKUP($C$35,Core_Control!$I$17:$L$34,Core_Control!M32,FALSE))</f>
        <v>40</v>
      </c>
      <c r="D51" s="670">
        <f>'Core Design'!C20</f>
        <v>50</v>
      </c>
      <c r="E51" s="680">
        <f t="shared" si="3"/>
        <v>0</v>
      </c>
      <c r="G51" s="830">
        <f t="shared" si="4"/>
        <v>0</v>
      </c>
      <c r="H51" s="830">
        <f t="shared" si="4"/>
        <v>0</v>
      </c>
      <c r="I51" s="830">
        <f t="shared" si="4"/>
        <v>0</v>
      </c>
      <c r="J51" s="830">
        <f t="shared" si="4"/>
        <v>0</v>
      </c>
      <c r="K51" s="830">
        <f t="shared" si="4"/>
        <v>0</v>
      </c>
      <c r="L51" s="830">
        <f t="shared" si="4"/>
        <v>0</v>
      </c>
      <c r="M51" s="830">
        <f t="shared" si="4"/>
        <v>0</v>
      </c>
      <c r="N51" s="830">
        <f t="shared" si="4"/>
        <v>0</v>
      </c>
      <c r="O51" s="836"/>
      <c r="P51" s="845">
        <v>80</v>
      </c>
      <c r="Q51" s="675">
        <v>80</v>
      </c>
      <c r="R51" s="675">
        <v>80</v>
      </c>
      <c r="S51" s="675">
        <v>80</v>
      </c>
      <c r="T51" s="675">
        <v>80</v>
      </c>
      <c r="U51" s="675">
        <v>80</v>
      </c>
      <c r="V51" s="846">
        <v>80</v>
      </c>
      <c r="W51" s="846">
        <v>80</v>
      </c>
      <c r="X51" s="836"/>
      <c r="Y51" s="833">
        <v>12</v>
      </c>
      <c r="Z51" s="833">
        <v>0</v>
      </c>
      <c r="AA51" s="833">
        <v>0</v>
      </c>
      <c r="AB51" s="833">
        <v>0</v>
      </c>
      <c r="AC51" s="833">
        <v>0</v>
      </c>
      <c r="AD51" s="833">
        <v>0</v>
      </c>
      <c r="AE51" s="833">
        <v>12</v>
      </c>
      <c r="AF51" s="833">
        <v>1</v>
      </c>
      <c r="AG51" s="836"/>
    </row>
    <row r="52" spans="2:33" ht="14" customHeight="1" x14ac:dyDescent="0.2">
      <c r="B52" s="664" t="s">
        <v>1033</v>
      </c>
      <c r="C52" s="679">
        <f>IF(HLOOKUP($C$35,Core_Control!$I$17:$L$34,Core_Control!M33,FALSE)=0,"",HLOOKUP($C$35,Core_Control!$I$17:$L$34,Core_Control!M33,FALSE))</f>
        <v>70</v>
      </c>
      <c r="D52" s="670">
        <f>'Core Design'!C21</f>
        <v>80</v>
      </c>
      <c r="E52" s="680">
        <f t="shared" si="3"/>
        <v>0</v>
      </c>
      <c r="G52" s="830">
        <f t="shared" si="4"/>
        <v>0</v>
      </c>
      <c r="H52" s="830">
        <f t="shared" si="4"/>
        <v>0</v>
      </c>
      <c r="I52" s="830">
        <f t="shared" si="4"/>
        <v>0</v>
      </c>
      <c r="J52" s="830">
        <f t="shared" si="4"/>
        <v>0</v>
      </c>
      <c r="K52" s="830">
        <f t="shared" si="4"/>
        <v>0</v>
      </c>
      <c r="L52" s="830">
        <f t="shared" si="4"/>
        <v>0</v>
      </c>
      <c r="M52" s="830">
        <f t="shared" si="4"/>
        <v>0</v>
      </c>
      <c r="N52" s="830">
        <f t="shared" si="4"/>
        <v>0</v>
      </c>
      <c r="O52" s="836"/>
      <c r="P52" s="847">
        <v>160</v>
      </c>
      <c r="Q52" s="675">
        <v>160</v>
      </c>
      <c r="R52" s="675">
        <v>160</v>
      </c>
      <c r="S52" s="675">
        <v>160</v>
      </c>
      <c r="T52" s="675">
        <v>160</v>
      </c>
      <c r="U52" s="675">
        <v>160</v>
      </c>
      <c r="V52" s="675">
        <v>160</v>
      </c>
      <c r="W52" s="675">
        <v>160</v>
      </c>
      <c r="X52" s="836"/>
      <c r="Y52" s="833">
        <v>0</v>
      </c>
      <c r="Z52" s="833">
        <v>0</v>
      </c>
      <c r="AA52" s="833">
        <v>0</v>
      </c>
      <c r="AB52" s="833">
        <v>0</v>
      </c>
      <c r="AC52" s="833">
        <v>0</v>
      </c>
      <c r="AD52" s="833">
        <v>0</v>
      </c>
      <c r="AE52" s="833">
        <v>0</v>
      </c>
      <c r="AF52" s="833">
        <v>0</v>
      </c>
      <c r="AG52" s="836"/>
    </row>
    <row r="53" spans="2:33" ht="14" customHeight="1" x14ac:dyDescent="0.2">
      <c r="B53" s="664" t="s">
        <v>1106</v>
      </c>
      <c r="C53" s="679">
        <f>IF(HLOOKUP($C$35,Core_Control!$I$17:$L$34,Core_Control!M34,FALSE)=0,"",HLOOKUP($C$35,Core_Control!$I$17:$L$34,Core_Control!M34,FALSE))</f>
        <v>160</v>
      </c>
      <c r="D53" s="670">
        <f>D54-50</f>
        <v>150</v>
      </c>
      <c r="E53" s="680">
        <f t="shared" si="3"/>
        <v>0</v>
      </c>
      <c r="G53" s="830">
        <f t="shared" si="4"/>
        <v>0</v>
      </c>
      <c r="H53" s="830">
        <f t="shared" si="4"/>
        <v>0</v>
      </c>
      <c r="I53" s="830">
        <f t="shared" si="4"/>
        <v>0</v>
      </c>
      <c r="J53" s="830">
        <f t="shared" si="4"/>
        <v>0</v>
      </c>
      <c r="K53" s="830">
        <f t="shared" si="4"/>
        <v>0</v>
      </c>
      <c r="L53" s="830">
        <f t="shared" si="4"/>
        <v>0</v>
      </c>
      <c r="M53" s="830">
        <f t="shared" si="4"/>
        <v>0</v>
      </c>
      <c r="N53" s="830">
        <f t="shared" si="4"/>
        <v>0</v>
      </c>
      <c r="O53" s="836"/>
      <c r="P53" s="847">
        <v>300</v>
      </c>
      <c r="Q53" s="675">
        <v>300</v>
      </c>
      <c r="R53" s="675">
        <v>300</v>
      </c>
      <c r="S53" s="675">
        <v>300</v>
      </c>
      <c r="T53" s="675">
        <v>300</v>
      </c>
      <c r="U53" s="675">
        <v>300</v>
      </c>
      <c r="V53" s="675">
        <v>300</v>
      </c>
      <c r="W53" s="675">
        <v>300</v>
      </c>
      <c r="X53" s="836"/>
      <c r="Y53" s="833">
        <v>0</v>
      </c>
      <c r="Z53" s="833">
        <v>0</v>
      </c>
      <c r="AA53" s="833">
        <v>0</v>
      </c>
      <c r="AB53" s="833">
        <v>0</v>
      </c>
      <c r="AC53" s="833">
        <v>0</v>
      </c>
      <c r="AD53" s="833">
        <v>0</v>
      </c>
      <c r="AE53" s="833">
        <v>0</v>
      </c>
      <c r="AF53" s="833">
        <v>0</v>
      </c>
      <c r="AG53" s="836"/>
    </row>
    <row r="54" spans="2:33" ht="14" customHeight="1" x14ac:dyDescent="0.2">
      <c r="B54" s="664" t="s">
        <v>1107</v>
      </c>
      <c r="C54" s="679">
        <f>IF(HLOOKUP($C$35,Core_Control!$I$17:$L$34,Core_Control!M34,FALSE)=0,"",HLOOKUP($C$35,Core_Control!$I$17:$L$34,Core_Control!M34,FALSE))</f>
        <v>160</v>
      </c>
      <c r="D54" s="670">
        <f>'Core Design'!C22</f>
        <v>200</v>
      </c>
      <c r="E54" s="680">
        <f t="shared" si="3"/>
        <v>0</v>
      </c>
      <c r="G54" s="830">
        <f t="shared" si="4"/>
        <v>0</v>
      </c>
      <c r="H54" s="830">
        <f t="shared" si="4"/>
        <v>0</v>
      </c>
      <c r="I54" s="830">
        <f t="shared" si="4"/>
        <v>0</v>
      </c>
      <c r="J54" s="830">
        <f t="shared" si="4"/>
        <v>0</v>
      </c>
      <c r="K54" s="830">
        <f t="shared" si="4"/>
        <v>0</v>
      </c>
      <c r="L54" s="830">
        <f t="shared" si="4"/>
        <v>0</v>
      </c>
      <c r="M54" s="830">
        <f t="shared" si="4"/>
        <v>0</v>
      </c>
      <c r="N54" s="830">
        <f t="shared" si="4"/>
        <v>0</v>
      </c>
      <c r="O54" s="836"/>
      <c r="P54" s="847">
        <v>600</v>
      </c>
      <c r="Q54" s="675">
        <v>600</v>
      </c>
      <c r="R54" s="675">
        <v>600</v>
      </c>
      <c r="S54" s="675">
        <v>600</v>
      </c>
      <c r="T54" s="675">
        <v>600</v>
      </c>
      <c r="U54" s="675">
        <v>600</v>
      </c>
      <c r="V54" s="675">
        <v>600</v>
      </c>
      <c r="W54" s="675">
        <v>600</v>
      </c>
      <c r="X54" s="836"/>
      <c r="Y54" s="833">
        <v>0</v>
      </c>
      <c r="Z54" s="833">
        <v>0</v>
      </c>
      <c r="AA54" s="833">
        <v>0</v>
      </c>
      <c r="AB54" s="833">
        <v>0</v>
      </c>
      <c r="AC54" s="833">
        <v>0</v>
      </c>
      <c r="AD54" s="833">
        <v>0</v>
      </c>
      <c r="AE54" s="833">
        <v>0</v>
      </c>
      <c r="AF54" s="833">
        <v>0</v>
      </c>
      <c r="AG54" s="836"/>
    </row>
    <row r="55" spans="2:33" ht="14" customHeight="1" x14ac:dyDescent="0.2">
      <c r="B55" s="673" t="s">
        <v>1108</v>
      </c>
      <c r="C55" s="681">
        <f>IF(HLOOKUP($C$35,Core_Control!$I$17:$L$34,Core_Control!M34,FALSE)=0,"",HLOOKUP($C$35,Core_Control!$I$17:$L$34,Core_Control!M34,FALSE))</f>
        <v>160</v>
      </c>
      <c r="D55" s="671">
        <f>D54+50</f>
        <v>250</v>
      </c>
      <c r="E55" s="682">
        <f t="shared" si="3"/>
        <v>0</v>
      </c>
      <c r="G55" s="839">
        <f t="shared" si="4"/>
        <v>0</v>
      </c>
      <c r="H55" s="839">
        <f t="shared" si="4"/>
        <v>0</v>
      </c>
      <c r="I55" s="839">
        <f t="shared" si="4"/>
        <v>0</v>
      </c>
      <c r="J55" s="839">
        <f t="shared" si="4"/>
        <v>0</v>
      </c>
      <c r="K55" s="839">
        <f t="shared" si="4"/>
        <v>0</v>
      </c>
      <c r="L55" s="839">
        <f t="shared" si="4"/>
        <v>0</v>
      </c>
      <c r="M55" s="839">
        <f t="shared" si="4"/>
        <v>0</v>
      </c>
      <c r="N55" s="839">
        <f t="shared" si="4"/>
        <v>0</v>
      </c>
      <c r="O55" s="836"/>
      <c r="P55" s="848">
        <v>2000</v>
      </c>
      <c r="Q55" s="849">
        <v>2000</v>
      </c>
      <c r="R55" s="676">
        <v>2000</v>
      </c>
      <c r="S55" s="676">
        <v>2000</v>
      </c>
      <c r="T55" s="676">
        <v>2000</v>
      </c>
      <c r="U55" s="849">
        <v>2000</v>
      </c>
      <c r="V55" s="676">
        <v>2000</v>
      </c>
      <c r="W55" s="676">
        <v>2000</v>
      </c>
      <c r="X55" s="836"/>
      <c r="Y55" s="842">
        <v>0</v>
      </c>
      <c r="Z55" s="842">
        <v>12</v>
      </c>
      <c r="AA55" s="842">
        <v>0</v>
      </c>
      <c r="AB55" s="842">
        <v>0</v>
      </c>
      <c r="AC55" s="842">
        <v>0</v>
      </c>
      <c r="AD55" s="842">
        <v>24</v>
      </c>
      <c r="AE55" s="842">
        <v>0</v>
      </c>
      <c r="AF55" s="842">
        <v>0</v>
      </c>
      <c r="AG55" s="836"/>
    </row>
    <row r="56" spans="2:33" ht="14" customHeight="1" x14ac:dyDescent="0.2"/>
    <row r="57" spans="2:33" x14ac:dyDescent="0.2">
      <c r="B57" s="850"/>
    </row>
    <row r="58" spans="2:33" x14ac:dyDescent="0.2">
      <c r="AB58"/>
    </row>
    <row r="59" spans="2:33" x14ac:dyDescent="0.2">
      <c r="AB59"/>
    </row>
    <row r="60" spans="2:33" x14ac:dyDescent="0.2">
      <c r="AB60"/>
    </row>
    <row r="61" spans="2:33" x14ac:dyDescent="0.2">
      <c r="AB61"/>
    </row>
    <row r="62" spans="2:33" x14ac:dyDescent="0.2">
      <c r="AB62"/>
    </row>
    <row r="63" spans="2:33" x14ac:dyDescent="0.2">
      <c r="AB63"/>
    </row>
    <row r="64" spans="2:33" x14ac:dyDescent="0.2">
      <c r="AB64"/>
    </row>
    <row r="65" spans="28:28" x14ac:dyDescent="0.2">
      <c r="AB65"/>
    </row>
    <row r="66" spans="28:28" x14ac:dyDescent="0.2">
      <c r="AB66"/>
    </row>
    <row r="67" spans="28:28" x14ac:dyDescent="0.2">
      <c r="AB67"/>
    </row>
    <row r="68" spans="28:28" x14ac:dyDescent="0.2">
      <c r="AB68"/>
    </row>
    <row r="69" spans="28:28" x14ac:dyDescent="0.2">
      <c r="AB69"/>
    </row>
    <row r="70" spans="28:28" x14ac:dyDescent="0.2">
      <c r="AB70"/>
    </row>
    <row r="71" spans="28:28" x14ac:dyDescent="0.2">
      <c r="AB71"/>
    </row>
    <row r="72" spans="28:28" x14ac:dyDescent="0.2">
      <c r="AB72"/>
    </row>
    <row r="73" spans="28:28" x14ac:dyDescent="0.2">
      <c r="AB73"/>
    </row>
    <row r="74" spans="28:28" x14ac:dyDescent="0.2">
      <c r="AB74"/>
    </row>
    <row r="75" spans="28:28" x14ac:dyDescent="0.2">
      <c r="AB75"/>
    </row>
    <row r="76" spans="28:28" x14ac:dyDescent="0.2">
      <c r="AB76"/>
    </row>
    <row r="77" spans="28:28" x14ac:dyDescent="0.2">
      <c r="AB77"/>
    </row>
  </sheetData>
  <mergeCells count="3">
    <mergeCell ref="G32:N32"/>
    <mergeCell ref="P32:W32"/>
    <mergeCell ref="Y32:AF32"/>
  </mergeCells>
  <conditionalFormatting sqref="G36:N47">
    <cfRule type="cellIs" dxfId="6" priority="8" operator="greaterThan">
      <formula>0</formula>
    </cfRule>
  </conditionalFormatting>
  <conditionalFormatting sqref="G50:N55">
    <cfRule type="cellIs" dxfId="5" priority="7" operator="greaterThan">
      <formula>0</formula>
    </cfRule>
  </conditionalFormatting>
  <conditionalFormatting sqref="Y36:AB47 AD36:AG47">
    <cfRule type="cellIs" dxfId="4" priority="6" operator="greaterThan">
      <formula>0</formula>
    </cfRule>
  </conditionalFormatting>
  <conditionalFormatting sqref="Y50:AB55 AD50:AG55">
    <cfRule type="cellIs" dxfId="3" priority="5" operator="greaterThan">
      <formula>0</formula>
    </cfRule>
  </conditionalFormatting>
  <conditionalFormatting sqref="AC36:AC47">
    <cfRule type="cellIs" dxfId="2" priority="2" operator="greaterThan">
      <formula>0</formula>
    </cfRule>
  </conditionalFormatting>
  <conditionalFormatting sqref="AC50:AC55">
    <cfRule type="cellIs" dxfId="1" priority="1" operator="greaterThan">
      <formula>0</formula>
    </cfRule>
  </conditionalFormatting>
  <dataValidations count="1">
    <dataValidation type="whole" allowBlank="1" showInputMessage="1" showErrorMessage="1" sqref="G34:H34 P34:Q34">
      <formula1>0</formula1>
      <formula2>99</formula2>
    </dataValidation>
  </dataValidations>
  <pageMargins left="0.7" right="0.7" top="0.75" bottom="0.75" header="0.3" footer="0.3"/>
  <pageSetup orientation="portrait" r:id="rId1"/>
  <colBreaks count="1" manualBreakCount="1">
    <brk id="6" max="1048575" man="1"/>
  </colBreaks>
  <drawing r:id="rId2"/>
  <extLst>
    <ext xmlns:x14="http://schemas.microsoft.com/office/spreadsheetml/2009/9/main" uri="{CCE6A557-97BC-4b89-ADB6-D9C93CAAB3DF}">
      <x14:dataValidations xmlns:xm="http://schemas.microsoft.com/office/excel/2006/main" count="3">
        <x14:dataValidation type="list" allowBlank="1" showInputMessage="1" showErrorMessage="1">
          <x14:formula1>
            <xm:f>'2019 Data'!$R$5:$R$9</xm:f>
          </x14:formula1>
          <xm:sqref>C4</xm:sqref>
        </x14:dataValidation>
        <x14:dataValidation type="list" allowBlank="1" showInputMessage="1" showErrorMessage="1">
          <x14:formula1>
            <xm:f>'2019 Data'!$L$3:$O$3</xm:f>
          </x14:formula1>
          <xm:sqref>C5</xm:sqref>
        </x14:dataValidation>
        <x14:dataValidation type="list" allowBlank="1" showInputMessage="1" showErrorMessage="1">
          <x14:formula1>
            <xm:f>'Projection &amp; Rate Setting'!$B$67:$B$70</xm:f>
          </x14:formula1>
          <xm:sqref>C6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0" enableFormatConditionsCalculation="0"/>
  <dimension ref="A1:F24"/>
  <sheetViews>
    <sheetView workbookViewId="0"/>
  </sheetViews>
  <sheetFormatPr baseColWidth="10" defaultColWidth="8.83203125" defaultRowHeight="15" x14ac:dyDescent="0.2"/>
  <cols>
    <col min="1" max="16384" width="8.83203125" style="521"/>
  </cols>
  <sheetData>
    <row r="1" spans="1:6" x14ac:dyDescent="0.2">
      <c r="A1" s="616"/>
      <c r="B1" s="521" t="s">
        <v>817</v>
      </c>
      <c r="C1" s="521" t="str">
        <f>Core_Control!$D$17</f>
        <v>Plan 1</v>
      </c>
      <c r="D1" s="521" t="s">
        <v>818</v>
      </c>
    </row>
    <row r="2" spans="1:6" x14ac:dyDescent="0.2">
      <c r="B2" s="521" t="s">
        <v>359</v>
      </c>
      <c r="C2" s="522">
        <f>'Assumptions-Output Override'!$D$52-C3</f>
        <v>581.28630720561125</v>
      </c>
      <c r="D2" s="522">
        <f>'Assumptions-Output Override'!$D$65-D3</f>
        <v>570.98698907941366</v>
      </c>
    </row>
    <row r="3" spans="1:6" x14ac:dyDescent="0.2">
      <c r="B3" s="521" t="s">
        <v>819</v>
      </c>
      <c r="C3" s="522">
        <f>SUMIF('Add-In_Control'!$J$10:$J$44,TRUE,'Add-In_Control'!$G$10:$G$44)*'Assumptions-Output Override'!$D$50/SUM('Add-In_Control'!$G$10:$G$44)</f>
        <v>84.53573280118799</v>
      </c>
      <c r="D3" s="522">
        <f>SUMIF('Add-In_Control'!$J$10:$J$44,TRUE,'Add-In_Control'!$G$10:$G$44)*'Assumptions-Output Override'!$D$63/SUM('Add-In_Control'!$G$10:$G$44)</f>
        <v>59.724272827148965</v>
      </c>
    </row>
    <row r="4" spans="1:6" x14ac:dyDescent="0.2">
      <c r="C4" s="522">
        <f>SUM(C2:C3)</f>
        <v>665.82204000679928</v>
      </c>
      <c r="D4" s="522">
        <f>SUM(D2:D3)</f>
        <v>630.71126190656264</v>
      </c>
      <c r="E4" s="523">
        <f>D4/C4-1</f>
        <v>-5.2732976667275944E-2</v>
      </c>
      <c r="F4" s="521" t="str">
        <f>TEXT(E4,"0.0%")&amp;";
"&amp;TEXT(D4-C4,"$#,##0.00")</f>
        <v>-5.3%;
-$35.11</v>
      </c>
    </row>
    <row r="5" spans="1:6" x14ac:dyDescent="0.2">
      <c r="C5" s="522"/>
      <c r="D5" s="522"/>
    </row>
    <row r="6" spans="1:6" x14ac:dyDescent="0.2">
      <c r="B6" s="521" t="s">
        <v>820</v>
      </c>
      <c r="C6" s="521" t="str">
        <f>C1</f>
        <v>Plan 1</v>
      </c>
      <c r="D6" s="521" t="str">
        <f>D1</f>
        <v>Bind</v>
      </c>
    </row>
    <row r="7" spans="1:6" x14ac:dyDescent="0.2">
      <c r="B7" s="521" t="str">
        <f>B2</f>
        <v>Core</v>
      </c>
      <c r="C7" s="522">
        <f>'Assumptions-Output Override'!$F$52-C8</f>
        <v>498.44150913519979</v>
      </c>
      <c r="D7" s="522">
        <f>'Assumptions-Output Override'!$F$65-SUMIF('Add-In_Control'!$J$10:$J$44,TRUE,'Add-In_Control'!$G$10:$G$44)*'Assumptions-Output Override'!$F$63/SUM('Add-In_Control'!$G$10:$G$44)</f>
        <v>469.42345192344612</v>
      </c>
    </row>
    <row r="8" spans="1:6" x14ac:dyDescent="0.2">
      <c r="B8" s="521" t="str">
        <f>B3</f>
        <v>Add-Ins</v>
      </c>
      <c r="C8" s="522">
        <f>SUMIF('Add-In_Control'!$J$10:$J$44,TRUE,'Add-In_Control'!$G$10:$G$44)*'Assumptions-Output Override'!$F$50/SUM('Add-In_Control'!$G$10:$G$44)</f>
        <v>72.487718549286001</v>
      </c>
      <c r="D8" s="522">
        <f>SUMIF('Add-In_Control'!$J$10:$J$44,TRUE,'Add-In_Control'!$G$10:$G$44)*'Assumptions-Output Override'!$G$63/SUM('Add-In_Control'!$G$10:$G$44)*(1-All!$Q$35)/(1-'Assumptions-Output Override'!$D$24)</f>
        <v>41.52891943101892</v>
      </c>
    </row>
    <row r="9" spans="1:6" x14ac:dyDescent="0.2">
      <c r="C9" s="522">
        <f>SUM(C7:C8)</f>
        <v>570.9292276844858</v>
      </c>
      <c r="D9" s="522">
        <f>SUM(D7:D8)</f>
        <v>510.95237135446507</v>
      </c>
      <c r="E9" s="523">
        <f>D9/C9-1</f>
        <v>-0.10505129781718914</v>
      </c>
      <c r="F9" s="521" t="str">
        <f>TEXT(E9,"0.0%")&amp;";
"&amp;TEXT(D9-C9,"$#,##0.00")</f>
        <v>-10.5%;
-$59.98</v>
      </c>
    </row>
    <row r="10" spans="1:6" x14ac:dyDescent="0.2">
      <c r="C10" s="522"/>
      <c r="D10" s="522"/>
    </row>
    <row r="11" spans="1:6" x14ac:dyDescent="0.2">
      <c r="B11" s="521" t="s">
        <v>821</v>
      </c>
      <c r="C11" s="521" t="str">
        <f>C6</f>
        <v>Plan 1</v>
      </c>
      <c r="D11" s="521" t="str">
        <f>D6</f>
        <v>Bind</v>
      </c>
    </row>
    <row r="12" spans="1:6" x14ac:dyDescent="0.2">
      <c r="B12" s="521" t="str">
        <f>B7</f>
        <v>Core</v>
      </c>
      <c r="C12" s="524">
        <f t="shared" ref="C12:D14" si="0">C7/C2</f>
        <v>0.8574802175047489</v>
      </c>
      <c r="D12" s="524">
        <f>core_av</f>
        <v>0.84059297085898932</v>
      </c>
    </row>
    <row r="13" spans="1:6" x14ac:dyDescent="0.2">
      <c r="B13" s="521" t="str">
        <f>B8</f>
        <v>Add-Ins</v>
      </c>
      <c r="C13" s="524">
        <f t="shared" si="0"/>
        <v>0.85748021750474879</v>
      </c>
      <c r="D13" s="524">
        <f t="shared" si="0"/>
        <v>0.69534407813067667</v>
      </c>
    </row>
    <row r="14" spans="1:6" x14ac:dyDescent="0.2">
      <c r="C14" s="524">
        <f t="shared" si="0"/>
        <v>0.85748021750474879</v>
      </c>
      <c r="D14" s="524">
        <f t="shared" si="0"/>
        <v>0.81012089400452247</v>
      </c>
    </row>
    <row r="15" spans="1:6" x14ac:dyDescent="0.2">
      <c r="C15" s="524"/>
      <c r="D15" s="524"/>
    </row>
    <row r="16" spans="1:6" x14ac:dyDescent="0.2">
      <c r="C16" s="521" t="str">
        <f>C11</f>
        <v>Plan 1</v>
      </c>
      <c r="D16" s="521" t="s">
        <v>359</v>
      </c>
      <c r="E16" s="521" t="s">
        <v>819</v>
      </c>
    </row>
    <row r="17" spans="2:5" x14ac:dyDescent="0.2">
      <c r="B17" s="521" t="s">
        <v>821</v>
      </c>
      <c r="C17" s="524">
        <f>C12</f>
        <v>0.8574802175047489</v>
      </c>
      <c r="D17" s="524">
        <f>D12</f>
        <v>0.84059297085898932</v>
      </c>
      <c r="E17" s="524">
        <f>D13</f>
        <v>0.69534407813067667</v>
      </c>
    </row>
    <row r="18" spans="2:5" x14ac:dyDescent="0.2">
      <c r="B18" s="521" t="s">
        <v>822</v>
      </c>
      <c r="C18" s="524">
        <f>1-C17</f>
        <v>0.1425197824952511</v>
      </c>
      <c r="D18" s="524">
        <f>1-D17</f>
        <v>0.15940702914101068</v>
      </c>
      <c r="E18" s="524">
        <f>1-E17</f>
        <v>0.30465592186932333</v>
      </c>
    </row>
    <row r="19" spans="2:5" x14ac:dyDescent="0.2">
      <c r="C19" s="521" t="str">
        <f>TEXT(C17,"0%")&amp;" All"</f>
        <v>86% All</v>
      </c>
      <c r="D19" s="521" t="str">
        <f>TEXT(D17,"0%")&amp;" Core"</f>
        <v>84% Core</v>
      </c>
      <c r="E19" s="521" t="str">
        <f>TEXT(E17,"0%")&amp;" Add-Ins"</f>
        <v>70% Add-Ins</v>
      </c>
    </row>
    <row r="20" spans="2:5" x14ac:dyDescent="0.2">
      <c r="D20" s="521" t="str">
        <f>D19&amp;"; 
"
&amp;E19</f>
        <v>84% Core; 
70% Add-Ins</v>
      </c>
    </row>
    <row r="24" spans="2:5" ht="16" x14ac:dyDescent="0.2">
      <c r="B24" s="914" t="str">
        <f>"Paid Claims PMPM Cost Breakdown from "&amp;C1&amp;" to Bind"</f>
        <v>Paid Claims PMPM Cost Breakdown from Plan 1 to Bind</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enableFormatConditionsCalculation="0">
    <tabColor rgb="FFAFE5EC"/>
  </sheetPr>
  <dimension ref="A2:N44"/>
  <sheetViews>
    <sheetView workbookViewId="0"/>
  </sheetViews>
  <sheetFormatPr baseColWidth="10" defaultColWidth="8.83203125" defaultRowHeight="15" x14ac:dyDescent="0.2"/>
  <cols>
    <col min="2" max="2" width="12" customWidth="1"/>
    <col min="3" max="5" width="24.5" customWidth="1"/>
    <col min="6" max="6" width="19.1640625" customWidth="1"/>
    <col min="8" max="8" width="14" bestFit="1" customWidth="1"/>
    <col min="9" max="9" width="11.83203125" bestFit="1" customWidth="1"/>
    <col min="10" max="10" width="10.5" bestFit="1" customWidth="1"/>
  </cols>
  <sheetData>
    <row r="2" spans="1:10" x14ac:dyDescent="0.2">
      <c r="C2" s="853" t="s">
        <v>1060</v>
      </c>
      <c r="D2" s="853" t="s">
        <v>1183</v>
      </c>
      <c r="E2" s="853" t="s">
        <v>1183</v>
      </c>
    </row>
    <row r="3" spans="1:10" x14ac:dyDescent="0.2">
      <c r="C3" s="853" t="str">
        <f>'Enrollment Table'!$Q$4</f>
        <v>Bind</v>
      </c>
      <c r="D3" s="853" t="str">
        <f>'2018 Data'!$E$78</f>
        <v>Plan 1</v>
      </c>
      <c r="E3" s="853" t="str">
        <f>'Enrollment Table'!$Q$4</f>
        <v>Bind</v>
      </c>
    </row>
    <row r="4" spans="1:10" x14ac:dyDescent="0.2">
      <c r="A4" s="786"/>
      <c r="B4" t="str">
        <f>'Data Lists'!$B$2</f>
        <v>EE</v>
      </c>
      <c r="C4" s="858">
        <f>HLOOKUP('2018 Data'!$E$78,'Enrollment Table'!$I$4:$L$28,'Enrollment Table'!R25,FALSE)-HLOOKUP('2018 Data'!$E$78,'Enrollment Table'!$M$4:$P$28,'Enrollment Table'!R25,FALSE)</f>
        <v>763</v>
      </c>
      <c r="D4" s="876">
        <f>HLOOKUP($D$3,'Rate Table'!$M$4:$P$28,'Rate Table'!R25,FALSE)</f>
        <v>558.74520887728454</v>
      </c>
      <c r="E4" s="876">
        <f>'Rate Table'!Q25</f>
        <v>507.20002527727468</v>
      </c>
      <c r="H4" s="352">
        <f>E9*'Projection &amp; Rate Setting'!C18</f>
        <v>-880647.20864661597</v>
      </c>
    </row>
    <row r="5" spans="1:10" x14ac:dyDescent="0.2">
      <c r="A5" s="786"/>
      <c r="B5" t="str">
        <f>'Data Lists'!$B$3</f>
        <v>EE + SP</v>
      </c>
      <c r="C5" s="858">
        <f>HLOOKUP('2018 Data'!$E$78,'Enrollment Table'!$I$4:$L$28,'Enrollment Table'!R26,FALSE)-HLOOKUP('2018 Data'!$E$78,'Enrollment Table'!$M$4:$P$28,'Enrollment Table'!R26,FALSE)</f>
        <v>292</v>
      </c>
      <c r="D5" s="876">
        <f>HLOOKUP($D$3,'Rate Table'!$M$4:$P$28,'Rate Table'!R26,FALSE)</f>
        <v>1305.0097278911567</v>
      </c>
      <c r="E5" s="876">
        <f>'Rate Table'!Q26</f>
        <v>1185.4777070996352</v>
      </c>
      <c r="G5" t="s">
        <v>1184</v>
      </c>
      <c r="H5" s="479">
        <f>D17+H4</f>
        <v>4273907.2526894808</v>
      </c>
    </row>
    <row r="6" spans="1:10" x14ac:dyDescent="0.2">
      <c r="A6" s="786"/>
      <c r="B6" t="str">
        <f>'Data Lists'!$B$4</f>
        <v>EE + C</v>
      </c>
      <c r="C6" s="858">
        <f>HLOOKUP('2018 Data'!$E$78,'Enrollment Table'!$I$4:$L$28,'Enrollment Table'!R27,FALSE)-HLOOKUP('2018 Data'!$E$78,'Enrollment Table'!$M$4:$P$28,'Enrollment Table'!R27,FALSE)</f>
        <v>255</v>
      </c>
      <c r="D6" s="876">
        <f>HLOOKUP($D$3,'Rate Table'!$M$4:$P$28,'Rate Table'!R27,FALSE)</f>
        <v>1086.4231517509727</v>
      </c>
      <c r="E6" s="876">
        <f>'Rate Table'!Q27</f>
        <v>986.0619106302471</v>
      </c>
    </row>
    <row r="7" spans="1:10" x14ac:dyDescent="0.2">
      <c r="A7" s="786"/>
      <c r="B7" t="str">
        <f>'Data Lists'!$B$5</f>
        <v>EE + F</v>
      </c>
      <c r="C7" s="858">
        <f>HLOOKUP('2018 Data'!$E$78,'Enrollment Table'!$I$4:$L$28,'Enrollment Table'!R28,FALSE)-HLOOKUP('2018 Data'!$E$78,'Enrollment Table'!$M$4:$P$28,'Enrollment Table'!R28,FALSE)</f>
        <v>290</v>
      </c>
      <c r="D7" s="876">
        <f>HLOOKUP($D$3,'Rate Table'!$M$4:$P$28,'Rate Table'!R28,FALSE)</f>
        <v>1761.4264383561645</v>
      </c>
      <c r="E7" s="876">
        <f>'Rate Table'!Q28</f>
        <v>1599.5295654916151</v>
      </c>
    </row>
    <row r="8" spans="1:10" x14ac:dyDescent="0.2">
      <c r="D8" s="916">
        <f>SUMPRODUCT($C$4:$C$7,D4:D7)*12</f>
        <v>19142844.068848457</v>
      </c>
      <c r="E8" s="916">
        <f>SUMPRODUCT($C$4:$C$7,E4:E7)*12</f>
        <v>17381549.651555225</v>
      </c>
    </row>
    <row r="9" spans="1:10" x14ac:dyDescent="0.2">
      <c r="E9" s="916">
        <f>E8-D8</f>
        <v>-1761294.4172932319</v>
      </c>
    </row>
    <row r="11" spans="1:10" x14ac:dyDescent="0.2">
      <c r="C11">
        <v>1</v>
      </c>
      <c r="D11" s="853" t="s">
        <v>1185</v>
      </c>
      <c r="E11" s="853" t="str">
        <f>'Data Lists'!G2</f>
        <v>Manual</v>
      </c>
      <c r="F11" s="853" t="str">
        <f>'Data Lists'!G3</f>
        <v>Plan 1 Tier Ratios</v>
      </c>
    </row>
    <row r="12" spans="1:10" x14ac:dyDescent="0.2">
      <c r="C12">
        <f>C11+1</f>
        <v>2</v>
      </c>
      <c r="D12" s="853" t="str">
        <f>D3</f>
        <v>Plan 1</v>
      </c>
      <c r="E12" s="853" t="str">
        <f>$E$3</f>
        <v>Bind</v>
      </c>
      <c r="F12" s="853" t="str">
        <f>$E$3</f>
        <v>Bind</v>
      </c>
      <c r="H12" s="721" t="s">
        <v>1052</v>
      </c>
      <c r="I12" s="721" t="s">
        <v>1063</v>
      </c>
      <c r="J12" s="721" t="s">
        <v>1065</v>
      </c>
    </row>
    <row r="13" spans="1:10" x14ac:dyDescent="0.2">
      <c r="A13" s="518"/>
      <c r="B13" s="518"/>
      <c r="C13">
        <f>C12+1</f>
        <v>3</v>
      </c>
      <c r="D13" s="876">
        <f>HLOOKUP($D$3,'Contributions Table'!$M$4:$P$28,'Contributions Table'!R25,FALSE)</f>
        <v>124.86657963446476</v>
      </c>
      <c r="E13" s="876">
        <f>E4*I13</f>
        <v>102.41073103663652</v>
      </c>
      <c r="F13" s="876">
        <f>H41</f>
        <v>103.53332850031369</v>
      </c>
      <c r="H13" s="709" t="str">
        <f>'Data Lists'!$B$2</f>
        <v>EE</v>
      </c>
      <c r="I13" s="726">
        <f>$I$29</f>
        <v>0.20191389182335098</v>
      </c>
      <c r="J13" s="727"/>
    </row>
    <row r="14" spans="1:10" x14ac:dyDescent="0.2">
      <c r="A14" s="518"/>
      <c r="B14" s="518"/>
      <c r="C14">
        <f>C13+1</f>
        <v>4</v>
      </c>
      <c r="D14" s="876">
        <f>HLOOKUP($D$3,'Contributions Table'!$M$4:$P$28,'Contributions Table'!R26,FALSE)</f>
        <v>362.59823129251703</v>
      </c>
      <c r="E14" s="876">
        <f>(E5-$E$4)*I14+$E$13</f>
        <v>307.19218569254593</v>
      </c>
      <c r="F14" s="876">
        <f>H42</f>
        <v>300.64891585833982</v>
      </c>
      <c r="H14" s="709" t="str">
        <f>'Data Lists'!$B$3</f>
        <v>EE + SP</v>
      </c>
      <c r="I14" s="728">
        <f>IFERROR($I$13+J14,"N/A")</f>
        <v>0.30191389182335099</v>
      </c>
      <c r="J14" s="890">
        <f>'Projection &amp; Rate Setting'!C26</f>
        <v>0.1</v>
      </c>
    </row>
    <row r="15" spans="1:10" x14ac:dyDescent="0.2">
      <c r="A15" s="518"/>
      <c r="B15" s="518"/>
      <c r="C15">
        <f>C14+1</f>
        <v>5</v>
      </c>
      <c r="D15" s="876">
        <f>HLOOKUP($D$3,'Contributions Table'!$M$4:$P$28,'Contributions Table'!R27,FALSE)</f>
        <v>302.90680933852138</v>
      </c>
      <c r="E15" s="876">
        <f>(E6-$E$4)*I15+$E$13</f>
        <v>246.98578648941975</v>
      </c>
      <c r="F15" s="876">
        <f>H43</f>
        <v>251.15567582641629</v>
      </c>
      <c r="H15" s="709" t="str">
        <f>'Data Lists'!$B$4</f>
        <v>EE + C</v>
      </c>
      <c r="I15" s="728">
        <f>IFERROR($I$13+J15,"N/A")</f>
        <v>0.30191389182335099</v>
      </c>
      <c r="J15" s="890">
        <f>'Projection &amp; Rate Setting'!C27</f>
        <v>0.1</v>
      </c>
    </row>
    <row r="16" spans="1:10" x14ac:dyDescent="0.2">
      <c r="A16" s="518"/>
      <c r="B16" s="518"/>
      <c r="C16">
        <f>C15+1</f>
        <v>6</v>
      </c>
      <c r="D16" s="876">
        <f>HLOOKUP($D$3,'Contributions Table'!$M$4:$P$28,'Contributions Table'!R28,FALSE)</f>
        <v>521.21753424657527</v>
      </c>
      <c r="E16" s="876">
        <f>(E7-$E$4)*I16+$E$13</f>
        <v>432.20019367635962</v>
      </c>
      <c r="F16" s="876">
        <f>H44</f>
        <v>432.16837004142297</v>
      </c>
      <c r="H16" s="709" t="str">
        <f>'Data Lists'!$B$5</f>
        <v>EE + F</v>
      </c>
      <c r="I16" s="728">
        <f>IFERROR($I$13+J16,"N/A")</f>
        <v>0.30191389182335099</v>
      </c>
      <c r="J16" s="890">
        <f>'Projection &amp; Rate Setting'!C28</f>
        <v>0.1</v>
      </c>
    </row>
    <row r="17" spans="3:14" x14ac:dyDescent="0.2">
      <c r="D17" s="916">
        <f>SUMPRODUCT($C$4:$C$7,D13:D16)*12</f>
        <v>5154554.4613360967</v>
      </c>
      <c r="E17" s="916">
        <f>SUMPRODUCT($C$4:$C$7,E13:E16)*12</f>
        <v>4273907.2526894808</v>
      </c>
      <c r="F17" s="916">
        <f>SUMPRODUCT($C$4:$C$7,F13:F16)*12</f>
        <v>4273907.2526894808</v>
      </c>
      <c r="L17" s="352"/>
      <c r="M17" s="352"/>
      <c r="N17" s="518"/>
    </row>
    <row r="19" spans="3:14" x14ac:dyDescent="0.2">
      <c r="I19">
        <v>12</v>
      </c>
    </row>
    <row r="20" spans="3:14" x14ac:dyDescent="0.2">
      <c r="D20" s="480">
        <f>SUM(C4:C7)</f>
        <v>1600</v>
      </c>
      <c r="E20" s="352">
        <f>E4</f>
        <v>507.20002527727468</v>
      </c>
      <c r="F20" t="s">
        <v>721</v>
      </c>
      <c r="H20" s="479">
        <f>D20*E20</f>
        <v>811520.0404436395</v>
      </c>
      <c r="I20" s="479">
        <f>H20*$I$19</f>
        <v>9738240.485323675</v>
      </c>
      <c r="J20" t="s">
        <v>721</v>
      </c>
    </row>
    <row r="21" spans="3:14" x14ac:dyDescent="0.2">
      <c r="D21" s="480">
        <f>C5</f>
        <v>292</v>
      </c>
      <c r="E21" s="352">
        <f>(E5-$E$4)</f>
        <v>678.27768182236048</v>
      </c>
      <c r="F21" s="455">
        <f>J14</f>
        <v>0.1</v>
      </c>
      <c r="H21" s="479">
        <f>D21*E21*F21</f>
        <v>19805.708309212929</v>
      </c>
      <c r="I21" s="479">
        <f t="shared" ref="I21:I26" si="0">H21*$I$19</f>
        <v>237668.49971055513</v>
      </c>
    </row>
    <row r="22" spans="3:14" x14ac:dyDescent="0.2">
      <c r="D22" s="480">
        <f>C6</f>
        <v>255</v>
      </c>
      <c r="E22" s="352">
        <f>(E6-$E$4)</f>
        <v>478.86188535297242</v>
      </c>
      <c r="F22" s="455">
        <f>J15</f>
        <v>0.1</v>
      </c>
      <c r="H22" s="479">
        <f>D22*E22*F22</f>
        <v>12210.978076500796</v>
      </c>
      <c r="I22" s="479">
        <f t="shared" si="0"/>
        <v>146531.73691800956</v>
      </c>
    </row>
    <row r="23" spans="3:14" x14ac:dyDescent="0.2">
      <c r="D23" s="480">
        <f>C7</f>
        <v>290</v>
      </c>
      <c r="E23" s="352">
        <f>(E7-$E$4)</f>
        <v>1092.3295402143403</v>
      </c>
      <c r="F23" s="455">
        <f>J16</f>
        <v>0.1</v>
      </c>
      <c r="H23" s="479">
        <f>D23*E23*F23</f>
        <v>31677.556666215871</v>
      </c>
      <c r="I23" s="479">
        <f t="shared" si="0"/>
        <v>380130.67999459046</v>
      </c>
    </row>
    <row r="24" spans="3:14" x14ac:dyDescent="0.2">
      <c r="D24" s="480">
        <f t="shared" ref="D24:E26" si="1">D21</f>
        <v>292</v>
      </c>
      <c r="E24" s="352">
        <f t="shared" si="1"/>
        <v>678.27768182236048</v>
      </c>
      <c r="F24" t="s">
        <v>721</v>
      </c>
      <c r="H24" s="479">
        <f>D24*E24</f>
        <v>198057.08309212927</v>
      </c>
      <c r="I24" s="479">
        <f t="shared" si="0"/>
        <v>2376684.997105551</v>
      </c>
      <c r="J24" t="s">
        <v>721</v>
      </c>
    </row>
    <row r="25" spans="3:14" x14ac:dyDescent="0.2">
      <c r="D25" s="480">
        <f t="shared" si="1"/>
        <v>255</v>
      </c>
      <c r="E25" s="352">
        <f t="shared" si="1"/>
        <v>478.86188535297242</v>
      </c>
      <c r="F25" t="s">
        <v>721</v>
      </c>
      <c r="H25" s="479">
        <f>D25*E25</f>
        <v>122109.78076500796</v>
      </c>
      <c r="I25" s="479">
        <f t="shared" si="0"/>
        <v>1465317.3691800956</v>
      </c>
      <c r="J25" t="s">
        <v>721</v>
      </c>
    </row>
    <row r="26" spans="3:14" x14ac:dyDescent="0.2">
      <c r="D26" s="480">
        <f t="shared" si="1"/>
        <v>290</v>
      </c>
      <c r="E26" s="352">
        <f t="shared" si="1"/>
        <v>1092.3295402143403</v>
      </c>
      <c r="F26" t="s">
        <v>721</v>
      </c>
      <c r="H26" s="479">
        <f>D26*E26</f>
        <v>316775.5666621587</v>
      </c>
      <c r="I26" s="479">
        <f t="shared" si="0"/>
        <v>3801306.7999459044</v>
      </c>
      <c r="J26" t="s">
        <v>721</v>
      </c>
    </row>
    <row r="28" spans="3:14" x14ac:dyDescent="0.2">
      <c r="C28" s="480"/>
    </row>
    <row r="29" spans="3:14" x14ac:dyDescent="0.2">
      <c r="C29" s="480"/>
      <c r="H29" t="s">
        <v>721</v>
      </c>
      <c r="I29" s="886">
        <f>(H5-I21-I22-I23)/(I20+I24+I25+I26)</f>
        <v>0.20191389182335098</v>
      </c>
    </row>
    <row r="30" spans="3:14" x14ac:dyDescent="0.2">
      <c r="C30" s="480"/>
    </row>
    <row r="31" spans="3:14" x14ac:dyDescent="0.2">
      <c r="C31" s="480"/>
    </row>
    <row r="34" spans="3:8" x14ac:dyDescent="0.2">
      <c r="C34" t="str">
        <f>'Data Lists'!$B$2</f>
        <v>EE</v>
      </c>
      <c r="D34" s="480">
        <f>C4</f>
        <v>763</v>
      </c>
      <c r="F34">
        <f>D13/$D$13</f>
        <v>1</v>
      </c>
      <c r="G34" s="886">
        <f>C4/SUM($C$4:$C$7)</f>
        <v>0.47687499999999999</v>
      </c>
      <c r="H34">
        <f>F34*G34</f>
        <v>0.47687499999999999</v>
      </c>
    </row>
    <row r="35" spans="3:8" x14ac:dyDescent="0.2">
      <c r="C35" t="str">
        <f>'Data Lists'!$B$3</f>
        <v>EE + SP</v>
      </c>
      <c r="D35" s="480">
        <f>C5</f>
        <v>292</v>
      </c>
      <c r="F35">
        <f>D14/$D$13</f>
        <v>2.9038853498989838</v>
      </c>
      <c r="G35" s="886">
        <f>C5/SUM($C$4:$C$7)</f>
        <v>0.1825</v>
      </c>
      <c r="H35">
        <f>F35*G35</f>
        <v>0.52995907635656458</v>
      </c>
    </row>
    <row r="36" spans="3:8" x14ac:dyDescent="0.2">
      <c r="C36" t="str">
        <f>'Data Lists'!$B$4</f>
        <v>EE + C</v>
      </c>
      <c r="D36" s="480">
        <f>C6</f>
        <v>255</v>
      </c>
      <c r="F36">
        <f>D15/$D$13</f>
        <v>2.4258437303660658</v>
      </c>
      <c r="G36" s="886">
        <f>C6/SUM($C$4:$C$7)</f>
        <v>0.15937499999999999</v>
      </c>
      <c r="H36">
        <f>F36*G36</f>
        <v>0.38661884452709172</v>
      </c>
    </row>
    <row r="37" spans="3:8" x14ac:dyDescent="0.2">
      <c r="C37" t="str">
        <f>'Data Lists'!$B$5</f>
        <v>EE + F</v>
      </c>
      <c r="D37" s="480">
        <f>C7</f>
        <v>290</v>
      </c>
      <c r="F37">
        <f>D16/$D$13</f>
        <v>4.1741956556541462</v>
      </c>
      <c r="G37" s="886">
        <f>C7/SUM($C$4:$C$7)</f>
        <v>0.18124999999999999</v>
      </c>
      <c r="H37">
        <f>F37*G37</f>
        <v>0.75657296258731399</v>
      </c>
    </row>
    <row r="39" spans="3:8" x14ac:dyDescent="0.2">
      <c r="H39" s="352">
        <f>H5/12/SUM(C4:C7)</f>
        <v>222.59933607757714</v>
      </c>
    </row>
    <row r="41" spans="3:8" x14ac:dyDescent="0.2">
      <c r="H41" s="352">
        <f>H39/SUM(H34:H37)</f>
        <v>103.53332850031369</v>
      </c>
    </row>
    <row r="42" spans="3:8" x14ac:dyDescent="0.2">
      <c r="H42" s="352">
        <f>$H$41*F35</f>
        <v>300.64891585833982</v>
      </c>
    </row>
    <row r="43" spans="3:8" x14ac:dyDescent="0.2">
      <c r="H43" s="352">
        <f>$H$41*F36</f>
        <v>251.15567582641629</v>
      </c>
    </row>
    <row r="44" spans="3:8" x14ac:dyDescent="0.2">
      <c r="H44" s="352">
        <f>$H$41*F37</f>
        <v>432.16837004142297</v>
      </c>
    </row>
  </sheetData>
  <pageMargins left="0.7" right="0.7" top="0.75" bottom="0.75" header="0.3" footer="0.3"/>
  <ignoredErrors>
    <ignoredError sqref="D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AFE5EC"/>
  </sheetPr>
  <dimension ref="B2:I27"/>
  <sheetViews>
    <sheetView workbookViewId="0"/>
  </sheetViews>
  <sheetFormatPr baseColWidth="10" defaultColWidth="8.83203125" defaultRowHeight="15" outlineLevelRow="1" x14ac:dyDescent="0.2"/>
  <cols>
    <col min="2" max="6" width="26" customWidth="1"/>
  </cols>
  <sheetData>
    <row r="2" spans="2:9" outlineLevel="1" x14ac:dyDescent="0.2">
      <c r="C2" s="853" t="s">
        <v>1151</v>
      </c>
      <c r="D2" s="853" t="s">
        <v>1152</v>
      </c>
      <c r="E2" s="853" t="s">
        <v>1153</v>
      </c>
    </row>
    <row r="3" spans="2:9" outlineLevel="1" x14ac:dyDescent="0.2">
      <c r="B3" s="292" t="s">
        <v>455</v>
      </c>
      <c r="D3" s="895">
        <f t="shared" ref="D3:D8" si="0">IF(F3&lt;=0,-F3,0)</f>
        <v>0</v>
      </c>
      <c r="E3" s="895">
        <f t="shared" ref="E3:E8" si="1">IF(F3&gt;0,F3,0)</f>
        <v>665.82204000679928</v>
      </c>
      <c r="F3" s="888">
        <f>Chart_Data!C4</f>
        <v>665.82204000679928</v>
      </c>
      <c r="G3" s="867"/>
      <c r="I3" s="388"/>
    </row>
    <row r="4" spans="2:9" outlineLevel="1" x14ac:dyDescent="0.2">
      <c r="B4" t="s">
        <v>1154</v>
      </c>
      <c r="C4" s="895">
        <f>C3+E3-D4</f>
        <v>636.80398279504561</v>
      </c>
      <c r="D4" s="895">
        <f t="shared" si="0"/>
        <v>29.018057211753671</v>
      </c>
      <c r="E4" s="895">
        <f t="shared" si="1"/>
        <v>0</v>
      </c>
      <c r="F4" s="888">
        <f>Chart_Data!D7-Chart_Data!C7</f>
        <v>-29.018057211753671</v>
      </c>
      <c r="G4" s="867"/>
    </row>
    <row r="5" spans="2:9" outlineLevel="1" x14ac:dyDescent="0.2">
      <c r="B5" t="s">
        <v>1155</v>
      </c>
      <c r="C5" s="895">
        <f>C4+E4-D5</f>
        <v>636.80398279504561</v>
      </c>
      <c r="D5" s="895">
        <f t="shared" si="0"/>
        <v>0</v>
      </c>
      <c r="E5" s="895">
        <f t="shared" si="1"/>
        <v>18.718739085556081</v>
      </c>
      <c r="F5" s="888">
        <f>(Chart_Data!D2-Chart_Data!D7)-(Chart_Data!C2-Chart_Data!C7)</f>
        <v>18.718739085556081</v>
      </c>
      <c r="G5" s="867"/>
    </row>
    <row r="6" spans="2:9" outlineLevel="1" x14ac:dyDescent="0.2">
      <c r="B6" t="s">
        <v>1156</v>
      </c>
      <c r="C6" s="895">
        <f>C5+E5-D6</f>
        <v>624.56392276233464</v>
      </c>
      <c r="D6" s="895">
        <f t="shared" si="0"/>
        <v>30.958799118267081</v>
      </c>
      <c r="E6" s="895">
        <f t="shared" si="1"/>
        <v>0</v>
      </c>
      <c r="F6" s="888">
        <f>Chart_Data!D8-Chart_Data!C8</f>
        <v>-30.958799118267081</v>
      </c>
      <c r="G6" s="867"/>
    </row>
    <row r="7" spans="2:9" outlineLevel="1" x14ac:dyDescent="0.2">
      <c r="B7" t="s">
        <v>1157</v>
      </c>
      <c r="C7" s="895">
        <f>C6+E6-D7</f>
        <v>624.56392276233464</v>
      </c>
      <c r="D7" s="895">
        <f t="shared" si="0"/>
        <v>0</v>
      </c>
      <c r="E7" s="895">
        <f t="shared" si="1"/>
        <v>6.1473391442280558</v>
      </c>
      <c r="F7" s="898">
        <f>(Chart_Data!D3-Chart_Data!D8)-(Chart_Data!C3-Chart_Data!C8)</f>
        <v>6.1473391442280558</v>
      </c>
      <c r="G7" s="899"/>
    </row>
    <row r="8" spans="2:9" outlineLevel="1" x14ac:dyDescent="0.2">
      <c r="B8" s="292" t="s">
        <v>1158</v>
      </c>
      <c r="C8" s="895"/>
      <c r="D8" s="895">
        <f t="shared" si="0"/>
        <v>0</v>
      </c>
      <c r="E8" s="895">
        <f t="shared" si="1"/>
        <v>630.71126190656264</v>
      </c>
      <c r="F8" s="888">
        <f>SUM(F3:F7)</f>
        <v>630.71126190656264</v>
      </c>
      <c r="G8" s="867"/>
      <c r="I8" s="388"/>
    </row>
    <row r="9" spans="2:9" outlineLevel="1" x14ac:dyDescent="0.2">
      <c r="F9" t="b">
        <f>ROUND(F8,2)=ROUND(Chart_Data!D4,2)</f>
        <v>1</v>
      </c>
    </row>
    <row r="10" spans="2:9" outlineLevel="1" x14ac:dyDescent="0.2">
      <c r="F10" s="448">
        <f>F8-F3</f>
        <v>-35.110778100236644</v>
      </c>
    </row>
    <row r="11" spans="2:9" outlineLevel="1" x14ac:dyDescent="0.2"/>
    <row r="12" spans="2:9" outlineLevel="1" x14ac:dyDescent="0.2"/>
    <row r="13" spans="2:9" outlineLevel="1" x14ac:dyDescent="0.2">
      <c r="B13" t="s">
        <v>1159</v>
      </c>
      <c r="C13" t="s">
        <v>1160</v>
      </c>
      <c r="D13" s="388">
        <f>F4+F5</f>
        <v>-10.299318126197591</v>
      </c>
    </row>
    <row r="14" spans="2:9" outlineLevel="1" x14ac:dyDescent="0.2">
      <c r="B14" t="s">
        <v>1159</v>
      </c>
      <c r="C14" t="s">
        <v>1161</v>
      </c>
      <c r="D14" s="388">
        <f>F6+F7</f>
        <v>-24.811459974039025</v>
      </c>
    </row>
    <row r="15" spans="2:9" outlineLevel="1" x14ac:dyDescent="0.2">
      <c r="B15" t="s">
        <v>1162</v>
      </c>
      <c r="C15" t="s">
        <v>1163</v>
      </c>
      <c r="D15" s="388">
        <f>Chart_Data!D7-Chart_Data!C7-D13</f>
        <v>-18.718739085556081</v>
      </c>
    </row>
    <row r="16" spans="2:9" outlineLevel="1" x14ac:dyDescent="0.2">
      <c r="B16" t="s">
        <v>1162</v>
      </c>
      <c r="C16" t="s">
        <v>1164</v>
      </c>
      <c r="D16" s="388">
        <f>Chart_Data!D8-Chart_Data!C8-(Chart_Data!D3-Chart_Data!C3)</f>
        <v>-6.1473391442280558</v>
      </c>
    </row>
    <row r="17" spans="2:6" outlineLevel="1" x14ac:dyDescent="0.2">
      <c r="D17" s="388">
        <f>SUM(D13:D16)</f>
        <v>-59.976856330020752</v>
      </c>
    </row>
    <row r="18" spans="2:6" outlineLevel="1" x14ac:dyDescent="0.2">
      <c r="D18" t="b">
        <f>ROUND(D17,2)=ROUND((Chart_Data!D9-Chart_Data!C9),2)</f>
        <v>1</v>
      </c>
    </row>
    <row r="19" spans="2:6" outlineLevel="1" x14ac:dyDescent="0.2"/>
    <row r="20" spans="2:6" outlineLevel="1" x14ac:dyDescent="0.2">
      <c r="C20" s="853" t="s">
        <v>1151</v>
      </c>
      <c r="D20" s="853" t="s">
        <v>1152</v>
      </c>
      <c r="E20" s="853" t="s">
        <v>1153</v>
      </c>
    </row>
    <row r="21" spans="2:6" outlineLevel="1" x14ac:dyDescent="0.2">
      <c r="B21" s="292" t="str">
        <f>Core_Control!$D$17</f>
        <v>Plan 1</v>
      </c>
      <c r="D21" s="895">
        <f t="shared" ref="D21:D26" si="2">IF(F21&lt;=0,-F21,0)</f>
        <v>0</v>
      </c>
      <c r="E21" s="895">
        <f t="shared" ref="E21:E26" si="3">IF(F21&gt;0,F21,0)</f>
        <v>570.9292276844858</v>
      </c>
      <c r="F21" s="888">
        <f>Chart_Data!C9</f>
        <v>570.9292276844858</v>
      </c>
    </row>
    <row r="22" spans="2:6" outlineLevel="1" x14ac:dyDescent="0.2">
      <c r="B22" t="str">
        <f>C13</f>
        <v>Utilization Change on Core</v>
      </c>
      <c r="C22" s="895">
        <f>C21+E21-D22</f>
        <v>560.6299095582882</v>
      </c>
      <c r="D22" s="895">
        <f t="shared" si="2"/>
        <v>10.299318126197591</v>
      </c>
      <c r="E22" s="895">
        <f t="shared" si="3"/>
        <v>0</v>
      </c>
      <c r="F22" s="888">
        <f>D13</f>
        <v>-10.299318126197591</v>
      </c>
    </row>
    <row r="23" spans="2:6" outlineLevel="1" x14ac:dyDescent="0.2">
      <c r="B23" t="str">
        <f>C14</f>
        <v>Utilization Change on Add-Ins</v>
      </c>
      <c r="C23" s="895">
        <f>C22+E22-D23</f>
        <v>535.81844958424915</v>
      </c>
      <c r="D23" s="895">
        <f t="shared" si="2"/>
        <v>24.811459974039025</v>
      </c>
      <c r="E23" s="895">
        <f t="shared" si="3"/>
        <v>0</v>
      </c>
      <c r="F23" s="888">
        <f>D14</f>
        <v>-24.811459974039025</v>
      </c>
    </row>
    <row r="24" spans="2:6" outlineLevel="1" x14ac:dyDescent="0.2">
      <c r="B24" t="str">
        <f>C15</f>
        <v>Subsidy Change on Core</v>
      </c>
      <c r="C24" s="895">
        <f>C23+E23-D24</f>
        <v>517.09971049869307</v>
      </c>
      <c r="D24" s="895">
        <f t="shared" si="2"/>
        <v>18.718739085556081</v>
      </c>
      <c r="E24" s="895">
        <f t="shared" si="3"/>
        <v>0</v>
      </c>
      <c r="F24" s="888">
        <f>D15</f>
        <v>-18.718739085556081</v>
      </c>
    </row>
    <row r="25" spans="2:6" outlineLevel="1" x14ac:dyDescent="0.2">
      <c r="B25" t="str">
        <f>C16</f>
        <v>Subsidy Change on Add-Ins</v>
      </c>
      <c r="C25" s="895">
        <f>C24+E24-D25</f>
        <v>510.95237135446501</v>
      </c>
      <c r="D25" s="895">
        <f t="shared" si="2"/>
        <v>6.1473391442280558</v>
      </c>
      <c r="E25" s="895">
        <f t="shared" si="3"/>
        <v>0</v>
      </c>
      <c r="F25" s="888">
        <f>D16</f>
        <v>-6.1473391442280558</v>
      </c>
    </row>
    <row r="26" spans="2:6" outlineLevel="1" x14ac:dyDescent="0.2">
      <c r="B26" s="292" t="s">
        <v>818</v>
      </c>
      <c r="C26" s="895"/>
      <c r="D26" s="895">
        <f t="shared" si="2"/>
        <v>0</v>
      </c>
      <c r="E26" s="895">
        <f t="shared" si="3"/>
        <v>510.95237135446501</v>
      </c>
      <c r="F26" s="888">
        <f>SUM(F21:F25)</f>
        <v>510.95237135446501</v>
      </c>
    </row>
    <row r="27" spans="2:6" outlineLevel="1" x14ac:dyDescent="0.2">
      <c r="F27" t="b">
        <f>F26=Chart_Data!D9</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enableFormatConditionsCalculation="0">
    <tabColor rgb="FFAFE5EC"/>
  </sheetPr>
  <dimension ref="B2:R33"/>
  <sheetViews>
    <sheetView workbookViewId="0"/>
  </sheetViews>
  <sheetFormatPr baseColWidth="10" defaultColWidth="8.83203125" defaultRowHeight="15" x14ac:dyDescent="0.2"/>
  <cols>
    <col min="2" max="2" width="20.5" bestFit="1" customWidth="1"/>
    <col min="3" max="3" width="6.6640625" bestFit="1" customWidth="1"/>
    <col min="4" max="4" width="26.5" bestFit="1" customWidth="1"/>
  </cols>
  <sheetData>
    <row r="2" spans="2:18" x14ac:dyDescent="0.2">
      <c r="B2" t="str">
        <f>'Projection &amp; Rate Setting'!$F$106</f>
        <v>2019 SQ</v>
      </c>
      <c r="C2" s="853">
        <f>IF(B2=I3,6,2)</f>
        <v>6</v>
      </c>
      <c r="E2" t="s">
        <v>1060</v>
      </c>
      <c r="M2">
        <v>10</v>
      </c>
    </row>
    <row r="3" spans="2:18" x14ac:dyDescent="0.2">
      <c r="E3">
        <f>'2019 Data'!$R$2</f>
        <v>2018</v>
      </c>
      <c r="I3" t="str">
        <f>'2019 Data'!$R$3</f>
        <v>2019 SQ</v>
      </c>
      <c r="M3" t="s">
        <v>1083</v>
      </c>
    </row>
    <row r="4" spans="2:18" x14ac:dyDescent="0.2">
      <c r="E4" t="str">
        <f>'2018 Data'!D3</f>
        <v>Plan 1</v>
      </c>
      <c r="F4" t="str">
        <f>'2018 Data'!E3</f>
        <v>Plan 2</v>
      </c>
      <c r="G4" t="str">
        <f>'2018 Data'!F3</f>
        <v>Plan 3</v>
      </c>
      <c r="H4" t="str">
        <f>'2018 Data'!G3</f>
        <v>Plan 4</v>
      </c>
      <c r="I4" t="str">
        <f>'2019 Data'!D3</f>
        <v>Plan 1</v>
      </c>
      <c r="J4" t="str">
        <f>'2019 Data'!E3</f>
        <v>Plan 2</v>
      </c>
      <c r="K4" t="str">
        <f>'2019 Data'!F3</f>
        <v>Plan 3</v>
      </c>
      <c r="L4" t="str">
        <f>'2019 Data'!G3</f>
        <v>Plan 4</v>
      </c>
      <c r="M4" t="str">
        <f>'2019 Data'!L3</f>
        <v>Plan 1</v>
      </c>
      <c r="N4" t="str">
        <f>'2019 Data'!M3</f>
        <v>Plan 2</v>
      </c>
      <c r="O4" t="str">
        <f>'2019 Data'!N3</f>
        <v>Plan 3</v>
      </c>
      <c r="P4" t="str">
        <f>'2019 Data'!O3</f>
        <v>Plan 4</v>
      </c>
      <c r="Q4" t="str">
        <f>'2019 Data'!P3</f>
        <v>Bind</v>
      </c>
      <c r="R4">
        <v>1</v>
      </c>
    </row>
    <row r="5" spans="2:18" x14ac:dyDescent="0.2">
      <c r="B5" t="str">
        <f>'2019 Data'!$R$5</f>
        <v>Group A</v>
      </c>
      <c r="C5" t="str">
        <f>'2019 Data'!$K$4</f>
        <v>EE</v>
      </c>
      <c r="D5" t="str">
        <f>B5&amp;C5</f>
        <v>Group AEE</v>
      </c>
      <c r="E5" s="480">
        <f>'2018 Data'!D4</f>
        <v>192</v>
      </c>
      <c r="F5" s="480">
        <f>'2018 Data'!E4</f>
        <v>158</v>
      </c>
      <c r="G5" s="480">
        <f>'2018 Data'!F4</f>
        <v>265</v>
      </c>
      <c r="H5" s="480">
        <f>'2018 Data'!G4</f>
        <v>13</v>
      </c>
      <c r="I5" s="480">
        <f>'2019 Data'!D4</f>
        <v>192</v>
      </c>
      <c r="J5" s="480">
        <f>'2019 Data'!E4</f>
        <v>158</v>
      </c>
      <c r="K5" s="480">
        <f>'2019 Data'!F4</f>
        <v>265</v>
      </c>
      <c r="L5" s="480">
        <f>'2019 Data'!G4</f>
        <v>13</v>
      </c>
      <c r="M5" s="480">
        <f>'2019 Data'!L4</f>
        <v>96</v>
      </c>
      <c r="N5" s="480">
        <f>'2019 Data'!M4</f>
        <v>158</v>
      </c>
      <c r="O5" s="480">
        <f>'2019 Data'!N4</f>
        <v>265</v>
      </c>
      <c r="P5" s="480">
        <f>'2019 Data'!O4</f>
        <v>13</v>
      </c>
      <c r="Q5" s="480">
        <f>'2019 Data'!P4</f>
        <v>96</v>
      </c>
      <c r="R5">
        <f>R4+1</f>
        <v>2</v>
      </c>
    </row>
    <row r="6" spans="2:18" x14ac:dyDescent="0.2">
      <c r="B6" t="str">
        <f>'2019 Data'!$R$5</f>
        <v>Group A</v>
      </c>
      <c r="C6" t="str">
        <f>'2019 Data'!$K$5</f>
        <v>EE + SP</v>
      </c>
      <c r="D6" t="str">
        <f t="shared" ref="D6:D28" si="0">B6&amp;C6</f>
        <v>Group AEE + SP</v>
      </c>
      <c r="E6" s="480">
        <f>'2018 Data'!D5</f>
        <v>79</v>
      </c>
      <c r="F6" s="480">
        <f>'2018 Data'!E5</f>
        <v>51</v>
      </c>
      <c r="G6" s="480">
        <f>'2018 Data'!F5</f>
        <v>53</v>
      </c>
      <c r="H6" s="480">
        <f>'2018 Data'!G5</f>
        <v>0</v>
      </c>
      <c r="I6" s="480">
        <f>'2019 Data'!D5</f>
        <v>79</v>
      </c>
      <c r="J6" s="480">
        <f>'2019 Data'!E5</f>
        <v>51</v>
      </c>
      <c r="K6" s="480">
        <f>'2019 Data'!F5</f>
        <v>53</v>
      </c>
      <c r="L6" s="480">
        <f>'2019 Data'!G5</f>
        <v>0</v>
      </c>
      <c r="M6" s="480">
        <f>'2019 Data'!L5</f>
        <v>40</v>
      </c>
      <c r="N6" s="480">
        <f>'2019 Data'!M5</f>
        <v>51</v>
      </c>
      <c r="O6" s="480">
        <f>'2019 Data'!N5</f>
        <v>53</v>
      </c>
      <c r="P6" s="480">
        <f>'2019 Data'!O5</f>
        <v>0</v>
      </c>
      <c r="Q6" s="480">
        <f>'2019 Data'!P5</f>
        <v>39</v>
      </c>
      <c r="R6">
        <f t="shared" ref="R6:R28" si="1">R5+1</f>
        <v>3</v>
      </c>
    </row>
    <row r="7" spans="2:18" x14ac:dyDescent="0.2">
      <c r="B7" t="str">
        <f>'2019 Data'!$R$5</f>
        <v>Group A</v>
      </c>
      <c r="C7" t="str">
        <f>'2019 Data'!$K$6</f>
        <v>EE + C</v>
      </c>
      <c r="D7" t="str">
        <f t="shared" si="0"/>
        <v>Group AEE + C</v>
      </c>
      <c r="E7" s="480">
        <f>'2018 Data'!D6</f>
        <v>74</v>
      </c>
      <c r="F7" s="480">
        <f>'2018 Data'!E6</f>
        <v>54</v>
      </c>
      <c r="G7" s="480">
        <f>'2018 Data'!F6</f>
        <v>50</v>
      </c>
      <c r="H7" s="480">
        <f>'2018 Data'!G6</f>
        <v>0</v>
      </c>
      <c r="I7" s="480">
        <f>'2019 Data'!D6</f>
        <v>74</v>
      </c>
      <c r="J7" s="480">
        <f>'2019 Data'!E6</f>
        <v>54</v>
      </c>
      <c r="K7" s="480">
        <f>'2019 Data'!F6</f>
        <v>50</v>
      </c>
      <c r="L7" s="480">
        <f>'2019 Data'!G6</f>
        <v>0</v>
      </c>
      <c r="M7" s="480">
        <f>'2019 Data'!L6</f>
        <v>37</v>
      </c>
      <c r="N7" s="480">
        <f>'2019 Data'!M6</f>
        <v>54</v>
      </c>
      <c r="O7" s="480">
        <f>'2019 Data'!N6</f>
        <v>50</v>
      </c>
      <c r="P7" s="480">
        <f>'2019 Data'!O6</f>
        <v>0</v>
      </c>
      <c r="Q7" s="480">
        <f>'2019 Data'!P6</f>
        <v>37</v>
      </c>
      <c r="R7">
        <f t="shared" si="1"/>
        <v>4</v>
      </c>
    </row>
    <row r="8" spans="2:18" x14ac:dyDescent="0.2">
      <c r="B8" t="str">
        <f>'2019 Data'!$R$5</f>
        <v>Group A</v>
      </c>
      <c r="C8" t="str">
        <f>'2019 Data'!$K$7</f>
        <v>EE + F</v>
      </c>
      <c r="D8" t="str">
        <f t="shared" si="0"/>
        <v>Group AEE + F</v>
      </c>
      <c r="E8" s="480">
        <f>'2018 Data'!D7</f>
        <v>96</v>
      </c>
      <c r="F8" s="480">
        <f>'2018 Data'!E7</f>
        <v>105</v>
      </c>
      <c r="G8" s="480">
        <f>'2018 Data'!F7</f>
        <v>113</v>
      </c>
      <c r="H8" s="480">
        <f>'2018 Data'!G7</f>
        <v>1</v>
      </c>
      <c r="I8" s="480">
        <f>'2019 Data'!D7</f>
        <v>96</v>
      </c>
      <c r="J8" s="480">
        <f>'2019 Data'!E7</f>
        <v>105</v>
      </c>
      <c r="K8" s="480">
        <f>'2019 Data'!F7</f>
        <v>113</v>
      </c>
      <c r="L8" s="480">
        <f>'2019 Data'!G7</f>
        <v>1</v>
      </c>
      <c r="M8" s="480">
        <f>'2019 Data'!L7</f>
        <v>48</v>
      </c>
      <c r="N8" s="480">
        <f>'2019 Data'!M7</f>
        <v>105</v>
      </c>
      <c r="O8" s="480">
        <f>'2019 Data'!N7</f>
        <v>113</v>
      </c>
      <c r="P8" s="480">
        <f>'2019 Data'!O7</f>
        <v>1</v>
      </c>
      <c r="Q8" s="480">
        <f>'2019 Data'!P7</f>
        <v>48</v>
      </c>
      <c r="R8">
        <f t="shared" si="1"/>
        <v>5</v>
      </c>
    </row>
    <row r="9" spans="2:18" x14ac:dyDescent="0.2">
      <c r="B9" t="str">
        <f>'2019 Data'!$R$6</f>
        <v>Group B</v>
      </c>
      <c r="C9" t="str">
        <f>'2019 Data'!$K$4</f>
        <v>EE</v>
      </c>
      <c r="D9" t="str">
        <f t="shared" si="0"/>
        <v>Group BEE</v>
      </c>
      <c r="E9" s="480">
        <f>'2018 Data'!D8</f>
        <v>99</v>
      </c>
      <c r="F9" s="480">
        <f>'2018 Data'!E8</f>
        <v>32</v>
      </c>
      <c r="G9" s="480">
        <f>'2018 Data'!F8</f>
        <v>19</v>
      </c>
      <c r="H9" s="480">
        <f>'2018 Data'!G8</f>
        <v>11</v>
      </c>
      <c r="I9" s="480">
        <f>'2019 Data'!D8</f>
        <v>99</v>
      </c>
      <c r="J9" s="480">
        <f>'2019 Data'!E8</f>
        <v>32</v>
      </c>
      <c r="K9" s="480">
        <f>'2019 Data'!F8</f>
        <v>19</v>
      </c>
      <c r="L9" s="480">
        <f>'2019 Data'!G8</f>
        <v>11</v>
      </c>
      <c r="M9" s="480">
        <f>'2019 Data'!L8</f>
        <v>50</v>
      </c>
      <c r="N9" s="480">
        <f>'2019 Data'!M8</f>
        <v>32</v>
      </c>
      <c r="O9" s="480">
        <f>'2019 Data'!N8</f>
        <v>19</v>
      </c>
      <c r="P9" s="480">
        <f>'2019 Data'!O8</f>
        <v>11</v>
      </c>
      <c r="Q9" s="480">
        <f>'2019 Data'!P8</f>
        <v>49</v>
      </c>
      <c r="R9">
        <f t="shared" si="1"/>
        <v>6</v>
      </c>
    </row>
    <row r="10" spans="2:18" x14ac:dyDescent="0.2">
      <c r="B10" t="str">
        <f>'2019 Data'!$R$6</f>
        <v>Group B</v>
      </c>
      <c r="C10" t="str">
        <f>'2019 Data'!$K$5</f>
        <v>EE + SP</v>
      </c>
      <c r="D10" t="str">
        <f t="shared" si="0"/>
        <v>Group BEE + SP</v>
      </c>
      <c r="E10" s="480">
        <f>'2018 Data'!D9</f>
        <v>20</v>
      </c>
      <c r="F10" s="480">
        <f>'2018 Data'!E9</f>
        <v>6</v>
      </c>
      <c r="G10" s="480">
        <f>'2018 Data'!F9</f>
        <v>4</v>
      </c>
      <c r="H10" s="480">
        <f>'2018 Data'!G9</f>
        <v>0</v>
      </c>
      <c r="I10" s="480">
        <f>'2019 Data'!D9</f>
        <v>20</v>
      </c>
      <c r="J10" s="480">
        <f>'2019 Data'!E9</f>
        <v>6</v>
      </c>
      <c r="K10" s="480">
        <f>'2019 Data'!F9</f>
        <v>4</v>
      </c>
      <c r="L10" s="480">
        <f>'2019 Data'!G9</f>
        <v>0</v>
      </c>
      <c r="M10" s="480">
        <f>'2019 Data'!L9</f>
        <v>10</v>
      </c>
      <c r="N10" s="480">
        <f>'2019 Data'!M9</f>
        <v>6</v>
      </c>
      <c r="O10" s="480">
        <f>'2019 Data'!N9</f>
        <v>4</v>
      </c>
      <c r="P10" s="480">
        <f>'2019 Data'!O9</f>
        <v>0</v>
      </c>
      <c r="Q10" s="480">
        <f>'2019 Data'!P9</f>
        <v>10</v>
      </c>
      <c r="R10">
        <f t="shared" si="1"/>
        <v>7</v>
      </c>
    </row>
    <row r="11" spans="2:18" x14ac:dyDescent="0.2">
      <c r="B11" t="str">
        <f>'2019 Data'!$R$6</f>
        <v>Group B</v>
      </c>
      <c r="C11" t="str">
        <f>'2019 Data'!$K$6</f>
        <v>EE + C</v>
      </c>
      <c r="D11" t="str">
        <f t="shared" si="0"/>
        <v>Group BEE + C</v>
      </c>
      <c r="E11" s="480">
        <f>'2018 Data'!D10</f>
        <v>29</v>
      </c>
      <c r="F11" s="480">
        <f>'2018 Data'!E10</f>
        <v>9</v>
      </c>
      <c r="G11" s="480">
        <f>'2018 Data'!F10</f>
        <v>1</v>
      </c>
      <c r="H11" s="480">
        <f>'2018 Data'!G10</f>
        <v>0</v>
      </c>
      <c r="I11" s="480">
        <f>'2019 Data'!D10</f>
        <v>29</v>
      </c>
      <c r="J11" s="480">
        <f>'2019 Data'!E10</f>
        <v>9</v>
      </c>
      <c r="K11" s="480">
        <f>'2019 Data'!F10</f>
        <v>1</v>
      </c>
      <c r="L11" s="480">
        <f>'2019 Data'!G10</f>
        <v>0</v>
      </c>
      <c r="M11" s="480">
        <f>'2019 Data'!L10</f>
        <v>15</v>
      </c>
      <c r="N11" s="480">
        <f>'2019 Data'!M10</f>
        <v>9</v>
      </c>
      <c r="O11" s="480">
        <f>'2019 Data'!N10</f>
        <v>1</v>
      </c>
      <c r="P11" s="480">
        <f>'2019 Data'!O10</f>
        <v>0</v>
      </c>
      <c r="Q11" s="480">
        <f>'2019 Data'!P10</f>
        <v>14</v>
      </c>
      <c r="R11">
        <f t="shared" si="1"/>
        <v>8</v>
      </c>
    </row>
    <row r="12" spans="2:18" x14ac:dyDescent="0.2">
      <c r="B12" t="str">
        <f>'2019 Data'!$R$6</f>
        <v>Group B</v>
      </c>
      <c r="C12" t="str">
        <f>'2019 Data'!$K$7</f>
        <v>EE + F</v>
      </c>
      <c r="D12" t="str">
        <f t="shared" si="0"/>
        <v>Group BEE + F</v>
      </c>
      <c r="E12" s="480">
        <f>'2018 Data'!D11</f>
        <v>21</v>
      </c>
      <c r="F12" s="480">
        <f>'2018 Data'!E11</f>
        <v>12</v>
      </c>
      <c r="G12" s="480">
        <f>'2018 Data'!F11</f>
        <v>4</v>
      </c>
      <c r="H12" s="480">
        <f>'2018 Data'!G11</f>
        <v>0</v>
      </c>
      <c r="I12" s="480">
        <f>'2019 Data'!D11</f>
        <v>21</v>
      </c>
      <c r="J12" s="480">
        <f>'2019 Data'!E11</f>
        <v>12</v>
      </c>
      <c r="K12" s="480">
        <f>'2019 Data'!F11</f>
        <v>4</v>
      </c>
      <c r="L12" s="480">
        <f>'2019 Data'!G11</f>
        <v>0</v>
      </c>
      <c r="M12" s="480">
        <f>'2019 Data'!L11</f>
        <v>11</v>
      </c>
      <c r="N12" s="480">
        <f>'2019 Data'!M11</f>
        <v>12</v>
      </c>
      <c r="O12" s="480">
        <f>'2019 Data'!N11</f>
        <v>4</v>
      </c>
      <c r="P12" s="480">
        <f>'2019 Data'!O11</f>
        <v>0</v>
      </c>
      <c r="Q12" s="480">
        <f>'2019 Data'!P11</f>
        <v>10</v>
      </c>
      <c r="R12">
        <f t="shared" si="1"/>
        <v>9</v>
      </c>
    </row>
    <row r="13" spans="2:18" x14ac:dyDescent="0.2">
      <c r="B13" t="str">
        <f>'2019 Data'!$R$7</f>
        <v>Group C</v>
      </c>
      <c r="C13" t="str">
        <f>'2019 Data'!$K$4</f>
        <v>EE</v>
      </c>
      <c r="D13" t="str">
        <f t="shared" si="0"/>
        <v>Group CEE</v>
      </c>
      <c r="E13" s="480">
        <f>'2018 Data'!D12</f>
        <v>537</v>
      </c>
      <c r="F13" s="480">
        <f>'2018 Data'!E12</f>
        <v>430</v>
      </c>
      <c r="G13" s="480">
        <f>'2018 Data'!F12</f>
        <v>248</v>
      </c>
      <c r="H13" s="480">
        <f>'2018 Data'!G12</f>
        <v>93</v>
      </c>
      <c r="I13" s="480">
        <f>'2019 Data'!D12</f>
        <v>537</v>
      </c>
      <c r="J13" s="480">
        <f>'2019 Data'!E12</f>
        <v>430</v>
      </c>
      <c r="K13" s="480">
        <f>'2019 Data'!F12</f>
        <v>248</v>
      </c>
      <c r="L13" s="480">
        <f>'2019 Data'!G12</f>
        <v>93</v>
      </c>
      <c r="M13" s="480">
        <f>'2019 Data'!L12</f>
        <v>269</v>
      </c>
      <c r="N13" s="480">
        <f>'2019 Data'!M12</f>
        <v>430</v>
      </c>
      <c r="O13" s="480">
        <f>'2019 Data'!N12</f>
        <v>248</v>
      </c>
      <c r="P13" s="480">
        <f>'2019 Data'!O12</f>
        <v>93</v>
      </c>
      <c r="Q13" s="480">
        <f>'2019 Data'!P12</f>
        <v>268</v>
      </c>
      <c r="R13">
        <f t="shared" si="1"/>
        <v>10</v>
      </c>
    </row>
    <row r="14" spans="2:18" x14ac:dyDescent="0.2">
      <c r="B14" t="str">
        <f>'2019 Data'!$R$7</f>
        <v>Group C</v>
      </c>
      <c r="C14" t="str">
        <f>'2019 Data'!$K$5</f>
        <v>EE + SP</v>
      </c>
      <c r="D14" t="str">
        <f t="shared" si="0"/>
        <v>Group CEE + SP</v>
      </c>
      <c r="E14" s="480">
        <f>'2018 Data'!D13</f>
        <v>175</v>
      </c>
      <c r="F14" s="480">
        <f>'2018 Data'!E13</f>
        <v>52</v>
      </c>
      <c r="G14" s="480">
        <f>'2018 Data'!F13</f>
        <v>38</v>
      </c>
      <c r="H14" s="480">
        <f>'2018 Data'!G13</f>
        <v>3</v>
      </c>
      <c r="I14" s="480">
        <f>'2019 Data'!D13</f>
        <v>175</v>
      </c>
      <c r="J14" s="480">
        <f>'2019 Data'!E13</f>
        <v>52</v>
      </c>
      <c r="K14" s="480">
        <f>'2019 Data'!F13</f>
        <v>38</v>
      </c>
      <c r="L14" s="480">
        <f>'2019 Data'!G13</f>
        <v>3</v>
      </c>
      <c r="M14" s="480">
        <f>'2019 Data'!L13</f>
        <v>88</v>
      </c>
      <c r="N14" s="480">
        <f>'2019 Data'!M13</f>
        <v>52</v>
      </c>
      <c r="O14" s="480">
        <f>'2019 Data'!N13</f>
        <v>38</v>
      </c>
      <c r="P14" s="480">
        <f>'2019 Data'!O13</f>
        <v>3</v>
      </c>
      <c r="Q14" s="480">
        <f>'2019 Data'!P13</f>
        <v>87</v>
      </c>
      <c r="R14">
        <f t="shared" si="1"/>
        <v>11</v>
      </c>
    </row>
    <row r="15" spans="2:18" x14ac:dyDescent="0.2">
      <c r="B15" t="str">
        <f>'2019 Data'!$R$7</f>
        <v>Group C</v>
      </c>
      <c r="C15" t="str">
        <f>'2019 Data'!$K$6</f>
        <v>EE + C</v>
      </c>
      <c r="D15" t="str">
        <f t="shared" si="0"/>
        <v>Group CEE + C</v>
      </c>
      <c r="E15" s="480">
        <f>'2018 Data'!D14</f>
        <v>158</v>
      </c>
      <c r="F15" s="480">
        <f>'2018 Data'!E14</f>
        <v>82</v>
      </c>
      <c r="G15" s="480">
        <f>'2018 Data'!F14</f>
        <v>60</v>
      </c>
      <c r="H15" s="480">
        <f>'2018 Data'!G14</f>
        <v>1</v>
      </c>
      <c r="I15" s="480">
        <f>'2019 Data'!D14</f>
        <v>158</v>
      </c>
      <c r="J15" s="480">
        <f>'2019 Data'!E14</f>
        <v>82</v>
      </c>
      <c r="K15" s="480">
        <f>'2019 Data'!F14</f>
        <v>60</v>
      </c>
      <c r="L15" s="480">
        <f>'2019 Data'!G14</f>
        <v>1</v>
      </c>
      <c r="M15" s="480">
        <f>'2019 Data'!L14</f>
        <v>79</v>
      </c>
      <c r="N15" s="480">
        <f>'2019 Data'!M14</f>
        <v>82</v>
      </c>
      <c r="O15" s="480">
        <f>'2019 Data'!N14</f>
        <v>60</v>
      </c>
      <c r="P15" s="480">
        <f>'2019 Data'!O14</f>
        <v>1</v>
      </c>
      <c r="Q15" s="480">
        <f>'2019 Data'!P14</f>
        <v>79</v>
      </c>
      <c r="R15">
        <f t="shared" si="1"/>
        <v>12</v>
      </c>
    </row>
    <row r="16" spans="2:18" x14ac:dyDescent="0.2">
      <c r="B16" t="str">
        <f>'2019 Data'!$R$7</f>
        <v>Group C</v>
      </c>
      <c r="C16" t="str">
        <f>'2019 Data'!$K$7</f>
        <v>EE + F</v>
      </c>
      <c r="D16" t="str">
        <f t="shared" si="0"/>
        <v>Group CEE + F</v>
      </c>
      <c r="E16" s="480">
        <f>'2018 Data'!D15</f>
        <v>177</v>
      </c>
      <c r="F16" s="480">
        <f>'2018 Data'!E15</f>
        <v>103</v>
      </c>
      <c r="G16" s="480">
        <f>'2018 Data'!F15</f>
        <v>94</v>
      </c>
      <c r="H16" s="480">
        <f>'2018 Data'!G15</f>
        <v>2</v>
      </c>
      <c r="I16" s="480">
        <f>'2019 Data'!D15</f>
        <v>177</v>
      </c>
      <c r="J16" s="480">
        <f>'2019 Data'!E15</f>
        <v>103</v>
      </c>
      <c r="K16" s="480">
        <f>'2019 Data'!F15</f>
        <v>94</v>
      </c>
      <c r="L16" s="480">
        <f>'2019 Data'!G15</f>
        <v>2</v>
      </c>
      <c r="M16" s="480">
        <f>'2019 Data'!L15</f>
        <v>89</v>
      </c>
      <c r="N16" s="480">
        <f>'2019 Data'!M15</f>
        <v>103</v>
      </c>
      <c r="O16" s="480">
        <f>'2019 Data'!N15</f>
        <v>94</v>
      </c>
      <c r="P16" s="480">
        <f>'2019 Data'!O15</f>
        <v>2</v>
      </c>
      <c r="Q16" s="480">
        <f>'2019 Data'!P15</f>
        <v>88</v>
      </c>
      <c r="R16">
        <f t="shared" si="1"/>
        <v>13</v>
      </c>
    </row>
    <row r="17" spans="2:18" x14ac:dyDescent="0.2">
      <c r="B17" t="str">
        <f>'2019 Data'!$R$8</f>
        <v>Group D</v>
      </c>
      <c r="C17" t="str">
        <f>'2019 Data'!$K$4</f>
        <v>EE</v>
      </c>
      <c r="D17" t="str">
        <f t="shared" si="0"/>
        <v>Group DEE</v>
      </c>
      <c r="E17" s="480">
        <f>'2018 Data'!D16</f>
        <v>452</v>
      </c>
      <c r="F17" s="480">
        <f>'2018 Data'!E16</f>
        <v>282</v>
      </c>
      <c r="G17" s="480">
        <f>'2018 Data'!F16</f>
        <v>108</v>
      </c>
      <c r="H17" s="480">
        <f>'2018 Data'!G16</f>
        <v>14</v>
      </c>
      <c r="I17" s="480">
        <f>'2019 Data'!D16</f>
        <v>452</v>
      </c>
      <c r="J17" s="480">
        <f>'2019 Data'!E16</f>
        <v>282</v>
      </c>
      <c r="K17" s="480">
        <f>'2019 Data'!F16</f>
        <v>108</v>
      </c>
      <c r="L17" s="480">
        <f>'2019 Data'!G16</f>
        <v>14</v>
      </c>
      <c r="M17" s="480">
        <f>'2019 Data'!L16</f>
        <v>226</v>
      </c>
      <c r="N17" s="480">
        <f>'2019 Data'!M16</f>
        <v>282</v>
      </c>
      <c r="O17" s="480">
        <f>'2019 Data'!N16</f>
        <v>108</v>
      </c>
      <c r="P17" s="480">
        <f>'2019 Data'!O16</f>
        <v>14</v>
      </c>
      <c r="Q17" s="480">
        <f>'2019 Data'!P16</f>
        <v>226</v>
      </c>
      <c r="R17">
        <f t="shared" si="1"/>
        <v>14</v>
      </c>
    </row>
    <row r="18" spans="2:18" x14ac:dyDescent="0.2">
      <c r="B18" t="str">
        <f>'2019 Data'!$R$8</f>
        <v>Group D</v>
      </c>
      <c r="C18" t="str">
        <f>'2019 Data'!$K$5</f>
        <v>EE + SP</v>
      </c>
      <c r="D18" t="str">
        <f t="shared" si="0"/>
        <v>Group DEE + SP</v>
      </c>
      <c r="E18" s="480">
        <f>'2018 Data'!D17</f>
        <v>158</v>
      </c>
      <c r="F18" s="480">
        <f>'2018 Data'!E17</f>
        <v>57</v>
      </c>
      <c r="G18" s="480">
        <f>'2018 Data'!F17</f>
        <v>20</v>
      </c>
      <c r="H18" s="480">
        <f>'2018 Data'!G17</f>
        <v>0</v>
      </c>
      <c r="I18" s="480">
        <f>'2019 Data'!D17</f>
        <v>158</v>
      </c>
      <c r="J18" s="480">
        <f>'2019 Data'!E17</f>
        <v>57</v>
      </c>
      <c r="K18" s="480">
        <f>'2019 Data'!F17</f>
        <v>20</v>
      </c>
      <c r="L18" s="480">
        <f>'2019 Data'!G17</f>
        <v>0</v>
      </c>
      <c r="M18" s="480">
        <f>'2019 Data'!L17</f>
        <v>79</v>
      </c>
      <c r="N18" s="480">
        <f>'2019 Data'!M17</f>
        <v>57</v>
      </c>
      <c r="O18" s="480">
        <f>'2019 Data'!N17</f>
        <v>20</v>
      </c>
      <c r="P18" s="480">
        <f>'2019 Data'!O17</f>
        <v>0</v>
      </c>
      <c r="Q18" s="480">
        <f>'2019 Data'!P17</f>
        <v>79</v>
      </c>
      <c r="R18">
        <f t="shared" si="1"/>
        <v>15</v>
      </c>
    </row>
    <row r="19" spans="2:18" x14ac:dyDescent="0.2">
      <c r="B19" t="str">
        <f>'2019 Data'!$R$8</f>
        <v>Group D</v>
      </c>
      <c r="C19" t="str">
        <f>'2019 Data'!$K$6</f>
        <v>EE + C</v>
      </c>
      <c r="D19" t="str">
        <f t="shared" si="0"/>
        <v>Group DEE + C</v>
      </c>
      <c r="E19" s="480">
        <f>'2018 Data'!D18</f>
        <v>142</v>
      </c>
      <c r="F19" s="480">
        <f>'2018 Data'!E18</f>
        <v>97</v>
      </c>
      <c r="G19" s="480">
        <f>'2018 Data'!F18</f>
        <v>33</v>
      </c>
      <c r="H19" s="480">
        <f>'2018 Data'!G18</f>
        <v>0</v>
      </c>
      <c r="I19" s="480">
        <f>'2019 Data'!D18</f>
        <v>142</v>
      </c>
      <c r="J19" s="480">
        <f>'2019 Data'!E18</f>
        <v>97</v>
      </c>
      <c r="K19" s="480">
        <f>'2019 Data'!F18</f>
        <v>33</v>
      </c>
      <c r="L19" s="480">
        <f>'2019 Data'!G18</f>
        <v>0</v>
      </c>
      <c r="M19" s="480">
        <f>'2019 Data'!L18</f>
        <v>71</v>
      </c>
      <c r="N19" s="480">
        <f>'2019 Data'!M18</f>
        <v>97</v>
      </c>
      <c r="O19" s="480">
        <f>'2019 Data'!N18</f>
        <v>33</v>
      </c>
      <c r="P19" s="480">
        <f>'2019 Data'!O18</f>
        <v>0</v>
      </c>
      <c r="Q19" s="480">
        <f>'2019 Data'!P18</f>
        <v>71</v>
      </c>
      <c r="R19">
        <f t="shared" si="1"/>
        <v>16</v>
      </c>
    </row>
    <row r="20" spans="2:18" x14ac:dyDescent="0.2">
      <c r="B20" t="str">
        <f>'2019 Data'!$R$8</f>
        <v>Group D</v>
      </c>
      <c r="C20" t="str">
        <f>'2019 Data'!$K$7</f>
        <v>EE + F</v>
      </c>
      <c r="D20" t="str">
        <f t="shared" si="0"/>
        <v>Group DEE + F</v>
      </c>
      <c r="E20" s="480">
        <f>'2018 Data'!D19</f>
        <v>162</v>
      </c>
      <c r="F20" s="480">
        <f>'2018 Data'!E19</f>
        <v>105</v>
      </c>
      <c r="G20" s="480">
        <f>'2018 Data'!F19</f>
        <v>21</v>
      </c>
      <c r="H20" s="480">
        <f>'2018 Data'!G19</f>
        <v>0</v>
      </c>
      <c r="I20" s="480">
        <f>'2019 Data'!D19</f>
        <v>162</v>
      </c>
      <c r="J20" s="480">
        <f>'2019 Data'!E19</f>
        <v>105</v>
      </c>
      <c r="K20" s="480">
        <f>'2019 Data'!F19</f>
        <v>21</v>
      </c>
      <c r="L20" s="480">
        <f>'2019 Data'!G19</f>
        <v>0</v>
      </c>
      <c r="M20" s="480">
        <f>'2019 Data'!L19</f>
        <v>81</v>
      </c>
      <c r="N20" s="480">
        <f>'2019 Data'!M19</f>
        <v>105</v>
      </c>
      <c r="O20" s="480">
        <f>'2019 Data'!N19</f>
        <v>21</v>
      </c>
      <c r="P20" s="480">
        <f>'2019 Data'!O19</f>
        <v>0</v>
      </c>
      <c r="Q20" s="480">
        <f>'2019 Data'!P19</f>
        <v>81</v>
      </c>
      <c r="R20">
        <f t="shared" si="1"/>
        <v>17</v>
      </c>
    </row>
    <row r="21" spans="2:18" x14ac:dyDescent="0.2">
      <c r="B21" s="292" t="str">
        <f>'2019 Data'!$R$9</f>
        <v>Group E</v>
      </c>
      <c r="C21" t="str">
        <f>'2019 Data'!$K$4</f>
        <v>EE</v>
      </c>
      <c r="D21" t="str">
        <f t="shared" si="0"/>
        <v>Group EEE</v>
      </c>
      <c r="E21" s="480">
        <f>'2018 Data'!D20</f>
        <v>249</v>
      </c>
      <c r="F21" s="480">
        <f>'2018 Data'!E20</f>
        <v>161</v>
      </c>
      <c r="G21" s="480">
        <f>'2018 Data'!F20</f>
        <v>132</v>
      </c>
      <c r="H21" s="480">
        <f>'2018 Data'!G20</f>
        <v>16</v>
      </c>
      <c r="I21" s="480">
        <f>'2019 Data'!D20</f>
        <v>249</v>
      </c>
      <c r="J21" s="480">
        <f>'2019 Data'!E20</f>
        <v>161</v>
      </c>
      <c r="K21" s="480">
        <f>'2019 Data'!F20</f>
        <v>132</v>
      </c>
      <c r="L21" s="480">
        <f>'2019 Data'!G20</f>
        <v>16</v>
      </c>
      <c r="M21" s="480">
        <f>'2019 Data'!L20</f>
        <v>125</v>
      </c>
      <c r="N21" s="480">
        <f>'2019 Data'!M20</f>
        <v>161</v>
      </c>
      <c r="O21" s="480">
        <f>'2019 Data'!N20</f>
        <v>132</v>
      </c>
      <c r="P21" s="480">
        <f>'2019 Data'!O20</f>
        <v>16</v>
      </c>
      <c r="Q21" s="480">
        <f>'2019 Data'!P20</f>
        <v>124</v>
      </c>
      <c r="R21">
        <f t="shared" si="1"/>
        <v>18</v>
      </c>
    </row>
    <row r="22" spans="2:18" x14ac:dyDescent="0.2">
      <c r="B22" s="292" t="str">
        <f>'2019 Data'!$R$9</f>
        <v>Group E</v>
      </c>
      <c r="C22" t="str">
        <f>'2019 Data'!$K$5</f>
        <v>EE + SP</v>
      </c>
      <c r="D22" t="str">
        <f t="shared" si="0"/>
        <v>Group EEE + SP</v>
      </c>
      <c r="E22" s="480">
        <f>'2018 Data'!D21</f>
        <v>154</v>
      </c>
      <c r="F22" s="480">
        <f>'2018 Data'!E21</f>
        <v>27</v>
      </c>
      <c r="G22" s="480">
        <f>'2018 Data'!F21</f>
        <v>29</v>
      </c>
      <c r="H22" s="480">
        <f>'2018 Data'!G21</f>
        <v>0</v>
      </c>
      <c r="I22" s="480">
        <f>'2019 Data'!D21</f>
        <v>154</v>
      </c>
      <c r="J22" s="480">
        <f>'2019 Data'!E21</f>
        <v>27</v>
      </c>
      <c r="K22" s="480">
        <f>'2019 Data'!F21</f>
        <v>29</v>
      </c>
      <c r="L22" s="480">
        <f>'2019 Data'!G21</f>
        <v>0</v>
      </c>
      <c r="M22" s="480">
        <f>'2019 Data'!L21</f>
        <v>77</v>
      </c>
      <c r="N22" s="480">
        <f>'2019 Data'!M21</f>
        <v>27</v>
      </c>
      <c r="O22" s="480">
        <f>'2019 Data'!N21</f>
        <v>29</v>
      </c>
      <c r="P22" s="480">
        <f>'2019 Data'!O21</f>
        <v>0</v>
      </c>
      <c r="Q22" s="480">
        <f>'2019 Data'!P21</f>
        <v>77</v>
      </c>
      <c r="R22">
        <f t="shared" si="1"/>
        <v>19</v>
      </c>
    </row>
    <row r="23" spans="2:18" x14ac:dyDescent="0.2">
      <c r="B23" s="292" t="str">
        <f>'2019 Data'!$R$9</f>
        <v>Group E</v>
      </c>
      <c r="C23" t="str">
        <f>'2019 Data'!$K$6</f>
        <v>EE + C</v>
      </c>
      <c r="D23" t="str">
        <f t="shared" si="0"/>
        <v>Group EEE + C</v>
      </c>
      <c r="E23" s="480">
        <f>'2018 Data'!D22</f>
        <v>109</v>
      </c>
      <c r="F23" s="480">
        <f>'2018 Data'!E22</f>
        <v>29</v>
      </c>
      <c r="G23" s="480">
        <f>'2018 Data'!F22</f>
        <v>33</v>
      </c>
      <c r="H23" s="480">
        <f>'2018 Data'!G22</f>
        <v>0</v>
      </c>
      <c r="I23" s="480">
        <f>'2019 Data'!D22</f>
        <v>109</v>
      </c>
      <c r="J23" s="480">
        <f>'2019 Data'!E22</f>
        <v>29</v>
      </c>
      <c r="K23" s="480">
        <f>'2019 Data'!F22</f>
        <v>33</v>
      </c>
      <c r="L23" s="480">
        <f>'2019 Data'!G22</f>
        <v>0</v>
      </c>
      <c r="M23" s="480">
        <f>'2019 Data'!L22</f>
        <v>55</v>
      </c>
      <c r="N23" s="480">
        <f>'2019 Data'!M22</f>
        <v>29</v>
      </c>
      <c r="O23" s="480">
        <f>'2019 Data'!N22</f>
        <v>33</v>
      </c>
      <c r="P23" s="480">
        <f>'2019 Data'!O22</f>
        <v>0</v>
      </c>
      <c r="Q23" s="480">
        <f>'2019 Data'!P22</f>
        <v>54</v>
      </c>
      <c r="R23">
        <f t="shared" si="1"/>
        <v>20</v>
      </c>
    </row>
    <row r="24" spans="2:18" x14ac:dyDescent="0.2">
      <c r="B24" s="292" t="str">
        <f>'2019 Data'!$R$9</f>
        <v>Group E</v>
      </c>
      <c r="C24" t="str">
        <f>'2019 Data'!$K$7</f>
        <v>EE + F</v>
      </c>
      <c r="D24" t="str">
        <f t="shared" si="0"/>
        <v>Group EEE + F</v>
      </c>
      <c r="E24" s="480">
        <f>'2018 Data'!D23</f>
        <v>126</v>
      </c>
      <c r="F24" s="480">
        <f>'2018 Data'!E23</f>
        <v>63</v>
      </c>
      <c r="G24" s="480">
        <f>'2018 Data'!F23</f>
        <v>31</v>
      </c>
      <c r="H24" s="480">
        <f>'2018 Data'!G23</f>
        <v>0</v>
      </c>
      <c r="I24" s="480">
        <f>'2019 Data'!D23</f>
        <v>126</v>
      </c>
      <c r="J24" s="480">
        <f>'2019 Data'!E23</f>
        <v>63</v>
      </c>
      <c r="K24" s="480">
        <f>'2019 Data'!F23</f>
        <v>31</v>
      </c>
      <c r="L24" s="480">
        <f>'2019 Data'!G23</f>
        <v>0</v>
      </c>
      <c r="M24" s="480">
        <f>'2019 Data'!L23</f>
        <v>63</v>
      </c>
      <c r="N24" s="480">
        <f>'2019 Data'!M23</f>
        <v>63</v>
      </c>
      <c r="O24" s="480">
        <f>'2019 Data'!N23</f>
        <v>31</v>
      </c>
      <c r="P24" s="480">
        <f>'2019 Data'!O23</f>
        <v>0</v>
      </c>
      <c r="Q24" s="480">
        <f>'2019 Data'!P23</f>
        <v>63</v>
      </c>
      <c r="R24">
        <f t="shared" si="1"/>
        <v>21</v>
      </c>
    </row>
    <row r="25" spans="2:18" x14ac:dyDescent="0.2">
      <c r="B25" t="str">
        <f>'2019 Data'!$R$10</f>
        <v>All Groups</v>
      </c>
      <c r="C25" t="str">
        <f>'2019 Data'!$K$4</f>
        <v>EE</v>
      </c>
      <c r="D25" t="str">
        <f t="shared" si="0"/>
        <v>All GroupsEE</v>
      </c>
      <c r="E25" s="480">
        <f t="shared" ref="E25:Q28" si="2">E5+E9+E13+E17+E21</f>
        <v>1529</v>
      </c>
      <c r="F25" s="480">
        <f t="shared" si="2"/>
        <v>1063</v>
      </c>
      <c r="G25" s="480">
        <f t="shared" si="2"/>
        <v>772</v>
      </c>
      <c r="H25" s="480">
        <f t="shared" si="2"/>
        <v>147</v>
      </c>
      <c r="I25" s="480">
        <f t="shared" si="2"/>
        <v>1529</v>
      </c>
      <c r="J25" s="480">
        <f t="shared" si="2"/>
        <v>1063</v>
      </c>
      <c r="K25" s="480">
        <f t="shared" si="2"/>
        <v>772</v>
      </c>
      <c r="L25" s="480">
        <f t="shared" si="2"/>
        <v>147</v>
      </c>
      <c r="M25" s="480">
        <f t="shared" si="2"/>
        <v>766</v>
      </c>
      <c r="N25" s="480">
        <f t="shared" si="2"/>
        <v>1063</v>
      </c>
      <c r="O25" s="480">
        <f t="shared" si="2"/>
        <v>772</v>
      </c>
      <c r="P25" s="480">
        <f t="shared" si="2"/>
        <v>147</v>
      </c>
      <c r="Q25" s="480">
        <f t="shared" si="2"/>
        <v>763</v>
      </c>
      <c r="R25">
        <f t="shared" si="1"/>
        <v>22</v>
      </c>
    </row>
    <row r="26" spans="2:18" x14ac:dyDescent="0.2">
      <c r="B26" t="str">
        <f>'2019 Data'!$R$10</f>
        <v>All Groups</v>
      </c>
      <c r="C26" t="str">
        <f>'2019 Data'!$K$5</f>
        <v>EE + SP</v>
      </c>
      <c r="D26" t="str">
        <f t="shared" si="0"/>
        <v>All GroupsEE + SP</v>
      </c>
      <c r="E26" s="480">
        <f t="shared" si="2"/>
        <v>586</v>
      </c>
      <c r="F26" s="480">
        <f t="shared" si="2"/>
        <v>193</v>
      </c>
      <c r="G26" s="480">
        <f t="shared" si="2"/>
        <v>144</v>
      </c>
      <c r="H26" s="480">
        <f t="shared" si="2"/>
        <v>3</v>
      </c>
      <c r="I26" s="480">
        <f t="shared" si="2"/>
        <v>586</v>
      </c>
      <c r="J26" s="480">
        <f t="shared" si="2"/>
        <v>193</v>
      </c>
      <c r="K26" s="480">
        <f t="shared" si="2"/>
        <v>144</v>
      </c>
      <c r="L26" s="480">
        <f t="shared" si="2"/>
        <v>3</v>
      </c>
      <c r="M26" s="480">
        <f t="shared" si="2"/>
        <v>294</v>
      </c>
      <c r="N26" s="480">
        <f t="shared" si="2"/>
        <v>193</v>
      </c>
      <c r="O26" s="480">
        <f t="shared" si="2"/>
        <v>144</v>
      </c>
      <c r="P26" s="480">
        <f t="shared" si="2"/>
        <v>3</v>
      </c>
      <c r="Q26" s="480">
        <f t="shared" si="2"/>
        <v>292</v>
      </c>
      <c r="R26">
        <f t="shared" si="1"/>
        <v>23</v>
      </c>
    </row>
    <row r="27" spans="2:18" x14ac:dyDescent="0.2">
      <c r="B27" t="str">
        <f>'2019 Data'!$R$10</f>
        <v>All Groups</v>
      </c>
      <c r="C27" t="str">
        <f>'2019 Data'!$K$6</f>
        <v>EE + C</v>
      </c>
      <c r="D27" t="str">
        <f t="shared" si="0"/>
        <v>All GroupsEE + C</v>
      </c>
      <c r="E27" s="480">
        <f t="shared" si="2"/>
        <v>512</v>
      </c>
      <c r="F27" s="480">
        <f t="shared" si="2"/>
        <v>271</v>
      </c>
      <c r="G27" s="480">
        <f t="shared" si="2"/>
        <v>177</v>
      </c>
      <c r="H27" s="480">
        <f t="shared" si="2"/>
        <v>1</v>
      </c>
      <c r="I27" s="480">
        <f t="shared" si="2"/>
        <v>512</v>
      </c>
      <c r="J27" s="480">
        <f t="shared" si="2"/>
        <v>271</v>
      </c>
      <c r="K27" s="480">
        <f t="shared" si="2"/>
        <v>177</v>
      </c>
      <c r="L27" s="480">
        <f t="shared" si="2"/>
        <v>1</v>
      </c>
      <c r="M27" s="480">
        <f t="shared" si="2"/>
        <v>257</v>
      </c>
      <c r="N27" s="480">
        <f t="shared" si="2"/>
        <v>271</v>
      </c>
      <c r="O27" s="480">
        <f t="shared" si="2"/>
        <v>177</v>
      </c>
      <c r="P27" s="480">
        <f t="shared" si="2"/>
        <v>1</v>
      </c>
      <c r="Q27" s="480">
        <f t="shared" si="2"/>
        <v>255</v>
      </c>
      <c r="R27">
        <f t="shared" si="1"/>
        <v>24</v>
      </c>
    </row>
    <row r="28" spans="2:18" x14ac:dyDescent="0.2">
      <c r="B28" t="str">
        <f>'2019 Data'!$R$10</f>
        <v>All Groups</v>
      </c>
      <c r="C28" t="str">
        <f>'2019 Data'!$K$7</f>
        <v>EE + F</v>
      </c>
      <c r="D28" t="str">
        <f t="shared" si="0"/>
        <v>All GroupsEE + F</v>
      </c>
      <c r="E28" s="480">
        <f t="shared" si="2"/>
        <v>582</v>
      </c>
      <c r="F28" s="480">
        <f t="shared" si="2"/>
        <v>388</v>
      </c>
      <c r="G28" s="480">
        <f t="shared" si="2"/>
        <v>263</v>
      </c>
      <c r="H28" s="480">
        <f t="shared" si="2"/>
        <v>3</v>
      </c>
      <c r="I28" s="480">
        <f t="shared" si="2"/>
        <v>582</v>
      </c>
      <c r="J28" s="480">
        <f t="shared" si="2"/>
        <v>388</v>
      </c>
      <c r="K28" s="480">
        <f t="shared" si="2"/>
        <v>263</v>
      </c>
      <c r="L28" s="480">
        <f t="shared" si="2"/>
        <v>3</v>
      </c>
      <c r="M28" s="480">
        <f t="shared" si="2"/>
        <v>292</v>
      </c>
      <c r="N28" s="480">
        <f t="shared" si="2"/>
        <v>388</v>
      </c>
      <c r="O28" s="480">
        <f t="shared" si="2"/>
        <v>263</v>
      </c>
      <c r="P28" s="480">
        <f t="shared" si="2"/>
        <v>3</v>
      </c>
      <c r="Q28" s="480">
        <f t="shared" si="2"/>
        <v>290</v>
      </c>
      <c r="R28">
        <f t="shared" si="1"/>
        <v>25</v>
      </c>
    </row>
    <row r="30" spans="2:18" x14ac:dyDescent="0.2">
      <c r="I30" s="886"/>
      <c r="J30" s="886"/>
      <c r="K30" s="886"/>
      <c r="L30" s="886"/>
      <c r="M30" s="886"/>
      <c r="N30" s="886"/>
      <c r="O30" s="886"/>
      <c r="P30" s="886"/>
      <c r="Q30" s="886"/>
    </row>
    <row r="31" spans="2:18" x14ac:dyDescent="0.2">
      <c r="I31" s="886"/>
      <c r="J31" s="886"/>
      <c r="K31" s="886"/>
      <c r="L31" s="886"/>
      <c r="M31" s="886"/>
      <c r="N31" s="886"/>
      <c r="O31" s="886"/>
      <c r="P31" s="886"/>
      <c r="Q31" s="886"/>
    </row>
    <row r="32" spans="2:18" x14ac:dyDescent="0.2">
      <c r="I32" s="886"/>
      <c r="J32" s="886"/>
      <c r="K32" s="886"/>
      <c r="L32" s="886"/>
      <c r="M32" s="886"/>
      <c r="N32" s="886"/>
      <c r="O32" s="886"/>
      <c r="P32" s="886"/>
      <c r="Q32" s="886"/>
    </row>
    <row r="33" spans="9:17" x14ac:dyDescent="0.2">
      <c r="I33" s="886"/>
      <c r="J33" s="886"/>
      <c r="K33" s="886"/>
      <c r="L33" s="886"/>
      <c r="M33" s="886"/>
      <c r="N33" s="886"/>
      <c r="O33" s="886"/>
      <c r="P33" s="886"/>
      <c r="Q33" s="88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enableFormatConditionsCalculation="0">
    <tabColor rgb="FFAFE5EC"/>
  </sheetPr>
  <dimension ref="B2:R28"/>
  <sheetViews>
    <sheetView workbookViewId="0"/>
  </sheetViews>
  <sheetFormatPr baseColWidth="10" defaultColWidth="8.83203125" defaultRowHeight="15" x14ac:dyDescent="0.2"/>
  <cols>
    <col min="2" max="2" width="20.5" bestFit="1" customWidth="1"/>
    <col min="3" max="3" width="6.6640625" bestFit="1" customWidth="1"/>
    <col min="4" max="4" width="26.5" bestFit="1" customWidth="1"/>
  </cols>
  <sheetData>
    <row r="2" spans="2:18" x14ac:dyDescent="0.2">
      <c r="B2" t="str">
        <f>'Projection &amp; Rate Setting'!$F$106</f>
        <v>2019 SQ</v>
      </c>
      <c r="C2" s="853">
        <f>IF(B2=I3,6,2)</f>
        <v>6</v>
      </c>
      <c r="E2" t="s">
        <v>1115</v>
      </c>
      <c r="M2">
        <v>10</v>
      </c>
    </row>
    <row r="3" spans="2:18" x14ac:dyDescent="0.2">
      <c r="E3">
        <f>'2019 Data'!$R$2</f>
        <v>2018</v>
      </c>
      <c r="I3" t="str">
        <f>'2019 Data'!$R$3</f>
        <v>2019 SQ</v>
      </c>
      <c r="M3" t="s">
        <v>1083</v>
      </c>
    </row>
    <row r="4" spans="2:18" x14ac:dyDescent="0.2">
      <c r="E4" t="str">
        <f>'2018 Data'!D3</f>
        <v>Plan 1</v>
      </c>
      <c r="F4" t="str">
        <f>'2018 Data'!E3</f>
        <v>Plan 2</v>
      </c>
      <c r="G4" t="str">
        <f>'2018 Data'!F3</f>
        <v>Plan 3</v>
      </c>
      <c r="H4" t="str">
        <f>'2018 Data'!G3</f>
        <v>Plan 4</v>
      </c>
      <c r="I4" t="str">
        <f>'2019 Data'!D3</f>
        <v>Plan 1</v>
      </c>
      <c r="J4" t="str">
        <f>'2019 Data'!E3</f>
        <v>Plan 2</v>
      </c>
      <c r="K4" t="str">
        <f>'2019 Data'!F3</f>
        <v>Plan 3</v>
      </c>
      <c r="L4" t="str">
        <f>'2019 Data'!G3</f>
        <v>Plan 4</v>
      </c>
      <c r="M4" t="str">
        <f>'2019 Data'!L3</f>
        <v>Plan 1</v>
      </c>
      <c r="N4" t="str">
        <f>'2019 Data'!M3</f>
        <v>Plan 2</v>
      </c>
      <c r="O4" t="str">
        <f>'2019 Data'!N3</f>
        <v>Plan 3</v>
      </c>
      <c r="P4" t="str">
        <f>'2019 Data'!O3</f>
        <v>Plan 4</v>
      </c>
      <c r="Q4" t="str">
        <f>'2019 Data'!P3</f>
        <v>Bind</v>
      </c>
      <c r="R4">
        <v>1</v>
      </c>
    </row>
    <row r="5" spans="2:18" x14ac:dyDescent="0.2">
      <c r="B5" t="str">
        <f>'2019 Data'!$R$5</f>
        <v>Group A</v>
      </c>
      <c r="C5" t="str">
        <f>'2019 Data'!$K$4</f>
        <v>EE</v>
      </c>
      <c r="D5" t="str">
        <f>B5&amp;C5</f>
        <v>Group AEE</v>
      </c>
      <c r="E5" s="352">
        <f>'2018 Data'!D54</f>
        <v>450.66</v>
      </c>
      <c r="F5" s="352">
        <f>'2018 Data'!E54</f>
        <v>452.29</v>
      </c>
      <c r="G5" s="352">
        <f>'2018 Data'!F54</f>
        <v>542.78</v>
      </c>
      <c r="H5" s="352">
        <f>'2018 Data'!G54</f>
        <v>386.24</v>
      </c>
      <c r="I5" s="352">
        <f>'2019 Data'!D58</f>
        <v>477.2</v>
      </c>
      <c r="J5" s="352">
        <f>'2019 Data'!E58</f>
        <v>478.92</v>
      </c>
      <c r="K5" s="352">
        <f>'2019 Data'!F58</f>
        <v>574.74</v>
      </c>
      <c r="L5" s="352">
        <f>'2019 Data'!G58</f>
        <v>408.98</v>
      </c>
      <c r="M5" s="352">
        <f>'2019 Data'!D58</f>
        <v>477.2</v>
      </c>
      <c r="N5" s="352">
        <f>'2019 Data'!E58</f>
        <v>478.92</v>
      </c>
      <c r="O5" s="352">
        <f>'2019 Data'!F58</f>
        <v>574.74</v>
      </c>
      <c r="P5" s="352">
        <f>'2019 Data'!G58</f>
        <v>408.98</v>
      </c>
      <c r="Q5" s="352">
        <f>'2019 Data'!H58</f>
        <v>433.1643657641913</v>
      </c>
      <c r="R5">
        <f>R4+1</f>
        <v>2</v>
      </c>
    </row>
    <row r="6" spans="2:18" x14ac:dyDescent="0.2">
      <c r="B6" t="str">
        <f>'2019 Data'!$R$5</f>
        <v>Group A</v>
      </c>
      <c r="C6" t="str">
        <f>'2019 Data'!$K$5</f>
        <v>EE + SP</v>
      </c>
      <c r="D6" t="str">
        <f t="shared" ref="D6:D28" si="0">B6&amp;C6</f>
        <v>Group AEE + SP</v>
      </c>
      <c r="E6" s="352">
        <f>'2018 Data'!D55</f>
        <v>1043.26</v>
      </c>
      <c r="F6" s="352">
        <f>'2018 Data'!E55</f>
        <v>1004.81</v>
      </c>
      <c r="G6" s="352">
        <f>'2018 Data'!F55</f>
        <v>1255.1400000000001</v>
      </c>
      <c r="H6" s="352">
        <f>'2018 Data'!G55</f>
        <v>853.99</v>
      </c>
      <c r="I6" s="352">
        <f>'2019 Data'!D59</f>
        <v>1104.69</v>
      </c>
      <c r="J6" s="352">
        <f>'2019 Data'!E59</f>
        <v>1063.98</v>
      </c>
      <c r="K6" s="352">
        <f>'2019 Data'!F59</f>
        <v>1329.05</v>
      </c>
      <c r="L6" s="352">
        <f>'2019 Data'!G59</f>
        <v>904.28</v>
      </c>
      <c r="M6" s="352">
        <f>'2019 Data'!D59</f>
        <v>1104.69</v>
      </c>
      <c r="N6" s="352">
        <f>'2019 Data'!E59</f>
        <v>1063.98</v>
      </c>
      <c r="O6" s="352">
        <f>'2019 Data'!F59</f>
        <v>1329.05</v>
      </c>
      <c r="P6" s="352">
        <f>'2019 Data'!G59</f>
        <v>904.28</v>
      </c>
      <c r="Q6" s="352">
        <f>'2019 Data'!H59</f>
        <v>1002.7500905617028</v>
      </c>
      <c r="R6">
        <f t="shared" ref="R6:R28" si="1">R5+1</f>
        <v>3</v>
      </c>
    </row>
    <row r="7" spans="2:18" x14ac:dyDescent="0.2">
      <c r="B7" t="str">
        <f>'2019 Data'!$R$5</f>
        <v>Group A</v>
      </c>
      <c r="C7" t="str">
        <f>'2019 Data'!$K$6</f>
        <v>EE + C</v>
      </c>
      <c r="D7" t="str">
        <f t="shared" si="0"/>
        <v>Group AEE + C</v>
      </c>
      <c r="E7" s="352">
        <f>'2018 Data'!D56</f>
        <v>876.5</v>
      </c>
      <c r="F7" s="352">
        <f>'2018 Data'!E56</f>
        <v>867.78</v>
      </c>
      <c r="G7" s="352">
        <f>'2018 Data'!F56</f>
        <v>1051.53</v>
      </c>
      <c r="H7" s="352">
        <f>'2018 Data'!G56</f>
        <v>724.22</v>
      </c>
      <c r="I7" s="352">
        <f>'2019 Data'!D60</f>
        <v>928.11</v>
      </c>
      <c r="J7" s="352">
        <f>'2019 Data'!E60</f>
        <v>918.88</v>
      </c>
      <c r="K7" s="352">
        <f>'2019 Data'!F60</f>
        <v>1113.45</v>
      </c>
      <c r="L7" s="352">
        <f>'2019 Data'!G60</f>
        <v>766.87</v>
      </c>
      <c r="M7" s="352">
        <f>'2019 Data'!D60</f>
        <v>928.11</v>
      </c>
      <c r="N7" s="352">
        <f>'2019 Data'!E60</f>
        <v>918.88</v>
      </c>
      <c r="O7" s="352">
        <f>'2019 Data'!F60</f>
        <v>1113.45</v>
      </c>
      <c r="P7" s="352">
        <f>'2019 Data'!G60</f>
        <v>766.87</v>
      </c>
      <c r="Q7" s="352">
        <f>'2019 Data'!H60</f>
        <v>842.46475169615178</v>
      </c>
      <c r="R7">
        <f t="shared" si="1"/>
        <v>4</v>
      </c>
    </row>
    <row r="8" spans="2:18" x14ac:dyDescent="0.2">
      <c r="B8" t="str">
        <f>'2019 Data'!$R$5</f>
        <v>Group A</v>
      </c>
      <c r="C8" t="str">
        <f>'2019 Data'!$K$7</f>
        <v>EE + F</v>
      </c>
      <c r="D8" t="str">
        <f t="shared" si="0"/>
        <v>Group AEE + F</v>
      </c>
      <c r="E8" s="352">
        <f>'2018 Data'!D57</f>
        <v>1421.79</v>
      </c>
      <c r="F8" s="352">
        <f>'2018 Data'!E57</f>
        <v>1356.29</v>
      </c>
      <c r="G8" s="352">
        <f>'2018 Data'!F57</f>
        <v>1707.36</v>
      </c>
      <c r="H8" s="352">
        <f>'2018 Data'!G57</f>
        <v>1139.92</v>
      </c>
      <c r="I8" s="352">
        <f>'2019 Data'!D61</f>
        <v>1505.51</v>
      </c>
      <c r="J8" s="352">
        <f>'2019 Data'!E61</f>
        <v>1436.16</v>
      </c>
      <c r="K8" s="352">
        <f>'2019 Data'!F61</f>
        <v>1807.9</v>
      </c>
      <c r="L8" s="352">
        <f>'2019 Data'!G61</f>
        <v>1207.04</v>
      </c>
      <c r="M8" s="352">
        <f>'2019 Data'!D61</f>
        <v>1505.51</v>
      </c>
      <c r="N8" s="352">
        <f>'2019 Data'!E61</f>
        <v>1436.16</v>
      </c>
      <c r="O8" s="352">
        <f>'2019 Data'!F61</f>
        <v>1807.9</v>
      </c>
      <c r="P8" s="352">
        <f>'2019 Data'!G61</f>
        <v>1207.04</v>
      </c>
      <c r="Q8" s="352">
        <f>'2019 Data'!H61</f>
        <v>1366.5827416212232</v>
      </c>
      <c r="R8">
        <f t="shared" si="1"/>
        <v>5</v>
      </c>
    </row>
    <row r="9" spans="2:18" x14ac:dyDescent="0.2">
      <c r="B9" t="str">
        <f>'2019 Data'!$R$6</f>
        <v>Group B</v>
      </c>
      <c r="C9" t="str">
        <f>'2019 Data'!$K$4</f>
        <v>EE</v>
      </c>
      <c r="D9" t="str">
        <f t="shared" si="0"/>
        <v>Group BEE</v>
      </c>
      <c r="E9" s="352">
        <f>'2018 Data'!D58</f>
        <v>497.18</v>
      </c>
      <c r="F9" s="352">
        <f>'2018 Data'!E58</f>
        <v>452.29</v>
      </c>
      <c r="G9" s="352">
        <f>'2018 Data'!F58</f>
        <v>542.78</v>
      </c>
      <c r="H9" s="352">
        <f>'2018 Data'!G58</f>
        <v>386.24</v>
      </c>
      <c r="I9" s="352">
        <f>'2019 Data'!D62</f>
        <v>526.46</v>
      </c>
      <c r="J9" s="352">
        <f>'2019 Data'!E62</f>
        <v>478.92</v>
      </c>
      <c r="K9" s="352">
        <f>'2019 Data'!F62</f>
        <v>574.74</v>
      </c>
      <c r="L9" s="352">
        <f>'2019 Data'!G62</f>
        <v>408.98</v>
      </c>
      <c r="M9" s="352">
        <f>'2019 Data'!D62</f>
        <v>526.46</v>
      </c>
      <c r="N9" s="352">
        <f>'2019 Data'!E62</f>
        <v>478.92</v>
      </c>
      <c r="O9" s="352">
        <f>'2019 Data'!F62</f>
        <v>574.74</v>
      </c>
      <c r="P9" s="352">
        <f>'2019 Data'!G62</f>
        <v>408.98</v>
      </c>
      <c r="Q9" s="352">
        <f>'2019 Data'!H62</f>
        <v>477.87869237262402</v>
      </c>
      <c r="R9">
        <f t="shared" si="1"/>
        <v>6</v>
      </c>
    </row>
    <row r="10" spans="2:18" x14ac:dyDescent="0.2">
      <c r="B10" t="str">
        <f>'2019 Data'!$R$6</f>
        <v>Group B</v>
      </c>
      <c r="C10" t="str">
        <f>'2019 Data'!$K$5</f>
        <v>EE + SP</v>
      </c>
      <c r="D10" t="str">
        <f t="shared" si="0"/>
        <v>Group BEE + SP</v>
      </c>
      <c r="E10" s="352">
        <f>'2018 Data'!D59</f>
        <v>1150.26</v>
      </c>
      <c r="F10" s="352">
        <f>'2018 Data'!E59</f>
        <v>1004.81</v>
      </c>
      <c r="G10" s="352">
        <f>'2018 Data'!F59</f>
        <v>1255.1400000000001</v>
      </c>
      <c r="H10" s="352">
        <f>'2018 Data'!G59</f>
        <v>853.99</v>
      </c>
      <c r="I10" s="352">
        <f>'2019 Data'!D63</f>
        <v>1217.99</v>
      </c>
      <c r="J10" s="352">
        <f>'2019 Data'!E63</f>
        <v>1063.98</v>
      </c>
      <c r="K10" s="352">
        <f>'2019 Data'!F63</f>
        <v>1329.05</v>
      </c>
      <c r="L10" s="352">
        <f>'2019 Data'!G63</f>
        <v>904.28</v>
      </c>
      <c r="M10" s="352">
        <f>'2019 Data'!D63</f>
        <v>1217.99</v>
      </c>
      <c r="N10" s="352">
        <f>'2019 Data'!E63</f>
        <v>1063.98</v>
      </c>
      <c r="O10" s="352">
        <f>'2019 Data'!F63</f>
        <v>1329.05</v>
      </c>
      <c r="P10" s="352">
        <f>'2019 Data'!G63</f>
        <v>904.28</v>
      </c>
      <c r="Q10" s="352">
        <f>'2019 Data'!H63</f>
        <v>1105.5948572026978</v>
      </c>
      <c r="R10">
        <f t="shared" si="1"/>
        <v>7</v>
      </c>
    </row>
    <row r="11" spans="2:18" x14ac:dyDescent="0.2">
      <c r="B11" t="str">
        <f>'2019 Data'!$R$6</f>
        <v>Group B</v>
      </c>
      <c r="C11" t="str">
        <f>'2019 Data'!$K$6</f>
        <v>EE + C</v>
      </c>
      <c r="D11" t="str">
        <f t="shared" si="0"/>
        <v>Group BEE + C</v>
      </c>
      <c r="E11" s="352">
        <f>'2018 Data'!D60</f>
        <v>964.89</v>
      </c>
      <c r="F11" s="352">
        <f>'2018 Data'!E60</f>
        <v>867.78</v>
      </c>
      <c r="G11" s="352">
        <f>'2018 Data'!F60</f>
        <v>1051.53</v>
      </c>
      <c r="H11" s="352">
        <f>'2018 Data'!G60</f>
        <v>724.22</v>
      </c>
      <c r="I11" s="352">
        <f>'2019 Data'!D64</f>
        <v>1021.71</v>
      </c>
      <c r="J11" s="352">
        <f>'2019 Data'!E64</f>
        <v>918.88</v>
      </c>
      <c r="K11" s="352">
        <f>'2019 Data'!F64</f>
        <v>1113.45</v>
      </c>
      <c r="L11" s="352">
        <f>'2019 Data'!G64</f>
        <v>766.87</v>
      </c>
      <c r="M11" s="352">
        <f>'2019 Data'!D64</f>
        <v>1021.71</v>
      </c>
      <c r="N11" s="352">
        <f>'2019 Data'!E64</f>
        <v>918.88</v>
      </c>
      <c r="O11" s="352">
        <f>'2019 Data'!F64</f>
        <v>1113.45</v>
      </c>
      <c r="P11" s="352">
        <f>'2019 Data'!G64</f>
        <v>766.87</v>
      </c>
      <c r="Q11" s="352">
        <f>'2019 Data'!H64</f>
        <v>927.42741857697388</v>
      </c>
      <c r="R11">
        <f t="shared" si="1"/>
        <v>8</v>
      </c>
    </row>
    <row r="12" spans="2:18" x14ac:dyDescent="0.2">
      <c r="B12" t="str">
        <f>'2019 Data'!$R$6</f>
        <v>Group B</v>
      </c>
      <c r="C12" t="str">
        <f>'2019 Data'!$K$7</f>
        <v>EE + F</v>
      </c>
      <c r="D12" t="str">
        <f t="shared" si="0"/>
        <v>Group BEE + F</v>
      </c>
      <c r="E12" s="352">
        <f>'2018 Data'!D61</f>
        <v>1566</v>
      </c>
      <c r="F12" s="352">
        <f>'2018 Data'!E61</f>
        <v>1356.29</v>
      </c>
      <c r="G12" s="352">
        <f>'2018 Data'!F61</f>
        <v>1707.36</v>
      </c>
      <c r="H12" s="352">
        <f>'2018 Data'!G61</f>
        <v>1139.92</v>
      </c>
      <c r="I12" s="352">
        <f>'2019 Data'!D65</f>
        <v>1658.21</v>
      </c>
      <c r="J12" s="352">
        <f>'2019 Data'!E65</f>
        <v>1436.16</v>
      </c>
      <c r="K12" s="352">
        <f>'2019 Data'!F65</f>
        <v>1807.9</v>
      </c>
      <c r="L12" s="352">
        <f>'2019 Data'!G65</f>
        <v>1207.04</v>
      </c>
      <c r="M12" s="352">
        <f>'2019 Data'!D65</f>
        <v>1658.21</v>
      </c>
      <c r="N12" s="352">
        <f>'2019 Data'!E65</f>
        <v>1436.16</v>
      </c>
      <c r="O12" s="352">
        <f>'2019 Data'!F65</f>
        <v>1807.9</v>
      </c>
      <c r="P12" s="352">
        <f>'2019 Data'!G65</f>
        <v>1207.04</v>
      </c>
      <c r="Q12" s="352">
        <f>'2019 Data'!H65</f>
        <v>1505.1917077825644</v>
      </c>
      <c r="R12">
        <f t="shared" si="1"/>
        <v>9</v>
      </c>
    </row>
    <row r="13" spans="2:18" x14ac:dyDescent="0.2">
      <c r="B13" t="str">
        <f>'2019 Data'!$R$7</f>
        <v>Group C</v>
      </c>
      <c r="C13" t="str">
        <f>'2019 Data'!$K$4</f>
        <v>EE</v>
      </c>
      <c r="D13" t="str">
        <f t="shared" si="0"/>
        <v>Group CEE</v>
      </c>
      <c r="E13" s="352">
        <f>'2018 Data'!D62</f>
        <v>497.18</v>
      </c>
      <c r="F13" s="352">
        <f>'2018 Data'!E62</f>
        <v>452.29</v>
      </c>
      <c r="G13" s="352">
        <f>'2018 Data'!F62</f>
        <v>542.78</v>
      </c>
      <c r="H13" s="352">
        <f>'2018 Data'!G62</f>
        <v>386.24</v>
      </c>
      <c r="I13" s="352">
        <f>'2019 Data'!D66</f>
        <v>526.46</v>
      </c>
      <c r="J13" s="352">
        <f>'2019 Data'!E66</f>
        <v>478.92</v>
      </c>
      <c r="K13" s="352">
        <f>'2019 Data'!F66</f>
        <v>574.74</v>
      </c>
      <c r="L13" s="352">
        <f>'2019 Data'!G66</f>
        <v>408.98</v>
      </c>
      <c r="M13" s="352">
        <f>'2019 Data'!D66</f>
        <v>526.46</v>
      </c>
      <c r="N13" s="352">
        <f>'2019 Data'!E66</f>
        <v>478.92</v>
      </c>
      <c r="O13" s="352">
        <f>'2019 Data'!F66</f>
        <v>574.74</v>
      </c>
      <c r="P13" s="352">
        <f>'2019 Data'!G66</f>
        <v>408.98</v>
      </c>
      <c r="Q13" s="352">
        <f>'2019 Data'!H66</f>
        <v>477.87869237262402</v>
      </c>
      <c r="R13">
        <f t="shared" si="1"/>
        <v>10</v>
      </c>
    </row>
    <row r="14" spans="2:18" x14ac:dyDescent="0.2">
      <c r="B14" t="str">
        <f>'2019 Data'!$R$7</f>
        <v>Group C</v>
      </c>
      <c r="C14" t="str">
        <f>'2019 Data'!$K$5</f>
        <v>EE + SP</v>
      </c>
      <c r="D14" t="str">
        <f t="shared" si="0"/>
        <v>Group CEE + SP</v>
      </c>
      <c r="E14" s="352">
        <f>'2018 Data'!D63</f>
        <v>1150.26</v>
      </c>
      <c r="F14" s="352">
        <f>'2018 Data'!E63</f>
        <v>1004.81</v>
      </c>
      <c r="G14" s="352">
        <f>'2018 Data'!F63</f>
        <v>1255.1400000000001</v>
      </c>
      <c r="H14" s="352">
        <f>'2018 Data'!G63</f>
        <v>853.99</v>
      </c>
      <c r="I14" s="352">
        <f>'2019 Data'!D67</f>
        <v>1217.99</v>
      </c>
      <c r="J14" s="352">
        <f>'2019 Data'!E67</f>
        <v>1063.98</v>
      </c>
      <c r="K14" s="352">
        <f>'2019 Data'!F67</f>
        <v>1329.05</v>
      </c>
      <c r="L14" s="352">
        <f>'2019 Data'!G67</f>
        <v>904.28</v>
      </c>
      <c r="M14" s="352">
        <f>'2019 Data'!D67</f>
        <v>1217.99</v>
      </c>
      <c r="N14" s="352">
        <f>'2019 Data'!E67</f>
        <v>1063.98</v>
      </c>
      <c r="O14" s="352">
        <f>'2019 Data'!F67</f>
        <v>1329.05</v>
      </c>
      <c r="P14" s="352">
        <f>'2019 Data'!G67</f>
        <v>904.28</v>
      </c>
      <c r="Q14" s="352">
        <f>'2019 Data'!H67</f>
        <v>1105.5948572026978</v>
      </c>
      <c r="R14">
        <f t="shared" si="1"/>
        <v>11</v>
      </c>
    </row>
    <row r="15" spans="2:18" x14ac:dyDescent="0.2">
      <c r="B15" t="str">
        <f>'2019 Data'!$R$7</f>
        <v>Group C</v>
      </c>
      <c r="C15" t="str">
        <f>'2019 Data'!$K$6</f>
        <v>EE + C</v>
      </c>
      <c r="D15" t="str">
        <f t="shared" si="0"/>
        <v>Group CEE + C</v>
      </c>
      <c r="E15" s="352">
        <f>'2018 Data'!D64</f>
        <v>964.89</v>
      </c>
      <c r="F15" s="352">
        <f>'2018 Data'!E64</f>
        <v>867.78</v>
      </c>
      <c r="G15" s="352">
        <f>'2018 Data'!F64</f>
        <v>1051.53</v>
      </c>
      <c r="H15" s="352">
        <f>'2018 Data'!G64</f>
        <v>724.22</v>
      </c>
      <c r="I15" s="352">
        <f>'2019 Data'!D68</f>
        <v>1021.71</v>
      </c>
      <c r="J15" s="352">
        <f>'2019 Data'!E68</f>
        <v>918.88</v>
      </c>
      <c r="K15" s="352">
        <f>'2019 Data'!F68</f>
        <v>1113.45</v>
      </c>
      <c r="L15" s="352">
        <f>'2019 Data'!G68</f>
        <v>766.87</v>
      </c>
      <c r="M15" s="352">
        <f>'2019 Data'!D68</f>
        <v>1021.71</v>
      </c>
      <c r="N15" s="352">
        <f>'2019 Data'!E68</f>
        <v>918.88</v>
      </c>
      <c r="O15" s="352">
        <f>'2019 Data'!F68</f>
        <v>1113.45</v>
      </c>
      <c r="P15" s="352">
        <f>'2019 Data'!G68</f>
        <v>766.87</v>
      </c>
      <c r="Q15" s="352">
        <f>'2019 Data'!H68</f>
        <v>927.42741857697388</v>
      </c>
      <c r="R15">
        <f t="shared" si="1"/>
        <v>12</v>
      </c>
    </row>
    <row r="16" spans="2:18" x14ac:dyDescent="0.2">
      <c r="B16" t="str">
        <f>'2019 Data'!$R$7</f>
        <v>Group C</v>
      </c>
      <c r="C16" t="str">
        <f>'2019 Data'!$K$7</f>
        <v>EE + F</v>
      </c>
      <c r="D16" t="str">
        <f t="shared" si="0"/>
        <v>Group CEE + F</v>
      </c>
      <c r="E16" s="352">
        <f>'2018 Data'!D65</f>
        <v>1566</v>
      </c>
      <c r="F16" s="352">
        <f>'2018 Data'!E65</f>
        <v>1356.29</v>
      </c>
      <c r="G16" s="352">
        <f>'2018 Data'!F65</f>
        <v>1707.36</v>
      </c>
      <c r="H16" s="352">
        <f>'2018 Data'!G65</f>
        <v>1139.92</v>
      </c>
      <c r="I16" s="352">
        <f>'2019 Data'!D69</f>
        <v>1658.21</v>
      </c>
      <c r="J16" s="352">
        <f>'2019 Data'!E69</f>
        <v>1436.16</v>
      </c>
      <c r="K16" s="352">
        <f>'2019 Data'!F69</f>
        <v>1807.9</v>
      </c>
      <c r="L16" s="352">
        <f>'2019 Data'!G69</f>
        <v>1207.04</v>
      </c>
      <c r="M16" s="352">
        <f>'2019 Data'!D69</f>
        <v>1658.21</v>
      </c>
      <c r="N16" s="352">
        <f>'2019 Data'!E69</f>
        <v>1436.16</v>
      </c>
      <c r="O16" s="352">
        <f>'2019 Data'!F69</f>
        <v>1807.9</v>
      </c>
      <c r="P16" s="352">
        <f>'2019 Data'!G69</f>
        <v>1207.04</v>
      </c>
      <c r="Q16" s="352">
        <f>'2019 Data'!H69</f>
        <v>1505.1917077825644</v>
      </c>
      <c r="R16">
        <f t="shared" si="1"/>
        <v>13</v>
      </c>
    </row>
    <row r="17" spans="2:18" x14ac:dyDescent="0.2">
      <c r="B17" t="str">
        <f>'2019 Data'!$R$8</f>
        <v>Group D</v>
      </c>
      <c r="C17" t="str">
        <f>'2019 Data'!$K$4</f>
        <v>EE</v>
      </c>
      <c r="D17" t="str">
        <f t="shared" si="0"/>
        <v>Group DEE</v>
      </c>
      <c r="E17" s="352">
        <f>'2018 Data'!D66</f>
        <v>576.45000000000005</v>
      </c>
      <c r="F17" s="352">
        <f>'2018 Data'!E66</f>
        <v>452.29</v>
      </c>
      <c r="G17" s="352">
        <f>'2018 Data'!F66</f>
        <v>542.78</v>
      </c>
      <c r="H17" s="352">
        <f>'2018 Data'!G66</f>
        <v>386.24</v>
      </c>
      <c r="I17" s="352">
        <f>'2019 Data'!D70</f>
        <v>610.39</v>
      </c>
      <c r="J17" s="352">
        <f>'2019 Data'!E70</f>
        <v>478.92</v>
      </c>
      <c r="K17" s="352">
        <f>'2019 Data'!F70</f>
        <v>574.74</v>
      </c>
      <c r="L17" s="352">
        <f>'2019 Data'!G70</f>
        <v>408.98</v>
      </c>
      <c r="M17" s="352">
        <f>'2019 Data'!D70</f>
        <v>610.39</v>
      </c>
      <c r="N17" s="352">
        <f>'2019 Data'!E70</f>
        <v>478.92</v>
      </c>
      <c r="O17" s="352">
        <f>'2019 Data'!F70</f>
        <v>574.74</v>
      </c>
      <c r="P17" s="352">
        <f>'2019 Data'!G70</f>
        <v>408.98</v>
      </c>
      <c r="Q17" s="352">
        <f>'2019 Data'!H70</f>
        <v>554.06369911736112</v>
      </c>
      <c r="R17">
        <f t="shared" si="1"/>
        <v>14</v>
      </c>
    </row>
    <row r="18" spans="2:18" x14ac:dyDescent="0.2">
      <c r="B18" t="str">
        <f>'2019 Data'!$R$8</f>
        <v>Group D</v>
      </c>
      <c r="C18" t="str">
        <f>'2019 Data'!$K$5</f>
        <v>EE + SP</v>
      </c>
      <c r="D18" t="str">
        <f t="shared" si="0"/>
        <v>Group DEE + SP</v>
      </c>
      <c r="E18" s="352">
        <f>'2018 Data'!D67</f>
        <v>1332.57</v>
      </c>
      <c r="F18" s="352">
        <f>'2018 Data'!E67</f>
        <v>1004.81</v>
      </c>
      <c r="G18" s="352">
        <f>'2018 Data'!F67</f>
        <v>1255.1400000000001</v>
      </c>
      <c r="H18" s="352">
        <f>'2018 Data'!G67</f>
        <v>853.99</v>
      </c>
      <c r="I18" s="352">
        <f>'2019 Data'!D71</f>
        <v>1411.04</v>
      </c>
      <c r="J18" s="352">
        <f>'2019 Data'!E71</f>
        <v>1063.98</v>
      </c>
      <c r="K18" s="352">
        <f>'2019 Data'!F71</f>
        <v>1329.05</v>
      </c>
      <c r="L18" s="352">
        <f>'2019 Data'!G71</f>
        <v>904.28</v>
      </c>
      <c r="M18" s="352">
        <f>'2019 Data'!D71</f>
        <v>1411.04</v>
      </c>
      <c r="N18" s="352">
        <f>'2019 Data'!E71</f>
        <v>1063.98</v>
      </c>
      <c r="O18" s="352">
        <f>'2019 Data'!F71</f>
        <v>1329.05</v>
      </c>
      <c r="P18" s="352">
        <f>'2019 Data'!G71</f>
        <v>904.28</v>
      </c>
      <c r="Q18" s="352">
        <f>'2019 Data'!H71</f>
        <v>1280.8303576443934</v>
      </c>
      <c r="R18">
        <f t="shared" si="1"/>
        <v>15</v>
      </c>
    </row>
    <row r="19" spans="2:18" x14ac:dyDescent="0.2">
      <c r="B19" t="str">
        <f>'2019 Data'!$R$8</f>
        <v>Group D</v>
      </c>
      <c r="C19" t="str">
        <f>'2019 Data'!$K$6</f>
        <v>EE + C</v>
      </c>
      <c r="D19" t="str">
        <f t="shared" si="0"/>
        <v>Group DEE + C</v>
      </c>
      <c r="E19" s="352">
        <f>'2018 Data'!D68</f>
        <v>1115.5</v>
      </c>
      <c r="F19" s="352">
        <f>'2018 Data'!E68</f>
        <v>867.78</v>
      </c>
      <c r="G19" s="352">
        <f>'2018 Data'!F68</f>
        <v>1051.53</v>
      </c>
      <c r="H19" s="352">
        <f>'2018 Data'!G68</f>
        <v>724.22</v>
      </c>
      <c r="I19" s="352">
        <f>'2019 Data'!D72</f>
        <v>1181.19</v>
      </c>
      <c r="J19" s="352">
        <f>'2019 Data'!E72</f>
        <v>918.88</v>
      </c>
      <c r="K19" s="352">
        <f>'2019 Data'!F72</f>
        <v>1113.45</v>
      </c>
      <c r="L19" s="352">
        <f>'2019 Data'!G72</f>
        <v>766.87</v>
      </c>
      <c r="M19" s="352">
        <f>'2019 Data'!D72</f>
        <v>1181.19</v>
      </c>
      <c r="N19" s="352">
        <f>'2019 Data'!E72</f>
        <v>918.88</v>
      </c>
      <c r="O19" s="352">
        <f>'2019 Data'!F72</f>
        <v>1113.45</v>
      </c>
      <c r="P19" s="352">
        <f>'2019 Data'!G72</f>
        <v>766.87</v>
      </c>
      <c r="Q19" s="352">
        <f>'2019 Data'!H72</f>
        <v>1072.1907317623748</v>
      </c>
      <c r="R19">
        <f t="shared" si="1"/>
        <v>16</v>
      </c>
    </row>
    <row r="20" spans="2:18" x14ac:dyDescent="0.2">
      <c r="B20" t="str">
        <f>'2019 Data'!$R$8</f>
        <v>Group D</v>
      </c>
      <c r="C20" t="str">
        <f>'2019 Data'!$K$7</f>
        <v>EE + F</v>
      </c>
      <c r="D20" t="str">
        <f t="shared" si="0"/>
        <v>Group DEE + F</v>
      </c>
      <c r="E20" s="352">
        <f>'2018 Data'!D69</f>
        <v>1811.73</v>
      </c>
      <c r="F20" s="352">
        <f>'2018 Data'!E69</f>
        <v>1356.29</v>
      </c>
      <c r="G20" s="352">
        <f>'2018 Data'!F69</f>
        <v>1707.36</v>
      </c>
      <c r="H20" s="352">
        <f>'2018 Data'!G69</f>
        <v>1139.92</v>
      </c>
      <c r="I20" s="352">
        <f>'2019 Data'!D73</f>
        <v>1918.41</v>
      </c>
      <c r="J20" s="352">
        <f>'2019 Data'!E73</f>
        <v>1436.16</v>
      </c>
      <c r="K20" s="352">
        <f>'2019 Data'!F73</f>
        <v>1807.9</v>
      </c>
      <c r="L20" s="352">
        <f>'2019 Data'!G73</f>
        <v>1207.04</v>
      </c>
      <c r="M20" s="352">
        <f>'2019 Data'!D73</f>
        <v>1918.41</v>
      </c>
      <c r="N20" s="352">
        <f>'2019 Data'!E73</f>
        <v>1436.16</v>
      </c>
      <c r="O20" s="352">
        <f>'2019 Data'!F73</f>
        <v>1807.9</v>
      </c>
      <c r="P20" s="352">
        <f>'2019 Data'!G73</f>
        <v>1207.04</v>
      </c>
      <c r="Q20" s="352">
        <f>'2019 Data'!H73</f>
        <v>1741.3806599448499</v>
      </c>
      <c r="R20">
        <f t="shared" si="1"/>
        <v>17</v>
      </c>
    </row>
    <row r="21" spans="2:18" x14ac:dyDescent="0.2">
      <c r="B21" s="292" t="str">
        <f>'2019 Data'!$R$9</f>
        <v>Group E</v>
      </c>
      <c r="C21" t="str">
        <f>'2019 Data'!$K$4</f>
        <v>EE</v>
      </c>
      <c r="D21" t="str">
        <f t="shared" si="0"/>
        <v>Group EEE</v>
      </c>
      <c r="E21" s="352">
        <f>'2018 Data'!D70</f>
        <v>576.45000000000005</v>
      </c>
      <c r="F21" s="352">
        <f>'2018 Data'!E70</f>
        <v>452.29</v>
      </c>
      <c r="G21" s="352">
        <f>'2018 Data'!F70</f>
        <v>542.78</v>
      </c>
      <c r="H21" s="352">
        <f>'2018 Data'!G70</f>
        <v>386.24</v>
      </c>
      <c r="I21" s="352">
        <f>'2019 Data'!D74</f>
        <v>610.39</v>
      </c>
      <c r="J21" s="352">
        <f>'2019 Data'!E74</f>
        <v>478.92</v>
      </c>
      <c r="K21" s="352">
        <f>'2019 Data'!F74</f>
        <v>574.74</v>
      </c>
      <c r="L21" s="352">
        <f>'2019 Data'!G74</f>
        <v>408.98</v>
      </c>
      <c r="M21" s="352">
        <f>'2019 Data'!D74</f>
        <v>610.39</v>
      </c>
      <c r="N21" s="352">
        <f>'2019 Data'!E74</f>
        <v>478.92</v>
      </c>
      <c r="O21" s="352">
        <f>'2019 Data'!F74</f>
        <v>574.74</v>
      </c>
      <c r="P21" s="352">
        <f>'2019 Data'!G74</f>
        <v>408.98</v>
      </c>
      <c r="Q21" s="352">
        <f>'2019 Data'!H74</f>
        <v>554.06369911736112</v>
      </c>
      <c r="R21">
        <f t="shared" si="1"/>
        <v>18</v>
      </c>
    </row>
    <row r="22" spans="2:18" x14ac:dyDescent="0.2">
      <c r="B22" s="292" t="str">
        <f>'2019 Data'!$R$9</f>
        <v>Group E</v>
      </c>
      <c r="C22" t="str">
        <f>'2019 Data'!$K$5</f>
        <v>EE + SP</v>
      </c>
      <c r="D22" t="str">
        <f t="shared" si="0"/>
        <v>Group EEE + SP</v>
      </c>
      <c r="E22" s="352">
        <f>'2018 Data'!D71</f>
        <v>1332.57</v>
      </c>
      <c r="F22" s="352">
        <f>'2018 Data'!E71</f>
        <v>1004.81</v>
      </c>
      <c r="G22" s="352">
        <f>'2018 Data'!F71</f>
        <v>1255.1400000000001</v>
      </c>
      <c r="H22" s="352">
        <f>'2018 Data'!G71</f>
        <v>853.99</v>
      </c>
      <c r="I22" s="352">
        <f>'2019 Data'!D75</f>
        <v>1411.04</v>
      </c>
      <c r="J22" s="352">
        <f>'2019 Data'!E75</f>
        <v>1063.98</v>
      </c>
      <c r="K22" s="352">
        <f>'2019 Data'!F75</f>
        <v>1329.05</v>
      </c>
      <c r="L22" s="352">
        <f>'2019 Data'!G75</f>
        <v>904.28</v>
      </c>
      <c r="M22" s="352">
        <f>'2019 Data'!D75</f>
        <v>1411.04</v>
      </c>
      <c r="N22" s="352">
        <f>'2019 Data'!E75</f>
        <v>1063.98</v>
      </c>
      <c r="O22" s="352">
        <f>'2019 Data'!F75</f>
        <v>1329.05</v>
      </c>
      <c r="P22" s="352">
        <f>'2019 Data'!G75</f>
        <v>904.28</v>
      </c>
      <c r="Q22" s="352">
        <f>'2019 Data'!H75</f>
        <v>1280.8303576443934</v>
      </c>
      <c r="R22">
        <f t="shared" si="1"/>
        <v>19</v>
      </c>
    </row>
    <row r="23" spans="2:18" x14ac:dyDescent="0.2">
      <c r="B23" s="292" t="str">
        <f>'2019 Data'!$R$9</f>
        <v>Group E</v>
      </c>
      <c r="C23" t="str">
        <f>'2019 Data'!$K$6</f>
        <v>EE + C</v>
      </c>
      <c r="D23" t="str">
        <f t="shared" si="0"/>
        <v>Group EEE + C</v>
      </c>
      <c r="E23" s="352">
        <f>'2018 Data'!D72</f>
        <v>1115.5</v>
      </c>
      <c r="F23" s="352">
        <f>'2018 Data'!E72</f>
        <v>867.78</v>
      </c>
      <c r="G23" s="352">
        <f>'2018 Data'!F72</f>
        <v>1051.53</v>
      </c>
      <c r="H23" s="352">
        <f>'2018 Data'!G72</f>
        <v>724.22</v>
      </c>
      <c r="I23" s="352">
        <f>'2019 Data'!D76</f>
        <v>1181.19</v>
      </c>
      <c r="J23" s="352">
        <f>'2019 Data'!E76</f>
        <v>918.88</v>
      </c>
      <c r="K23" s="352">
        <f>'2019 Data'!F76</f>
        <v>1113.45</v>
      </c>
      <c r="L23" s="352">
        <f>'2019 Data'!G76</f>
        <v>766.87</v>
      </c>
      <c r="M23" s="352">
        <f>'2019 Data'!D76</f>
        <v>1181.19</v>
      </c>
      <c r="N23" s="352">
        <f>'2019 Data'!E76</f>
        <v>918.88</v>
      </c>
      <c r="O23" s="352">
        <f>'2019 Data'!F76</f>
        <v>1113.45</v>
      </c>
      <c r="P23" s="352">
        <f>'2019 Data'!G76</f>
        <v>766.87</v>
      </c>
      <c r="Q23" s="352">
        <f>'2019 Data'!H76</f>
        <v>1072.1907317623748</v>
      </c>
      <c r="R23">
        <f t="shared" si="1"/>
        <v>20</v>
      </c>
    </row>
    <row r="24" spans="2:18" x14ac:dyDescent="0.2">
      <c r="B24" s="292" t="str">
        <f>'2019 Data'!$R$9</f>
        <v>Group E</v>
      </c>
      <c r="C24" t="str">
        <f>'2019 Data'!$K$7</f>
        <v>EE + F</v>
      </c>
      <c r="D24" t="str">
        <f t="shared" si="0"/>
        <v>Group EEE + F</v>
      </c>
      <c r="E24" s="352">
        <f>'2018 Data'!D73</f>
        <v>1811.73</v>
      </c>
      <c r="F24" s="352">
        <f>'2018 Data'!E73</f>
        <v>1356.29</v>
      </c>
      <c r="G24" s="352">
        <f>'2018 Data'!F73</f>
        <v>1707.36</v>
      </c>
      <c r="H24" s="352">
        <f>'2018 Data'!G73</f>
        <v>1139.92</v>
      </c>
      <c r="I24" s="352">
        <f>'2019 Data'!D77</f>
        <v>1918.41</v>
      </c>
      <c r="J24" s="352">
        <f>'2019 Data'!E77</f>
        <v>1436.16</v>
      </c>
      <c r="K24" s="352">
        <f>'2019 Data'!F77</f>
        <v>1807.9</v>
      </c>
      <c r="L24" s="352">
        <f>'2019 Data'!G77</f>
        <v>1207.04</v>
      </c>
      <c r="M24" s="352">
        <f>'2019 Data'!D77</f>
        <v>1918.41</v>
      </c>
      <c r="N24" s="352">
        <f>'2019 Data'!E77</f>
        <v>1436.16</v>
      </c>
      <c r="O24" s="352">
        <f>'2019 Data'!F77</f>
        <v>1807.9</v>
      </c>
      <c r="P24" s="352">
        <f>'2019 Data'!G77</f>
        <v>1207.04</v>
      </c>
      <c r="Q24" s="352">
        <f>'2019 Data'!H77</f>
        <v>1741.3806599448499</v>
      </c>
      <c r="R24">
        <f t="shared" si="1"/>
        <v>21</v>
      </c>
    </row>
    <row r="25" spans="2:18" x14ac:dyDescent="0.2">
      <c r="B25" t="str">
        <f>'2019 Data'!$R$10</f>
        <v>All Groups</v>
      </c>
      <c r="C25" t="str">
        <f>'2019 Data'!$K$4</f>
        <v>EE</v>
      </c>
      <c r="D25" t="str">
        <f t="shared" si="0"/>
        <v>All GroupsEE</v>
      </c>
      <c r="E25" s="352">
        <f>IFERROR((E5*'Enrollment Table'!E5+E9*'Enrollment Table'!E9+E13*'Enrollment Table'!E13+E17*'Enrollment Table'!E17+E21*'Enrollment Table'!E21)/('Enrollment Table'!E5+'Enrollment Table'!E9+'Enrollment Table'!E13+'Enrollment Table'!E17+'Enrollment Table'!E21),0)</f>
        <v>527.68126226291702</v>
      </c>
      <c r="F25" s="352">
        <f>IFERROR((F5*'Enrollment Table'!F5+F9*'Enrollment Table'!F9+F13*'Enrollment Table'!F13+F17*'Enrollment Table'!F17+F21*'Enrollment Table'!F21)/('Enrollment Table'!F5+'Enrollment Table'!F9+'Enrollment Table'!F13+'Enrollment Table'!F17+'Enrollment Table'!F21),0)</f>
        <v>452.29000000000008</v>
      </c>
      <c r="G25" s="352">
        <f>IFERROR((G5*'Enrollment Table'!G5+G9*'Enrollment Table'!G9+G13*'Enrollment Table'!G13+G17*'Enrollment Table'!G17+G21*'Enrollment Table'!G21)/('Enrollment Table'!G5+'Enrollment Table'!G9+'Enrollment Table'!G13+'Enrollment Table'!G17+'Enrollment Table'!G21),0)</f>
        <v>542.77999999999986</v>
      </c>
      <c r="H25" s="352">
        <f>IFERROR((H5*'Enrollment Table'!H5+H9*'Enrollment Table'!H9+H13*'Enrollment Table'!H13+H17*'Enrollment Table'!H17+H21*'Enrollment Table'!H21)/('Enrollment Table'!H5+'Enrollment Table'!H9+'Enrollment Table'!H13+'Enrollment Table'!H17+'Enrollment Table'!H21),0)</f>
        <v>386.24</v>
      </c>
      <c r="I25" s="352">
        <f>IFERROR((I5*'Enrollment Table'!I5+I9*'Enrollment Table'!I9+I13*'Enrollment Table'!I13+I17*'Enrollment Table'!I17+I21*'Enrollment Table'!I21)/('Enrollment Table'!I5+'Enrollment Table'!I9+'Enrollment Table'!I13+'Enrollment Table'!I17+'Enrollment Table'!I21),0)</f>
        <v>558.75366252452579</v>
      </c>
      <c r="J25" s="352">
        <f>IFERROR((J5*'Enrollment Table'!J5+J9*'Enrollment Table'!J9+J13*'Enrollment Table'!J13+J17*'Enrollment Table'!J17+J21*'Enrollment Table'!J21)/('Enrollment Table'!J5+'Enrollment Table'!J9+'Enrollment Table'!J13+'Enrollment Table'!J17+'Enrollment Table'!J21),0)</f>
        <v>478.92</v>
      </c>
      <c r="K25" s="352">
        <f>IFERROR((K5*'Enrollment Table'!K5+K9*'Enrollment Table'!K9+K13*'Enrollment Table'!K13+K17*'Enrollment Table'!K17+K21*'Enrollment Table'!K21)/('Enrollment Table'!K5+'Enrollment Table'!K9+'Enrollment Table'!K13+'Enrollment Table'!K17+'Enrollment Table'!K21),0)</f>
        <v>574.74</v>
      </c>
      <c r="L25" s="352">
        <f>IFERROR((L5*'Enrollment Table'!L5+L9*'Enrollment Table'!L9+L13*'Enrollment Table'!L13+L17*'Enrollment Table'!L17+L21*'Enrollment Table'!L21)/('Enrollment Table'!L5+'Enrollment Table'!L9+'Enrollment Table'!L13+'Enrollment Table'!L17+'Enrollment Table'!L21),0)</f>
        <v>408.98</v>
      </c>
      <c r="M25" s="352">
        <f>IFERROR((M5*'Enrollment Table'!M5+M9*'Enrollment Table'!M9+M13*'Enrollment Table'!M13+M17*'Enrollment Table'!M17+M21*'Enrollment Table'!M21)/('Enrollment Table'!M5+'Enrollment Table'!M9+'Enrollment Table'!M13+'Enrollment Table'!M17+'Enrollment Table'!M21),0)</f>
        <v>558.74520887728454</v>
      </c>
      <c r="N25" s="352">
        <f>IFERROR((N5*'Enrollment Table'!N5+N9*'Enrollment Table'!N9+N13*'Enrollment Table'!N13+N17*'Enrollment Table'!N17+N21*'Enrollment Table'!N21)/('Enrollment Table'!N5+'Enrollment Table'!N9+'Enrollment Table'!N13+'Enrollment Table'!N17+'Enrollment Table'!N21),0)</f>
        <v>478.92</v>
      </c>
      <c r="O25" s="352">
        <f>IFERROR((O5*'Enrollment Table'!O5+O9*'Enrollment Table'!O9+O13*'Enrollment Table'!O13+O17*'Enrollment Table'!O17+O21*'Enrollment Table'!O21)/('Enrollment Table'!O5+'Enrollment Table'!O9+'Enrollment Table'!O13+'Enrollment Table'!O17+'Enrollment Table'!O21),0)</f>
        <v>574.74</v>
      </c>
      <c r="P25" s="352">
        <f>IFERROR((P5*'Enrollment Table'!P5+P9*'Enrollment Table'!P9+P13*'Enrollment Table'!P13+P17*'Enrollment Table'!P17+P21*'Enrollment Table'!P21)/('Enrollment Table'!P5+'Enrollment Table'!P9+'Enrollment Table'!P13+'Enrollment Table'!P17+'Enrollment Table'!P21),0)</f>
        <v>408.98</v>
      </c>
      <c r="Q25" s="352">
        <f>IFERROR((Q5*'Enrollment Table'!Q5+Q9*'Enrollment Table'!Q9+Q13*'Enrollment Table'!Q13+Q17*'Enrollment Table'!Q17+Q21*'Enrollment Table'!Q21)/('Enrollment Table'!Q5+'Enrollment Table'!Q9+'Enrollment Table'!Q13+'Enrollment Table'!Q17+'Enrollment Table'!Q21),0)</f>
        <v>507.20002527727468</v>
      </c>
      <c r="R25">
        <f t="shared" si="1"/>
        <v>22</v>
      </c>
    </row>
    <row r="26" spans="2:18" x14ac:dyDescent="0.2">
      <c r="B26" t="str">
        <f>'2019 Data'!$R$10</f>
        <v>All Groups</v>
      </c>
      <c r="C26" t="str">
        <f>'2019 Data'!$K$5</f>
        <v>EE + SP</v>
      </c>
      <c r="D26" t="str">
        <f t="shared" si="0"/>
        <v>All GroupsEE + SP</v>
      </c>
      <c r="E26" s="352">
        <f>IFERROR((E6*'Enrollment Table'!E6+E10*'Enrollment Table'!E10+E14*'Enrollment Table'!E14+E18*'Enrollment Table'!E18+E22*'Enrollment Table'!E22)/('Enrollment Table'!E6+'Enrollment Table'!E10+'Enrollment Table'!E14+'Enrollment Table'!E18+'Enrollment Table'!E22),0)</f>
        <v>1232.9011604095563</v>
      </c>
      <c r="F26" s="352">
        <f>IFERROR((F6*'Enrollment Table'!F6+F10*'Enrollment Table'!F10+F14*'Enrollment Table'!F14+F18*'Enrollment Table'!F18+F22*'Enrollment Table'!F22)/('Enrollment Table'!F6+'Enrollment Table'!F10+'Enrollment Table'!F14+'Enrollment Table'!F18+'Enrollment Table'!F22),0)</f>
        <v>1004.81</v>
      </c>
      <c r="G26" s="352">
        <f>IFERROR((G6*'Enrollment Table'!G6+G10*'Enrollment Table'!G10+G14*'Enrollment Table'!G14+G18*'Enrollment Table'!G18+G22*'Enrollment Table'!G22)/('Enrollment Table'!G6+'Enrollment Table'!G10+'Enrollment Table'!G14+'Enrollment Table'!G18+'Enrollment Table'!G22),0)</f>
        <v>1255.1400000000001</v>
      </c>
      <c r="H26" s="352">
        <f>IFERROR((H6*'Enrollment Table'!H6+H10*'Enrollment Table'!H10+H14*'Enrollment Table'!H14+H18*'Enrollment Table'!H18+H22*'Enrollment Table'!H22)/('Enrollment Table'!H6+'Enrollment Table'!H10+'Enrollment Table'!H14+'Enrollment Table'!H18+'Enrollment Table'!H22),0)</f>
        <v>853.99000000000012</v>
      </c>
      <c r="I26" s="352">
        <f>IFERROR((I6*'Enrollment Table'!I6+I10*'Enrollment Table'!I10+I14*'Enrollment Table'!I14+I18*'Enrollment Table'!I18+I22*'Enrollment Table'!I22)/('Enrollment Table'!I6+'Enrollment Table'!I10+'Enrollment Table'!I14+'Enrollment Table'!I18+'Enrollment Table'!I22),0)</f>
        <v>1305.5000682593857</v>
      </c>
      <c r="J26" s="352">
        <f>IFERROR((J6*'Enrollment Table'!J6+J10*'Enrollment Table'!J10+J14*'Enrollment Table'!J14+J18*'Enrollment Table'!J18+J22*'Enrollment Table'!J22)/('Enrollment Table'!J6+'Enrollment Table'!J10+'Enrollment Table'!J14+'Enrollment Table'!J18+'Enrollment Table'!J22),0)</f>
        <v>1063.98</v>
      </c>
      <c r="K26" s="352">
        <f>IFERROR((K6*'Enrollment Table'!K6+K10*'Enrollment Table'!K10+K14*'Enrollment Table'!K14+K18*'Enrollment Table'!K18+K22*'Enrollment Table'!K22)/('Enrollment Table'!K6+'Enrollment Table'!K10+'Enrollment Table'!K14+'Enrollment Table'!K18+'Enrollment Table'!K22),0)</f>
        <v>1329.0500000000002</v>
      </c>
      <c r="L26" s="352">
        <f>IFERROR((L6*'Enrollment Table'!L6+L10*'Enrollment Table'!L10+L14*'Enrollment Table'!L14+L18*'Enrollment Table'!L18+L22*'Enrollment Table'!L22)/('Enrollment Table'!L6+'Enrollment Table'!L10+'Enrollment Table'!L14+'Enrollment Table'!L18+'Enrollment Table'!L22),0)</f>
        <v>904.28000000000009</v>
      </c>
      <c r="M26" s="352">
        <f>IFERROR((M6*'Enrollment Table'!M6+M10*'Enrollment Table'!M10+M14*'Enrollment Table'!M14+M18*'Enrollment Table'!M18+M22*'Enrollment Table'!M22)/('Enrollment Table'!M6+'Enrollment Table'!M10+'Enrollment Table'!M14+'Enrollment Table'!M18+'Enrollment Table'!M22),0)</f>
        <v>1305.0097278911567</v>
      </c>
      <c r="N26" s="352">
        <f>IFERROR((N6*'Enrollment Table'!N6+N10*'Enrollment Table'!N10+N14*'Enrollment Table'!N14+N18*'Enrollment Table'!N18+N22*'Enrollment Table'!N22)/('Enrollment Table'!N6+'Enrollment Table'!N10+'Enrollment Table'!N14+'Enrollment Table'!N18+'Enrollment Table'!N22),0)</f>
        <v>1063.98</v>
      </c>
      <c r="O26" s="352">
        <f>IFERROR((O6*'Enrollment Table'!O6+O10*'Enrollment Table'!O10+O14*'Enrollment Table'!O14+O18*'Enrollment Table'!O18+O22*'Enrollment Table'!O22)/('Enrollment Table'!O6+'Enrollment Table'!O10+'Enrollment Table'!O14+'Enrollment Table'!O18+'Enrollment Table'!O22),0)</f>
        <v>1329.0500000000002</v>
      </c>
      <c r="P26" s="352">
        <f>IFERROR((P6*'Enrollment Table'!P6+P10*'Enrollment Table'!P10+P14*'Enrollment Table'!P14+P18*'Enrollment Table'!P18+P22*'Enrollment Table'!P22)/('Enrollment Table'!P6+'Enrollment Table'!P10+'Enrollment Table'!P14+'Enrollment Table'!P18+'Enrollment Table'!P22),0)</f>
        <v>904.28000000000009</v>
      </c>
      <c r="Q26" s="352">
        <f>IFERROR((Q6*'Enrollment Table'!Q6+Q10*'Enrollment Table'!Q10+Q14*'Enrollment Table'!Q14+Q18*'Enrollment Table'!Q18+Q22*'Enrollment Table'!Q22)/('Enrollment Table'!Q6+'Enrollment Table'!Q10+'Enrollment Table'!Q14+'Enrollment Table'!Q18+'Enrollment Table'!Q22),0)</f>
        <v>1185.4777070996352</v>
      </c>
      <c r="R26">
        <f t="shared" si="1"/>
        <v>23</v>
      </c>
    </row>
    <row r="27" spans="2:18" x14ac:dyDescent="0.2">
      <c r="B27" t="str">
        <f>'2019 Data'!$R$10</f>
        <v>All Groups</v>
      </c>
      <c r="C27" t="str">
        <f>'2019 Data'!$K$6</f>
        <v>EE + C</v>
      </c>
      <c r="D27" t="str">
        <f t="shared" si="0"/>
        <v>All GroupsEE + C</v>
      </c>
      <c r="E27" s="352">
        <f>IFERROR((E7*'Enrollment Table'!E7+E11*'Enrollment Table'!E11+E15*'Enrollment Table'!E15+E19*'Enrollment Table'!E19+E23*'Enrollment Table'!E23)/('Enrollment Table'!E7+'Enrollment Table'!E11+'Enrollment Table'!E15+'Enrollment Table'!E19+'Enrollment Table'!E23),0)</f>
        <v>1025.9490820312499</v>
      </c>
      <c r="F27" s="352">
        <f>IFERROR((F7*'Enrollment Table'!F7+F11*'Enrollment Table'!F11+F15*'Enrollment Table'!F15+F19*'Enrollment Table'!F19+F23*'Enrollment Table'!F23)/('Enrollment Table'!F7+'Enrollment Table'!F11+'Enrollment Table'!F15+'Enrollment Table'!F19+'Enrollment Table'!F23),0)</f>
        <v>867.77999999999986</v>
      </c>
      <c r="G27" s="352">
        <f>IFERROR((G7*'Enrollment Table'!G7+G11*'Enrollment Table'!G11+G15*'Enrollment Table'!G15+G19*'Enrollment Table'!G19+G23*'Enrollment Table'!G23)/('Enrollment Table'!G7+'Enrollment Table'!G11+'Enrollment Table'!G15+'Enrollment Table'!G19+'Enrollment Table'!G23),0)</f>
        <v>1051.5299999999997</v>
      </c>
      <c r="H27" s="352">
        <f>IFERROR((H7*'Enrollment Table'!H7+H11*'Enrollment Table'!H11+H15*'Enrollment Table'!H15+H19*'Enrollment Table'!H19+H23*'Enrollment Table'!H23)/('Enrollment Table'!H7+'Enrollment Table'!H11+'Enrollment Table'!H15+'Enrollment Table'!H19+'Enrollment Table'!H23),0)</f>
        <v>724.22</v>
      </c>
      <c r="I27" s="352">
        <f>IFERROR((I7*'Enrollment Table'!I7+I11*'Enrollment Table'!I11+I15*'Enrollment Table'!I15+I19*'Enrollment Table'!I19+I23*'Enrollment Table'!I23)/('Enrollment Table'!I7+'Enrollment Table'!I11+'Enrollment Table'!I15+'Enrollment Table'!I19+'Enrollment Table'!I23),0)</f>
        <v>1086.364453125</v>
      </c>
      <c r="J27" s="352">
        <f>IFERROR((J7*'Enrollment Table'!J7+J11*'Enrollment Table'!J11+J15*'Enrollment Table'!J15+J19*'Enrollment Table'!J19+J23*'Enrollment Table'!J23)/('Enrollment Table'!J7+'Enrollment Table'!J11+'Enrollment Table'!J15+'Enrollment Table'!J19+'Enrollment Table'!J23),0)</f>
        <v>918.88</v>
      </c>
      <c r="K27" s="352">
        <f>IFERROR((K7*'Enrollment Table'!K7+K11*'Enrollment Table'!K11+K15*'Enrollment Table'!K15+K19*'Enrollment Table'!K19+K23*'Enrollment Table'!K23)/('Enrollment Table'!K7+'Enrollment Table'!K11+'Enrollment Table'!K15+'Enrollment Table'!K19+'Enrollment Table'!K23),0)</f>
        <v>1113.45</v>
      </c>
      <c r="L27" s="352">
        <f>IFERROR((L7*'Enrollment Table'!L7+L11*'Enrollment Table'!L11+L15*'Enrollment Table'!L15+L19*'Enrollment Table'!L19+L23*'Enrollment Table'!L23)/('Enrollment Table'!L7+'Enrollment Table'!L11+'Enrollment Table'!L15+'Enrollment Table'!L19+'Enrollment Table'!L23),0)</f>
        <v>766.87</v>
      </c>
      <c r="M27" s="352">
        <f>IFERROR((M7*'Enrollment Table'!M7+M11*'Enrollment Table'!M11+M15*'Enrollment Table'!M15+M19*'Enrollment Table'!M19+M23*'Enrollment Table'!M23)/('Enrollment Table'!M7+'Enrollment Table'!M11+'Enrollment Table'!M15+'Enrollment Table'!M19+'Enrollment Table'!M23),0)</f>
        <v>1086.4231517509727</v>
      </c>
      <c r="N27" s="352">
        <f>IFERROR((N7*'Enrollment Table'!N7+N11*'Enrollment Table'!N11+N15*'Enrollment Table'!N15+N19*'Enrollment Table'!N19+N23*'Enrollment Table'!N23)/('Enrollment Table'!N7+'Enrollment Table'!N11+'Enrollment Table'!N15+'Enrollment Table'!N19+'Enrollment Table'!N23),0)</f>
        <v>918.88</v>
      </c>
      <c r="O27" s="352">
        <f>IFERROR((O7*'Enrollment Table'!O7+O11*'Enrollment Table'!O11+O15*'Enrollment Table'!O15+O19*'Enrollment Table'!O19+O23*'Enrollment Table'!O23)/('Enrollment Table'!O7+'Enrollment Table'!O11+'Enrollment Table'!O15+'Enrollment Table'!O19+'Enrollment Table'!O23),0)</f>
        <v>1113.45</v>
      </c>
      <c r="P27" s="352">
        <f>IFERROR((P7*'Enrollment Table'!P7+P11*'Enrollment Table'!P11+P15*'Enrollment Table'!P15+P19*'Enrollment Table'!P19+P23*'Enrollment Table'!P23)/('Enrollment Table'!P7+'Enrollment Table'!P11+'Enrollment Table'!P15+'Enrollment Table'!P19+'Enrollment Table'!P23),0)</f>
        <v>766.87</v>
      </c>
      <c r="Q27" s="352">
        <f>IFERROR((Q7*'Enrollment Table'!Q7+Q11*'Enrollment Table'!Q11+Q15*'Enrollment Table'!Q15+Q19*'Enrollment Table'!Q19+Q23*'Enrollment Table'!Q23)/('Enrollment Table'!Q7+'Enrollment Table'!Q11+'Enrollment Table'!Q15+'Enrollment Table'!Q19+'Enrollment Table'!Q23),0)</f>
        <v>986.0619106302471</v>
      </c>
      <c r="R27">
        <f t="shared" si="1"/>
        <v>24</v>
      </c>
    </row>
    <row r="28" spans="2:18" x14ac:dyDescent="0.2">
      <c r="B28" t="str">
        <f>'2019 Data'!$R$10</f>
        <v>All Groups</v>
      </c>
      <c r="C28" t="str">
        <f>'2019 Data'!$K$7</f>
        <v>EE + F</v>
      </c>
      <c r="D28" t="str">
        <f t="shared" si="0"/>
        <v>All GroupsEE + F</v>
      </c>
      <c r="E28" s="352">
        <f>IFERROR((E8*'Enrollment Table'!E8+E12*'Enrollment Table'!E12+E16*'Enrollment Table'!E16+E20*'Enrollment Table'!E20+E24*'Enrollment Table'!E24)/('Enrollment Table'!E8+'Enrollment Table'!E12+'Enrollment Table'!E16+'Enrollment Table'!E20+'Enrollment Table'!E24),0)</f>
        <v>1663.8111340206185</v>
      </c>
      <c r="F28" s="352">
        <f>IFERROR((F8*'Enrollment Table'!F8+F12*'Enrollment Table'!F12+F16*'Enrollment Table'!F16+F20*'Enrollment Table'!F20+F24*'Enrollment Table'!F24)/('Enrollment Table'!F8+'Enrollment Table'!F12+'Enrollment Table'!F16+'Enrollment Table'!F20+'Enrollment Table'!F24),0)</f>
        <v>1356.29</v>
      </c>
      <c r="G28" s="352">
        <f>IFERROR((G8*'Enrollment Table'!G8+G12*'Enrollment Table'!G12+G16*'Enrollment Table'!G16+G20*'Enrollment Table'!G20+G24*'Enrollment Table'!G24)/('Enrollment Table'!G8+'Enrollment Table'!G12+'Enrollment Table'!G16+'Enrollment Table'!G20+'Enrollment Table'!G24),0)</f>
        <v>1707.3599999999997</v>
      </c>
      <c r="H28" s="352">
        <f>IFERROR((H8*'Enrollment Table'!H8+H12*'Enrollment Table'!H12+H16*'Enrollment Table'!H16+H20*'Enrollment Table'!H20+H24*'Enrollment Table'!H24)/('Enrollment Table'!H8+'Enrollment Table'!H12+'Enrollment Table'!H16+'Enrollment Table'!H20+'Enrollment Table'!H24),0)</f>
        <v>1139.92</v>
      </c>
      <c r="I28" s="352">
        <f>IFERROR((I8*'Enrollment Table'!I8+I12*'Enrollment Table'!I12+I16*'Enrollment Table'!I16+I20*'Enrollment Table'!I20+I24*'Enrollment Table'!I24)/('Enrollment Table'!I8+'Enrollment Table'!I12+'Enrollment Table'!I16+'Enrollment Table'!I20+'Enrollment Table'!I24),0)</f>
        <v>1761.7811340206185</v>
      </c>
      <c r="J28" s="352">
        <f>IFERROR((J8*'Enrollment Table'!J8+J12*'Enrollment Table'!J12+J16*'Enrollment Table'!J16+J20*'Enrollment Table'!J20+J24*'Enrollment Table'!J24)/('Enrollment Table'!J8+'Enrollment Table'!J12+'Enrollment Table'!J16+'Enrollment Table'!J20+'Enrollment Table'!J24),0)</f>
        <v>1436.16</v>
      </c>
      <c r="K28" s="352">
        <f>IFERROR((K8*'Enrollment Table'!K8+K12*'Enrollment Table'!K12+K16*'Enrollment Table'!K16+K20*'Enrollment Table'!K20+K24*'Enrollment Table'!K24)/('Enrollment Table'!K8+'Enrollment Table'!K12+'Enrollment Table'!K16+'Enrollment Table'!K20+'Enrollment Table'!K24),0)</f>
        <v>1807.9000000000003</v>
      </c>
      <c r="L28" s="352">
        <f>IFERROR((L8*'Enrollment Table'!L8+L12*'Enrollment Table'!L12+L16*'Enrollment Table'!L16+L20*'Enrollment Table'!L20+L24*'Enrollment Table'!L24)/('Enrollment Table'!L8+'Enrollment Table'!L12+'Enrollment Table'!L16+'Enrollment Table'!L20+'Enrollment Table'!L24),0)</f>
        <v>1207.04</v>
      </c>
      <c r="M28" s="352">
        <f>IFERROR((M8*'Enrollment Table'!M8+M12*'Enrollment Table'!M12+M16*'Enrollment Table'!M16+M20*'Enrollment Table'!M20+M24*'Enrollment Table'!M24)/('Enrollment Table'!M8+'Enrollment Table'!M12+'Enrollment Table'!M16+'Enrollment Table'!M20+'Enrollment Table'!M24),0)</f>
        <v>1761.4264383561645</v>
      </c>
      <c r="N28" s="352">
        <f>IFERROR((N8*'Enrollment Table'!N8+N12*'Enrollment Table'!N12+N16*'Enrollment Table'!N16+N20*'Enrollment Table'!N20+N24*'Enrollment Table'!N24)/('Enrollment Table'!N8+'Enrollment Table'!N12+'Enrollment Table'!N16+'Enrollment Table'!N20+'Enrollment Table'!N24),0)</f>
        <v>1436.16</v>
      </c>
      <c r="O28" s="352">
        <f>IFERROR((O8*'Enrollment Table'!O8+O12*'Enrollment Table'!O12+O16*'Enrollment Table'!O16+O20*'Enrollment Table'!O20+O24*'Enrollment Table'!O24)/('Enrollment Table'!O8+'Enrollment Table'!O12+'Enrollment Table'!O16+'Enrollment Table'!O20+'Enrollment Table'!O24),0)</f>
        <v>1807.9000000000003</v>
      </c>
      <c r="P28" s="352">
        <f>IFERROR((P8*'Enrollment Table'!P8+P12*'Enrollment Table'!P12+P16*'Enrollment Table'!P16+P20*'Enrollment Table'!P20+P24*'Enrollment Table'!P24)/('Enrollment Table'!P8+'Enrollment Table'!P12+'Enrollment Table'!P16+'Enrollment Table'!P20+'Enrollment Table'!P24),0)</f>
        <v>1207.04</v>
      </c>
      <c r="Q28" s="352">
        <f>IFERROR((Q8*'Enrollment Table'!Q8+Q12*'Enrollment Table'!Q12+Q16*'Enrollment Table'!Q16+Q20*'Enrollment Table'!Q20+Q24*'Enrollment Table'!Q24)/('Enrollment Table'!Q8+'Enrollment Table'!Q12+'Enrollment Table'!Q16+'Enrollment Table'!Q20+'Enrollment Table'!Q24),0)</f>
        <v>1599.5295654916151</v>
      </c>
      <c r="R28">
        <f t="shared" si="1"/>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enableFormatConditionsCalculation="0">
    <tabColor rgb="FFAFE5EC"/>
  </sheetPr>
  <dimension ref="B2:U28"/>
  <sheetViews>
    <sheetView workbookViewId="0"/>
  </sheetViews>
  <sheetFormatPr baseColWidth="10" defaultColWidth="8.83203125" defaultRowHeight="15" x14ac:dyDescent="0.2"/>
  <cols>
    <col min="2" max="2" width="20.5" bestFit="1" customWidth="1"/>
    <col min="3" max="3" width="6.6640625" bestFit="1" customWidth="1"/>
    <col min="4" max="4" width="26.5" bestFit="1" customWidth="1"/>
  </cols>
  <sheetData>
    <row r="2" spans="2:21" x14ac:dyDescent="0.2">
      <c r="B2" t="str">
        <f>'Projection &amp; Rate Setting'!$F$106</f>
        <v>2019 SQ</v>
      </c>
      <c r="C2" s="853">
        <f>IF(B2=I3,6,2)</f>
        <v>6</v>
      </c>
      <c r="E2" t="s">
        <v>1116</v>
      </c>
      <c r="M2">
        <v>10</v>
      </c>
    </row>
    <row r="3" spans="2:21" x14ac:dyDescent="0.2">
      <c r="C3" s="689"/>
      <c r="E3">
        <f>'2019 Data'!$R$2</f>
        <v>2018</v>
      </c>
      <c r="I3" t="str">
        <f>'2019 Data'!$R$3</f>
        <v>2019 SQ</v>
      </c>
      <c r="M3" t="s">
        <v>1083</v>
      </c>
      <c r="T3" t="str">
        <f>M4</f>
        <v>Plan 1</v>
      </c>
      <c r="U3">
        <v>10</v>
      </c>
    </row>
    <row r="4" spans="2:21" x14ac:dyDescent="0.2">
      <c r="E4" t="str">
        <f>'2018 Data'!D3</f>
        <v>Plan 1</v>
      </c>
      <c r="F4" t="str">
        <f>'2018 Data'!E3</f>
        <v>Plan 2</v>
      </c>
      <c r="G4" t="str">
        <f>'2018 Data'!F3</f>
        <v>Plan 3</v>
      </c>
      <c r="H4" t="str">
        <f>'2018 Data'!G3</f>
        <v>Plan 4</v>
      </c>
      <c r="I4" t="str">
        <f>'2019 Data'!D3</f>
        <v>Plan 1</v>
      </c>
      <c r="J4" t="str">
        <f>'2019 Data'!E3</f>
        <v>Plan 2</v>
      </c>
      <c r="K4" t="str">
        <f>'2019 Data'!F3</f>
        <v>Plan 3</v>
      </c>
      <c r="L4" t="str">
        <f>'2019 Data'!G3</f>
        <v>Plan 4</v>
      </c>
      <c r="M4" t="str">
        <f>'2019 Data'!L3</f>
        <v>Plan 1</v>
      </c>
      <c r="N4" t="str">
        <f>'2019 Data'!M3</f>
        <v>Plan 2</v>
      </c>
      <c r="O4" t="str">
        <f>'2019 Data'!N3</f>
        <v>Plan 3</v>
      </c>
      <c r="P4" t="str">
        <f>'2019 Data'!O3</f>
        <v>Plan 4</v>
      </c>
      <c r="Q4" t="str">
        <f>'2019 Data'!P3</f>
        <v>Bind</v>
      </c>
      <c r="R4">
        <v>1</v>
      </c>
      <c r="T4" t="str">
        <f>N4</f>
        <v>Plan 2</v>
      </c>
      <c r="U4">
        <v>11</v>
      </c>
    </row>
    <row r="5" spans="2:21" x14ac:dyDescent="0.2">
      <c r="B5" t="str">
        <f>'2019 Data'!$R$5</f>
        <v>Group A</v>
      </c>
      <c r="C5" t="str">
        <f>'2019 Data'!$K$4</f>
        <v>EE</v>
      </c>
      <c r="D5" t="str">
        <f>B5&amp;C5</f>
        <v>Group AEE</v>
      </c>
      <c r="E5" s="352">
        <f>'2018 Data'!D30</f>
        <v>118.21</v>
      </c>
      <c r="F5" s="352">
        <f>'2018 Data'!E30</f>
        <v>51.78</v>
      </c>
      <c r="G5" s="352">
        <f>'2018 Data'!F30</f>
        <v>102.44</v>
      </c>
      <c r="H5" s="352">
        <f>'2018 Data'!G30</f>
        <v>96.07</v>
      </c>
      <c r="I5" s="352">
        <f>'2019 Data'!D34</f>
        <v>125.17</v>
      </c>
      <c r="J5" s="352">
        <f>'2019 Data'!E34</f>
        <v>54.83</v>
      </c>
      <c r="K5" s="352">
        <f>'2019 Data'!F34</f>
        <v>108.47</v>
      </c>
      <c r="L5" s="352">
        <f>'2019 Data'!G34</f>
        <v>101.73</v>
      </c>
      <c r="M5" s="352">
        <f>'2019 Data'!D34</f>
        <v>125.17</v>
      </c>
      <c r="N5" s="352">
        <f>'2019 Data'!E34</f>
        <v>54.83</v>
      </c>
      <c r="O5" s="352">
        <f>'2019 Data'!F34</f>
        <v>108.47</v>
      </c>
      <c r="P5" s="352">
        <f>'2019 Data'!G34</f>
        <v>101.73</v>
      </c>
      <c r="Q5" s="352">
        <f>IFERROR(HLOOKUP('2018 Data'!$E$78,'Contributions Table'!$M$4:$P$28,'Contributions Table'!$R5,FALSE)*$Q$25/HLOOKUP('2018 Data'!$E$78,'Contributions Table'!$M$4:$P$28,'Contributions Table'!$R$25,FALSE),$Q$25)</f>
        <v>102.6595846653403</v>
      </c>
      <c r="R5">
        <f>R4+1</f>
        <v>2</v>
      </c>
      <c r="T5" t="str">
        <f>O4</f>
        <v>Plan 3</v>
      </c>
      <c r="U5">
        <v>12</v>
      </c>
    </row>
    <row r="6" spans="2:21" x14ac:dyDescent="0.2">
      <c r="B6" t="str">
        <f>'2019 Data'!$R$5</f>
        <v>Group A</v>
      </c>
      <c r="C6" t="str">
        <f>'2019 Data'!$K$5</f>
        <v>EE + SP</v>
      </c>
      <c r="D6" t="str">
        <f t="shared" ref="D6:D28" si="0">B6&amp;C6</f>
        <v>Group AEE + SP</v>
      </c>
      <c r="E6" s="352">
        <f>'2018 Data'!D31</f>
        <v>358.54</v>
      </c>
      <c r="F6" s="352">
        <f>'2018 Data'!E31</f>
        <v>183</v>
      </c>
      <c r="G6" s="352">
        <f>'2018 Data'!F31</f>
        <v>325.52</v>
      </c>
      <c r="H6" s="352">
        <f>'2018 Data'!G31</f>
        <v>563.80999999999995</v>
      </c>
      <c r="I6" s="352">
        <f>'2019 Data'!D35</f>
        <v>379.65</v>
      </c>
      <c r="J6" s="352">
        <f>'2019 Data'!E35</f>
        <v>193.78</v>
      </c>
      <c r="K6" s="352">
        <f>'2019 Data'!F35</f>
        <v>344.69</v>
      </c>
      <c r="L6" s="352">
        <f>'2019 Data'!G35</f>
        <v>597.01</v>
      </c>
      <c r="M6" s="352">
        <f>'2019 Data'!D35</f>
        <v>379.65</v>
      </c>
      <c r="N6" s="352">
        <f>'2019 Data'!E35</f>
        <v>193.78</v>
      </c>
      <c r="O6" s="352">
        <f>'2019 Data'!F35</f>
        <v>344.69</v>
      </c>
      <c r="P6" s="352">
        <f>'2019 Data'!G35</f>
        <v>597.01</v>
      </c>
      <c r="Q6" s="352">
        <f>IFERROR(HLOOKUP('2018 Data'!$E$78,'Contributions Table'!$M$4:$P$28,'Contributions Table'!$R6,FALSE)*$Q$26/HLOOKUP('2018 Data'!$E$78,'Contributions Table'!$M$4:$P$28,'Contributions Table'!$R$26,FALSE),$Q$26)</f>
        <v>321.6383954286041</v>
      </c>
      <c r="R6">
        <f t="shared" ref="R6:R28" si="1">R5+1</f>
        <v>3</v>
      </c>
      <c r="T6" t="str">
        <f>P4</f>
        <v>Plan 4</v>
      </c>
      <c r="U6">
        <v>13</v>
      </c>
    </row>
    <row r="7" spans="2:21" x14ac:dyDescent="0.2">
      <c r="B7" t="str">
        <f>'2019 Data'!$R$5</f>
        <v>Group A</v>
      </c>
      <c r="C7" t="str">
        <f>'2019 Data'!$K$6</f>
        <v>EE + C</v>
      </c>
      <c r="D7" t="str">
        <f t="shared" si="0"/>
        <v>Group AEE + C</v>
      </c>
      <c r="E7" s="352">
        <f>'2018 Data'!D32</f>
        <v>291.16000000000003</v>
      </c>
      <c r="F7" s="352">
        <f>'2018 Data'!E32</f>
        <v>138.58000000000001</v>
      </c>
      <c r="G7" s="352">
        <f>'2018 Data'!F32</f>
        <v>250.21</v>
      </c>
      <c r="H7" s="352">
        <f>'2018 Data'!G32</f>
        <v>434.07</v>
      </c>
      <c r="I7" s="352">
        <f>'2019 Data'!D36</f>
        <v>308.31</v>
      </c>
      <c r="J7" s="352">
        <f>'2019 Data'!E36</f>
        <v>146.74</v>
      </c>
      <c r="K7" s="352">
        <f>'2019 Data'!F36</f>
        <v>264.94</v>
      </c>
      <c r="L7" s="352">
        <f>'2019 Data'!G36</f>
        <v>459.63</v>
      </c>
      <c r="M7" s="352">
        <f>'2019 Data'!D36</f>
        <v>308.31</v>
      </c>
      <c r="N7" s="352">
        <f>'2019 Data'!E36</f>
        <v>146.74</v>
      </c>
      <c r="O7" s="352">
        <f>'2019 Data'!F36</f>
        <v>264.94</v>
      </c>
      <c r="P7" s="352">
        <f>'2019 Data'!G36</f>
        <v>459.63</v>
      </c>
      <c r="Q7" s="352">
        <f>IFERROR(HLOOKUP('2018 Data'!$E$78,'Contributions Table'!$M$4:$P$28,'Contributions Table'!$R7,FALSE)*$Q$27/HLOOKUP('2018 Data'!$E$78,'Contributions Table'!$M$4:$P$28,'Contributions Table'!$R$27,FALSE),$Q$27)</f>
        <v>251.39146920745387</v>
      </c>
      <c r="R7">
        <f t="shared" si="1"/>
        <v>4</v>
      </c>
    </row>
    <row r="8" spans="2:21" x14ac:dyDescent="0.2">
      <c r="B8" t="str">
        <f>'2019 Data'!$R$5</f>
        <v>Group A</v>
      </c>
      <c r="C8" t="str">
        <f>'2019 Data'!$K$7</f>
        <v>EE + F</v>
      </c>
      <c r="D8" t="str">
        <f t="shared" si="0"/>
        <v>Group AEE + F</v>
      </c>
      <c r="E8" s="352">
        <f>'2018 Data'!D33</f>
        <v>512.37</v>
      </c>
      <c r="F8" s="352">
        <f>'2018 Data'!E33</f>
        <v>239.2</v>
      </c>
      <c r="G8" s="352">
        <f>'2018 Data'!F33</f>
        <v>463.45</v>
      </c>
      <c r="H8" s="352">
        <f>'2018 Data'!G33</f>
        <v>849.77</v>
      </c>
      <c r="I8" s="352">
        <f>'2019 Data'!D37</f>
        <v>542.54</v>
      </c>
      <c r="J8" s="352">
        <f>'2019 Data'!E37</f>
        <v>253.29</v>
      </c>
      <c r="K8" s="352">
        <f>'2019 Data'!F37</f>
        <v>490.74</v>
      </c>
      <c r="L8" s="352">
        <f>'2019 Data'!G37</f>
        <v>899.81</v>
      </c>
      <c r="M8" s="352">
        <f>'2019 Data'!D37</f>
        <v>542.54</v>
      </c>
      <c r="N8" s="352">
        <f>'2019 Data'!E37</f>
        <v>253.29</v>
      </c>
      <c r="O8" s="352">
        <f>'2019 Data'!F37</f>
        <v>490.74</v>
      </c>
      <c r="P8" s="352">
        <f>'2019 Data'!G37</f>
        <v>899.81</v>
      </c>
      <c r="Q8" s="352">
        <f>IFERROR(HLOOKUP('2018 Data'!$E$78,'Contributions Table'!$M$4:$P$28,'Contributions Table'!$R8,FALSE)*$Q$28/HLOOKUP('2018 Data'!$E$78,'Contributions Table'!$M$4:$P$28,'Contributions Table'!$R$28,FALSE),$Q$28)</f>
        <v>449.88105286235935</v>
      </c>
      <c r="R8">
        <f t="shared" si="1"/>
        <v>5</v>
      </c>
    </row>
    <row r="9" spans="2:21" x14ac:dyDescent="0.2">
      <c r="B9" t="str">
        <f>'2019 Data'!$R$6</f>
        <v>Group B</v>
      </c>
      <c r="C9" t="str">
        <f>'2019 Data'!$K$4</f>
        <v>EE</v>
      </c>
      <c r="D9" t="str">
        <f t="shared" si="0"/>
        <v>Group BEE</v>
      </c>
      <c r="E9" s="352">
        <f>'2018 Data'!D34</f>
        <v>124.8</v>
      </c>
      <c r="F9" s="352">
        <f>'2018 Data'!E34</f>
        <v>51.78</v>
      </c>
      <c r="G9" s="352">
        <f>'2018 Data'!F34</f>
        <v>102.44</v>
      </c>
      <c r="H9" s="352">
        <f>'2018 Data'!G34</f>
        <v>96.07</v>
      </c>
      <c r="I9" s="352">
        <f>'2019 Data'!D38</f>
        <v>132.15</v>
      </c>
      <c r="J9" s="352">
        <f>'2019 Data'!E38</f>
        <v>54.83</v>
      </c>
      <c r="K9" s="352">
        <f>'2019 Data'!F38</f>
        <v>108.47</v>
      </c>
      <c r="L9" s="352">
        <f>'2019 Data'!G38</f>
        <v>101.73</v>
      </c>
      <c r="M9" s="352">
        <f>'2019 Data'!D38</f>
        <v>132.15</v>
      </c>
      <c r="N9" s="352">
        <f>'2019 Data'!E38</f>
        <v>54.83</v>
      </c>
      <c r="O9" s="352">
        <f>'2019 Data'!F38</f>
        <v>108.47</v>
      </c>
      <c r="P9" s="352">
        <f>'2019 Data'!G38</f>
        <v>101.73</v>
      </c>
      <c r="Q9" s="352">
        <f>IFERROR(HLOOKUP('2018 Data'!$E$78,'Contributions Table'!$M$4:$P$28,'Contributions Table'!$R9,FALSE)*$Q$25/HLOOKUP('2018 Data'!$E$78,'Contributions Table'!$M$4:$P$28,'Contributions Table'!$R$25,FALSE),$Q$25)</f>
        <v>108.38431024626287</v>
      </c>
      <c r="R9">
        <f t="shared" si="1"/>
        <v>6</v>
      </c>
    </row>
    <row r="10" spans="2:21" x14ac:dyDescent="0.2">
      <c r="B10" t="str">
        <f>'2019 Data'!$R$6</f>
        <v>Group B</v>
      </c>
      <c r="C10" t="str">
        <f>'2019 Data'!$K$5</f>
        <v>EE + SP</v>
      </c>
      <c r="D10" t="str">
        <f t="shared" si="0"/>
        <v>Group BEE + SP</v>
      </c>
      <c r="E10" s="352">
        <f>'2018 Data'!D35</f>
        <v>340.99</v>
      </c>
      <c r="F10" s="352">
        <f>'2018 Data'!E35</f>
        <v>183</v>
      </c>
      <c r="G10" s="352">
        <f>'2018 Data'!F35</f>
        <v>325.52</v>
      </c>
      <c r="H10" s="352">
        <f>'2018 Data'!G35</f>
        <v>563.80999999999995</v>
      </c>
      <c r="I10" s="352">
        <f>'2019 Data'!D39</f>
        <v>361.07</v>
      </c>
      <c r="J10" s="352">
        <f>'2019 Data'!E39</f>
        <v>193.78</v>
      </c>
      <c r="K10" s="352">
        <f>'2019 Data'!F39</f>
        <v>344.69</v>
      </c>
      <c r="L10" s="352">
        <f>'2019 Data'!G39</f>
        <v>597.01</v>
      </c>
      <c r="M10" s="352">
        <f>'2019 Data'!D39</f>
        <v>361.07</v>
      </c>
      <c r="N10" s="352">
        <f>'2019 Data'!E39</f>
        <v>193.78</v>
      </c>
      <c r="O10" s="352">
        <f>'2019 Data'!F39</f>
        <v>344.69</v>
      </c>
      <c r="P10" s="352">
        <f>'2019 Data'!G39</f>
        <v>597.01</v>
      </c>
      <c r="Q10" s="352">
        <f>IFERROR(HLOOKUP('2018 Data'!$E$78,'Contributions Table'!$M$4:$P$28,'Contributions Table'!$R10,FALSE)*$Q$26/HLOOKUP('2018 Data'!$E$78,'Contributions Table'!$M$4:$P$28,'Contributions Table'!$R$26,FALSE),$Q$26)</f>
        <v>305.8974725073254</v>
      </c>
      <c r="R10">
        <f t="shared" si="1"/>
        <v>7</v>
      </c>
    </row>
    <row r="11" spans="2:21" x14ac:dyDescent="0.2">
      <c r="B11" t="str">
        <f>'2019 Data'!$R$6</f>
        <v>Group B</v>
      </c>
      <c r="C11" t="str">
        <f>'2019 Data'!$K$6</f>
        <v>EE + C</v>
      </c>
      <c r="D11" t="str">
        <f t="shared" si="0"/>
        <v>Group BEE + C</v>
      </c>
      <c r="E11" s="352">
        <f>'2018 Data'!D36</f>
        <v>284.44</v>
      </c>
      <c r="F11" s="352">
        <f>'2018 Data'!E36</f>
        <v>138.58000000000001</v>
      </c>
      <c r="G11" s="352">
        <f>'2018 Data'!F36</f>
        <v>250.21</v>
      </c>
      <c r="H11" s="352">
        <f>'2018 Data'!G36</f>
        <v>434.07</v>
      </c>
      <c r="I11" s="352">
        <f>'2019 Data'!D40</f>
        <v>301.19</v>
      </c>
      <c r="J11" s="352">
        <f>'2019 Data'!E40</f>
        <v>146.74</v>
      </c>
      <c r="K11" s="352">
        <f>'2019 Data'!F40</f>
        <v>264.94</v>
      </c>
      <c r="L11" s="352">
        <f>'2019 Data'!G40</f>
        <v>459.63</v>
      </c>
      <c r="M11" s="352">
        <f>'2019 Data'!D40</f>
        <v>301.19</v>
      </c>
      <c r="N11" s="352">
        <f>'2019 Data'!E40</f>
        <v>146.74</v>
      </c>
      <c r="O11" s="352">
        <f>'2019 Data'!F40</f>
        <v>264.94</v>
      </c>
      <c r="P11" s="352">
        <f>'2019 Data'!G40</f>
        <v>459.63</v>
      </c>
      <c r="Q11" s="352">
        <f>IFERROR(HLOOKUP('2018 Data'!$E$78,'Contributions Table'!$M$4:$P$28,'Contributions Table'!$R11,FALSE)*$Q$27/HLOOKUP('2018 Data'!$E$78,'Contributions Table'!$M$4:$P$28,'Contributions Table'!$R$27,FALSE),$Q$27)</f>
        <v>245.58592523950904</v>
      </c>
      <c r="R11">
        <f t="shared" si="1"/>
        <v>8</v>
      </c>
    </row>
    <row r="12" spans="2:21" x14ac:dyDescent="0.2">
      <c r="B12" t="str">
        <f>'2019 Data'!$R$6</f>
        <v>Group B</v>
      </c>
      <c r="C12" t="str">
        <f>'2019 Data'!$K$7</f>
        <v>EE + F</v>
      </c>
      <c r="D12" t="str">
        <f t="shared" si="0"/>
        <v>Group BEE + F</v>
      </c>
      <c r="E12" s="352">
        <f>'2018 Data'!D37</f>
        <v>478.05</v>
      </c>
      <c r="F12" s="352">
        <f>'2018 Data'!E37</f>
        <v>239.2</v>
      </c>
      <c r="G12" s="352">
        <f>'2018 Data'!F37</f>
        <v>463.45</v>
      </c>
      <c r="H12" s="352">
        <f>'2018 Data'!G37</f>
        <v>849.77</v>
      </c>
      <c r="I12" s="352">
        <f>'2019 Data'!D41</f>
        <v>506.2</v>
      </c>
      <c r="J12" s="352">
        <f>'2019 Data'!E41</f>
        <v>253.29</v>
      </c>
      <c r="K12" s="352">
        <f>'2019 Data'!F41</f>
        <v>490.74</v>
      </c>
      <c r="L12" s="352">
        <f>'2019 Data'!G41</f>
        <v>899.81</v>
      </c>
      <c r="M12" s="352">
        <f>'2019 Data'!D41</f>
        <v>506.2</v>
      </c>
      <c r="N12" s="352">
        <f>'2019 Data'!E41</f>
        <v>253.29</v>
      </c>
      <c r="O12" s="352">
        <f>'2019 Data'!F41</f>
        <v>490.74</v>
      </c>
      <c r="P12" s="352">
        <f>'2019 Data'!G41</f>
        <v>899.81</v>
      </c>
      <c r="Q12" s="352">
        <f>IFERROR(HLOOKUP('2018 Data'!$E$78,'Contributions Table'!$M$4:$P$28,'Contributions Table'!$R12,FALSE)*$Q$28/HLOOKUP('2018 Data'!$E$78,'Contributions Table'!$M$4:$P$28,'Contributions Table'!$R$28,FALSE),$Q$28)</f>
        <v>419.74746370576611</v>
      </c>
      <c r="R12">
        <f t="shared" si="1"/>
        <v>9</v>
      </c>
    </row>
    <row r="13" spans="2:21" x14ac:dyDescent="0.2">
      <c r="B13" t="str">
        <f>'2019 Data'!$R$7</f>
        <v>Group C</v>
      </c>
      <c r="C13" t="str">
        <f>'2019 Data'!$K$4</f>
        <v>EE</v>
      </c>
      <c r="D13" t="str">
        <f t="shared" si="0"/>
        <v>Group CEE</v>
      </c>
      <c r="E13" s="352">
        <f>'2018 Data'!D38</f>
        <v>118.21</v>
      </c>
      <c r="F13" s="352">
        <f>'2018 Data'!E38</f>
        <v>51.78</v>
      </c>
      <c r="G13" s="352">
        <f>'2018 Data'!F38</f>
        <v>102.44</v>
      </c>
      <c r="H13" s="352">
        <f>'2018 Data'!G38</f>
        <v>96.07</v>
      </c>
      <c r="I13" s="352">
        <f>'2019 Data'!D42</f>
        <v>125.17</v>
      </c>
      <c r="J13" s="352">
        <f>'2019 Data'!E42</f>
        <v>54.83</v>
      </c>
      <c r="K13" s="352">
        <f>'2019 Data'!F42</f>
        <v>108.47</v>
      </c>
      <c r="L13" s="352">
        <f>'2019 Data'!G42</f>
        <v>101.73</v>
      </c>
      <c r="M13" s="352">
        <f>'2019 Data'!D42</f>
        <v>125.17</v>
      </c>
      <c r="N13" s="352">
        <f>'2019 Data'!E42</f>
        <v>54.83</v>
      </c>
      <c r="O13" s="352">
        <f>'2019 Data'!F42</f>
        <v>108.47</v>
      </c>
      <c r="P13" s="352">
        <f>'2019 Data'!G42</f>
        <v>101.73</v>
      </c>
      <c r="Q13" s="352">
        <f>IFERROR(HLOOKUP('2018 Data'!$E$78,'Contributions Table'!$M$4:$P$28,'Contributions Table'!$R13,FALSE)*$Q$25/HLOOKUP('2018 Data'!$E$78,'Contributions Table'!$M$4:$P$28,'Contributions Table'!$R$25,FALSE),$Q$25)</f>
        <v>102.6595846653403</v>
      </c>
      <c r="R13">
        <f t="shared" si="1"/>
        <v>10</v>
      </c>
    </row>
    <row r="14" spans="2:21" x14ac:dyDescent="0.2">
      <c r="B14" t="str">
        <f>'2019 Data'!$R$7</f>
        <v>Group C</v>
      </c>
      <c r="C14" t="str">
        <f>'2019 Data'!$K$5</f>
        <v>EE + SP</v>
      </c>
      <c r="D14" t="str">
        <f t="shared" si="0"/>
        <v>Group CEE + SP</v>
      </c>
      <c r="E14" s="352">
        <f>'2018 Data'!D39</f>
        <v>358.54</v>
      </c>
      <c r="F14" s="352">
        <f>'2018 Data'!E39</f>
        <v>183</v>
      </c>
      <c r="G14" s="352">
        <f>'2018 Data'!F39</f>
        <v>325.52</v>
      </c>
      <c r="H14" s="352">
        <f>'2018 Data'!G39</f>
        <v>563.80999999999995</v>
      </c>
      <c r="I14" s="352">
        <f>'2019 Data'!D43</f>
        <v>379.65</v>
      </c>
      <c r="J14" s="352">
        <f>'2019 Data'!E43</f>
        <v>193.78</v>
      </c>
      <c r="K14" s="352">
        <f>'2019 Data'!F43</f>
        <v>344.69</v>
      </c>
      <c r="L14" s="352">
        <f>'2019 Data'!G43</f>
        <v>597.01</v>
      </c>
      <c r="M14" s="352">
        <f>'2019 Data'!D43</f>
        <v>379.65</v>
      </c>
      <c r="N14" s="352">
        <f>'2019 Data'!E43</f>
        <v>193.78</v>
      </c>
      <c r="O14" s="352">
        <f>'2019 Data'!F43</f>
        <v>344.69</v>
      </c>
      <c r="P14" s="352">
        <f>'2019 Data'!G43</f>
        <v>597.01</v>
      </c>
      <c r="Q14" s="352">
        <f>IFERROR(HLOOKUP('2018 Data'!$E$78,'Contributions Table'!$M$4:$P$28,'Contributions Table'!$R14,FALSE)*$Q$26/HLOOKUP('2018 Data'!$E$78,'Contributions Table'!$M$4:$P$28,'Contributions Table'!$R$26,FALSE),$Q$26)</f>
        <v>321.6383954286041</v>
      </c>
      <c r="R14">
        <f t="shared" si="1"/>
        <v>11</v>
      </c>
    </row>
    <row r="15" spans="2:21" x14ac:dyDescent="0.2">
      <c r="B15" t="str">
        <f>'2019 Data'!$R$7</f>
        <v>Group C</v>
      </c>
      <c r="C15" t="str">
        <f>'2019 Data'!$K$6</f>
        <v>EE + C</v>
      </c>
      <c r="D15" t="str">
        <f t="shared" si="0"/>
        <v>Group CEE + C</v>
      </c>
      <c r="E15" s="352">
        <f>'2018 Data'!D40</f>
        <v>291.16000000000003</v>
      </c>
      <c r="F15" s="352">
        <f>'2018 Data'!E40</f>
        <v>138.58000000000001</v>
      </c>
      <c r="G15" s="352">
        <f>'2018 Data'!F40</f>
        <v>250.21</v>
      </c>
      <c r="H15" s="352">
        <f>'2018 Data'!G40</f>
        <v>434.07</v>
      </c>
      <c r="I15" s="352">
        <f>'2019 Data'!D44</f>
        <v>308.31</v>
      </c>
      <c r="J15" s="352">
        <f>'2019 Data'!E44</f>
        <v>146.74</v>
      </c>
      <c r="K15" s="352">
        <f>'2019 Data'!F44</f>
        <v>264.94</v>
      </c>
      <c r="L15" s="352">
        <f>'2019 Data'!G44</f>
        <v>459.63</v>
      </c>
      <c r="M15" s="352">
        <f>'2019 Data'!D44</f>
        <v>308.31</v>
      </c>
      <c r="N15" s="352">
        <f>'2019 Data'!E44</f>
        <v>146.74</v>
      </c>
      <c r="O15" s="352">
        <f>'2019 Data'!F44</f>
        <v>264.94</v>
      </c>
      <c r="P15" s="352">
        <f>'2019 Data'!G44</f>
        <v>459.63</v>
      </c>
      <c r="Q15" s="352">
        <f>IFERROR(HLOOKUP('2018 Data'!$E$78,'Contributions Table'!$M$4:$P$28,'Contributions Table'!$R15,FALSE)*$Q$27/HLOOKUP('2018 Data'!$E$78,'Contributions Table'!$M$4:$P$28,'Contributions Table'!$R$27,FALSE),$Q$27)</f>
        <v>251.39146920745387</v>
      </c>
      <c r="R15">
        <f t="shared" si="1"/>
        <v>12</v>
      </c>
    </row>
    <row r="16" spans="2:21" x14ac:dyDescent="0.2">
      <c r="B16" t="str">
        <f>'2019 Data'!$R$7</f>
        <v>Group C</v>
      </c>
      <c r="C16" t="str">
        <f>'2019 Data'!$K$7</f>
        <v>EE + F</v>
      </c>
      <c r="D16" t="str">
        <f t="shared" si="0"/>
        <v>Group CEE + F</v>
      </c>
      <c r="E16" s="352">
        <f>'2018 Data'!D41</f>
        <v>512.37</v>
      </c>
      <c r="F16" s="352">
        <f>'2018 Data'!E41</f>
        <v>239.2</v>
      </c>
      <c r="G16" s="352">
        <f>'2018 Data'!F41</f>
        <v>463.45</v>
      </c>
      <c r="H16" s="352">
        <f>'2018 Data'!G41</f>
        <v>849.77</v>
      </c>
      <c r="I16" s="352">
        <f>'2019 Data'!D45</f>
        <v>542.54</v>
      </c>
      <c r="J16" s="352">
        <f>'2019 Data'!E45</f>
        <v>253.29</v>
      </c>
      <c r="K16" s="352">
        <f>'2019 Data'!F45</f>
        <v>490.74</v>
      </c>
      <c r="L16" s="352">
        <f>'2019 Data'!G45</f>
        <v>899.81</v>
      </c>
      <c r="M16" s="352">
        <f>'2019 Data'!D45</f>
        <v>542.54</v>
      </c>
      <c r="N16" s="352">
        <f>'2019 Data'!E45</f>
        <v>253.29</v>
      </c>
      <c r="O16" s="352">
        <f>'2019 Data'!F45</f>
        <v>490.74</v>
      </c>
      <c r="P16" s="352">
        <f>'2019 Data'!G45</f>
        <v>899.81</v>
      </c>
      <c r="Q16" s="352">
        <f>IFERROR(HLOOKUP('2018 Data'!$E$78,'Contributions Table'!$M$4:$P$28,'Contributions Table'!$R16,FALSE)*$Q$28/HLOOKUP('2018 Data'!$E$78,'Contributions Table'!$M$4:$P$28,'Contributions Table'!$R$28,FALSE),$Q$28)</f>
        <v>449.88105286235935</v>
      </c>
      <c r="R16">
        <f t="shared" si="1"/>
        <v>13</v>
      </c>
    </row>
    <row r="17" spans="2:18" x14ac:dyDescent="0.2">
      <c r="B17" t="str">
        <f>'2019 Data'!$R$8</f>
        <v>Group D</v>
      </c>
      <c r="C17" t="str">
        <f>'2019 Data'!$K$4</f>
        <v>EE</v>
      </c>
      <c r="D17" t="str">
        <f t="shared" si="0"/>
        <v>Group DEE</v>
      </c>
      <c r="E17" s="352">
        <f>'2018 Data'!D42</f>
        <v>130.56</v>
      </c>
      <c r="F17" s="352">
        <f>'2018 Data'!E42</f>
        <v>51.78</v>
      </c>
      <c r="G17" s="352">
        <f>'2018 Data'!F42</f>
        <v>102.44</v>
      </c>
      <c r="H17" s="352">
        <f>'2018 Data'!G42</f>
        <v>96.07</v>
      </c>
      <c r="I17" s="352">
        <f>'2019 Data'!D46</f>
        <v>138.25</v>
      </c>
      <c r="J17" s="352">
        <f>'2019 Data'!E46</f>
        <v>54.83</v>
      </c>
      <c r="K17" s="352">
        <f>'2019 Data'!F46</f>
        <v>108.47</v>
      </c>
      <c r="L17" s="352">
        <f>'2019 Data'!G46</f>
        <v>101.73</v>
      </c>
      <c r="M17" s="352">
        <f>'2019 Data'!D46</f>
        <v>138.25</v>
      </c>
      <c r="N17" s="352">
        <f>'2019 Data'!E46</f>
        <v>54.83</v>
      </c>
      <c r="O17" s="352">
        <f>'2019 Data'!F46</f>
        <v>108.47</v>
      </c>
      <c r="P17" s="352">
        <f>'2019 Data'!G46</f>
        <v>101.73</v>
      </c>
      <c r="Q17" s="352">
        <f>IFERROR(HLOOKUP('2018 Data'!$E$78,'Contributions Table'!$M$4:$P$28,'Contributions Table'!$R17,FALSE)*$Q$25/HLOOKUP('2018 Data'!$E$78,'Contributions Table'!$M$4:$P$28,'Contributions Table'!$R$25,FALSE),$Q$25)</f>
        <v>113.38729392013501</v>
      </c>
      <c r="R17">
        <f t="shared" si="1"/>
        <v>14</v>
      </c>
    </row>
    <row r="18" spans="2:18" x14ac:dyDescent="0.2">
      <c r="B18" t="str">
        <f>'2019 Data'!$R$8</f>
        <v>Group D</v>
      </c>
      <c r="C18" t="str">
        <f>'2019 Data'!$K$5</f>
        <v>EE + SP</v>
      </c>
      <c r="D18" t="str">
        <f t="shared" si="0"/>
        <v>Group DEE + SP</v>
      </c>
      <c r="E18" s="352">
        <f>'2018 Data'!D43</f>
        <v>386.4</v>
      </c>
      <c r="F18" s="352">
        <f>'2018 Data'!E43</f>
        <v>183</v>
      </c>
      <c r="G18" s="352">
        <f>'2018 Data'!F43</f>
        <v>325.52</v>
      </c>
      <c r="H18" s="352">
        <f>'2018 Data'!G43</f>
        <v>563.80999999999995</v>
      </c>
      <c r="I18" s="352">
        <f>'2019 Data'!D47</f>
        <v>409.15</v>
      </c>
      <c r="J18" s="352">
        <f>'2019 Data'!E47</f>
        <v>193.78</v>
      </c>
      <c r="K18" s="352">
        <f>'2019 Data'!F47</f>
        <v>344.69</v>
      </c>
      <c r="L18" s="352">
        <f>'2019 Data'!G47</f>
        <v>597.01</v>
      </c>
      <c r="M18" s="352">
        <f>'2019 Data'!D47</f>
        <v>409.15</v>
      </c>
      <c r="N18" s="352">
        <f>'2019 Data'!E47</f>
        <v>193.78</v>
      </c>
      <c r="O18" s="352">
        <f>'2019 Data'!F47</f>
        <v>344.69</v>
      </c>
      <c r="P18" s="352">
        <f>'2019 Data'!G47</f>
        <v>597.01</v>
      </c>
      <c r="Q18" s="352">
        <f>IFERROR(HLOOKUP('2018 Data'!$E$78,'Contributions Table'!$M$4:$P$28,'Contributions Table'!$R18,FALSE)*$Q$26/HLOOKUP('2018 Data'!$E$78,'Contributions Table'!$M$4:$P$28,'Contributions Table'!$R$26,FALSE),$Q$26)</f>
        <v>346.63071115399288</v>
      </c>
      <c r="R18">
        <f t="shared" si="1"/>
        <v>15</v>
      </c>
    </row>
    <row r="19" spans="2:18" x14ac:dyDescent="0.2">
      <c r="B19" t="str">
        <f>'2019 Data'!$R$8</f>
        <v>Group D</v>
      </c>
      <c r="C19" t="str">
        <f>'2019 Data'!$K$6</f>
        <v>EE + C</v>
      </c>
      <c r="D19" t="str">
        <f t="shared" si="0"/>
        <v>Group DEE + C</v>
      </c>
      <c r="E19" s="352">
        <f>'2018 Data'!D44</f>
        <v>323.87</v>
      </c>
      <c r="F19" s="352">
        <f>'2018 Data'!E44</f>
        <v>138.58000000000001</v>
      </c>
      <c r="G19" s="352">
        <f>'2018 Data'!F44</f>
        <v>250.21</v>
      </c>
      <c r="H19" s="352">
        <f>'2018 Data'!G44</f>
        <v>434.07</v>
      </c>
      <c r="I19" s="352">
        <f>'2019 Data'!D48</f>
        <v>342.94</v>
      </c>
      <c r="J19" s="352">
        <f>'2019 Data'!E48</f>
        <v>146.74</v>
      </c>
      <c r="K19" s="352">
        <f>'2019 Data'!F48</f>
        <v>264.94</v>
      </c>
      <c r="L19" s="352">
        <f>'2019 Data'!G48</f>
        <v>459.63</v>
      </c>
      <c r="M19" s="352">
        <f>'2019 Data'!D48</f>
        <v>342.94</v>
      </c>
      <c r="N19" s="352">
        <f>'2019 Data'!E48</f>
        <v>146.74</v>
      </c>
      <c r="O19" s="352">
        <f>'2019 Data'!F48</f>
        <v>264.94</v>
      </c>
      <c r="P19" s="352">
        <f>'2019 Data'!G48</f>
        <v>459.63</v>
      </c>
      <c r="Q19" s="352">
        <f>IFERROR(HLOOKUP('2018 Data'!$E$78,'Contributions Table'!$M$4:$P$28,'Contributions Table'!$R19,FALSE)*$Q$27/HLOOKUP('2018 Data'!$E$78,'Contributions Table'!$M$4:$P$28,'Contributions Table'!$R$27,FALSE),$Q$27)</f>
        <v>279.62826522008447</v>
      </c>
      <c r="R19">
        <f t="shared" si="1"/>
        <v>16</v>
      </c>
    </row>
    <row r="20" spans="2:18" x14ac:dyDescent="0.2">
      <c r="B20" t="str">
        <f>'2019 Data'!$R$8</f>
        <v>Group D</v>
      </c>
      <c r="C20" t="str">
        <f>'2019 Data'!$K$7</f>
        <v>EE + F</v>
      </c>
      <c r="D20" t="str">
        <f t="shared" si="0"/>
        <v>Group DEE + F</v>
      </c>
      <c r="E20" s="352">
        <f>'2018 Data'!D45</f>
        <v>545.61</v>
      </c>
      <c r="F20" s="352">
        <f>'2018 Data'!E45</f>
        <v>239.2</v>
      </c>
      <c r="G20" s="352">
        <f>'2018 Data'!F45</f>
        <v>463.45</v>
      </c>
      <c r="H20" s="352">
        <f>'2018 Data'!G45</f>
        <v>849.77</v>
      </c>
      <c r="I20" s="352">
        <f>'2019 Data'!D49</f>
        <v>577.74</v>
      </c>
      <c r="J20" s="352">
        <f>'2019 Data'!E49</f>
        <v>253.29</v>
      </c>
      <c r="K20" s="352">
        <f>'2019 Data'!F49</f>
        <v>490.74</v>
      </c>
      <c r="L20" s="352">
        <f>'2019 Data'!G49</f>
        <v>899.81</v>
      </c>
      <c r="M20" s="352">
        <f>'2019 Data'!D49</f>
        <v>577.74</v>
      </c>
      <c r="N20" s="352">
        <f>'2019 Data'!E49</f>
        <v>253.29</v>
      </c>
      <c r="O20" s="352">
        <f>'2019 Data'!F49</f>
        <v>490.74</v>
      </c>
      <c r="P20" s="352">
        <f>'2019 Data'!G49</f>
        <v>899.81</v>
      </c>
      <c r="Q20" s="352">
        <f>IFERROR(HLOOKUP('2018 Data'!$E$78,'Contributions Table'!$M$4:$P$28,'Contributions Table'!$R20,FALSE)*$Q$28/HLOOKUP('2018 Data'!$E$78,'Contributions Table'!$M$4:$P$28,'Contributions Table'!$R$28,FALSE),$Q$28)</f>
        <v>479.06933955229022</v>
      </c>
      <c r="R20">
        <f t="shared" si="1"/>
        <v>17</v>
      </c>
    </row>
    <row r="21" spans="2:18" x14ac:dyDescent="0.2">
      <c r="B21" s="292" t="str">
        <f>'2019 Data'!$R$9</f>
        <v>Group E</v>
      </c>
      <c r="C21" t="str">
        <f>'2019 Data'!$K$4</f>
        <v>EE</v>
      </c>
      <c r="D21" t="str">
        <f t="shared" si="0"/>
        <v>Group EEE</v>
      </c>
      <c r="E21" s="352">
        <f>'2018 Data'!D46</f>
        <v>91.48</v>
      </c>
      <c r="F21" s="352">
        <f>'2018 Data'!E46</f>
        <v>43.46</v>
      </c>
      <c r="G21" s="352">
        <f>'2018 Data'!F46</f>
        <v>86.02</v>
      </c>
      <c r="H21" s="352">
        <f>'2018 Data'!G46</f>
        <v>96.07</v>
      </c>
      <c r="I21" s="352">
        <f>'2019 Data'!D50</f>
        <v>96.87</v>
      </c>
      <c r="J21" s="352">
        <f>'2019 Data'!E50</f>
        <v>46.02</v>
      </c>
      <c r="K21" s="352">
        <f>'2019 Data'!F50</f>
        <v>91.09</v>
      </c>
      <c r="L21" s="352">
        <f>'2019 Data'!G50</f>
        <v>101.73</v>
      </c>
      <c r="M21" s="352">
        <f>'2019 Data'!D50</f>
        <v>96.87</v>
      </c>
      <c r="N21" s="352">
        <f>'2019 Data'!E50</f>
        <v>46.02</v>
      </c>
      <c r="O21" s="352">
        <f>'2019 Data'!F50</f>
        <v>91.09</v>
      </c>
      <c r="P21" s="352">
        <f>'2019 Data'!G50</f>
        <v>101.73</v>
      </c>
      <c r="Q21" s="352">
        <f>IFERROR(HLOOKUP('2018 Data'!$E$78,'Contributions Table'!$M$4:$P$28,'Contributions Table'!$R21,FALSE)*$Q$25/HLOOKUP('2018 Data'!$E$78,'Contributions Table'!$M$4:$P$28,'Contributions Table'!$R$25,FALSE),$Q$25)</f>
        <v>79.449021063605628</v>
      </c>
      <c r="R21">
        <f t="shared" si="1"/>
        <v>18</v>
      </c>
    </row>
    <row r="22" spans="2:18" x14ac:dyDescent="0.2">
      <c r="B22" s="292" t="str">
        <f>'2019 Data'!$R$9</f>
        <v>Group E</v>
      </c>
      <c r="C22" t="str">
        <f>'2019 Data'!$K$5</f>
        <v>EE + SP</v>
      </c>
      <c r="D22" t="str">
        <f t="shared" si="0"/>
        <v>Group EEE + SP</v>
      </c>
      <c r="E22" s="352">
        <f>'2018 Data'!D47</f>
        <v>270.75</v>
      </c>
      <c r="F22" s="352">
        <f>'2018 Data'!E47</f>
        <v>153.66</v>
      </c>
      <c r="G22" s="352">
        <f>'2018 Data'!F47</f>
        <v>273.35000000000002</v>
      </c>
      <c r="H22" s="352">
        <f>'2018 Data'!G47</f>
        <v>563.80999999999995</v>
      </c>
      <c r="I22" s="352">
        <f>'2019 Data'!D51</f>
        <v>286.69</v>
      </c>
      <c r="J22" s="352">
        <f>'2019 Data'!E51</f>
        <v>162.71</v>
      </c>
      <c r="K22" s="352">
        <f>'2019 Data'!F51</f>
        <v>289.45</v>
      </c>
      <c r="L22" s="352">
        <f>'2019 Data'!G51</f>
        <v>597.01</v>
      </c>
      <c r="M22" s="352">
        <f>'2019 Data'!D51</f>
        <v>286.69</v>
      </c>
      <c r="N22" s="352">
        <f>'2019 Data'!E51</f>
        <v>162.71</v>
      </c>
      <c r="O22" s="352">
        <f>'2019 Data'!F51</f>
        <v>289.45</v>
      </c>
      <c r="P22" s="352">
        <f>'2019 Data'!G51</f>
        <v>597.01</v>
      </c>
      <c r="Q22" s="352">
        <f>IFERROR(HLOOKUP('2018 Data'!$E$78,'Contributions Table'!$M$4:$P$28,'Contributions Table'!$R22,FALSE)*$Q$26/HLOOKUP('2018 Data'!$E$78,'Contributions Table'!$M$4:$P$28,'Contributions Table'!$R$26,FALSE),$Q$26)</f>
        <v>242.88294899361657</v>
      </c>
      <c r="R22">
        <f t="shared" si="1"/>
        <v>19</v>
      </c>
    </row>
    <row r="23" spans="2:18" x14ac:dyDescent="0.2">
      <c r="B23" s="292" t="str">
        <f>'2019 Data'!$R$9</f>
        <v>Group E</v>
      </c>
      <c r="C23" t="str">
        <f>'2019 Data'!$K$6</f>
        <v>EE + C</v>
      </c>
      <c r="D23" t="str">
        <f t="shared" si="0"/>
        <v>Group EEE + C</v>
      </c>
      <c r="E23" s="352">
        <f>'2018 Data'!D48</f>
        <v>226.94</v>
      </c>
      <c r="F23" s="352">
        <f>'2018 Data'!E48</f>
        <v>116.35</v>
      </c>
      <c r="G23" s="352">
        <f>'2018 Data'!F48</f>
        <v>210.08</v>
      </c>
      <c r="H23" s="352">
        <f>'2018 Data'!G48</f>
        <v>434.07</v>
      </c>
      <c r="I23" s="352">
        <f>'2019 Data'!D52</f>
        <v>240.3</v>
      </c>
      <c r="J23" s="352">
        <f>'2019 Data'!E52</f>
        <v>123.2</v>
      </c>
      <c r="K23" s="352">
        <f>'2019 Data'!F52</f>
        <v>222.45</v>
      </c>
      <c r="L23" s="352">
        <f>'2019 Data'!G52</f>
        <v>459.63</v>
      </c>
      <c r="M23" s="352">
        <f>'2019 Data'!D52</f>
        <v>240.3</v>
      </c>
      <c r="N23" s="352">
        <f>'2019 Data'!E52</f>
        <v>123.2</v>
      </c>
      <c r="O23" s="352">
        <f>'2019 Data'!F52</f>
        <v>222.45</v>
      </c>
      <c r="P23" s="352">
        <f>'2019 Data'!G52</f>
        <v>459.63</v>
      </c>
      <c r="Q23" s="352">
        <f>IFERROR(HLOOKUP('2018 Data'!$E$78,'Contributions Table'!$M$4:$P$28,'Contributions Table'!$R23,FALSE)*$Q$27/HLOOKUP('2018 Data'!$E$78,'Contributions Table'!$M$4:$P$28,'Contributions Table'!$R$27,FALSE),$Q$27)</f>
        <v>195.93710891813814</v>
      </c>
      <c r="R23">
        <f t="shared" si="1"/>
        <v>20</v>
      </c>
    </row>
    <row r="24" spans="2:18" x14ac:dyDescent="0.2">
      <c r="B24" s="292" t="str">
        <f>'2019 Data'!$R$9</f>
        <v>Group E</v>
      </c>
      <c r="C24" t="str">
        <f>'2019 Data'!$K$7</f>
        <v>EE + F</v>
      </c>
      <c r="D24" t="str">
        <f t="shared" si="0"/>
        <v>Group EEE + F</v>
      </c>
      <c r="E24" s="352">
        <f>'2018 Data'!D49</f>
        <v>382.29</v>
      </c>
      <c r="F24" s="352">
        <f>'2018 Data'!E49</f>
        <v>200.85</v>
      </c>
      <c r="G24" s="352">
        <f>'2018 Data'!F49</f>
        <v>389.13</v>
      </c>
      <c r="H24" s="352">
        <f>'2018 Data'!G49</f>
        <v>849.77</v>
      </c>
      <c r="I24" s="352">
        <f>'2019 Data'!D53</f>
        <v>404.8</v>
      </c>
      <c r="J24" s="352">
        <f>'2019 Data'!E53</f>
        <v>212.68</v>
      </c>
      <c r="K24" s="352">
        <f>'2019 Data'!F53</f>
        <v>412.04</v>
      </c>
      <c r="L24" s="352">
        <f>'2019 Data'!G53</f>
        <v>899.81</v>
      </c>
      <c r="M24" s="352">
        <f>'2019 Data'!D53</f>
        <v>404.8</v>
      </c>
      <c r="N24" s="352">
        <f>'2019 Data'!E53</f>
        <v>212.68</v>
      </c>
      <c r="O24" s="352">
        <f>'2019 Data'!F53</f>
        <v>412.04</v>
      </c>
      <c r="P24" s="352">
        <f>'2019 Data'!G53</f>
        <v>899.81</v>
      </c>
      <c r="Q24" s="352">
        <f>IFERROR(HLOOKUP('2018 Data'!$E$78,'Contributions Table'!$M$4:$P$28,'Contributions Table'!$R24,FALSE)*$Q$28/HLOOKUP('2018 Data'!$E$78,'Contributions Table'!$M$4:$P$28,'Contributions Table'!$R$28,FALSE),$Q$28)</f>
        <v>335.66529693420409</v>
      </c>
      <c r="R24">
        <f t="shared" si="1"/>
        <v>21</v>
      </c>
    </row>
    <row r="25" spans="2:18" x14ac:dyDescent="0.2">
      <c r="B25" t="str">
        <f>'2019 Data'!$R$10</f>
        <v>All Groups</v>
      </c>
      <c r="C25" t="str">
        <f>'2019 Data'!$K$4</f>
        <v>EE</v>
      </c>
      <c r="D25" t="str">
        <f t="shared" si="0"/>
        <v>All GroupsEE</v>
      </c>
      <c r="E25" s="352">
        <f>IFERROR((E5*'Enrollment Table'!E5+E9*'Enrollment Table'!E9+E13*'Enrollment Table'!E13+E17*'Enrollment Table'!E17+E21*'Enrollment Table'!E21)/('Enrollment Table'!E5+'Enrollment Table'!E9+'Enrollment Table'!E13+'Enrollment Table'!E17+'Enrollment Table'!E21),0)</f>
        <v>117.93455199476782</v>
      </c>
      <c r="F25" s="352">
        <f>IFERROR((F5*'Enrollment Table'!F5+F9*'Enrollment Table'!F9+F13*'Enrollment Table'!F13+F17*'Enrollment Table'!F17+F21*'Enrollment Table'!F21)/('Enrollment Table'!F5+'Enrollment Table'!F9+'Enrollment Table'!F13+'Enrollment Table'!F17+'Enrollment Table'!F21),0)</f>
        <v>50.519868297271877</v>
      </c>
      <c r="G25" s="352">
        <f>IFERROR((G5*'Enrollment Table'!G5+G9*'Enrollment Table'!G9+G13*'Enrollment Table'!G13+G17*'Enrollment Table'!G17+G21*'Enrollment Table'!G21)/('Enrollment Table'!G5+'Enrollment Table'!G9+'Enrollment Table'!G13+'Enrollment Table'!G17+'Enrollment Table'!G21),0)</f>
        <v>99.632435233160635</v>
      </c>
      <c r="H25" s="352">
        <f>IFERROR((H5*'Enrollment Table'!H5+H9*'Enrollment Table'!H9+H13*'Enrollment Table'!H13+H17*'Enrollment Table'!H17+H21*'Enrollment Table'!H21)/('Enrollment Table'!H5+'Enrollment Table'!H9+'Enrollment Table'!H13+'Enrollment Table'!H17+'Enrollment Table'!H21),0)</f>
        <v>96.070000000000007</v>
      </c>
      <c r="I25" s="352">
        <f>IFERROR((I5*'Enrollment Table'!I5+I9*'Enrollment Table'!I9+I13*'Enrollment Table'!I13+I17*'Enrollment Table'!I17+I21*'Enrollment Table'!I21)/('Enrollment Table'!I5+'Enrollment Table'!I9+'Enrollment Table'!I13+'Enrollment Table'!I17+'Enrollment Table'!I21),0)</f>
        <v>124.87992805755395</v>
      </c>
      <c r="J25" s="352">
        <f>IFERROR((J5*'Enrollment Table'!J5+J9*'Enrollment Table'!J9+J13*'Enrollment Table'!J13+J17*'Enrollment Table'!J17+J21*'Enrollment Table'!J21)/('Enrollment Table'!J5+'Enrollment Table'!J9+'Enrollment Table'!J13+'Enrollment Table'!J17+'Enrollment Table'!J21),0)</f>
        <v>53.495653809971778</v>
      </c>
      <c r="K25" s="352">
        <f>IFERROR((K5*'Enrollment Table'!K5+K9*'Enrollment Table'!K9+K13*'Enrollment Table'!K13+K17*'Enrollment Table'!K17+K21*'Enrollment Table'!K21)/('Enrollment Table'!K5+'Enrollment Table'!K9+'Enrollment Table'!K13+'Enrollment Table'!K17+'Enrollment Table'!K21),0)</f>
        <v>105.49829015544043</v>
      </c>
      <c r="L25" s="352">
        <f>IFERROR((L5*'Enrollment Table'!L5+L9*'Enrollment Table'!L9+L13*'Enrollment Table'!L13+L17*'Enrollment Table'!L17+L21*'Enrollment Table'!L21)/('Enrollment Table'!L5+'Enrollment Table'!L9+'Enrollment Table'!L13+'Enrollment Table'!L17+'Enrollment Table'!L21),0)</f>
        <v>101.73</v>
      </c>
      <c r="M25" s="352">
        <f>IFERROR((M5*'Enrollment Table'!M5+M9*'Enrollment Table'!M9+M13*'Enrollment Table'!M13+M17*'Enrollment Table'!M17+M21*'Enrollment Table'!M21)/('Enrollment Table'!M5+'Enrollment Table'!M9+'Enrollment Table'!M13+'Enrollment Table'!M17+'Enrollment Table'!M21),0)</f>
        <v>124.86657963446476</v>
      </c>
      <c r="N25" s="352">
        <f>IFERROR((N5*'Enrollment Table'!N5+N9*'Enrollment Table'!N9+N13*'Enrollment Table'!N13+N17*'Enrollment Table'!N17+N21*'Enrollment Table'!N21)/('Enrollment Table'!N5+'Enrollment Table'!N9+'Enrollment Table'!N13+'Enrollment Table'!N17+'Enrollment Table'!N21),0)</f>
        <v>53.495653809971778</v>
      </c>
      <c r="O25" s="352">
        <f>IFERROR((O5*'Enrollment Table'!O5+O9*'Enrollment Table'!O9+O13*'Enrollment Table'!O13+O17*'Enrollment Table'!O17+O21*'Enrollment Table'!O21)/('Enrollment Table'!O5+'Enrollment Table'!O9+'Enrollment Table'!O13+'Enrollment Table'!O17+'Enrollment Table'!O21),0)</f>
        <v>105.49829015544043</v>
      </c>
      <c r="P25" s="352">
        <f>IFERROR((P5*'Enrollment Table'!P5+P9*'Enrollment Table'!P9+P13*'Enrollment Table'!P13+P17*'Enrollment Table'!P17+P21*'Enrollment Table'!P21)/('Enrollment Table'!P5+'Enrollment Table'!P9+'Enrollment Table'!P13+'Enrollment Table'!P17+'Enrollment Table'!P21),0)</f>
        <v>101.73</v>
      </c>
      <c r="Q25" s="352">
        <f>'Projection &amp; Rate Setting'!$D$38</f>
        <v>102.41073103663652</v>
      </c>
      <c r="R25">
        <f t="shared" si="1"/>
        <v>22</v>
      </c>
    </row>
    <row r="26" spans="2:18" x14ac:dyDescent="0.2">
      <c r="B26" t="str">
        <f>'2019 Data'!$R$10</f>
        <v>All Groups</v>
      </c>
      <c r="C26" t="str">
        <f>'2019 Data'!$K$5</f>
        <v>EE + SP</v>
      </c>
      <c r="D26" t="str">
        <f t="shared" si="0"/>
        <v>All GroupsEE + SP</v>
      </c>
      <c r="E26" s="352">
        <f>IFERROR((E6*'Enrollment Table'!E6+E10*'Enrollment Table'!E10+E14*'Enrollment Table'!E14+E18*'Enrollment Table'!E18+E22*'Enrollment Table'!E22)/('Enrollment Table'!E6+'Enrollment Table'!E10+'Enrollment Table'!E14+'Enrollment Table'!E18+'Enrollment Table'!E22),0)</f>
        <v>342.38167235494876</v>
      </c>
      <c r="F26" s="352">
        <f>IFERROR((F6*'Enrollment Table'!F6+F10*'Enrollment Table'!F10+F14*'Enrollment Table'!F14+F18*'Enrollment Table'!F18+F22*'Enrollment Table'!F22)/('Enrollment Table'!F6+'Enrollment Table'!F10+'Enrollment Table'!F14+'Enrollment Table'!F18+'Enrollment Table'!F22),0)</f>
        <v>178.89544041450776</v>
      </c>
      <c r="G26" s="352">
        <f>IFERROR((G6*'Enrollment Table'!G6+G10*'Enrollment Table'!G10+G14*'Enrollment Table'!G14+G18*'Enrollment Table'!G18+G22*'Enrollment Table'!G22)/('Enrollment Table'!G6+'Enrollment Table'!G10+'Enrollment Table'!G14+'Enrollment Table'!G18+'Enrollment Table'!G22),0)</f>
        <v>315.01354166666664</v>
      </c>
      <c r="H26" s="352">
        <f>IFERROR((H6*'Enrollment Table'!H6+H10*'Enrollment Table'!H10+H14*'Enrollment Table'!H14+H18*'Enrollment Table'!H18+H22*'Enrollment Table'!H22)/('Enrollment Table'!H6+'Enrollment Table'!H10+'Enrollment Table'!H14+'Enrollment Table'!H18+'Enrollment Table'!H22),0)</f>
        <v>563.80999999999995</v>
      </c>
      <c r="I26" s="352">
        <f>IFERROR((I6*'Enrollment Table'!I6+I10*'Enrollment Table'!I10+I14*'Enrollment Table'!I14+I18*'Enrollment Table'!I18+I22*'Enrollment Table'!I22)/('Enrollment Table'!I6+'Enrollment Table'!I10+'Enrollment Table'!I14+'Enrollment Table'!I18+'Enrollment Table'!I22),0)</f>
        <v>362.54003412969286</v>
      </c>
      <c r="J26" s="352">
        <f>IFERROR((J6*'Enrollment Table'!J6+J10*'Enrollment Table'!J10+J14*'Enrollment Table'!J14+J18*'Enrollment Table'!J18+J22*'Enrollment Table'!J22)/('Enrollment Table'!J6+'Enrollment Table'!J10+'Enrollment Table'!J14+'Enrollment Table'!J18+'Enrollment Table'!J22),0)</f>
        <v>189.43341968911918</v>
      </c>
      <c r="K26" s="352">
        <f>IFERROR((K6*'Enrollment Table'!K6+K10*'Enrollment Table'!K10+K14*'Enrollment Table'!K14+K18*'Enrollment Table'!K18+K22*'Enrollment Table'!K22)/('Enrollment Table'!K6+'Enrollment Table'!K10+'Enrollment Table'!K14+'Enrollment Table'!K18+'Enrollment Table'!K22),0)</f>
        <v>333.56527777777774</v>
      </c>
      <c r="L26" s="352">
        <f>IFERROR((L6*'Enrollment Table'!L6+L10*'Enrollment Table'!L10+L14*'Enrollment Table'!L14+L18*'Enrollment Table'!L18+L22*'Enrollment Table'!L22)/('Enrollment Table'!L6+'Enrollment Table'!L10+'Enrollment Table'!L14+'Enrollment Table'!L18+'Enrollment Table'!L22),0)</f>
        <v>597.01</v>
      </c>
      <c r="M26" s="352">
        <f>IFERROR((M6*'Enrollment Table'!M6+M10*'Enrollment Table'!M10+M14*'Enrollment Table'!M14+M18*'Enrollment Table'!M18+M22*'Enrollment Table'!M22)/('Enrollment Table'!M6+'Enrollment Table'!M10+'Enrollment Table'!M14+'Enrollment Table'!M18+'Enrollment Table'!M22),0)</f>
        <v>362.59823129251703</v>
      </c>
      <c r="N26" s="352">
        <f>IFERROR((N6*'Enrollment Table'!N6+N10*'Enrollment Table'!N10+N14*'Enrollment Table'!N14+N18*'Enrollment Table'!N18+N22*'Enrollment Table'!N22)/('Enrollment Table'!N6+'Enrollment Table'!N10+'Enrollment Table'!N14+'Enrollment Table'!N18+'Enrollment Table'!N22),0)</f>
        <v>189.43341968911918</v>
      </c>
      <c r="O26" s="352">
        <f>IFERROR((O6*'Enrollment Table'!O6+O10*'Enrollment Table'!O10+O14*'Enrollment Table'!O14+O18*'Enrollment Table'!O18+O22*'Enrollment Table'!O22)/('Enrollment Table'!O6+'Enrollment Table'!O10+'Enrollment Table'!O14+'Enrollment Table'!O18+'Enrollment Table'!O22),0)</f>
        <v>333.56527777777774</v>
      </c>
      <c r="P26" s="352">
        <f>IFERROR((P6*'Enrollment Table'!P6+P10*'Enrollment Table'!P10+P14*'Enrollment Table'!P14+P18*'Enrollment Table'!P18+P22*'Enrollment Table'!P22)/('Enrollment Table'!P6+'Enrollment Table'!P10+'Enrollment Table'!P14+'Enrollment Table'!P18+'Enrollment Table'!P22),0)</f>
        <v>597.01</v>
      </c>
      <c r="Q26" s="352">
        <f>'Projection &amp; Rate Setting'!$D$39</f>
        <v>307.19218569254593</v>
      </c>
      <c r="R26">
        <f t="shared" si="1"/>
        <v>23</v>
      </c>
    </row>
    <row r="27" spans="2:18" x14ac:dyDescent="0.2">
      <c r="B27" t="str">
        <f>'2019 Data'!$R$10</f>
        <v>All Groups</v>
      </c>
      <c r="C27" t="str">
        <f>'2019 Data'!$K$6</f>
        <v>EE + C</v>
      </c>
      <c r="D27" t="str">
        <f t="shared" si="0"/>
        <v>All GroupsEE + C</v>
      </c>
      <c r="E27" s="352">
        <f>IFERROR((E7*'Enrollment Table'!E7+E11*'Enrollment Table'!E11+E15*'Enrollment Table'!E15+E19*'Enrollment Table'!E19+E23*'Enrollment Table'!E23)/('Enrollment Table'!E7+'Enrollment Table'!E11+'Enrollment Table'!E15+'Enrollment Table'!E19+'Enrollment Table'!E23),0)</f>
        <v>286.17945312500001</v>
      </c>
      <c r="F27" s="352">
        <f>IFERROR((F7*'Enrollment Table'!F7+F11*'Enrollment Table'!F11+F15*'Enrollment Table'!F15+F19*'Enrollment Table'!F19+F23*'Enrollment Table'!F23)/('Enrollment Table'!F7+'Enrollment Table'!F11+'Enrollment Table'!F15+'Enrollment Table'!F19+'Enrollment Table'!F23),0)</f>
        <v>136.20114391143912</v>
      </c>
      <c r="G27" s="352">
        <f>IFERROR((G7*'Enrollment Table'!G7+G11*'Enrollment Table'!G11+G15*'Enrollment Table'!G15+G19*'Enrollment Table'!G19+G23*'Enrollment Table'!G23)/('Enrollment Table'!G7+'Enrollment Table'!G11+'Enrollment Table'!G15+'Enrollment Table'!G19+'Enrollment Table'!G23),0)</f>
        <v>242.72813559322032</v>
      </c>
      <c r="H27" s="352">
        <f>IFERROR((H7*'Enrollment Table'!H7+H11*'Enrollment Table'!H11+H15*'Enrollment Table'!H15+H19*'Enrollment Table'!H19+H23*'Enrollment Table'!H23)/('Enrollment Table'!H7+'Enrollment Table'!H11+'Enrollment Table'!H15+'Enrollment Table'!H19+'Enrollment Table'!H23),0)</f>
        <v>434.07</v>
      </c>
      <c r="I27" s="352">
        <f>IFERROR((I7*'Enrollment Table'!I7+I11*'Enrollment Table'!I11+I15*'Enrollment Table'!I15+I19*'Enrollment Table'!I19+I23*'Enrollment Table'!I23)/('Enrollment Table'!I7+'Enrollment Table'!I11+'Enrollment Table'!I15+'Enrollment Table'!I19+'Enrollment Table'!I23),0)</f>
        <v>303.03244140625003</v>
      </c>
      <c r="J27" s="352">
        <f>IFERROR((J7*'Enrollment Table'!J7+J11*'Enrollment Table'!J11+J15*'Enrollment Table'!J15+J19*'Enrollment Table'!J19+J23*'Enrollment Table'!J23)/('Enrollment Table'!J7+'Enrollment Table'!J11+'Enrollment Table'!J15+'Enrollment Table'!J19+'Enrollment Table'!J23),0)</f>
        <v>144.22095940959412</v>
      </c>
      <c r="K27" s="352">
        <f>IFERROR((K7*'Enrollment Table'!K7+K11*'Enrollment Table'!K11+K15*'Enrollment Table'!K15+K19*'Enrollment Table'!K19+K23*'Enrollment Table'!K23)/('Enrollment Table'!K7+'Enrollment Table'!K11+'Enrollment Table'!K15+'Enrollment Table'!K19+'Enrollment Table'!K23),0)</f>
        <v>257.01813559322034</v>
      </c>
      <c r="L27" s="352">
        <f>IFERROR((L7*'Enrollment Table'!L7+L11*'Enrollment Table'!L11+L15*'Enrollment Table'!L15+L19*'Enrollment Table'!L19+L23*'Enrollment Table'!L23)/('Enrollment Table'!L7+'Enrollment Table'!L11+'Enrollment Table'!L15+'Enrollment Table'!L19+'Enrollment Table'!L23),0)</f>
        <v>459.63</v>
      </c>
      <c r="M27" s="352">
        <f>IFERROR((M7*'Enrollment Table'!M7+M11*'Enrollment Table'!M11+M15*'Enrollment Table'!M15+M19*'Enrollment Table'!M19+M23*'Enrollment Table'!M23)/('Enrollment Table'!M7+'Enrollment Table'!M11+'Enrollment Table'!M15+'Enrollment Table'!M19+'Enrollment Table'!M23),0)</f>
        <v>302.90680933852138</v>
      </c>
      <c r="N27" s="352">
        <f>IFERROR((N7*'Enrollment Table'!N7+N11*'Enrollment Table'!N11+N15*'Enrollment Table'!N15+N19*'Enrollment Table'!N19+N23*'Enrollment Table'!N23)/('Enrollment Table'!N7+'Enrollment Table'!N11+'Enrollment Table'!N15+'Enrollment Table'!N19+'Enrollment Table'!N23),0)</f>
        <v>144.22095940959412</v>
      </c>
      <c r="O27" s="352">
        <f>IFERROR((O7*'Enrollment Table'!O7+O11*'Enrollment Table'!O11+O15*'Enrollment Table'!O15+O19*'Enrollment Table'!O19+O23*'Enrollment Table'!O23)/('Enrollment Table'!O7+'Enrollment Table'!O11+'Enrollment Table'!O15+'Enrollment Table'!O19+'Enrollment Table'!O23),0)</f>
        <v>257.01813559322034</v>
      </c>
      <c r="P27" s="352">
        <f>IFERROR((P7*'Enrollment Table'!P7+P11*'Enrollment Table'!P11+P15*'Enrollment Table'!P15+P19*'Enrollment Table'!P19+P23*'Enrollment Table'!P23)/('Enrollment Table'!P7+'Enrollment Table'!P11+'Enrollment Table'!P15+'Enrollment Table'!P19+'Enrollment Table'!P23),0)</f>
        <v>459.63</v>
      </c>
      <c r="Q27" s="352">
        <f>'Projection &amp; Rate Setting'!$D$40</f>
        <v>246.98578648941975</v>
      </c>
      <c r="R27">
        <f t="shared" si="1"/>
        <v>24</v>
      </c>
    </row>
    <row r="28" spans="2:18" x14ac:dyDescent="0.2">
      <c r="B28" t="str">
        <f>'2019 Data'!$R$10</f>
        <v>All Groups</v>
      </c>
      <c r="C28" t="str">
        <f>'2019 Data'!$K$7</f>
        <v>EE + F</v>
      </c>
      <c r="D28" t="str">
        <f t="shared" si="0"/>
        <v>All GroupsEE + F</v>
      </c>
      <c r="E28" s="352">
        <f>IFERROR((E8*'Enrollment Table'!E8+E12*'Enrollment Table'!E12+E16*'Enrollment Table'!E16+E20*'Enrollment Table'!E20+E24*'Enrollment Table'!E24)/('Enrollment Table'!E8+'Enrollment Table'!E12+'Enrollment Table'!E16+'Enrollment Table'!E20+'Enrollment Table'!E24),0)</f>
        <v>492.22237113402059</v>
      </c>
      <c r="F28" s="352">
        <f>IFERROR((F8*'Enrollment Table'!F8+F12*'Enrollment Table'!F12+F16*'Enrollment Table'!F16+F20*'Enrollment Table'!F20+F24*'Enrollment Table'!F24)/('Enrollment Table'!F8+'Enrollment Table'!F12+'Enrollment Table'!F16+'Enrollment Table'!F20+'Enrollment Table'!F24),0)</f>
        <v>232.97306701030928</v>
      </c>
      <c r="G28" s="352">
        <f>IFERROR((G8*'Enrollment Table'!G8+G12*'Enrollment Table'!G12+G16*'Enrollment Table'!G16+G20*'Enrollment Table'!G20+G24*'Enrollment Table'!G24)/('Enrollment Table'!G8+'Enrollment Table'!G12+'Enrollment Table'!G16+'Enrollment Table'!G20+'Enrollment Table'!G24),0)</f>
        <v>454.68984790874521</v>
      </c>
      <c r="H28" s="352">
        <f>IFERROR((H8*'Enrollment Table'!H8+H12*'Enrollment Table'!H12+H16*'Enrollment Table'!H16+H20*'Enrollment Table'!H20+H24*'Enrollment Table'!H24)/('Enrollment Table'!H8+'Enrollment Table'!H12+'Enrollment Table'!H16+'Enrollment Table'!H20+'Enrollment Table'!H24),0)</f>
        <v>849.77</v>
      </c>
      <c r="I28" s="352">
        <f>IFERROR((I8*'Enrollment Table'!I8+I12*'Enrollment Table'!I12+I16*'Enrollment Table'!I16+I20*'Enrollment Table'!I20+I24*'Enrollment Table'!I24)/('Enrollment Table'!I8+'Enrollment Table'!I12+'Enrollment Table'!I16+'Enrollment Table'!I20+'Enrollment Table'!I24),0)</f>
        <v>521.20670103092777</v>
      </c>
      <c r="J28" s="352">
        <f>IFERROR((J8*'Enrollment Table'!J8+J12*'Enrollment Table'!J12+J16*'Enrollment Table'!J16+J20*'Enrollment Table'!J20+J24*'Enrollment Table'!J24)/('Enrollment Table'!J8+'Enrollment Table'!J12+'Enrollment Table'!J16+'Enrollment Table'!J20+'Enrollment Table'!J24),0)</f>
        <v>246.69610824742267</v>
      </c>
      <c r="K28" s="352">
        <f>IFERROR((K8*'Enrollment Table'!K8+K12*'Enrollment Table'!K12+K16*'Enrollment Table'!K16+K20*'Enrollment Table'!K20+K24*'Enrollment Table'!K24)/('Enrollment Table'!K8+'Enrollment Table'!K12+'Enrollment Table'!K16+'Enrollment Table'!K20+'Enrollment Table'!K24),0)</f>
        <v>481.4635741444867</v>
      </c>
      <c r="L28" s="352">
        <f>IFERROR((L8*'Enrollment Table'!L8+L12*'Enrollment Table'!L12+L16*'Enrollment Table'!L16+L20*'Enrollment Table'!L20+L24*'Enrollment Table'!L24)/('Enrollment Table'!L8+'Enrollment Table'!L12+'Enrollment Table'!L16+'Enrollment Table'!L20+'Enrollment Table'!L24),0)</f>
        <v>899.81</v>
      </c>
      <c r="M28" s="352">
        <f>IFERROR((M8*'Enrollment Table'!M8+M12*'Enrollment Table'!M12+M16*'Enrollment Table'!M16+M20*'Enrollment Table'!M20+M24*'Enrollment Table'!M24)/('Enrollment Table'!M8+'Enrollment Table'!M12+'Enrollment Table'!M16+'Enrollment Table'!M20+'Enrollment Table'!M24),0)</f>
        <v>521.21753424657527</v>
      </c>
      <c r="N28" s="352">
        <f>IFERROR((N8*'Enrollment Table'!N8+N12*'Enrollment Table'!N12+N16*'Enrollment Table'!N16+N20*'Enrollment Table'!N20+N24*'Enrollment Table'!N24)/('Enrollment Table'!N8+'Enrollment Table'!N12+'Enrollment Table'!N16+'Enrollment Table'!N20+'Enrollment Table'!N24),0)</f>
        <v>246.69610824742267</v>
      </c>
      <c r="O28" s="352">
        <f>IFERROR((O8*'Enrollment Table'!O8+O12*'Enrollment Table'!O12+O16*'Enrollment Table'!O16+O20*'Enrollment Table'!O20+O24*'Enrollment Table'!O24)/('Enrollment Table'!O8+'Enrollment Table'!O12+'Enrollment Table'!O16+'Enrollment Table'!O20+'Enrollment Table'!O24),0)</f>
        <v>481.4635741444867</v>
      </c>
      <c r="P28" s="352">
        <f>IFERROR((P8*'Enrollment Table'!P8+P12*'Enrollment Table'!P12+P16*'Enrollment Table'!P16+P20*'Enrollment Table'!P20+P24*'Enrollment Table'!P24)/('Enrollment Table'!P8+'Enrollment Table'!P12+'Enrollment Table'!P16+'Enrollment Table'!P20+'Enrollment Table'!P24),0)</f>
        <v>899.81</v>
      </c>
      <c r="Q28" s="352">
        <f>'Projection &amp; Rate Setting'!$D$41</f>
        <v>432.20019367635962</v>
      </c>
      <c r="R28">
        <f t="shared" si="1"/>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enableFormatConditionsCalculation="0">
    <tabColor theme="2" tint="-0.249977111117893"/>
  </sheetPr>
  <dimension ref="A2:L118"/>
  <sheetViews>
    <sheetView showGridLines="0" workbookViewId="0"/>
  </sheetViews>
  <sheetFormatPr baseColWidth="10" defaultColWidth="8.83203125" defaultRowHeight="15" x14ac:dyDescent="0.2"/>
  <cols>
    <col min="2" max="2" width="20.5" bestFit="1" customWidth="1"/>
    <col min="3" max="3" width="16.5" bestFit="1" customWidth="1"/>
    <col min="4" max="7" width="20.1640625" style="853" customWidth="1"/>
    <col min="8" max="9" width="18.1640625" customWidth="1"/>
  </cols>
  <sheetData>
    <row r="2" spans="1:9" x14ac:dyDescent="0.2">
      <c r="D2" s="948" t="s">
        <v>1117</v>
      </c>
      <c r="E2" s="949"/>
      <c r="F2" s="949"/>
      <c r="G2" s="950"/>
    </row>
    <row r="3" spans="1:9" x14ac:dyDescent="0.2">
      <c r="A3">
        <v>1</v>
      </c>
      <c r="D3" s="854" t="str">
        <f t="array" ref="D3:G3">TRANSPOSE('Data Lists'!A2:A5)</f>
        <v>Plan 1</v>
      </c>
      <c r="E3" s="854" t="str">
        <v>Plan 2</v>
      </c>
      <c r="F3" s="854" t="str">
        <v>Plan 3</v>
      </c>
      <c r="G3" s="854" t="str">
        <v>Plan 4</v>
      </c>
      <c r="I3" s="853"/>
    </row>
    <row r="4" spans="1:9" x14ac:dyDescent="0.2">
      <c r="A4">
        <f>A3+1</f>
        <v>2</v>
      </c>
      <c r="B4" s="945" t="str">
        <f>'Data Lists'!$C$2</f>
        <v>Group A</v>
      </c>
      <c r="C4" s="855" t="str">
        <f>'Data Lists'!$B$2</f>
        <v>EE</v>
      </c>
      <c r="D4" s="856">
        <v>192</v>
      </c>
      <c r="E4" s="857">
        <v>158</v>
      </c>
      <c r="F4" s="857">
        <v>265</v>
      </c>
      <c r="G4" s="857">
        <v>13</v>
      </c>
      <c r="H4" s="858">
        <f t="shared" ref="H4:H23" si="0">SUM(D4:G4)</f>
        <v>628</v>
      </c>
      <c r="I4" s="901">
        <f>'Data Lists'!$E$2</f>
        <v>1</v>
      </c>
    </row>
    <row r="5" spans="1:9" x14ac:dyDescent="0.2">
      <c r="A5">
        <f t="shared" ref="A5:A26" si="1">A4+1</f>
        <v>3</v>
      </c>
      <c r="B5" s="946"/>
      <c r="C5" s="859" t="str">
        <f>'Data Lists'!$B$3</f>
        <v>EE + SP</v>
      </c>
      <c r="D5" s="860">
        <v>79</v>
      </c>
      <c r="E5" s="861">
        <v>51</v>
      </c>
      <c r="F5" s="861">
        <v>53</v>
      </c>
      <c r="G5" s="861">
        <v>0</v>
      </c>
      <c r="H5" s="858">
        <f t="shared" si="0"/>
        <v>183</v>
      </c>
      <c r="I5" s="901">
        <f>'Data Lists'!$E$3</f>
        <v>2</v>
      </c>
    </row>
    <row r="6" spans="1:9" x14ac:dyDescent="0.2">
      <c r="A6">
        <f t="shared" si="1"/>
        <v>4</v>
      </c>
      <c r="B6" s="946"/>
      <c r="C6" s="859" t="str">
        <f>'Data Lists'!$B$4</f>
        <v>EE + C</v>
      </c>
      <c r="D6" s="860">
        <v>74</v>
      </c>
      <c r="E6" s="861">
        <v>54</v>
      </c>
      <c r="F6" s="861">
        <v>50</v>
      </c>
      <c r="G6" s="861">
        <v>0</v>
      </c>
      <c r="H6" s="858">
        <f t="shared" si="0"/>
        <v>178</v>
      </c>
      <c r="I6" s="901">
        <f>'Data Lists'!$E$4</f>
        <v>1.8</v>
      </c>
    </row>
    <row r="7" spans="1:9" x14ac:dyDescent="0.2">
      <c r="A7">
        <f t="shared" si="1"/>
        <v>5</v>
      </c>
      <c r="B7" s="947"/>
      <c r="C7" s="862" t="str">
        <f>'Data Lists'!$B$5</f>
        <v>EE + F</v>
      </c>
      <c r="D7" s="863">
        <v>96</v>
      </c>
      <c r="E7" s="864">
        <v>105</v>
      </c>
      <c r="F7" s="864">
        <v>113</v>
      </c>
      <c r="G7" s="864">
        <v>1</v>
      </c>
      <c r="H7" s="858">
        <f t="shared" si="0"/>
        <v>315</v>
      </c>
      <c r="I7" s="901">
        <f>'Data Lists'!$E$5</f>
        <v>3.3</v>
      </c>
    </row>
    <row r="8" spans="1:9" x14ac:dyDescent="0.2">
      <c r="A8">
        <f t="shared" si="1"/>
        <v>6</v>
      </c>
      <c r="B8" s="945" t="str">
        <f>'Data Lists'!$C$3</f>
        <v>Group B</v>
      </c>
      <c r="C8" s="855" t="str">
        <f>'Data Lists'!$B$2</f>
        <v>EE</v>
      </c>
      <c r="D8" s="856">
        <v>99</v>
      </c>
      <c r="E8" s="857">
        <v>32</v>
      </c>
      <c r="F8" s="857">
        <v>19</v>
      </c>
      <c r="G8" s="857">
        <v>11</v>
      </c>
      <c r="H8" s="858">
        <f t="shared" si="0"/>
        <v>161</v>
      </c>
      <c r="I8" s="901">
        <f>'Data Lists'!$E$2</f>
        <v>1</v>
      </c>
    </row>
    <row r="9" spans="1:9" x14ac:dyDescent="0.2">
      <c r="A9">
        <f t="shared" si="1"/>
        <v>7</v>
      </c>
      <c r="B9" s="946"/>
      <c r="C9" s="859" t="str">
        <f>'Data Lists'!$B$3</f>
        <v>EE + SP</v>
      </c>
      <c r="D9" s="860">
        <v>20</v>
      </c>
      <c r="E9" s="861">
        <v>6</v>
      </c>
      <c r="F9" s="861">
        <v>4</v>
      </c>
      <c r="G9" s="861">
        <v>0</v>
      </c>
      <c r="H9" s="858">
        <f t="shared" si="0"/>
        <v>30</v>
      </c>
      <c r="I9" s="901">
        <f>'Data Lists'!$E$3</f>
        <v>2</v>
      </c>
    </row>
    <row r="10" spans="1:9" x14ac:dyDescent="0.2">
      <c r="A10">
        <f t="shared" si="1"/>
        <v>8</v>
      </c>
      <c r="B10" s="946"/>
      <c r="C10" s="859" t="str">
        <f>'Data Lists'!$B$4</f>
        <v>EE + C</v>
      </c>
      <c r="D10" s="860">
        <v>29</v>
      </c>
      <c r="E10" s="861">
        <v>9</v>
      </c>
      <c r="F10" s="861">
        <v>1</v>
      </c>
      <c r="G10" s="861">
        <v>0</v>
      </c>
      <c r="H10" s="858">
        <f t="shared" si="0"/>
        <v>39</v>
      </c>
      <c r="I10" s="901">
        <f>'Data Lists'!$E$4</f>
        <v>1.8</v>
      </c>
    </row>
    <row r="11" spans="1:9" x14ac:dyDescent="0.2">
      <c r="A11">
        <f t="shared" si="1"/>
        <v>9</v>
      </c>
      <c r="B11" s="947"/>
      <c r="C11" s="862" t="str">
        <f>'Data Lists'!$B$5</f>
        <v>EE + F</v>
      </c>
      <c r="D11" s="863">
        <v>21</v>
      </c>
      <c r="E11" s="864">
        <v>12</v>
      </c>
      <c r="F11" s="864">
        <v>4</v>
      </c>
      <c r="G11" s="864">
        <v>0</v>
      </c>
      <c r="H11" s="858">
        <f t="shared" si="0"/>
        <v>37</v>
      </c>
      <c r="I11" s="901">
        <f>'Data Lists'!$E$5</f>
        <v>3.3</v>
      </c>
    </row>
    <row r="12" spans="1:9" x14ac:dyDescent="0.2">
      <c r="A12">
        <f t="shared" si="1"/>
        <v>10</v>
      </c>
      <c r="B12" s="945" t="str">
        <f>'Data Lists'!$C$4</f>
        <v>Group C</v>
      </c>
      <c r="C12" s="855" t="str">
        <f>'Data Lists'!$B$2</f>
        <v>EE</v>
      </c>
      <c r="D12" s="856">
        <v>537</v>
      </c>
      <c r="E12" s="857">
        <v>430</v>
      </c>
      <c r="F12" s="857">
        <v>248</v>
      </c>
      <c r="G12" s="857">
        <v>93</v>
      </c>
      <c r="H12" s="858">
        <f t="shared" si="0"/>
        <v>1308</v>
      </c>
      <c r="I12" s="901">
        <f>'Data Lists'!$E$2</f>
        <v>1</v>
      </c>
    </row>
    <row r="13" spans="1:9" x14ac:dyDescent="0.2">
      <c r="A13">
        <f t="shared" si="1"/>
        <v>11</v>
      </c>
      <c r="B13" s="946"/>
      <c r="C13" s="859" t="str">
        <f>'Data Lists'!$B$3</f>
        <v>EE + SP</v>
      </c>
      <c r="D13" s="860">
        <v>175</v>
      </c>
      <c r="E13" s="861">
        <v>52</v>
      </c>
      <c r="F13" s="861">
        <v>38</v>
      </c>
      <c r="G13" s="861">
        <v>3</v>
      </c>
      <c r="H13" s="858">
        <f t="shared" si="0"/>
        <v>268</v>
      </c>
      <c r="I13" s="901">
        <f>'Data Lists'!$E$3</f>
        <v>2</v>
      </c>
    </row>
    <row r="14" spans="1:9" x14ac:dyDescent="0.2">
      <c r="A14">
        <f t="shared" si="1"/>
        <v>12</v>
      </c>
      <c r="B14" s="946"/>
      <c r="C14" s="859" t="str">
        <f>'Data Lists'!$B$4</f>
        <v>EE + C</v>
      </c>
      <c r="D14" s="860">
        <v>158</v>
      </c>
      <c r="E14" s="861">
        <v>82</v>
      </c>
      <c r="F14" s="861">
        <v>60</v>
      </c>
      <c r="G14" s="861">
        <v>1</v>
      </c>
      <c r="H14" s="858">
        <f t="shared" si="0"/>
        <v>301</v>
      </c>
      <c r="I14" s="901">
        <f>'Data Lists'!$E$4</f>
        <v>1.8</v>
      </c>
    </row>
    <row r="15" spans="1:9" x14ac:dyDescent="0.2">
      <c r="A15">
        <f t="shared" si="1"/>
        <v>13</v>
      </c>
      <c r="B15" s="947"/>
      <c r="C15" s="862" t="str">
        <f>'Data Lists'!$B$5</f>
        <v>EE + F</v>
      </c>
      <c r="D15" s="863">
        <v>177</v>
      </c>
      <c r="E15" s="864">
        <v>103</v>
      </c>
      <c r="F15" s="864">
        <v>94</v>
      </c>
      <c r="G15" s="864">
        <v>2</v>
      </c>
      <c r="H15" s="858">
        <f t="shared" si="0"/>
        <v>376</v>
      </c>
      <c r="I15" s="901">
        <f>'Data Lists'!$E$5</f>
        <v>3.3</v>
      </c>
    </row>
    <row r="16" spans="1:9" x14ac:dyDescent="0.2">
      <c r="A16">
        <f t="shared" si="1"/>
        <v>14</v>
      </c>
      <c r="B16" s="945" t="str">
        <f>'Data Lists'!$C$5</f>
        <v>Group D</v>
      </c>
      <c r="C16" s="855" t="str">
        <f>'Data Lists'!$B$2</f>
        <v>EE</v>
      </c>
      <c r="D16" s="860">
        <v>452</v>
      </c>
      <c r="E16" s="861">
        <v>282</v>
      </c>
      <c r="F16" s="861">
        <v>108</v>
      </c>
      <c r="G16" s="861">
        <v>14</v>
      </c>
      <c r="H16" s="858">
        <f t="shared" si="0"/>
        <v>856</v>
      </c>
      <c r="I16" s="901">
        <f>'Data Lists'!$E$2</f>
        <v>1</v>
      </c>
    </row>
    <row r="17" spans="1:10" x14ac:dyDescent="0.2">
      <c r="A17">
        <f t="shared" si="1"/>
        <v>15</v>
      </c>
      <c r="B17" s="946"/>
      <c r="C17" s="859" t="str">
        <f>'Data Lists'!$B$3</f>
        <v>EE + SP</v>
      </c>
      <c r="D17" s="860">
        <v>158</v>
      </c>
      <c r="E17" s="861">
        <v>57</v>
      </c>
      <c r="F17" s="861">
        <v>20</v>
      </c>
      <c r="G17" s="861">
        <v>0</v>
      </c>
      <c r="H17" s="858">
        <f t="shared" si="0"/>
        <v>235</v>
      </c>
      <c r="I17" s="901">
        <f>'Data Lists'!$E$3</f>
        <v>2</v>
      </c>
    </row>
    <row r="18" spans="1:10" x14ac:dyDescent="0.2">
      <c r="A18">
        <f t="shared" si="1"/>
        <v>16</v>
      </c>
      <c r="B18" s="946"/>
      <c r="C18" s="859" t="str">
        <f>'Data Lists'!$B$4</f>
        <v>EE + C</v>
      </c>
      <c r="D18" s="860">
        <v>142</v>
      </c>
      <c r="E18" s="861">
        <v>97</v>
      </c>
      <c r="F18" s="861">
        <v>33</v>
      </c>
      <c r="G18" s="861">
        <v>0</v>
      </c>
      <c r="H18" s="858">
        <f t="shared" si="0"/>
        <v>272</v>
      </c>
      <c r="I18" s="901">
        <f>'Data Lists'!$E$4</f>
        <v>1.8</v>
      </c>
    </row>
    <row r="19" spans="1:10" x14ac:dyDescent="0.2">
      <c r="A19">
        <f t="shared" si="1"/>
        <v>17</v>
      </c>
      <c r="B19" s="947"/>
      <c r="C19" s="862" t="str">
        <f>'Data Lists'!$B$5</f>
        <v>EE + F</v>
      </c>
      <c r="D19" s="863">
        <v>162</v>
      </c>
      <c r="E19" s="864">
        <v>105</v>
      </c>
      <c r="F19" s="864">
        <v>21</v>
      </c>
      <c r="G19" s="864">
        <v>0</v>
      </c>
      <c r="H19" s="858">
        <f t="shared" si="0"/>
        <v>288</v>
      </c>
      <c r="I19" s="901">
        <f>'Data Lists'!$E$5</f>
        <v>3.3</v>
      </c>
    </row>
    <row r="20" spans="1:10" x14ac:dyDescent="0.2">
      <c r="A20">
        <f t="shared" si="1"/>
        <v>18</v>
      </c>
      <c r="B20" s="945" t="str">
        <f>'Data Lists'!$C$6</f>
        <v>Group E</v>
      </c>
      <c r="C20" s="855" t="str">
        <f>'Data Lists'!$B$2</f>
        <v>EE</v>
      </c>
      <c r="D20" s="860">
        <v>249</v>
      </c>
      <c r="E20" s="861">
        <v>161</v>
      </c>
      <c r="F20" s="861">
        <v>132</v>
      </c>
      <c r="G20" s="861">
        <v>16</v>
      </c>
      <c r="H20" s="858">
        <f t="shared" si="0"/>
        <v>558</v>
      </c>
      <c r="I20" s="901">
        <f>'Data Lists'!$E$2</f>
        <v>1</v>
      </c>
    </row>
    <row r="21" spans="1:10" x14ac:dyDescent="0.2">
      <c r="A21">
        <f t="shared" si="1"/>
        <v>19</v>
      </c>
      <c r="B21" s="946"/>
      <c r="C21" s="859" t="str">
        <f>'Data Lists'!$B$3</f>
        <v>EE + SP</v>
      </c>
      <c r="D21" s="860">
        <v>154</v>
      </c>
      <c r="E21" s="861">
        <v>27</v>
      </c>
      <c r="F21" s="861">
        <v>29</v>
      </c>
      <c r="G21" s="861">
        <v>0</v>
      </c>
      <c r="H21" s="858">
        <f t="shared" si="0"/>
        <v>210</v>
      </c>
      <c r="I21" s="901">
        <f>'Data Lists'!$E$3</f>
        <v>2</v>
      </c>
    </row>
    <row r="22" spans="1:10" x14ac:dyDescent="0.2">
      <c r="A22">
        <f t="shared" si="1"/>
        <v>20</v>
      </c>
      <c r="B22" s="946"/>
      <c r="C22" s="859" t="str">
        <f>'Data Lists'!$B$4</f>
        <v>EE + C</v>
      </c>
      <c r="D22" s="860">
        <v>109</v>
      </c>
      <c r="E22" s="861">
        <v>29</v>
      </c>
      <c r="F22" s="861">
        <v>33</v>
      </c>
      <c r="G22" s="861">
        <v>0</v>
      </c>
      <c r="H22" s="858">
        <f t="shared" si="0"/>
        <v>171</v>
      </c>
      <c r="I22" s="901">
        <f>'Data Lists'!$E$4</f>
        <v>1.8</v>
      </c>
    </row>
    <row r="23" spans="1:10" x14ac:dyDescent="0.2">
      <c r="A23">
        <f t="shared" si="1"/>
        <v>21</v>
      </c>
      <c r="B23" s="947"/>
      <c r="C23" s="862" t="str">
        <f>'Data Lists'!$B$5</f>
        <v>EE + F</v>
      </c>
      <c r="D23" s="863">
        <v>126</v>
      </c>
      <c r="E23" s="864">
        <v>63</v>
      </c>
      <c r="F23" s="864">
        <v>31</v>
      </c>
      <c r="G23" s="864">
        <v>0</v>
      </c>
      <c r="H23" s="858">
        <f t="shared" si="0"/>
        <v>220</v>
      </c>
      <c r="I23" s="901">
        <f>'Data Lists'!$E$5</f>
        <v>3.3</v>
      </c>
    </row>
    <row r="24" spans="1:10" x14ac:dyDescent="0.2">
      <c r="A24">
        <f t="shared" si="1"/>
        <v>22</v>
      </c>
      <c r="C24" s="866" t="s">
        <v>403</v>
      </c>
      <c r="D24" s="884">
        <f>SUM(D4:D23)</f>
        <v>3209</v>
      </c>
      <c r="E24" s="858">
        <f>SUM(E4:E23)</f>
        <v>1915</v>
      </c>
      <c r="F24" s="858">
        <f>SUM(F4:F23)</f>
        <v>1356</v>
      </c>
      <c r="G24" s="858">
        <f>SUM(G4:G23)</f>
        <v>154</v>
      </c>
      <c r="H24" s="858">
        <f>SUM(H4:H23)</f>
        <v>6634</v>
      </c>
      <c r="I24" s="858">
        <f>SUMPRODUCT(H4:H23,I4:I23)</f>
        <v>11171.599999999999</v>
      </c>
      <c r="J24" s="903">
        <f>I24/H24</f>
        <v>1.6839915586373226</v>
      </c>
    </row>
    <row r="25" spans="1:10" x14ac:dyDescent="0.2">
      <c r="A25">
        <f t="shared" si="1"/>
        <v>23</v>
      </c>
      <c r="C25" s="866" t="s">
        <v>119</v>
      </c>
      <c r="D25" s="867">
        <f>Core_Control!I$18</f>
        <v>0.85748021750474868</v>
      </c>
      <c r="E25" s="867">
        <f>Core_Control!J$18</f>
        <v>0.8130326515968892</v>
      </c>
      <c r="F25" s="867">
        <f>Core_Control!K$18</f>
        <v>0.79787783481515973</v>
      </c>
      <c r="G25" s="867">
        <f>Core_Control!L$18</f>
        <v>0.61861902276933822</v>
      </c>
      <c r="H25" s="868"/>
    </row>
    <row r="26" spans="1:10" x14ac:dyDescent="0.2">
      <c r="A26">
        <f t="shared" si="1"/>
        <v>24</v>
      </c>
      <c r="C26" t="s">
        <v>1174</v>
      </c>
      <c r="D26" s="876">
        <f>SUMPRODUCT(D4:D23,D54:D73)/SUM(D4:D23)</f>
        <v>942.01581177937032</v>
      </c>
      <c r="E26" s="876">
        <f>SUMPRODUCT(E4:E23,E54:E73)/SUM(E4:E23)</f>
        <v>749.93289817232392</v>
      </c>
      <c r="F26" s="876">
        <f>SUMPRODUCT(F4:F23,F54:F73)/SUM(F4:F23)</f>
        <v>910.71003687315635</v>
      </c>
      <c r="G26" s="876">
        <f>SUMPRODUCT(G4:G23,G54:G73)/SUM(G4:G23)</f>
        <v>412.22876623376618</v>
      </c>
      <c r="H26" s="869"/>
    </row>
    <row r="28" spans="1:10" x14ac:dyDescent="0.2">
      <c r="D28" s="948" t="s">
        <v>1118</v>
      </c>
      <c r="E28" s="949"/>
      <c r="F28" s="949"/>
      <c r="G28" s="950"/>
    </row>
    <row r="29" spans="1:10" x14ac:dyDescent="0.2">
      <c r="B29" s="858"/>
      <c r="D29" s="854" t="str">
        <f>D$3</f>
        <v>Plan 1</v>
      </c>
      <c r="E29" s="896" t="str">
        <f>E$3</f>
        <v>Plan 2</v>
      </c>
      <c r="F29" s="896" t="str">
        <f>F$3</f>
        <v>Plan 3</v>
      </c>
      <c r="G29" s="896" t="str">
        <f>G$3</f>
        <v>Plan 4</v>
      </c>
    </row>
    <row r="30" spans="1:10" x14ac:dyDescent="0.2">
      <c r="B30" s="945" t="str">
        <f>'Data Lists'!$C$2</f>
        <v>Group A</v>
      </c>
      <c r="C30" s="855" t="str">
        <f>'Data Lists'!$B$2</f>
        <v>EE</v>
      </c>
      <c r="D30" s="870">
        <v>118.21</v>
      </c>
      <c r="E30" s="871">
        <v>51.78</v>
      </c>
      <c r="F30" s="871">
        <v>102.44</v>
      </c>
      <c r="G30" s="871">
        <v>96.07</v>
      </c>
    </row>
    <row r="31" spans="1:10" x14ac:dyDescent="0.2">
      <c r="B31" s="946"/>
      <c r="C31" s="859" t="str">
        <f>'Data Lists'!$B$3</f>
        <v>EE + SP</v>
      </c>
      <c r="D31" s="872">
        <v>358.54</v>
      </c>
      <c r="E31" s="873">
        <v>183</v>
      </c>
      <c r="F31" s="873">
        <v>325.52</v>
      </c>
      <c r="G31" s="873">
        <v>563.80999999999995</v>
      </c>
    </row>
    <row r="32" spans="1:10" x14ac:dyDescent="0.2">
      <c r="B32" s="946"/>
      <c r="C32" s="859" t="str">
        <f>'Data Lists'!$B$4</f>
        <v>EE + C</v>
      </c>
      <c r="D32" s="872">
        <v>291.16000000000003</v>
      </c>
      <c r="E32" s="873">
        <v>138.58000000000001</v>
      </c>
      <c r="F32" s="873">
        <v>250.21</v>
      </c>
      <c r="G32" s="873">
        <v>434.07</v>
      </c>
    </row>
    <row r="33" spans="2:7" x14ac:dyDescent="0.2">
      <c r="B33" s="947"/>
      <c r="C33" s="862" t="str">
        <f>'Data Lists'!$B$5</f>
        <v>EE + F</v>
      </c>
      <c r="D33" s="874">
        <v>512.37</v>
      </c>
      <c r="E33" s="875">
        <v>239.2</v>
      </c>
      <c r="F33" s="875">
        <v>463.45</v>
      </c>
      <c r="G33" s="875">
        <v>849.77</v>
      </c>
    </row>
    <row r="34" spans="2:7" x14ac:dyDescent="0.2">
      <c r="B34" s="945" t="str">
        <f>'Data Lists'!$C$3</f>
        <v>Group B</v>
      </c>
      <c r="C34" s="855" t="str">
        <f>'Data Lists'!$B$2</f>
        <v>EE</v>
      </c>
      <c r="D34" s="870">
        <v>124.8</v>
      </c>
      <c r="E34" s="871">
        <v>51.78</v>
      </c>
      <c r="F34" s="871">
        <v>102.44</v>
      </c>
      <c r="G34" s="871">
        <v>96.07</v>
      </c>
    </row>
    <row r="35" spans="2:7" x14ac:dyDescent="0.2">
      <c r="B35" s="946"/>
      <c r="C35" s="859" t="str">
        <f>'Data Lists'!$B$3</f>
        <v>EE + SP</v>
      </c>
      <c r="D35" s="872">
        <v>340.99</v>
      </c>
      <c r="E35" s="873">
        <v>183</v>
      </c>
      <c r="F35" s="873">
        <v>325.52</v>
      </c>
      <c r="G35" s="873">
        <v>563.80999999999995</v>
      </c>
    </row>
    <row r="36" spans="2:7" x14ac:dyDescent="0.2">
      <c r="B36" s="946"/>
      <c r="C36" s="859" t="str">
        <f>'Data Lists'!$B$4</f>
        <v>EE + C</v>
      </c>
      <c r="D36" s="872">
        <v>284.44</v>
      </c>
      <c r="E36" s="873">
        <v>138.58000000000001</v>
      </c>
      <c r="F36" s="873">
        <v>250.21</v>
      </c>
      <c r="G36" s="873">
        <v>434.07</v>
      </c>
    </row>
    <row r="37" spans="2:7" x14ac:dyDescent="0.2">
      <c r="B37" s="947"/>
      <c r="C37" s="862" t="str">
        <f>'Data Lists'!$B$5</f>
        <v>EE + F</v>
      </c>
      <c r="D37" s="874">
        <v>478.05</v>
      </c>
      <c r="E37" s="875">
        <v>239.2</v>
      </c>
      <c r="F37" s="875">
        <v>463.45</v>
      </c>
      <c r="G37" s="875">
        <v>849.77</v>
      </c>
    </row>
    <row r="38" spans="2:7" x14ac:dyDescent="0.2">
      <c r="B38" s="945" t="str">
        <f>'Data Lists'!$C$4</f>
        <v>Group C</v>
      </c>
      <c r="C38" s="855" t="str">
        <f>'Data Lists'!$B$2</f>
        <v>EE</v>
      </c>
      <c r="D38" s="870">
        <v>118.21</v>
      </c>
      <c r="E38" s="871">
        <v>51.78</v>
      </c>
      <c r="F38" s="871">
        <v>102.44</v>
      </c>
      <c r="G38" s="871">
        <v>96.07</v>
      </c>
    </row>
    <row r="39" spans="2:7" x14ac:dyDescent="0.2">
      <c r="B39" s="946"/>
      <c r="C39" s="859" t="str">
        <f>'Data Lists'!$B$3</f>
        <v>EE + SP</v>
      </c>
      <c r="D39" s="872">
        <v>358.54</v>
      </c>
      <c r="E39" s="873">
        <v>183</v>
      </c>
      <c r="F39" s="873">
        <v>325.52</v>
      </c>
      <c r="G39" s="873">
        <v>563.80999999999995</v>
      </c>
    </row>
    <row r="40" spans="2:7" x14ac:dyDescent="0.2">
      <c r="B40" s="946"/>
      <c r="C40" s="859" t="str">
        <f>'Data Lists'!$B$4</f>
        <v>EE + C</v>
      </c>
      <c r="D40" s="872">
        <v>291.16000000000003</v>
      </c>
      <c r="E40" s="873">
        <v>138.58000000000001</v>
      </c>
      <c r="F40" s="873">
        <v>250.21</v>
      </c>
      <c r="G40" s="873">
        <v>434.07</v>
      </c>
    </row>
    <row r="41" spans="2:7" x14ac:dyDescent="0.2">
      <c r="B41" s="947"/>
      <c r="C41" s="862" t="str">
        <f>'Data Lists'!$B$5</f>
        <v>EE + F</v>
      </c>
      <c r="D41" s="874">
        <v>512.37</v>
      </c>
      <c r="E41" s="875">
        <v>239.2</v>
      </c>
      <c r="F41" s="875">
        <v>463.45</v>
      </c>
      <c r="G41" s="875">
        <v>849.77</v>
      </c>
    </row>
    <row r="42" spans="2:7" x14ac:dyDescent="0.2">
      <c r="B42" s="945" t="str">
        <f>'Data Lists'!$C$5</f>
        <v>Group D</v>
      </c>
      <c r="C42" s="855" t="str">
        <f>'Data Lists'!$B$2</f>
        <v>EE</v>
      </c>
      <c r="D42" s="872">
        <v>130.56</v>
      </c>
      <c r="E42" s="873">
        <v>51.78</v>
      </c>
      <c r="F42" s="873">
        <v>102.44</v>
      </c>
      <c r="G42" s="871">
        <v>96.07</v>
      </c>
    </row>
    <row r="43" spans="2:7" x14ac:dyDescent="0.2">
      <c r="B43" s="946"/>
      <c r="C43" s="859" t="str">
        <f>'Data Lists'!$B$3</f>
        <v>EE + SP</v>
      </c>
      <c r="D43" s="872">
        <v>386.4</v>
      </c>
      <c r="E43" s="873">
        <v>183</v>
      </c>
      <c r="F43" s="873">
        <v>325.52</v>
      </c>
      <c r="G43" s="873">
        <v>563.80999999999995</v>
      </c>
    </row>
    <row r="44" spans="2:7" x14ac:dyDescent="0.2">
      <c r="B44" s="946"/>
      <c r="C44" s="859" t="str">
        <f>'Data Lists'!$B$4</f>
        <v>EE + C</v>
      </c>
      <c r="D44" s="872">
        <v>323.87</v>
      </c>
      <c r="E44" s="873">
        <v>138.58000000000001</v>
      </c>
      <c r="F44" s="873">
        <v>250.21</v>
      </c>
      <c r="G44" s="873">
        <v>434.07</v>
      </c>
    </row>
    <row r="45" spans="2:7" x14ac:dyDescent="0.2">
      <c r="B45" s="947"/>
      <c r="C45" s="862" t="str">
        <f>'Data Lists'!$B$5</f>
        <v>EE + F</v>
      </c>
      <c r="D45" s="874">
        <v>545.61</v>
      </c>
      <c r="E45" s="875">
        <v>239.2</v>
      </c>
      <c r="F45" s="875">
        <v>463.45</v>
      </c>
      <c r="G45" s="875">
        <v>849.77</v>
      </c>
    </row>
    <row r="46" spans="2:7" x14ac:dyDescent="0.2">
      <c r="B46" s="945" t="str">
        <f>'Data Lists'!$C$6</f>
        <v>Group E</v>
      </c>
      <c r="C46" s="855" t="str">
        <f>'Data Lists'!$B$2</f>
        <v>EE</v>
      </c>
      <c r="D46" s="872">
        <v>91.48</v>
      </c>
      <c r="E46" s="873">
        <v>43.46</v>
      </c>
      <c r="F46" s="873">
        <v>86.02</v>
      </c>
      <c r="G46" s="871">
        <v>96.07</v>
      </c>
    </row>
    <row r="47" spans="2:7" x14ac:dyDescent="0.2">
      <c r="B47" s="946"/>
      <c r="C47" s="859" t="str">
        <f>'Data Lists'!$B$3</f>
        <v>EE + SP</v>
      </c>
      <c r="D47" s="872">
        <v>270.75</v>
      </c>
      <c r="E47" s="873">
        <v>153.66</v>
      </c>
      <c r="F47" s="873">
        <v>273.35000000000002</v>
      </c>
      <c r="G47" s="873">
        <v>563.80999999999995</v>
      </c>
    </row>
    <row r="48" spans="2:7" x14ac:dyDescent="0.2">
      <c r="B48" s="946"/>
      <c r="C48" s="859" t="str">
        <f>'Data Lists'!$B$4</f>
        <v>EE + C</v>
      </c>
      <c r="D48" s="872">
        <v>226.94</v>
      </c>
      <c r="E48" s="873">
        <v>116.35</v>
      </c>
      <c r="F48" s="873">
        <v>210.08</v>
      </c>
      <c r="G48" s="873">
        <v>434.07</v>
      </c>
    </row>
    <row r="49" spans="2:12" x14ac:dyDescent="0.2">
      <c r="B49" s="947"/>
      <c r="C49" s="862" t="str">
        <f>'Data Lists'!$B$5</f>
        <v>EE + F</v>
      </c>
      <c r="D49" s="874">
        <v>382.29</v>
      </c>
      <c r="E49" s="875">
        <v>200.85</v>
      </c>
      <c r="F49" s="875">
        <v>389.13</v>
      </c>
      <c r="G49" s="875">
        <v>849.77</v>
      </c>
    </row>
    <row r="52" spans="2:12" x14ac:dyDescent="0.2">
      <c r="D52" s="948" t="s">
        <v>1119</v>
      </c>
      <c r="E52" s="949"/>
      <c r="F52" s="949"/>
      <c r="G52" s="950"/>
    </row>
    <row r="53" spans="2:12" x14ac:dyDescent="0.2">
      <c r="B53" s="858"/>
      <c r="D53" s="896" t="str">
        <f>D$3</f>
        <v>Plan 1</v>
      </c>
      <c r="E53" s="896" t="str">
        <f>E$3</f>
        <v>Plan 2</v>
      </c>
      <c r="F53" s="896" t="str">
        <f>F$3</f>
        <v>Plan 3</v>
      </c>
      <c r="G53" s="896" t="str">
        <f>G$3</f>
        <v>Plan 4</v>
      </c>
      <c r="H53" s="912" t="str">
        <f>D53</f>
        <v>Plan 1</v>
      </c>
      <c r="I53" s="912" t="str">
        <f>E53</f>
        <v>Plan 2</v>
      </c>
      <c r="J53" s="912" t="str">
        <f>F53</f>
        <v>Plan 3</v>
      </c>
      <c r="K53" s="912" t="str">
        <f>G53</f>
        <v>Plan 4</v>
      </c>
      <c r="L53">
        <v>1</v>
      </c>
    </row>
    <row r="54" spans="2:12" x14ac:dyDescent="0.2">
      <c r="B54" s="945" t="str">
        <f>'Data Lists'!$C$2</f>
        <v>Group A</v>
      </c>
      <c r="C54" s="855" t="str">
        <f>'Data Lists'!$B$2</f>
        <v>EE</v>
      </c>
      <c r="D54" s="870">
        <v>450.66</v>
      </c>
      <c r="E54" s="871">
        <v>452.29</v>
      </c>
      <c r="F54" s="871">
        <v>542.78</v>
      </c>
      <c r="G54" s="871">
        <v>386.24</v>
      </c>
      <c r="H54" s="373">
        <f>D54/$D$54</f>
        <v>1</v>
      </c>
      <c r="I54" s="373">
        <f>E54/$E$54</f>
        <v>1</v>
      </c>
      <c r="J54" s="373">
        <f>F54/$F$54</f>
        <v>1</v>
      </c>
      <c r="K54" s="373">
        <f>G54/$G$54</f>
        <v>1</v>
      </c>
      <c r="L54">
        <f>L53+1</f>
        <v>2</v>
      </c>
    </row>
    <row r="55" spans="2:12" x14ac:dyDescent="0.2">
      <c r="B55" s="946"/>
      <c r="C55" s="859" t="str">
        <f>'Data Lists'!$B$3</f>
        <v>EE + SP</v>
      </c>
      <c r="D55" s="872">
        <v>1043.26</v>
      </c>
      <c r="E55" s="873">
        <v>1004.81</v>
      </c>
      <c r="F55" s="873">
        <v>1255.1400000000001</v>
      </c>
      <c r="G55" s="873">
        <v>853.99</v>
      </c>
      <c r="H55" s="373">
        <f>D55/$D$54</f>
        <v>2.3149602804775218</v>
      </c>
      <c r="I55" s="373">
        <f>E55/$E$54</f>
        <v>2.2216056070220431</v>
      </c>
      <c r="J55" s="373">
        <f>F55/$F$54</f>
        <v>2.3124286082759133</v>
      </c>
      <c r="K55" s="373">
        <f>G55/$G$54</f>
        <v>2.2110345898922947</v>
      </c>
      <c r="L55">
        <f t="shared" ref="L55:L73" si="2">L54+1</f>
        <v>3</v>
      </c>
    </row>
    <row r="56" spans="2:12" x14ac:dyDescent="0.2">
      <c r="B56" s="946"/>
      <c r="C56" s="859" t="str">
        <f>'Data Lists'!$B$4</f>
        <v>EE + C</v>
      </c>
      <c r="D56" s="872">
        <v>876.5</v>
      </c>
      <c r="E56" s="873">
        <v>867.78</v>
      </c>
      <c r="F56" s="873">
        <v>1051.53</v>
      </c>
      <c r="G56" s="873">
        <v>724.22</v>
      </c>
      <c r="H56" s="373">
        <f>D56/$D$54</f>
        <v>1.9449252207872896</v>
      </c>
      <c r="I56" s="373">
        <f>E56/$E$54</f>
        <v>1.9186362731875566</v>
      </c>
      <c r="J56" s="373">
        <f>F56/$F$54</f>
        <v>1.9373042484984708</v>
      </c>
      <c r="K56" s="373">
        <f>G56/$G$54</f>
        <v>1.8750517812758907</v>
      </c>
      <c r="L56">
        <f t="shared" si="2"/>
        <v>4</v>
      </c>
    </row>
    <row r="57" spans="2:12" x14ac:dyDescent="0.2">
      <c r="B57" s="947"/>
      <c r="C57" s="862" t="str">
        <f>'Data Lists'!$B$5</f>
        <v>EE + F</v>
      </c>
      <c r="D57" s="874">
        <v>1421.79</v>
      </c>
      <c r="E57" s="875">
        <v>1356.29</v>
      </c>
      <c r="F57" s="875">
        <v>1707.36</v>
      </c>
      <c r="G57" s="875">
        <v>1139.92</v>
      </c>
      <c r="H57" s="373">
        <f>D57/$D$54</f>
        <v>3.1549061376647582</v>
      </c>
      <c r="I57" s="373">
        <f>E57/$E$54</f>
        <v>2.9987176369143689</v>
      </c>
      <c r="J57" s="373">
        <f>F57/$F$54</f>
        <v>3.1455838461255019</v>
      </c>
      <c r="K57" s="373">
        <f>G57/$G$54</f>
        <v>2.9513256006628006</v>
      </c>
      <c r="L57">
        <f t="shared" si="2"/>
        <v>5</v>
      </c>
    </row>
    <row r="58" spans="2:12" x14ac:dyDescent="0.2">
      <c r="B58" s="945" t="str">
        <f>'Data Lists'!$C$3</f>
        <v>Group B</v>
      </c>
      <c r="C58" s="855" t="str">
        <f>'Data Lists'!$B$2</f>
        <v>EE</v>
      </c>
      <c r="D58" s="870">
        <v>497.18</v>
      </c>
      <c r="E58" s="871">
        <v>452.29</v>
      </c>
      <c r="F58" s="871">
        <v>542.78</v>
      </c>
      <c r="G58" s="871">
        <v>386.24</v>
      </c>
      <c r="H58" s="373">
        <f>D58/$D$58</f>
        <v>1</v>
      </c>
      <c r="I58" s="373">
        <f>E58/$E$58</f>
        <v>1</v>
      </c>
      <c r="J58" s="373">
        <f>F58/$F$58</f>
        <v>1</v>
      </c>
      <c r="K58" s="373">
        <f>G58/$G$58</f>
        <v>1</v>
      </c>
      <c r="L58">
        <f t="shared" si="2"/>
        <v>6</v>
      </c>
    </row>
    <row r="59" spans="2:12" x14ac:dyDescent="0.2">
      <c r="B59" s="946"/>
      <c r="C59" s="859" t="str">
        <f>'Data Lists'!$B$3</f>
        <v>EE + SP</v>
      </c>
      <c r="D59" s="872">
        <v>1150.26</v>
      </c>
      <c r="E59" s="873">
        <v>1004.81</v>
      </c>
      <c r="F59" s="873">
        <v>1255.1400000000001</v>
      </c>
      <c r="G59" s="873">
        <v>853.99</v>
      </c>
      <c r="H59" s="373">
        <f>D59/$D$58</f>
        <v>2.3135685264894001</v>
      </c>
      <c r="I59" s="373">
        <f>E59/$E$58</f>
        <v>2.2216056070220431</v>
      </c>
      <c r="J59" s="373">
        <f>F59/$F$58</f>
        <v>2.3124286082759133</v>
      </c>
      <c r="K59" s="373">
        <f>G59/$G$58</f>
        <v>2.2110345898922947</v>
      </c>
      <c r="L59">
        <f t="shared" si="2"/>
        <v>7</v>
      </c>
    </row>
    <row r="60" spans="2:12" x14ac:dyDescent="0.2">
      <c r="B60" s="946"/>
      <c r="C60" s="859" t="str">
        <f>'Data Lists'!$B$4</f>
        <v>EE + C</v>
      </c>
      <c r="D60" s="872">
        <v>964.89</v>
      </c>
      <c r="E60" s="873">
        <v>867.78</v>
      </c>
      <c r="F60" s="873">
        <v>1051.53</v>
      </c>
      <c r="G60" s="873">
        <v>724.22</v>
      </c>
      <c r="H60" s="373">
        <f>D60/$D$58</f>
        <v>1.940725692908001</v>
      </c>
      <c r="I60" s="373">
        <f>E60/$E$58</f>
        <v>1.9186362731875566</v>
      </c>
      <c r="J60" s="373">
        <f>F60/$F$58</f>
        <v>1.9373042484984708</v>
      </c>
      <c r="K60" s="373">
        <f>G60/$G$58</f>
        <v>1.8750517812758907</v>
      </c>
      <c r="L60">
        <f t="shared" si="2"/>
        <v>8</v>
      </c>
    </row>
    <row r="61" spans="2:12" x14ac:dyDescent="0.2">
      <c r="B61" s="947"/>
      <c r="C61" s="862" t="str">
        <f>'Data Lists'!$B$5</f>
        <v>EE + F</v>
      </c>
      <c r="D61" s="874">
        <v>1566</v>
      </c>
      <c r="E61" s="875">
        <v>1356.29</v>
      </c>
      <c r="F61" s="875">
        <v>1707.36</v>
      </c>
      <c r="G61" s="875">
        <v>1139.92</v>
      </c>
      <c r="H61" s="373">
        <f>D61/$D$58</f>
        <v>3.1497646727543342</v>
      </c>
      <c r="I61" s="373">
        <f>E61/$E$58</f>
        <v>2.9987176369143689</v>
      </c>
      <c r="J61" s="373">
        <f>F61/$F$58</f>
        <v>3.1455838461255019</v>
      </c>
      <c r="K61" s="373">
        <f>G61/$G$58</f>
        <v>2.9513256006628006</v>
      </c>
      <c r="L61">
        <f t="shared" si="2"/>
        <v>9</v>
      </c>
    </row>
    <row r="62" spans="2:12" x14ac:dyDescent="0.2">
      <c r="B62" s="945" t="str">
        <f>'Data Lists'!$C$4</f>
        <v>Group C</v>
      </c>
      <c r="C62" s="855" t="str">
        <f>'Data Lists'!$B$2</f>
        <v>EE</v>
      </c>
      <c r="D62" s="870">
        <v>497.18</v>
      </c>
      <c r="E62" s="871">
        <v>452.29</v>
      </c>
      <c r="F62" s="871">
        <v>542.78</v>
      </c>
      <c r="G62" s="871">
        <v>386.24</v>
      </c>
      <c r="H62" s="373">
        <f>D62/$D$62</f>
        <v>1</v>
      </c>
      <c r="I62" s="373">
        <f>E62/$E$62</f>
        <v>1</v>
      </c>
      <c r="J62" s="373">
        <f>F62/$F$62</f>
        <v>1</v>
      </c>
      <c r="K62" s="373">
        <f>G62/$G$62</f>
        <v>1</v>
      </c>
      <c r="L62">
        <f t="shared" si="2"/>
        <v>10</v>
      </c>
    </row>
    <row r="63" spans="2:12" x14ac:dyDescent="0.2">
      <c r="B63" s="946"/>
      <c r="C63" s="859" t="str">
        <f>'Data Lists'!$B$3</f>
        <v>EE + SP</v>
      </c>
      <c r="D63" s="872">
        <v>1150.26</v>
      </c>
      <c r="E63" s="873">
        <v>1004.81</v>
      </c>
      <c r="F63" s="873">
        <v>1255.1400000000001</v>
      </c>
      <c r="G63" s="873">
        <v>853.99</v>
      </c>
      <c r="H63" s="373">
        <f>D63/$D$62</f>
        <v>2.3135685264894001</v>
      </c>
      <c r="I63" s="373">
        <f>E63/$E$62</f>
        <v>2.2216056070220431</v>
      </c>
      <c r="J63" s="373">
        <f>F63/$F$62</f>
        <v>2.3124286082759133</v>
      </c>
      <c r="K63" s="373">
        <f>G63/$G$62</f>
        <v>2.2110345898922947</v>
      </c>
      <c r="L63">
        <f t="shared" si="2"/>
        <v>11</v>
      </c>
    </row>
    <row r="64" spans="2:12" x14ac:dyDescent="0.2">
      <c r="B64" s="946"/>
      <c r="C64" s="859" t="str">
        <f>'Data Lists'!$B$4</f>
        <v>EE + C</v>
      </c>
      <c r="D64" s="872">
        <v>964.89</v>
      </c>
      <c r="E64" s="873">
        <v>867.78</v>
      </c>
      <c r="F64" s="873">
        <v>1051.53</v>
      </c>
      <c r="G64" s="873">
        <v>724.22</v>
      </c>
      <c r="H64" s="373">
        <f>D64/$D$62</f>
        <v>1.940725692908001</v>
      </c>
      <c r="I64" s="373">
        <f>E64/$E$62</f>
        <v>1.9186362731875566</v>
      </c>
      <c r="J64" s="373">
        <f>F64/$F$62</f>
        <v>1.9373042484984708</v>
      </c>
      <c r="K64" s="373">
        <f>G64/$G$62</f>
        <v>1.8750517812758907</v>
      </c>
      <c r="L64">
        <f t="shared" si="2"/>
        <v>12</v>
      </c>
    </row>
    <row r="65" spans="2:12" x14ac:dyDescent="0.2">
      <c r="B65" s="947"/>
      <c r="C65" s="862" t="str">
        <f>'Data Lists'!$B$5</f>
        <v>EE + F</v>
      </c>
      <c r="D65" s="874">
        <v>1566</v>
      </c>
      <c r="E65" s="875">
        <v>1356.29</v>
      </c>
      <c r="F65" s="875">
        <v>1707.36</v>
      </c>
      <c r="G65" s="875">
        <v>1139.92</v>
      </c>
      <c r="H65" s="373">
        <f>D65/$D$62</f>
        <v>3.1497646727543342</v>
      </c>
      <c r="I65" s="373">
        <f>E65/$E$62</f>
        <v>2.9987176369143689</v>
      </c>
      <c r="J65" s="373">
        <f>F65/$F$62</f>
        <v>3.1455838461255019</v>
      </c>
      <c r="K65" s="373">
        <f>G65/$G$62</f>
        <v>2.9513256006628006</v>
      </c>
      <c r="L65">
        <f t="shared" si="2"/>
        <v>13</v>
      </c>
    </row>
    <row r="66" spans="2:12" x14ac:dyDescent="0.2">
      <c r="B66" s="945" t="str">
        <f>'Data Lists'!$C$5</f>
        <v>Group D</v>
      </c>
      <c r="C66" s="855" t="str">
        <f>'Data Lists'!$B$2</f>
        <v>EE</v>
      </c>
      <c r="D66" s="872">
        <v>576.45000000000005</v>
      </c>
      <c r="E66" s="873">
        <v>452.29</v>
      </c>
      <c r="F66" s="873">
        <v>542.78</v>
      </c>
      <c r="G66" s="871">
        <v>386.24</v>
      </c>
      <c r="H66" s="373">
        <f>D66/$D$66</f>
        <v>1</v>
      </c>
      <c r="I66" s="373">
        <f>E66/$E$66</f>
        <v>1</v>
      </c>
      <c r="J66" s="373">
        <f>F66/$F$66</f>
        <v>1</v>
      </c>
      <c r="K66" s="373">
        <f>G66/$G$66</f>
        <v>1</v>
      </c>
      <c r="L66">
        <f t="shared" si="2"/>
        <v>14</v>
      </c>
    </row>
    <row r="67" spans="2:12" x14ac:dyDescent="0.2">
      <c r="B67" s="946"/>
      <c r="C67" s="859" t="str">
        <f>'Data Lists'!$B$3</f>
        <v>EE + SP</v>
      </c>
      <c r="D67" s="872">
        <v>1332.57</v>
      </c>
      <c r="E67" s="873">
        <v>1004.81</v>
      </c>
      <c r="F67" s="873">
        <v>1255.1400000000001</v>
      </c>
      <c r="G67" s="873">
        <v>853.99</v>
      </c>
      <c r="H67" s="373">
        <f>D67/$D$66</f>
        <v>2.3116835805360392</v>
      </c>
      <c r="I67" s="373">
        <f>E67/$E$66</f>
        <v>2.2216056070220431</v>
      </c>
      <c r="J67" s="373">
        <f>F67/$F$66</f>
        <v>2.3124286082759133</v>
      </c>
      <c r="K67" s="373">
        <f>G67/$G$66</f>
        <v>2.2110345898922947</v>
      </c>
      <c r="L67">
        <f t="shared" si="2"/>
        <v>15</v>
      </c>
    </row>
    <row r="68" spans="2:12" x14ac:dyDescent="0.2">
      <c r="B68" s="946"/>
      <c r="C68" s="859" t="str">
        <f>'Data Lists'!$B$4</f>
        <v>EE + C</v>
      </c>
      <c r="D68" s="872">
        <v>1115.5</v>
      </c>
      <c r="E68" s="873">
        <v>867.78</v>
      </c>
      <c r="F68" s="873">
        <v>1051.53</v>
      </c>
      <c r="G68" s="873">
        <v>724.22</v>
      </c>
      <c r="H68" s="373">
        <f>D68/$D$66</f>
        <v>1.9351201318414433</v>
      </c>
      <c r="I68" s="373">
        <f>E68/$E$66</f>
        <v>1.9186362731875566</v>
      </c>
      <c r="J68" s="373">
        <f>F68/$F$66</f>
        <v>1.9373042484984708</v>
      </c>
      <c r="K68" s="373">
        <f>G68/$G$66</f>
        <v>1.8750517812758907</v>
      </c>
      <c r="L68">
        <f t="shared" si="2"/>
        <v>16</v>
      </c>
    </row>
    <row r="69" spans="2:12" x14ac:dyDescent="0.2">
      <c r="B69" s="947"/>
      <c r="C69" s="862" t="str">
        <f>'Data Lists'!$B$5</f>
        <v>EE + F</v>
      </c>
      <c r="D69" s="874">
        <v>1811.73</v>
      </c>
      <c r="E69" s="875">
        <v>1356.29</v>
      </c>
      <c r="F69" s="875">
        <v>1707.36</v>
      </c>
      <c r="G69" s="875">
        <v>1139.92</v>
      </c>
      <c r="H69" s="373">
        <f>D69/$D$66</f>
        <v>3.1429091855321363</v>
      </c>
      <c r="I69" s="373">
        <f>E69/$E$66</f>
        <v>2.9987176369143689</v>
      </c>
      <c r="J69" s="373">
        <f>F69/$F$66</f>
        <v>3.1455838461255019</v>
      </c>
      <c r="K69" s="373">
        <f>G69/$G$66</f>
        <v>2.9513256006628006</v>
      </c>
      <c r="L69">
        <f t="shared" si="2"/>
        <v>17</v>
      </c>
    </row>
    <row r="70" spans="2:12" x14ac:dyDescent="0.2">
      <c r="B70" s="945" t="str">
        <f>'Data Lists'!$C$6</f>
        <v>Group E</v>
      </c>
      <c r="C70" s="855" t="str">
        <f>'Data Lists'!$B$2</f>
        <v>EE</v>
      </c>
      <c r="D70" s="872">
        <v>576.45000000000005</v>
      </c>
      <c r="E70" s="873">
        <v>452.29</v>
      </c>
      <c r="F70" s="873">
        <v>542.78</v>
      </c>
      <c r="G70" s="871">
        <v>386.24</v>
      </c>
      <c r="H70" s="373">
        <f>D70/$D$70</f>
        <v>1</v>
      </c>
      <c r="I70" s="373">
        <f>E70/$E$70</f>
        <v>1</v>
      </c>
      <c r="J70" s="373">
        <f>F70/$F$70</f>
        <v>1</v>
      </c>
      <c r="K70" s="373">
        <f>G70/$G$70</f>
        <v>1</v>
      </c>
      <c r="L70">
        <f t="shared" si="2"/>
        <v>18</v>
      </c>
    </row>
    <row r="71" spans="2:12" x14ac:dyDescent="0.2">
      <c r="B71" s="946"/>
      <c r="C71" s="859" t="str">
        <f>'Data Lists'!$B$3</f>
        <v>EE + SP</v>
      </c>
      <c r="D71" s="872">
        <v>1332.57</v>
      </c>
      <c r="E71" s="873">
        <v>1004.81</v>
      </c>
      <c r="F71" s="873">
        <v>1255.1400000000001</v>
      </c>
      <c r="G71" s="873">
        <v>853.99</v>
      </c>
      <c r="H71" s="373">
        <f>D71/$D$70</f>
        <v>2.3116835805360392</v>
      </c>
      <c r="I71" s="373">
        <f>E71/$E$70</f>
        <v>2.2216056070220431</v>
      </c>
      <c r="J71" s="373">
        <f>F71/$F$70</f>
        <v>2.3124286082759133</v>
      </c>
      <c r="K71" s="373">
        <f>G71/$G$70</f>
        <v>2.2110345898922947</v>
      </c>
      <c r="L71">
        <f t="shared" si="2"/>
        <v>19</v>
      </c>
    </row>
    <row r="72" spans="2:12" x14ac:dyDescent="0.2">
      <c r="B72" s="946"/>
      <c r="C72" s="859" t="str">
        <f>'Data Lists'!$B$4</f>
        <v>EE + C</v>
      </c>
      <c r="D72" s="872">
        <v>1115.5</v>
      </c>
      <c r="E72" s="873">
        <v>867.78</v>
      </c>
      <c r="F72" s="873">
        <v>1051.53</v>
      </c>
      <c r="G72" s="873">
        <v>724.22</v>
      </c>
      <c r="H72" s="373">
        <f>D72/$D$70</f>
        <v>1.9351201318414433</v>
      </c>
      <c r="I72" s="373">
        <f>E72/$E$70</f>
        <v>1.9186362731875566</v>
      </c>
      <c r="J72" s="373">
        <f>F72/$F$70</f>
        <v>1.9373042484984708</v>
      </c>
      <c r="K72" s="373">
        <f>G72/$G$70</f>
        <v>1.8750517812758907</v>
      </c>
      <c r="L72">
        <f t="shared" si="2"/>
        <v>20</v>
      </c>
    </row>
    <row r="73" spans="2:12" x14ac:dyDescent="0.2">
      <c r="B73" s="947"/>
      <c r="C73" s="862" t="str">
        <f>'Data Lists'!$B$5</f>
        <v>EE + F</v>
      </c>
      <c r="D73" s="874">
        <v>1811.73</v>
      </c>
      <c r="E73" s="875">
        <v>1356.29</v>
      </c>
      <c r="F73" s="875">
        <v>1707.36</v>
      </c>
      <c r="G73" s="875">
        <v>1139.92</v>
      </c>
      <c r="H73" s="373">
        <f>D73/$D$70</f>
        <v>3.1429091855321363</v>
      </c>
      <c r="I73" s="373">
        <f>E73/$E$70</f>
        <v>2.9987176369143689</v>
      </c>
      <c r="J73" s="373">
        <f>F73/$F$70</f>
        <v>3.1455838461255019</v>
      </c>
      <c r="K73" s="373">
        <f>G73/$G$70</f>
        <v>2.9513256006628006</v>
      </c>
      <c r="L73">
        <f t="shared" si="2"/>
        <v>21</v>
      </c>
    </row>
    <row r="76" spans="2:12" x14ac:dyDescent="0.2">
      <c r="D76" s="887" t="s">
        <v>1133</v>
      </c>
      <c r="E76"/>
      <c r="H76" s="690"/>
      <c r="I76" s="635"/>
    </row>
    <row r="77" spans="2:12" x14ac:dyDescent="0.2">
      <c r="D77" s="887"/>
      <c r="E77"/>
      <c r="H77" s="897"/>
      <c r="I77" s="635"/>
    </row>
    <row r="78" spans="2:12" x14ac:dyDescent="0.2">
      <c r="D78" s="853" t="s">
        <v>1171</v>
      </c>
      <c r="E78" s="904" t="s">
        <v>1123</v>
      </c>
      <c r="H78" s="690"/>
      <c r="I78" s="689"/>
    </row>
    <row r="79" spans="2:12" x14ac:dyDescent="0.2">
      <c r="D79" s="689" t="s">
        <v>1173</v>
      </c>
      <c r="E79" s="897">
        <f>IFERROR(HLOOKUP($E$78,$D$3:$G$26,$A$26,FALSE),SUMPRODUCT($D$24:$G$24,$D$26:$G$26)/SUM($D$24:$G$24))</f>
        <v>942.01581177937032</v>
      </c>
      <c r="H79" s="690"/>
      <c r="I79" s="689"/>
    </row>
    <row r="80" spans="2:12" x14ac:dyDescent="0.2">
      <c r="D80" s="689" t="s">
        <v>1172</v>
      </c>
      <c r="E80" s="635">
        <f>IFERROR(HLOOKUP($E$78,$D$3:$G$26,$A$25,FALSE),SUMPRODUCT($D$24:$G$24,$D$25:$G$25)/SUM($D$24:$G$24))</f>
        <v>0.85748021750474868</v>
      </c>
      <c r="H80" s="690"/>
      <c r="I80" s="689"/>
    </row>
    <row r="81" spans="4:10" x14ac:dyDescent="0.2">
      <c r="D81"/>
      <c r="E81"/>
      <c r="H81" s="690"/>
      <c r="I81" s="477"/>
    </row>
    <row r="82" spans="4:10" x14ac:dyDescent="0.2">
      <c r="D82" s="853">
        <f>D90-1</f>
        <v>2018</v>
      </c>
      <c r="E82" s="853" t="str">
        <f>IF($E$78="All Plans","Composite Rate",$E$78&amp;" Rate")</f>
        <v>Plan 1 Rate</v>
      </c>
      <c r="F82" s="690">
        <f>$E$79</f>
        <v>942.01581177937032</v>
      </c>
      <c r="G82" s="889">
        <f>$E$80</f>
        <v>0.85748021750474868</v>
      </c>
      <c r="H82" s="690"/>
    </row>
    <row r="83" spans="4:10" x14ac:dyDescent="0.2">
      <c r="D83" s="853">
        <f t="shared" ref="D83:D88" si="3">D91-1</f>
        <v>2018</v>
      </c>
      <c r="E83" s="853" t="str">
        <f>'Projection &amp; Rate Setting'!$B$8</f>
        <v>Administration</v>
      </c>
      <c r="F83" s="888">
        <f>F91/1.03</f>
        <v>35</v>
      </c>
      <c r="H83" s="690"/>
    </row>
    <row r="84" spans="4:10" x14ac:dyDescent="0.2">
      <c r="D84" s="853">
        <f t="shared" si="3"/>
        <v>2018</v>
      </c>
      <c r="E84" s="853" t="str">
        <f>'Projection &amp; Rate Setting'!$B$9</f>
        <v>Stop Loss - ISL</v>
      </c>
      <c r="F84" s="888">
        <f>F92/1.2</f>
        <v>0</v>
      </c>
    </row>
    <row r="85" spans="4:10" x14ac:dyDescent="0.2">
      <c r="D85" s="853">
        <f t="shared" si="3"/>
        <v>2018</v>
      </c>
      <c r="E85" s="853" t="str">
        <f>'Projection &amp; Rate Setting'!$B$10</f>
        <v>Stop Loss - ASL</v>
      </c>
      <c r="F85" s="888">
        <f>F93/1.2</f>
        <v>0</v>
      </c>
      <c r="H85" s="690"/>
      <c r="I85" s="635"/>
    </row>
    <row r="86" spans="4:10" x14ac:dyDescent="0.2">
      <c r="D86" s="853">
        <f t="shared" si="3"/>
        <v>2018</v>
      </c>
      <c r="E86" s="853" t="str">
        <f>'Projection &amp; Rate Setting'!$B$11</f>
        <v>Commissions</v>
      </c>
      <c r="F86" s="888">
        <f>F94</f>
        <v>0</v>
      </c>
      <c r="H86" s="876"/>
    </row>
    <row r="87" spans="4:10" x14ac:dyDescent="0.2">
      <c r="D87" s="853">
        <f t="shared" si="3"/>
        <v>2018</v>
      </c>
      <c r="E87" s="853" t="str">
        <f>'Projection &amp; Rate Setting'!$B$12</f>
        <v>Other</v>
      </c>
      <c r="F87" s="888">
        <f>F95</f>
        <v>0</v>
      </c>
      <c r="H87" s="690"/>
      <c r="I87" s="635"/>
    </row>
    <row r="88" spans="4:10" x14ac:dyDescent="0.2">
      <c r="D88" s="853">
        <f t="shared" si="3"/>
        <v>2018</v>
      </c>
      <c r="E88" s="853" t="str">
        <f>$E$82&amp;" Claims"</f>
        <v>Plan 1 Rate Claims</v>
      </c>
      <c r="F88" s="876">
        <f>F82-SUM(F83:F87)</f>
        <v>907.01581177937032</v>
      </c>
    </row>
    <row r="89" spans="4:10" x14ac:dyDescent="0.2">
      <c r="H89" s="448"/>
    </row>
    <row r="90" spans="4:10" x14ac:dyDescent="0.2">
      <c r="D90" s="853" t="str">
        <f>TEXT(YEAR(Core_Control!$F$10),"0000")</f>
        <v>2019</v>
      </c>
      <c r="E90" s="853" t="str">
        <f>IF($E$78="All Plans","Composite Rate",$E$78&amp;" Rate")</f>
        <v>Plan 1 Rate</v>
      </c>
      <c r="F90" s="690">
        <f>SUM(F91:F96)</f>
        <v>997.48676048613254</v>
      </c>
      <c r="G90" s="867">
        <f>F90/F82-1</f>
        <v>5.88853690279183E-2</v>
      </c>
      <c r="H90" s="876"/>
    </row>
    <row r="91" spans="4:10" x14ac:dyDescent="0.2">
      <c r="D91" s="853" t="str">
        <f>TEXT(YEAR(Core_Control!$F$10),"0000")</f>
        <v>2019</v>
      </c>
      <c r="E91" s="853" t="str">
        <f>'Projection &amp; Rate Setting'!$B$8</f>
        <v>Administration</v>
      </c>
      <c r="F91" s="888">
        <f>'Projection &amp; Rate Setting'!$C$8</f>
        <v>36.050000000000004</v>
      </c>
      <c r="H91" s="690"/>
      <c r="I91" s="635"/>
      <c r="J91" s="635"/>
    </row>
    <row r="92" spans="4:10" x14ac:dyDescent="0.2">
      <c r="D92" s="853" t="str">
        <f>TEXT(YEAR(Core_Control!$F$10),"0000")</f>
        <v>2019</v>
      </c>
      <c r="E92" s="853" t="str">
        <f>'Projection &amp; Rate Setting'!$B$9</f>
        <v>Stop Loss - ISL</v>
      </c>
      <c r="F92" s="888">
        <f>'Projection &amp; Rate Setting'!$C$9</f>
        <v>0</v>
      </c>
    </row>
    <row r="93" spans="4:10" x14ac:dyDescent="0.2">
      <c r="D93" s="853" t="str">
        <f>TEXT(YEAR(Core_Control!$F$10),"0000")</f>
        <v>2019</v>
      </c>
      <c r="E93" s="853" t="str">
        <f>'Projection &amp; Rate Setting'!$B$10</f>
        <v>Stop Loss - ASL</v>
      </c>
      <c r="F93" s="888">
        <f>'Projection &amp; Rate Setting'!$C$10</f>
        <v>0</v>
      </c>
      <c r="H93" s="853"/>
      <c r="I93" s="853"/>
    </row>
    <row r="94" spans="4:10" x14ac:dyDescent="0.2">
      <c r="D94" s="853" t="str">
        <f>TEXT(YEAR(Core_Control!$F$10),"0000")</f>
        <v>2019</v>
      </c>
      <c r="E94" s="853" t="str">
        <f>'Projection &amp; Rate Setting'!$B$11</f>
        <v>Commissions</v>
      </c>
      <c r="F94" s="888">
        <f>'Projection &amp; Rate Setting'!$C$11</f>
        <v>0</v>
      </c>
      <c r="G94" s="869"/>
      <c r="H94" s="876"/>
      <c r="I94" s="876"/>
    </row>
    <row r="95" spans="4:10" x14ac:dyDescent="0.2">
      <c r="D95" s="853" t="str">
        <f>TEXT(YEAR(Core_Control!$F$10),"0000")</f>
        <v>2019</v>
      </c>
      <c r="E95" s="853" t="str">
        <f>'Projection &amp; Rate Setting'!$B$12</f>
        <v>Other</v>
      </c>
      <c r="F95" s="888">
        <f>'Projection &amp; Rate Setting'!$C$12</f>
        <v>0</v>
      </c>
      <c r="G95" s="869"/>
      <c r="H95" s="876"/>
      <c r="I95" s="876"/>
    </row>
    <row r="96" spans="4:10" x14ac:dyDescent="0.2">
      <c r="D96" s="853" t="str">
        <f>TEXT(YEAR(Core_Control!$F$10),"0000")</f>
        <v>2019</v>
      </c>
      <c r="E96" s="853" t="str">
        <f>$E$82&amp;" Claims"</f>
        <v>Plan 1 Rate Claims</v>
      </c>
      <c r="F96" s="690">
        <f>F88*(1+trend_rate)</f>
        <v>961.43676048613258</v>
      </c>
      <c r="G96" s="869"/>
      <c r="H96" s="876"/>
      <c r="I96" s="876"/>
    </row>
    <row r="97" spans="4:9" x14ac:dyDescent="0.2">
      <c r="F97" s="858"/>
      <c r="G97" s="869"/>
      <c r="H97" s="876"/>
      <c r="I97" s="876"/>
    </row>
    <row r="98" spans="4:9" x14ac:dyDescent="0.2">
      <c r="D98" s="853" t="str">
        <f>TEXT(YEAR(Core_Control!$F$10),"0000")</f>
        <v>2019</v>
      </c>
      <c r="E98" s="853" t="s">
        <v>1175</v>
      </c>
      <c r="F98" s="690">
        <f>SUM(F99:F104)</f>
        <v>905.43948022664176</v>
      </c>
      <c r="G98" s="878"/>
      <c r="H98" s="879"/>
      <c r="I98" s="879"/>
    </row>
    <row r="99" spans="4:9" x14ac:dyDescent="0.2">
      <c r="D99" s="853" t="str">
        <f>TEXT(YEAR(Core_Control!$F$10),"0000")</f>
        <v>2019</v>
      </c>
      <c r="E99" s="853" t="str">
        <f>'Projection &amp; Rate Setting'!$B$8</f>
        <v>Administration</v>
      </c>
      <c r="F99" s="888">
        <f>'Projection &amp; Rate Setting'!$D$8</f>
        <v>45</v>
      </c>
      <c r="H99" s="876"/>
    </row>
    <row r="100" spans="4:9" x14ac:dyDescent="0.2">
      <c r="D100" s="853" t="str">
        <f>TEXT(YEAR(Core_Control!$F$10),"0000")</f>
        <v>2019</v>
      </c>
      <c r="E100" s="853" t="str">
        <f>'Projection &amp; Rate Setting'!$B$9</f>
        <v>Stop Loss - ISL</v>
      </c>
      <c r="F100" s="888">
        <f>'Projection &amp; Rate Setting'!$D$9</f>
        <v>0</v>
      </c>
    </row>
    <row r="101" spans="4:9" x14ac:dyDescent="0.2">
      <c r="D101" s="853" t="str">
        <f>TEXT(YEAR(Core_Control!$F$10),"0000")</f>
        <v>2019</v>
      </c>
      <c r="E101" s="853" t="str">
        <f>'Projection &amp; Rate Setting'!$B$10</f>
        <v>Stop Loss - ASL</v>
      </c>
      <c r="F101" s="888">
        <f>'Projection &amp; Rate Setting'!$D$10</f>
        <v>0</v>
      </c>
    </row>
    <row r="102" spans="4:9" x14ac:dyDescent="0.2">
      <c r="D102" s="853" t="str">
        <f>TEXT(YEAR(Core_Control!$F$10),"0000")</f>
        <v>2019</v>
      </c>
      <c r="E102" s="853" t="str">
        <f>'Projection &amp; Rate Setting'!$B$11</f>
        <v>Commissions</v>
      </c>
      <c r="F102" s="888">
        <f>'Projection &amp; Rate Setting'!$D$11</f>
        <v>0</v>
      </c>
    </row>
    <row r="103" spans="4:9" x14ac:dyDescent="0.2">
      <c r="D103" s="853" t="str">
        <f>TEXT(YEAR(Core_Control!$F$10),"0000")</f>
        <v>2019</v>
      </c>
      <c r="E103" s="853" t="str">
        <f>'Projection &amp; Rate Setting'!$B$12</f>
        <v>Other</v>
      </c>
      <c r="F103" s="888">
        <f>'Projection &amp; Rate Setting'!$D$12</f>
        <v>0</v>
      </c>
    </row>
    <row r="104" spans="4:9" x14ac:dyDescent="0.2">
      <c r="D104" s="853" t="str">
        <f>TEXT(YEAR(Core_Control!$F$10),"0000")</f>
        <v>2019</v>
      </c>
      <c r="E104" s="853" t="s">
        <v>1176</v>
      </c>
      <c r="F104" s="690">
        <f>Chart_Data!D9*mem_ee_ratio</f>
        <v>860.43948022664176</v>
      </c>
    </row>
    <row r="106" spans="4:9" x14ac:dyDescent="0.2">
      <c r="E106" s="853" t="str">
        <f>"Bind Diff from "&amp;D82</f>
        <v>Bind Diff from 2018</v>
      </c>
      <c r="F106" s="867">
        <f>F98/F82-1</f>
        <v>-3.8827725708382332E-2</v>
      </c>
    </row>
    <row r="107" spans="4:9" x14ac:dyDescent="0.2">
      <c r="E107" s="853" t="str">
        <f>"Bind Diff from "&amp;D90</f>
        <v>Bind Diff from 2019</v>
      </c>
      <c r="F107" s="867">
        <f>F98/F90-1</f>
        <v>-9.2279199991216809E-2</v>
      </c>
    </row>
    <row r="109" spans="4:9" x14ac:dyDescent="0.2">
      <c r="E109" s="853" t="str">
        <f>D98&amp;" Enrollment"</f>
        <v>2019 Enrollment</v>
      </c>
      <c r="F109" s="853" t="s">
        <v>1120</v>
      </c>
      <c r="G109" s="853" t="str">
        <f>D98&amp;" "&amp;E90</f>
        <v>2019 Plan 1 Rate</v>
      </c>
      <c r="H109" s="853" t="str">
        <f>D98&amp;" "&amp;E98</f>
        <v>2019 Bind Plan Rate</v>
      </c>
    </row>
    <row r="110" spans="4:9" x14ac:dyDescent="0.2">
      <c r="D110" s="885" t="str">
        <f>'Data Lists'!$B$2</f>
        <v>EE</v>
      </c>
      <c r="E110" s="858">
        <f>IFERROR(HLOOKUP($E$78,'2019 Data'!$D$3:$G$29,'2019 Data'!A26,FALSE),'2019 Data'!H26)</f>
        <v>1529</v>
      </c>
      <c r="F110" s="869">
        <f>IFERROR(HLOOKUP($E$78,$H$53:$K$73,$L54,FALSE),$H54)</f>
        <v>1</v>
      </c>
      <c r="G110" s="876">
        <f>$F$90/$F$114*F110</f>
        <v>559.84638123729871</v>
      </c>
      <c r="H110" s="876">
        <f>$F$98/$F$114*F110</f>
        <v>508.18420505874303</v>
      </c>
    </row>
    <row r="111" spans="4:9" x14ac:dyDescent="0.2">
      <c r="D111" s="885" t="str">
        <f>'Data Lists'!$B$3</f>
        <v>EE + SP</v>
      </c>
      <c r="E111" s="858">
        <f>IFERROR(HLOOKUP($E$78,'2019 Data'!$D$3:$G$29,'2019 Data'!A27,FALSE),'2019 Data'!H27)</f>
        <v>586</v>
      </c>
      <c r="F111" s="869">
        <f>IFERROR(HLOOKUP($E$78,$H$53:$K$73,$L55,FALSE),$H55)</f>
        <v>2.3149602804775218</v>
      </c>
      <c r="G111" s="876">
        <f>$F$90/$F$114*F111</f>
        <v>1296.0221357334226</v>
      </c>
      <c r="H111" s="876">
        <f>$F$98/$F$114*F111</f>
        <v>1176.4262498770343</v>
      </c>
    </row>
    <row r="112" spans="4:9" x14ac:dyDescent="0.2">
      <c r="D112" s="885" t="str">
        <f>'Data Lists'!$B$4</f>
        <v>EE + C</v>
      </c>
      <c r="E112" s="858">
        <f>IFERROR(HLOOKUP($E$78,'2019 Data'!$D$3:$G$29,'2019 Data'!A28,FALSE),'2019 Data'!H28)</f>
        <v>512</v>
      </c>
      <c r="F112" s="869">
        <f>IFERROR(HLOOKUP($E$78,$H$53:$K$73,$L56,FALSE),$H56)</f>
        <v>1.9449252207872896</v>
      </c>
      <c r="G112" s="876">
        <f>$F$90/$F$114*F112</f>
        <v>1088.8593466349182</v>
      </c>
      <c r="H112" s="876">
        <f>$F$98/$F$114*F112</f>
        <v>988.38027722448908</v>
      </c>
    </row>
    <row r="113" spans="4:8" x14ac:dyDescent="0.2">
      <c r="D113" s="885" t="str">
        <f>'Data Lists'!$B$5</f>
        <v>EE + F</v>
      </c>
      <c r="E113" s="858">
        <f>IFERROR(HLOOKUP($E$78,'2019 Data'!$D$3:$G$29,'2019 Data'!A29,FALSE),'2019 Data'!H29)</f>
        <v>582</v>
      </c>
      <c r="F113" s="869">
        <f>IFERROR(HLOOKUP($E$78,$H$53:$K$73,$L57,FALSE),$H57)</f>
        <v>3.1549061376647582</v>
      </c>
      <c r="G113" s="876">
        <f>$F$90/$F$114*F113</f>
        <v>1766.2627843149578</v>
      </c>
      <c r="H113" s="876">
        <f>$F$98/$F$114*F113</f>
        <v>1603.2734676041146</v>
      </c>
    </row>
    <row r="114" spans="4:8" x14ac:dyDescent="0.2">
      <c r="D114" s="853" t="s">
        <v>1121</v>
      </c>
      <c r="E114" s="877">
        <f>SUM(E110:E113)</f>
        <v>3209</v>
      </c>
      <c r="F114" s="878">
        <f>SUMPRODUCT(E110:E113,F110:F113)/E114</f>
        <v>1.7817151167104424</v>
      </c>
      <c r="G114" s="879">
        <f>SUMPRODUCT(E110:E113,G110:G113)/SUM(E110:E113)</f>
        <v>997.48676048613243</v>
      </c>
      <c r="H114" s="879">
        <f>SUMPRODUCT(E110:E113,H110:H113)/SUM(E110:E113)</f>
        <v>905.43948022664165</v>
      </c>
    </row>
    <row r="118" spans="4:8" x14ac:dyDescent="0.2">
      <c r="G118" s="853" t="s">
        <v>1169</v>
      </c>
    </row>
  </sheetData>
  <mergeCells count="18">
    <mergeCell ref="B20:B23"/>
    <mergeCell ref="D2:G2"/>
    <mergeCell ref="B4:B7"/>
    <mergeCell ref="B8:B11"/>
    <mergeCell ref="B12:B15"/>
    <mergeCell ref="B16:B19"/>
    <mergeCell ref="B70:B73"/>
    <mergeCell ref="D28:G28"/>
    <mergeCell ref="B30:B33"/>
    <mergeCell ref="B34:B37"/>
    <mergeCell ref="B38:B41"/>
    <mergeCell ref="B42:B45"/>
    <mergeCell ref="B46:B49"/>
    <mergeCell ref="D52:G52"/>
    <mergeCell ref="B54:B57"/>
    <mergeCell ref="B58:B61"/>
    <mergeCell ref="B62:B65"/>
    <mergeCell ref="B66:B69"/>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'Data Lists'!$A$2:$A$5</xm:f>
          </x14:formula1>
          <xm:sqref>E78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enableFormatConditionsCalculation="0">
    <tabColor theme="2" tint="-0.249977111117893"/>
  </sheetPr>
  <dimension ref="A2:R77"/>
  <sheetViews>
    <sheetView showGridLines="0" workbookViewId="0"/>
  </sheetViews>
  <sheetFormatPr baseColWidth="10" defaultColWidth="8.83203125" defaultRowHeight="15" x14ac:dyDescent="0.2"/>
  <cols>
    <col min="2" max="2" width="20.5" bestFit="1" customWidth="1"/>
    <col min="3" max="3" width="10" bestFit="1" customWidth="1"/>
    <col min="4" max="7" width="20.1640625" style="853" customWidth="1"/>
    <col min="8" max="8" width="18.1640625" customWidth="1"/>
    <col min="10" max="10" width="20.5" customWidth="1"/>
    <col min="11" max="11" width="10" customWidth="1"/>
    <col min="12" max="15" width="20.1640625" customWidth="1"/>
    <col min="16" max="16" width="18.1640625" customWidth="1"/>
    <col min="18" max="18" width="20.5" bestFit="1" customWidth="1"/>
  </cols>
  <sheetData>
    <row r="2" spans="1:18" x14ac:dyDescent="0.2">
      <c r="D2" s="948" t="s">
        <v>1179</v>
      </c>
      <c r="E2" s="949"/>
      <c r="F2" s="949"/>
      <c r="G2" s="950"/>
      <c r="L2" s="951" t="s">
        <v>1122</v>
      </c>
      <c r="M2" s="951"/>
      <c r="N2" s="951"/>
      <c r="O2" s="951"/>
      <c r="P2" s="951"/>
      <c r="R2" s="885">
        <v>2018</v>
      </c>
    </row>
    <row r="3" spans="1:18" x14ac:dyDescent="0.2">
      <c r="A3">
        <v>1</v>
      </c>
      <c r="B3" s="880">
        <f>'2018 Data'!$H$24</f>
        <v>6634</v>
      </c>
      <c r="D3" s="854" t="str">
        <f t="array" ref="D3:G3">TRANSPOSE('Data Lists'!A2:A5)</f>
        <v>Plan 1</v>
      </c>
      <c r="E3" s="854" t="str">
        <v>Plan 2</v>
      </c>
      <c r="F3" s="854" t="str">
        <v>Plan 3</v>
      </c>
      <c r="G3" s="854" t="str">
        <v>Plan 4</v>
      </c>
      <c r="J3" s="880">
        <f>$B$3</f>
        <v>6634</v>
      </c>
      <c r="L3" s="854" t="str">
        <f>'2018 Data'!$D$3</f>
        <v>Plan 1</v>
      </c>
      <c r="M3" s="854" t="str">
        <f>'2018 Data'!$E$3</f>
        <v>Plan 2</v>
      </c>
      <c r="N3" s="854" t="str">
        <f>'2018 Data'!$F$3</f>
        <v>Plan 3</v>
      </c>
      <c r="O3" s="854" t="str">
        <f>'2018 Data'!$G$3</f>
        <v>Plan 4</v>
      </c>
      <c r="P3" s="881" t="s">
        <v>818</v>
      </c>
      <c r="R3" s="885" t="s">
        <v>1084</v>
      </c>
    </row>
    <row r="4" spans="1:18" x14ac:dyDescent="0.2">
      <c r="A4">
        <f>A3+1</f>
        <v>2</v>
      </c>
      <c r="B4" s="945" t="str">
        <f>'Data Lists'!$C$2</f>
        <v>Group A</v>
      </c>
      <c r="C4" s="855" t="str">
        <f>'Data Lists'!$B$2</f>
        <v>EE</v>
      </c>
      <c r="D4" s="856">
        <f>ROUND('2018 Data'!D4*$B$3/'2018 Data'!$H$24,0)</f>
        <v>192</v>
      </c>
      <c r="E4" s="857">
        <f>ROUND('2018 Data'!E4*$B$3/'2018 Data'!$H$24,0)</f>
        <v>158</v>
      </c>
      <c r="F4" s="857">
        <f>ROUND('2018 Data'!F4*$B$3/'2018 Data'!$H$24,0)</f>
        <v>265</v>
      </c>
      <c r="G4" s="857">
        <f>ROUND('2018 Data'!G4*$B$3/'2018 Data'!$H$24,0)</f>
        <v>13</v>
      </c>
      <c r="H4" s="858">
        <f t="shared" ref="H4:H23" si="0">SUM(D4:G4)</f>
        <v>628</v>
      </c>
      <c r="J4" s="945" t="str">
        <f>'2018 Data'!$B$30</f>
        <v>Group A</v>
      </c>
      <c r="K4" s="855" t="str">
        <f>'Data Lists'!$B$2</f>
        <v>EE</v>
      </c>
      <c r="L4" s="856">
        <f>ROUND(D4*(1-'Projection &amp; Rate Setting'!C67),0)</f>
        <v>96</v>
      </c>
      <c r="M4" s="856">
        <f>ROUND(E4*(1-'Projection &amp; Rate Setting'!D67),0)</f>
        <v>158</v>
      </c>
      <c r="N4" s="856">
        <f>ROUND(F4*(1-'Projection &amp; Rate Setting'!E67),0)</f>
        <v>265</v>
      </c>
      <c r="O4" s="856">
        <f>ROUND(G4*(1-'Projection &amp; Rate Setting'!F67),0)</f>
        <v>13</v>
      </c>
      <c r="P4" s="857">
        <f t="shared" ref="P4:P23" si="1">SUM(D4:G4)-SUM(L4:O4)</f>
        <v>96</v>
      </c>
    </row>
    <row r="5" spans="1:18" x14ac:dyDescent="0.2">
      <c r="A5">
        <f t="shared" ref="A5:A29" si="2">A4+1</f>
        <v>3</v>
      </c>
      <c r="B5" s="946"/>
      <c r="C5" s="859" t="str">
        <f>'Data Lists'!$B$3</f>
        <v>EE + SP</v>
      </c>
      <c r="D5" s="860">
        <f>ROUND('2018 Data'!D5*$B$3/'2018 Data'!$H$24,0)</f>
        <v>79</v>
      </c>
      <c r="E5" s="861">
        <f>ROUND('2018 Data'!E5*$B$3/'2018 Data'!$H$24,0)</f>
        <v>51</v>
      </c>
      <c r="F5" s="861">
        <f>ROUND('2018 Data'!F5*$B$3/'2018 Data'!$H$24,0)</f>
        <v>53</v>
      </c>
      <c r="G5" s="861">
        <f>ROUND('2018 Data'!G5*$B$3/'2018 Data'!$H$24,0)</f>
        <v>0</v>
      </c>
      <c r="H5" s="858">
        <f t="shared" si="0"/>
        <v>183</v>
      </c>
      <c r="J5" s="946"/>
      <c r="K5" s="859" t="str">
        <f>'Data Lists'!$B$3</f>
        <v>EE + SP</v>
      </c>
      <c r="L5" s="860">
        <f>ROUND(D5*(1-'Projection &amp; Rate Setting'!C68),0)</f>
        <v>40</v>
      </c>
      <c r="M5" s="861">
        <f>ROUND(E5*(1-'Projection &amp; Rate Setting'!D68),0)</f>
        <v>51</v>
      </c>
      <c r="N5" s="861">
        <f>ROUND(F5*(1-'Projection &amp; Rate Setting'!E68),0)</f>
        <v>53</v>
      </c>
      <c r="O5" s="861">
        <f>ROUND(G5*(1-'Projection &amp; Rate Setting'!F68),0)</f>
        <v>0</v>
      </c>
      <c r="P5" s="861">
        <f t="shared" si="1"/>
        <v>39</v>
      </c>
      <c r="R5" t="str">
        <f>B4</f>
        <v>Group A</v>
      </c>
    </row>
    <row r="6" spans="1:18" x14ac:dyDescent="0.2">
      <c r="A6">
        <f t="shared" si="2"/>
        <v>4</v>
      </c>
      <c r="B6" s="946"/>
      <c r="C6" s="859" t="str">
        <f>'Data Lists'!$B$4</f>
        <v>EE + C</v>
      </c>
      <c r="D6" s="860">
        <f>ROUND('2018 Data'!D6*$B$3/'2018 Data'!$H$24,0)</f>
        <v>74</v>
      </c>
      <c r="E6" s="861">
        <f>ROUND('2018 Data'!E6*$B$3/'2018 Data'!$H$24,0)</f>
        <v>54</v>
      </c>
      <c r="F6" s="861">
        <f>ROUND('2018 Data'!F6*$B$3/'2018 Data'!$H$24,0)</f>
        <v>50</v>
      </c>
      <c r="G6" s="861">
        <f>ROUND('2018 Data'!G6*$B$3/'2018 Data'!$H$24,0)</f>
        <v>0</v>
      </c>
      <c r="H6" s="858">
        <f t="shared" si="0"/>
        <v>178</v>
      </c>
      <c r="J6" s="946"/>
      <c r="K6" s="859" t="str">
        <f>'Data Lists'!$B$4</f>
        <v>EE + C</v>
      </c>
      <c r="L6" s="860">
        <f>ROUND(D6*(1-'Projection &amp; Rate Setting'!C69),0)</f>
        <v>37</v>
      </c>
      <c r="M6" s="861">
        <f>ROUND(E6*(1-'Projection &amp; Rate Setting'!D69),0)</f>
        <v>54</v>
      </c>
      <c r="N6" s="861">
        <f>ROUND(F6*(1-'Projection &amp; Rate Setting'!E69),0)</f>
        <v>50</v>
      </c>
      <c r="O6" s="861">
        <f>ROUND(G6*(1-'Projection &amp; Rate Setting'!F69),0)</f>
        <v>0</v>
      </c>
      <c r="P6" s="861">
        <f t="shared" si="1"/>
        <v>37</v>
      </c>
      <c r="R6" t="str">
        <f>B8</f>
        <v>Group B</v>
      </c>
    </row>
    <row r="7" spans="1:18" x14ac:dyDescent="0.2">
      <c r="A7">
        <f t="shared" si="2"/>
        <v>5</v>
      </c>
      <c r="B7" s="947"/>
      <c r="C7" s="862" t="str">
        <f>'Data Lists'!$B$5</f>
        <v>EE + F</v>
      </c>
      <c r="D7" s="863">
        <f>ROUND('2018 Data'!D7*$B$3/'2018 Data'!$H$24,0)</f>
        <v>96</v>
      </c>
      <c r="E7" s="864">
        <f>ROUND('2018 Data'!E7*$B$3/'2018 Data'!$H$24,0)</f>
        <v>105</v>
      </c>
      <c r="F7" s="864">
        <f>ROUND('2018 Data'!F7*$B$3/'2018 Data'!$H$24,0)</f>
        <v>113</v>
      </c>
      <c r="G7" s="864">
        <f>ROUND('2018 Data'!G7*$B$3/'2018 Data'!$H$24,0)</f>
        <v>1</v>
      </c>
      <c r="H7" s="858">
        <f t="shared" si="0"/>
        <v>315</v>
      </c>
      <c r="J7" s="947"/>
      <c r="K7" s="862" t="str">
        <f>'Data Lists'!$B$5</f>
        <v>EE + F</v>
      </c>
      <c r="L7" s="863">
        <f>ROUND(D7*(1-'Projection &amp; Rate Setting'!C70),0)</f>
        <v>48</v>
      </c>
      <c r="M7" s="864">
        <f>ROUND(E7*(1-'Projection &amp; Rate Setting'!D70),0)</f>
        <v>105</v>
      </c>
      <c r="N7" s="864">
        <f>ROUND(F7*(1-'Projection &amp; Rate Setting'!E70),0)</f>
        <v>113</v>
      </c>
      <c r="O7" s="864">
        <f>ROUND(G7*(1-'Projection &amp; Rate Setting'!F70),0)</f>
        <v>1</v>
      </c>
      <c r="P7" s="864">
        <f t="shared" si="1"/>
        <v>48</v>
      </c>
      <c r="R7" t="str">
        <f>B12</f>
        <v>Group C</v>
      </c>
    </row>
    <row r="8" spans="1:18" x14ac:dyDescent="0.2">
      <c r="A8">
        <f t="shared" si="2"/>
        <v>6</v>
      </c>
      <c r="B8" s="945" t="str">
        <f>'Data Lists'!$C$3</f>
        <v>Group B</v>
      </c>
      <c r="C8" s="855" t="str">
        <f>'Data Lists'!$B$2</f>
        <v>EE</v>
      </c>
      <c r="D8" s="856">
        <f>ROUND('2018 Data'!D8*$B$3/'2018 Data'!$H$24,0)</f>
        <v>99</v>
      </c>
      <c r="E8" s="857">
        <f>ROUND('2018 Data'!E8*$B$3/'2018 Data'!$H$24,0)</f>
        <v>32</v>
      </c>
      <c r="F8" s="857">
        <f>ROUND('2018 Data'!F8*$B$3/'2018 Data'!$H$24,0)</f>
        <v>19</v>
      </c>
      <c r="G8" s="857">
        <f>ROUND('2018 Data'!G8*$B$3/'2018 Data'!$H$24,0)</f>
        <v>11</v>
      </c>
      <c r="H8" s="858">
        <f t="shared" si="0"/>
        <v>161</v>
      </c>
      <c r="J8" s="945" t="str">
        <f>'2018 Data'!$B$34</f>
        <v>Group B</v>
      </c>
      <c r="K8" s="855" t="str">
        <f>'Data Lists'!$B$2</f>
        <v>EE</v>
      </c>
      <c r="L8" s="856">
        <f>ROUND(D8*(1-'Projection &amp; Rate Setting'!C67),0)</f>
        <v>50</v>
      </c>
      <c r="M8" s="856">
        <f>ROUND(E8*(1-'Projection &amp; Rate Setting'!D67),0)</f>
        <v>32</v>
      </c>
      <c r="N8" s="856">
        <f>ROUND(F8*(1-'Projection &amp; Rate Setting'!E67),0)</f>
        <v>19</v>
      </c>
      <c r="O8" s="856">
        <f>ROUND(G8*(1-'Projection &amp; Rate Setting'!F67),0)</f>
        <v>11</v>
      </c>
      <c r="P8" s="857">
        <f t="shared" si="1"/>
        <v>49</v>
      </c>
      <c r="R8" t="str">
        <f>B16</f>
        <v>Group D</v>
      </c>
    </row>
    <row r="9" spans="1:18" x14ac:dyDescent="0.2">
      <c r="A9">
        <f t="shared" si="2"/>
        <v>7</v>
      </c>
      <c r="B9" s="946"/>
      <c r="C9" s="859" t="str">
        <f>'Data Lists'!$B$3</f>
        <v>EE + SP</v>
      </c>
      <c r="D9" s="860">
        <f>ROUND('2018 Data'!D9*$B$3/'2018 Data'!$H$24,0)</f>
        <v>20</v>
      </c>
      <c r="E9" s="861">
        <f>ROUND('2018 Data'!E9*$B$3/'2018 Data'!$H$24,0)</f>
        <v>6</v>
      </c>
      <c r="F9" s="861">
        <f>ROUND('2018 Data'!F9*$B$3/'2018 Data'!$H$24,0)</f>
        <v>4</v>
      </c>
      <c r="G9" s="861">
        <f>ROUND('2018 Data'!G9*$B$3/'2018 Data'!$H$24,0)</f>
        <v>0</v>
      </c>
      <c r="H9" s="858">
        <f t="shared" si="0"/>
        <v>30</v>
      </c>
      <c r="J9" s="946"/>
      <c r="K9" s="859" t="str">
        <f>'Data Lists'!$B$3</f>
        <v>EE + SP</v>
      </c>
      <c r="L9" s="860">
        <f>ROUND(D9*(1-'Projection &amp; Rate Setting'!C68),0)</f>
        <v>10</v>
      </c>
      <c r="M9" s="861">
        <f>ROUND(E9*(1-'Projection &amp; Rate Setting'!D68),0)</f>
        <v>6</v>
      </c>
      <c r="N9" s="861">
        <f>ROUND(F9*(1-'Projection &amp; Rate Setting'!E68),0)</f>
        <v>4</v>
      </c>
      <c r="O9" s="861">
        <f>ROUND(G9*(1-'Projection &amp; Rate Setting'!F68),0)</f>
        <v>0</v>
      </c>
      <c r="P9" s="861">
        <f t="shared" si="1"/>
        <v>10</v>
      </c>
      <c r="R9" t="str">
        <f>B20</f>
        <v>Group E</v>
      </c>
    </row>
    <row r="10" spans="1:18" x14ac:dyDescent="0.2">
      <c r="A10">
        <f t="shared" si="2"/>
        <v>8</v>
      </c>
      <c r="B10" s="946"/>
      <c r="C10" s="859" t="str">
        <f>'Data Lists'!$B$4</f>
        <v>EE + C</v>
      </c>
      <c r="D10" s="860">
        <f>ROUND('2018 Data'!D10*$B$3/'2018 Data'!$H$24,0)</f>
        <v>29</v>
      </c>
      <c r="E10" s="861">
        <f>ROUND('2018 Data'!E10*$B$3/'2018 Data'!$H$24,0)</f>
        <v>9</v>
      </c>
      <c r="F10" s="861">
        <f>ROUND('2018 Data'!F10*$B$3/'2018 Data'!$H$24,0)</f>
        <v>1</v>
      </c>
      <c r="G10" s="861">
        <f>ROUND('2018 Data'!G10*$B$3/'2018 Data'!$H$24,0)</f>
        <v>0</v>
      </c>
      <c r="H10" s="858">
        <f t="shared" si="0"/>
        <v>39</v>
      </c>
      <c r="J10" s="946"/>
      <c r="K10" s="859" t="str">
        <f>'Data Lists'!$B$4</f>
        <v>EE + C</v>
      </c>
      <c r="L10" s="860">
        <f>ROUND(D10*(1-'Projection &amp; Rate Setting'!C69),0)</f>
        <v>15</v>
      </c>
      <c r="M10" s="861">
        <f>ROUND(E10*(1-'Projection &amp; Rate Setting'!D69),0)</f>
        <v>9</v>
      </c>
      <c r="N10" s="861">
        <f>ROUND(F10*(1-'Projection &amp; Rate Setting'!E69),0)</f>
        <v>1</v>
      </c>
      <c r="O10" s="861">
        <f>ROUND(G10*(1-'Projection &amp; Rate Setting'!F69),0)</f>
        <v>0</v>
      </c>
      <c r="P10" s="861">
        <f t="shared" si="1"/>
        <v>14</v>
      </c>
      <c r="R10" t="s">
        <v>1076</v>
      </c>
    </row>
    <row r="11" spans="1:18" x14ac:dyDescent="0.2">
      <c r="A11">
        <f t="shared" si="2"/>
        <v>9</v>
      </c>
      <c r="B11" s="947"/>
      <c r="C11" s="862" t="str">
        <f>'Data Lists'!$B$5</f>
        <v>EE + F</v>
      </c>
      <c r="D11" s="863">
        <f>ROUND('2018 Data'!D11*$B$3/'2018 Data'!$H$24,0)</f>
        <v>21</v>
      </c>
      <c r="E11" s="864">
        <f>ROUND('2018 Data'!E11*$B$3/'2018 Data'!$H$24,0)</f>
        <v>12</v>
      </c>
      <c r="F11" s="864">
        <f>ROUND('2018 Data'!F11*$B$3/'2018 Data'!$H$24,0)</f>
        <v>4</v>
      </c>
      <c r="G11" s="864">
        <f>ROUND('2018 Data'!G11*$B$3/'2018 Data'!$H$24,0)</f>
        <v>0</v>
      </c>
      <c r="H11" s="858">
        <f t="shared" si="0"/>
        <v>37</v>
      </c>
      <c r="J11" s="947"/>
      <c r="K11" s="862" t="str">
        <f>'Data Lists'!$B$5</f>
        <v>EE + F</v>
      </c>
      <c r="L11" s="863">
        <f>ROUND(D11*(1-'Projection &amp; Rate Setting'!C70),0)</f>
        <v>11</v>
      </c>
      <c r="M11" s="864">
        <f>ROUND(E11*(1-'Projection &amp; Rate Setting'!D70),0)</f>
        <v>12</v>
      </c>
      <c r="N11" s="864">
        <f>ROUND(F11*(1-'Projection &amp; Rate Setting'!E70),0)</f>
        <v>4</v>
      </c>
      <c r="O11" s="864">
        <f>ROUND(G11*(1-'Projection &amp; Rate Setting'!F70),0)</f>
        <v>0</v>
      </c>
      <c r="P11" s="864">
        <f t="shared" si="1"/>
        <v>10</v>
      </c>
    </row>
    <row r="12" spans="1:18" x14ac:dyDescent="0.2">
      <c r="A12">
        <f t="shared" si="2"/>
        <v>10</v>
      </c>
      <c r="B12" s="945" t="str">
        <f>'Data Lists'!$C$4</f>
        <v>Group C</v>
      </c>
      <c r="C12" s="855" t="str">
        <f>'Data Lists'!$B$2</f>
        <v>EE</v>
      </c>
      <c r="D12" s="856">
        <f>ROUND('2018 Data'!D12*$B$3/'2018 Data'!$H$24,0)</f>
        <v>537</v>
      </c>
      <c r="E12" s="857">
        <f>ROUND('2018 Data'!E12*$B$3/'2018 Data'!$H$24,0)</f>
        <v>430</v>
      </c>
      <c r="F12" s="857">
        <f>ROUND('2018 Data'!F12*$B$3/'2018 Data'!$H$24,0)</f>
        <v>248</v>
      </c>
      <c r="G12" s="857">
        <f>ROUND('2018 Data'!G12*$B$3/'2018 Data'!$H$24,0)</f>
        <v>93</v>
      </c>
      <c r="H12" s="858">
        <f t="shared" si="0"/>
        <v>1308</v>
      </c>
      <c r="J12" s="945" t="str">
        <f>'2018 Data'!$B$38</f>
        <v>Group C</v>
      </c>
      <c r="K12" s="855" t="str">
        <f>'Data Lists'!$B$2</f>
        <v>EE</v>
      </c>
      <c r="L12" s="856">
        <f>ROUND(D12*(1-'Projection &amp; Rate Setting'!C67),0)</f>
        <v>269</v>
      </c>
      <c r="M12" s="856">
        <f>ROUND(E12*(1-'Projection &amp; Rate Setting'!D67),0)</f>
        <v>430</v>
      </c>
      <c r="N12" s="856">
        <f>ROUND(F12*(1-'Projection &amp; Rate Setting'!E67),0)</f>
        <v>248</v>
      </c>
      <c r="O12" s="856">
        <f>ROUND(G12*(1-'Projection &amp; Rate Setting'!F67),0)</f>
        <v>93</v>
      </c>
      <c r="P12" s="857">
        <f t="shared" si="1"/>
        <v>268</v>
      </c>
    </row>
    <row r="13" spans="1:18" x14ac:dyDescent="0.2">
      <c r="A13">
        <f t="shared" si="2"/>
        <v>11</v>
      </c>
      <c r="B13" s="946"/>
      <c r="C13" s="859" t="str">
        <f>'Data Lists'!$B$3</f>
        <v>EE + SP</v>
      </c>
      <c r="D13" s="860">
        <f>ROUND('2018 Data'!D13*$B$3/'2018 Data'!$H$24,0)</f>
        <v>175</v>
      </c>
      <c r="E13" s="861">
        <f>ROUND('2018 Data'!E13*$B$3/'2018 Data'!$H$24,0)</f>
        <v>52</v>
      </c>
      <c r="F13" s="861">
        <f>ROUND('2018 Data'!F13*$B$3/'2018 Data'!$H$24,0)</f>
        <v>38</v>
      </c>
      <c r="G13" s="861">
        <f>ROUND('2018 Data'!G13*$B$3/'2018 Data'!$H$24,0)</f>
        <v>3</v>
      </c>
      <c r="H13" s="858">
        <f t="shared" si="0"/>
        <v>268</v>
      </c>
      <c r="J13" s="946"/>
      <c r="K13" s="859" t="str">
        <f>'Data Lists'!$B$3</f>
        <v>EE + SP</v>
      </c>
      <c r="L13" s="860">
        <f>ROUND(D13*(1-'Projection &amp; Rate Setting'!C68),0)</f>
        <v>88</v>
      </c>
      <c r="M13" s="861">
        <f>ROUND(E13*(1-'Projection &amp; Rate Setting'!D68),0)</f>
        <v>52</v>
      </c>
      <c r="N13" s="861">
        <f>ROUND(F13*(1-'Projection &amp; Rate Setting'!E68),0)</f>
        <v>38</v>
      </c>
      <c r="O13" s="861">
        <f>ROUND(G13*(1-'Projection &amp; Rate Setting'!F68),0)</f>
        <v>3</v>
      </c>
      <c r="P13" s="861">
        <f t="shared" si="1"/>
        <v>87</v>
      </c>
    </row>
    <row r="14" spans="1:18" x14ac:dyDescent="0.2">
      <c r="A14">
        <f t="shared" si="2"/>
        <v>12</v>
      </c>
      <c r="B14" s="946"/>
      <c r="C14" s="859" t="str">
        <f>'Data Lists'!$B$4</f>
        <v>EE + C</v>
      </c>
      <c r="D14" s="860">
        <f>ROUND('2018 Data'!D14*$B$3/'2018 Data'!$H$24,0)</f>
        <v>158</v>
      </c>
      <c r="E14" s="861">
        <f>ROUND('2018 Data'!E14*$B$3/'2018 Data'!$H$24,0)</f>
        <v>82</v>
      </c>
      <c r="F14" s="861">
        <f>ROUND('2018 Data'!F14*$B$3/'2018 Data'!$H$24,0)</f>
        <v>60</v>
      </c>
      <c r="G14" s="861">
        <f>ROUND('2018 Data'!G14*$B$3/'2018 Data'!$H$24,0)</f>
        <v>1</v>
      </c>
      <c r="H14" s="858">
        <f t="shared" si="0"/>
        <v>301</v>
      </c>
      <c r="J14" s="946"/>
      <c r="K14" s="859" t="str">
        <f>'Data Lists'!$B$4</f>
        <v>EE + C</v>
      </c>
      <c r="L14" s="860">
        <f>ROUND(D14*(1-'Projection &amp; Rate Setting'!C69),0)</f>
        <v>79</v>
      </c>
      <c r="M14" s="861">
        <f>ROUND(E14*(1-'Projection &amp; Rate Setting'!D69),0)</f>
        <v>82</v>
      </c>
      <c r="N14" s="861">
        <f>ROUND(F14*(1-'Projection &amp; Rate Setting'!E69),0)</f>
        <v>60</v>
      </c>
      <c r="O14" s="861">
        <f>ROUND(G14*(1-'Projection &amp; Rate Setting'!F69),0)</f>
        <v>1</v>
      </c>
      <c r="P14" s="861">
        <f t="shared" si="1"/>
        <v>79</v>
      </c>
    </row>
    <row r="15" spans="1:18" x14ac:dyDescent="0.2">
      <c r="A15">
        <f t="shared" si="2"/>
        <v>13</v>
      </c>
      <c r="B15" s="947"/>
      <c r="C15" s="862" t="str">
        <f>'Data Lists'!$B$5</f>
        <v>EE + F</v>
      </c>
      <c r="D15" s="863">
        <f>ROUND('2018 Data'!D15*$B$3/'2018 Data'!$H$24,0)</f>
        <v>177</v>
      </c>
      <c r="E15" s="864">
        <f>ROUND('2018 Data'!E15*$B$3/'2018 Data'!$H$24,0)</f>
        <v>103</v>
      </c>
      <c r="F15" s="864">
        <f>ROUND('2018 Data'!F15*$B$3/'2018 Data'!$H$24,0)</f>
        <v>94</v>
      </c>
      <c r="G15" s="864">
        <f>ROUND('2018 Data'!G15*$B$3/'2018 Data'!$H$24,0)</f>
        <v>2</v>
      </c>
      <c r="H15" s="858">
        <f t="shared" si="0"/>
        <v>376</v>
      </c>
      <c r="J15" s="947"/>
      <c r="K15" s="862" t="str">
        <f>'Data Lists'!$B$5</f>
        <v>EE + F</v>
      </c>
      <c r="L15" s="863">
        <f>ROUND(D15*(1-'Projection &amp; Rate Setting'!C70),0)</f>
        <v>89</v>
      </c>
      <c r="M15" s="864">
        <f>ROUND(E15*(1-'Projection &amp; Rate Setting'!D70),0)</f>
        <v>103</v>
      </c>
      <c r="N15" s="864">
        <f>ROUND(F15*(1-'Projection &amp; Rate Setting'!E70),0)</f>
        <v>94</v>
      </c>
      <c r="O15" s="864">
        <f>ROUND(G15*(1-'Projection &amp; Rate Setting'!F70),0)</f>
        <v>2</v>
      </c>
      <c r="P15" s="864">
        <f t="shared" si="1"/>
        <v>88</v>
      </c>
    </row>
    <row r="16" spans="1:18" x14ac:dyDescent="0.2">
      <c r="A16">
        <f t="shared" si="2"/>
        <v>14</v>
      </c>
      <c r="B16" s="945" t="str">
        <f>'Data Lists'!$C$5</f>
        <v>Group D</v>
      </c>
      <c r="C16" s="855" t="str">
        <f>'Data Lists'!$B$2</f>
        <v>EE</v>
      </c>
      <c r="D16" s="860">
        <f>ROUND('2018 Data'!D16*$B$3/'2018 Data'!$H$24,0)</f>
        <v>452</v>
      </c>
      <c r="E16" s="861">
        <f>ROUND('2018 Data'!E16*$B$3/'2018 Data'!$H$24,0)</f>
        <v>282</v>
      </c>
      <c r="F16" s="861">
        <f>ROUND('2018 Data'!F16*$B$3/'2018 Data'!$H$24,0)</f>
        <v>108</v>
      </c>
      <c r="G16" s="861">
        <f>ROUND('2018 Data'!G16*$B$3/'2018 Data'!$H$24,0)</f>
        <v>14</v>
      </c>
      <c r="H16" s="858">
        <f t="shared" si="0"/>
        <v>856</v>
      </c>
      <c r="J16" s="946" t="str">
        <f>'2018 Data'!$B$42</f>
        <v>Group D</v>
      </c>
      <c r="K16" s="855" t="str">
        <f>'Data Lists'!$B$2</f>
        <v>EE</v>
      </c>
      <c r="L16" s="856">
        <f>ROUND(D16*(1-'Projection &amp; Rate Setting'!C67),0)</f>
        <v>226</v>
      </c>
      <c r="M16" s="856">
        <f>ROUND(E16*(1-'Projection &amp; Rate Setting'!D67),0)</f>
        <v>282</v>
      </c>
      <c r="N16" s="856">
        <f>ROUND(F16*(1-'Projection &amp; Rate Setting'!E67),0)</f>
        <v>108</v>
      </c>
      <c r="O16" s="856">
        <f>ROUND(G16*(1-'Projection &amp; Rate Setting'!F67),0)</f>
        <v>14</v>
      </c>
      <c r="P16" s="861">
        <f t="shared" si="1"/>
        <v>226</v>
      </c>
    </row>
    <row r="17" spans="1:17" x14ac:dyDescent="0.2">
      <c r="A17">
        <f t="shared" si="2"/>
        <v>15</v>
      </c>
      <c r="B17" s="946"/>
      <c r="C17" s="859" t="str">
        <f>'Data Lists'!$B$3</f>
        <v>EE + SP</v>
      </c>
      <c r="D17" s="860">
        <f>ROUND('2018 Data'!D17*$B$3/'2018 Data'!$H$24,0)</f>
        <v>158</v>
      </c>
      <c r="E17" s="861">
        <f>ROUND('2018 Data'!E17*$B$3/'2018 Data'!$H$24,0)</f>
        <v>57</v>
      </c>
      <c r="F17" s="861">
        <f>ROUND('2018 Data'!F17*$B$3/'2018 Data'!$H$24,0)</f>
        <v>20</v>
      </c>
      <c r="G17" s="861">
        <f>ROUND('2018 Data'!G17*$B$3/'2018 Data'!$H$24,0)</f>
        <v>0</v>
      </c>
      <c r="H17" s="858">
        <f t="shared" si="0"/>
        <v>235</v>
      </c>
      <c r="J17" s="946"/>
      <c r="K17" s="859" t="str">
        <f>'Data Lists'!$B$3</f>
        <v>EE + SP</v>
      </c>
      <c r="L17" s="860">
        <f>ROUND(D17*(1-'Projection &amp; Rate Setting'!C68),0)</f>
        <v>79</v>
      </c>
      <c r="M17" s="861">
        <f>ROUND(E17*(1-'Projection &amp; Rate Setting'!D68),0)</f>
        <v>57</v>
      </c>
      <c r="N17" s="861">
        <f>ROUND(F17*(1-'Projection &amp; Rate Setting'!E68),0)</f>
        <v>20</v>
      </c>
      <c r="O17" s="861">
        <f>ROUND(G17*(1-'Projection &amp; Rate Setting'!F68),0)</f>
        <v>0</v>
      </c>
      <c r="P17" s="861">
        <f t="shared" si="1"/>
        <v>79</v>
      </c>
    </row>
    <row r="18" spans="1:17" x14ac:dyDescent="0.2">
      <c r="A18">
        <f t="shared" si="2"/>
        <v>16</v>
      </c>
      <c r="B18" s="946"/>
      <c r="C18" s="859" t="str">
        <f>'Data Lists'!$B$4</f>
        <v>EE + C</v>
      </c>
      <c r="D18" s="860">
        <f>ROUND('2018 Data'!D18*$B$3/'2018 Data'!$H$24,0)</f>
        <v>142</v>
      </c>
      <c r="E18" s="861">
        <f>ROUND('2018 Data'!E18*$B$3/'2018 Data'!$H$24,0)</f>
        <v>97</v>
      </c>
      <c r="F18" s="861">
        <f>ROUND('2018 Data'!F18*$B$3/'2018 Data'!$H$24,0)</f>
        <v>33</v>
      </c>
      <c r="G18" s="861">
        <f>ROUND('2018 Data'!G18*$B$3/'2018 Data'!$H$24,0)</f>
        <v>0</v>
      </c>
      <c r="H18" s="858">
        <f t="shared" si="0"/>
        <v>272</v>
      </c>
      <c r="J18" s="946"/>
      <c r="K18" s="859" t="str">
        <f>'Data Lists'!$B$4</f>
        <v>EE + C</v>
      </c>
      <c r="L18" s="860">
        <f>ROUND(D18*(1-'Projection &amp; Rate Setting'!C69),0)</f>
        <v>71</v>
      </c>
      <c r="M18" s="861">
        <f>ROUND(E18*(1-'Projection &amp; Rate Setting'!D69),0)</f>
        <v>97</v>
      </c>
      <c r="N18" s="861">
        <f>ROUND(F18*(1-'Projection &amp; Rate Setting'!E69),0)</f>
        <v>33</v>
      </c>
      <c r="O18" s="861">
        <f>ROUND(G18*(1-'Projection &amp; Rate Setting'!F69),0)</f>
        <v>0</v>
      </c>
      <c r="P18" s="861">
        <f t="shared" si="1"/>
        <v>71</v>
      </c>
    </row>
    <row r="19" spans="1:17" x14ac:dyDescent="0.2">
      <c r="A19">
        <f t="shared" si="2"/>
        <v>17</v>
      </c>
      <c r="B19" s="947"/>
      <c r="C19" s="862" t="str">
        <f>'Data Lists'!$B$5</f>
        <v>EE + F</v>
      </c>
      <c r="D19" s="863">
        <f>ROUND('2018 Data'!D19*$B$3/'2018 Data'!$H$24,0)</f>
        <v>162</v>
      </c>
      <c r="E19" s="864">
        <f>ROUND('2018 Data'!E19*$B$3/'2018 Data'!$H$24,0)</f>
        <v>105</v>
      </c>
      <c r="F19" s="864">
        <f>ROUND('2018 Data'!F19*$B$3/'2018 Data'!$H$24,0)</f>
        <v>21</v>
      </c>
      <c r="G19" s="864">
        <f>ROUND('2018 Data'!G19*$B$3/'2018 Data'!$H$24,0)</f>
        <v>0</v>
      </c>
      <c r="H19" s="858">
        <f t="shared" si="0"/>
        <v>288</v>
      </c>
      <c r="J19" s="947"/>
      <c r="K19" s="862" t="str">
        <f>'Data Lists'!$B$5</f>
        <v>EE + F</v>
      </c>
      <c r="L19" s="863">
        <f>ROUND(D19*(1-'Projection &amp; Rate Setting'!C70),0)</f>
        <v>81</v>
      </c>
      <c r="M19" s="864">
        <f>ROUND(E19*(1-'Projection &amp; Rate Setting'!D70),0)</f>
        <v>105</v>
      </c>
      <c r="N19" s="864">
        <f>ROUND(F19*(1-'Projection &amp; Rate Setting'!E70),0)</f>
        <v>21</v>
      </c>
      <c r="O19" s="864">
        <f>ROUND(G19*(1-'Projection &amp; Rate Setting'!F70),0)</f>
        <v>0</v>
      </c>
      <c r="P19" s="864">
        <f t="shared" si="1"/>
        <v>81</v>
      </c>
    </row>
    <row r="20" spans="1:17" x14ac:dyDescent="0.2">
      <c r="A20">
        <f t="shared" si="2"/>
        <v>18</v>
      </c>
      <c r="B20" s="945" t="str">
        <f>'Data Lists'!$C$6</f>
        <v>Group E</v>
      </c>
      <c r="C20" s="855" t="str">
        <f>'Data Lists'!$B$2</f>
        <v>EE</v>
      </c>
      <c r="D20" s="860">
        <f>ROUND('2018 Data'!D20*$B$3/'2018 Data'!$H$24,0)</f>
        <v>249</v>
      </c>
      <c r="E20" s="861">
        <f>ROUND('2018 Data'!E20*$B$3/'2018 Data'!$H$24,0)</f>
        <v>161</v>
      </c>
      <c r="F20" s="861">
        <f>ROUND('2018 Data'!F20*$B$3/'2018 Data'!$H$24,0)</f>
        <v>132</v>
      </c>
      <c r="G20" s="861">
        <f>ROUND('2018 Data'!G20*$B$3/'2018 Data'!$H$24,0)</f>
        <v>16</v>
      </c>
      <c r="H20" s="858">
        <f t="shared" si="0"/>
        <v>558</v>
      </c>
      <c r="J20" s="946" t="str">
        <f>'2018 Data'!$B$46</f>
        <v>Group E</v>
      </c>
      <c r="K20" s="855" t="str">
        <f>'Data Lists'!$B$2</f>
        <v>EE</v>
      </c>
      <c r="L20" s="856">
        <f>ROUND(D20*(1-'Projection &amp; Rate Setting'!C67),0)</f>
        <v>125</v>
      </c>
      <c r="M20" s="856">
        <f>ROUND(E20*(1-'Projection &amp; Rate Setting'!D67),0)</f>
        <v>161</v>
      </c>
      <c r="N20" s="856">
        <f>ROUND(F20*(1-'Projection &amp; Rate Setting'!E67),0)</f>
        <v>132</v>
      </c>
      <c r="O20" s="856">
        <f>ROUND(G20*(1-'Projection &amp; Rate Setting'!F67),0)</f>
        <v>16</v>
      </c>
      <c r="P20" s="861">
        <f t="shared" si="1"/>
        <v>124</v>
      </c>
    </row>
    <row r="21" spans="1:17" x14ac:dyDescent="0.2">
      <c r="A21">
        <f t="shared" si="2"/>
        <v>19</v>
      </c>
      <c r="B21" s="946"/>
      <c r="C21" s="859" t="str">
        <f>'Data Lists'!$B$3</f>
        <v>EE + SP</v>
      </c>
      <c r="D21" s="860">
        <f>ROUND('2018 Data'!D21*$B$3/'2018 Data'!$H$24,0)</f>
        <v>154</v>
      </c>
      <c r="E21" s="861">
        <f>ROUND('2018 Data'!E21*$B$3/'2018 Data'!$H$24,0)</f>
        <v>27</v>
      </c>
      <c r="F21" s="861">
        <f>ROUND('2018 Data'!F21*$B$3/'2018 Data'!$H$24,0)</f>
        <v>29</v>
      </c>
      <c r="G21" s="861">
        <f>ROUND('2018 Data'!G21*$B$3/'2018 Data'!$H$24,0)</f>
        <v>0</v>
      </c>
      <c r="H21" s="858">
        <f t="shared" si="0"/>
        <v>210</v>
      </c>
      <c r="J21" s="946"/>
      <c r="K21" s="859" t="str">
        <f>'Data Lists'!$B$3</f>
        <v>EE + SP</v>
      </c>
      <c r="L21" s="860">
        <f>ROUND(D21*(1-'Projection &amp; Rate Setting'!C68),0)</f>
        <v>77</v>
      </c>
      <c r="M21" s="861">
        <f>ROUND(E21*(1-'Projection &amp; Rate Setting'!D68),0)</f>
        <v>27</v>
      </c>
      <c r="N21" s="861">
        <f>ROUND(F21*(1-'Projection &amp; Rate Setting'!E68),0)</f>
        <v>29</v>
      </c>
      <c r="O21" s="861">
        <f>ROUND(G21*(1-'Projection &amp; Rate Setting'!F68),0)</f>
        <v>0</v>
      </c>
      <c r="P21" s="861">
        <f t="shared" si="1"/>
        <v>77</v>
      </c>
    </row>
    <row r="22" spans="1:17" x14ac:dyDescent="0.2">
      <c r="A22">
        <f t="shared" si="2"/>
        <v>20</v>
      </c>
      <c r="B22" s="946"/>
      <c r="C22" s="859" t="str">
        <f>'Data Lists'!$B$4</f>
        <v>EE + C</v>
      </c>
      <c r="D22" s="860">
        <f>ROUND('2018 Data'!D22*$B$3/'2018 Data'!$H$24,0)</f>
        <v>109</v>
      </c>
      <c r="E22" s="861">
        <f>ROUND('2018 Data'!E22*$B$3/'2018 Data'!$H$24,0)</f>
        <v>29</v>
      </c>
      <c r="F22" s="861">
        <f>ROUND('2018 Data'!F22*$B$3/'2018 Data'!$H$24,0)</f>
        <v>33</v>
      </c>
      <c r="G22" s="861">
        <f>ROUND('2018 Data'!G22*$B$3/'2018 Data'!$H$24,0)</f>
        <v>0</v>
      </c>
      <c r="H22" s="858">
        <f t="shared" si="0"/>
        <v>171</v>
      </c>
      <c r="J22" s="946"/>
      <c r="K22" s="859" t="str">
        <f>'Data Lists'!$B$4</f>
        <v>EE + C</v>
      </c>
      <c r="L22" s="860">
        <f>ROUND(D22*(1-'Projection &amp; Rate Setting'!C69),0)</f>
        <v>55</v>
      </c>
      <c r="M22" s="861">
        <f>ROUND(E22*(1-'Projection &amp; Rate Setting'!D69),0)</f>
        <v>29</v>
      </c>
      <c r="N22" s="861">
        <f>ROUND(F22*(1-'Projection &amp; Rate Setting'!E69),0)</f>
        <v>33</v>
      </c>
      <c r="O22" s="861">
        <f>ROUND(G22*(1-'Projection &amp; Rate Setting'!F69),0)</f>
        <v>0</v>
      </c>
      <c r="P22" s="861">
        <f t="shared" si="1"/>
        <v>54</v>
      </c>
    </row>
    <row r="23" spans="1:17" x14ac:dyDescent="0.2">
      <c r="A23">
        <f t="shared" si="2"/>
        <v>21</v>
      </c>
      <c r="B23" s="947"/>
      <c r="C23" s="862" t="str">
        <f>'Data Lists'!$B$5</f>
        <v>EE + F</v>
      </c>
      <c r="D23" s="863">
        <f>ROUND('2018 Data'!D23*$B$3/'2018 Data'!$H$24,0)</f>
        <v>126</v>
      </c>
      <c r="E23" s="864">
        <f>ROUND('2018 Data'!E23*$B$3/'2018 Data'!$H$24,0)</f>
        <v>63</v>
      </c>
      <c r="F23" s="864">
        <f>ROUND('2018 Data'!F23*$B$3/'2018 Data'!$H$24,0)</f>
        <v>31</v>
      </c>
      <c r="G23" s="864">
        <f>ROUND('2018 Data'!G23*$B$3/'2018 Data'!$H$24,0)</f>
        <v>0</v>
      </c>
      <c r="H23" s="858">
        <f t="shared" si="0"/>
        <v>220</v>
      </c>
      <c r="J23" s="947"/>
      <c r="K23" s="862" t="str">
        <f>'Data Lists'!$B$5</f>
        <v>EE + F</v>
      </c>
      <c r="L23" s="863">
        <f>ROUND(D23*(1-'Projection &amp; Rate Setting'!C70),0)</f>
        <v>63</v>
      </c>
      <c r="M23" s="864">
        <f>ROUND(E23*(1-'Projection &amp; Rate Setting'!D70),0)</f>
        <v>63</v>
      </c>
      <c r="N23" s="864">
        <f>ROUND(F23*(1-'Projection &amp; Rate Setting'!E70),0)</f>
        <v>31</v>
      </c>
      <c r="O23" s="864">
        <f>ROUND(G23*(1-'Projection &amp; Rate Setting'!F70),0)</f>
        <v>0</v>
      </c>
      <c r="P23" s="864">
        <f t="shared" si="1"/>
        <v>63</v>
      </c>
    </row>
    <row r="24" spans="1:17" x14ac:dyDescent="0.2">
      <c r="A24">
        <f t="shared" si="2"/>
        <v>22</v>
      </c>
      <c r="C24" s="865" t="s">
        <v>403</v>
      </c>
      <c r="D24" s="858">
        <f>SUM(D4:D23)</f>
        <v>3209</v>
      </c>
      <c r="E24" s="858">
        <f>SUM(E4:E23)</f>
        <v>1915</v>
      </c>
      <c r="F24" s="858">
        <f>SUM(F4:F23)</f>
        <v>1356</v>
      </c>
      <c r="G24" s="858">
        <f>SUM(G4:G23)</f>
        <v>154</v>
      </c>
      <c r="H24" s="858">
        <f>SUM(H4:H23)</f>
        <v>6634</v>
      </c>
      <c r="K24" s="866"/>
      <c r="L24" s="882"/>
      <c r="M24" s="858"/>
      <c r="N24" s="858"/>
      <c r="O24" s="858"/>
      <c r="P24" s="858"/>
      <c r="Q24" t="b">
        <f>SUM(L4:P23)=SUM(D4:G23)</f>
        <v>1</v>
      </c>
    </row>
    <row r="25" spans="1:17" x14ac:dyDescent="0.2">
      <c r="A25">
        <f t="shared" si="2"/>
        <v>23</v>
      </c>
      <c r="C25" s="866"/>
      <c r="D25" s="911"/>
      <c r="E25" s="858"/>
      <c r="F25" s="858"/>
      <c r="G25" s="858"/>
      <c r="H25" s="858"/>
      <c r="K25" s="866"/>
      <c r="L25" s="370"/>
      <c r="M25" s="858"/>
      <c r="N25" s="858"/>
      <c r="O25" s="858"/>
      <c r="P25" s="858"/>
    </row>
    <row r="26" spans="1:17" x14ac:dyDescent="0.2">
      <c r="A26">
        <f t="shared" si="2"/>
        <v>24</v>
      </c>
      <c r="C26" s="907" t="str">
        <f>'Data Lists'!$B$2</f>
        <v>EE</v>
      </c>
      <c r="D26" s="858">
        <f t="shared" ref="D26:G29" si="3">D4+D8+D12+D16+D20</f>
        <v>1529</v>
      </c>
      <c r="E26" s="858">
        <f t="shared" si="3"/>
        <v>1063</v>
      </c>
      <c r="F26" s="858">
        <f t="shared" si="3"/>
        <v>772</v>
      </c>
      <c r="G26" s="858">
        <f t="shared" si="3"/>
        <v>147</v>
      </c>
      <c r="H26" s="858">
        <f>SUM(D26:G26)</f>
        <v>3511</v>
      </c>
      <c r="K26" s="866"/>
      <c r="L26" s="370"/>
      <c r="M26" s="858"/>
      <c r="N26" s="858"/>
      <c r="O26" s="858"/>
      <c r="P26" s="858"/>
    </row>
    <row r="27" spans="1:17" x14ac:dyDescent="0.2">
      <c r="A27">
        <f t="shared" si="2"/>
        <v>25</v>
      </c>
      <c r="C27" s="908" t="str">
        <f>'Data Lists'!$B$3</f>
        <v>EE + SP</v>
      </c>
      <c r="D27" s="858">
        <f t="shared" si="3"/>
        <v>586</v>
      </c>
      <c r="E27" s="858">
        <f t="shared" si="3"/>
        <v>193</v>
      </c>
      <c r="F27" s="858">
        <f t="shared" si="3"/>
        <v>144</v>
      </c>
      <c r="G27" s="858">
        <f t="shared" si="3"/>
        <v>3</v>
      </c>
      <c r="H27" s="858">
        <f>SUM(D27:G27)</f>
        <v>926</v>
      </c>
      <c r="K27" s="866"/>
      <c r="L27" s="370"/>
      <c r="M27" s="858"/>
      <c r="N27" s="858"/>
      <c r="O27" s="858"/>
      <c r="P27" s="858"/>
    </row>
    <row r="28" spans="1:17" x14ac:dyDescent="0.2">
      <c r="A28">
        <f t="shared" si="2"/>
        <v>26</v>
      </c>
      <c r="C28" s="908" t="str">
        <f>'Data Lists'!$B$4</f>
        <v>EE + C</v>
      </c>
      <c r="D28" s="858">
        <f t="shared" si="3"/>
        <v>512</v>
      </c>
      <c r="E28" s="858">
        <f t="shared" si="3"/>
        <v>271</v>
      </c>
      <c r="F28" s="858">
        <f t="shared" si="3"/>
        <v>177</v>
      </c>
      <c r="G28" s="858">
        <f t="shared" si="3"/>
        <v>1</v>
      </c>
      <c r="H28" s="858">
        <f>SUM(D28:G28)</f>
        <v>961</v>
      </c>
      <c r="K28" s="866"/>
      <c r="L28" s="370"/>
      <c r="M28" s="858"/>
      <c r="N28" s="858"/>
      <c r="O28" s="858"/>
      <c r="P28" s="858"/>
    </row>
    <row r="29" spans="1:17" x14ac:dyDescent="0.2">
      <c r="A29">
        <f t="shared" si="2"/>
        <v>27</v>
      </c>
      <c r="C29" s="909" t="str">
        <f>'Data Lists'!$B$5</f>
        <v>EE + F</v>
      </c>
      <c r="D29" s="858">
        <f t="shared" si="3"/>
        <v>582</v>
      </c>
      <c r="E29" s="858">
        <f t="shared" si="3"/>
        <v>388</v>
      </c>
      <c r="F29" s="858">
        <f t="shared" si="3"/>
        <v>263</v>
      </c>
      <c r="G29" s="858">
        <f t="shared" si="3"/>
        <v>3</v>
      </c>
      <c r="H29" s="858">
        <f>SUM(D29:G29)</f>
        <v>1236</v>
      </c>
      <c r="K29" s="866"/>
      <c r="M29" s="867"/>
      <c r="N29" s="867"/>
      <c r="O29" s="867"/>
      <c r="P29" s="868"/>
    </row>
    <row r="30" spans="1:17" x14ac:dyDescent="0.2">
      <c r="H30" s="869"/>
      <c r="M30" s="853"/>
      <c r="N30" s="853"/>
      <c r="O30" s="853"/>
      <c r="P30" s="869"/>
    </row>
    <row r="32" spans="1:17" x14ac:dyDescent="0.2">
      <c r="D32" s="948" t="s">
        <v>1177</v>
      </c>
      <c r="E32" s="949"/>
      <c r="F32" s="949"/>
      <c r="G32" s="950"/>
    </row>
    <row r="33" spans="2:7" x14ac:dyDescent="0.2">
      <c r="B33" s="883">
        <f>'2018 Data'!$G$90</f>
        <v>5.88853690279183E-2</v>
      </c>
      <c r="D33" s="854" t="str">
        <f>D$3</f>
        <v>Plan 1</v>
      </c>
      <c r="E33" s="896" t="str">
        <f>E$3</f>
        <v>Plan 2</v>
      </c>
      <c r="F33" s="896" t="str">
        <f>F$3</f>
        <v>Plan 3</v>
      </c>
      <c r="G33" s="896" t="str">
        <f>G$3</f>
        <v>Plan 4</v>
      </c>
    </row>
    <row r="34" spans="2:7" x14ac:dyDescent="0.2">
      <c r="B34" s="945" t="str">
        <f>'Data Lists'!$C$2</f>
        <v>Group A</v>
      </c>
      <c r="C34" s="855" t="str">
        <f>'Data Lists'!$B$2</f>
        <v>EE</v>
      </c>
      <c r="D34" s="870">
        <f>ROUND('2018 Data'!D30*(1+$B$33),2)</f>
        <v>125.17</v>
      </c>
      <c r="E34" s="871">
        <f>ROUND('2018 Data'!E30*(1+$B$33),2)</f>
        <v>54.83</v>
      </c>
      <c r="F34" s="871">
        <f>ROUND('2018 Data'!F30*(1+$B$33),2)</f>
        <v>108.47</v>
      </c>
      <c r="G34" s="871">
        <f>ROUND('2018 Data'!G30*(1+$B$33),2)</f>
        <v>101.73</v>
      </c>
    </row>
    <row r="35" spans="2:7" x14ac:dyDescent="0.2">
      <c r="B35" s="946"/>
      <c r="C35" s="859" t="str">
        <f>'Data Lists'!$B$3</f>
        <v>EE + SP</v>
      </c>
      <c r="D35" s="872">
        <f>ROUND('2018 Data'!D31*(1+$B$33),2)</f>
        <v>379.65</v>
      </c>
      <c r="E35" s="873">
        <f>ROUND('2018 Data'!E31*(1+$B$33),2)</f>
        <v>193.78</v>
      </c>
      <c r="F35" s="873">
        <f>ROUND('2018 Data'!F31*(1+$B$33),2)</f>
        <v>344.69</v>
      </c>
      <c r="G35" s="873">
        <f>ROUND('2018 Data'!G31*(1+$B$33),2)</f>
        <v>597.01</v>
      </c>
    </row>
    <row r="36" spans="2:7" x14ac:dyDescent="0.2">
      <c r="B36" s="946"/>
      <c r="C36" s="859" t="str">
        <f>'Data Lists'!$B$4</f>
        <v>EE + C</v>
      </c>
      <c r="D36" s="872">
        <f>ROUND('2018 Data'!D32*(1+$B$33),2)</f>
        <v>308.31</v>
      </c>
      <c r="E36" s="873">
        <f>ROUND('2018 Data'!E32*(1+$B$33),2)</f>
        <v>146.74</v>
      </c>
      <c r="F36" s="873">
        <f>ROUND('2018 Data'!F32*(1+$B$33),2)</f>
        <v>264.94</v>
      </c>
      <c r="G36" s="873">
        <f>ROUND('2018 Data'!G32*(1+$B$33),2)</f>
        <v>459.63</v>
      </c>
    </row>
    <row r="37" spans="2:7" x14ac:dyDescent="0.2">
      <c r="B37" s="947"/>
      <c r="C37" s="862" t="str">
        <f>'Data Lists'!$B$5</f>
        <v>EE + F</v>
      </c>
      <c r="D37" s="874">
        <f>ROUND('2018 Data'!D33*(1+$B$33),2)</f>
        <v>542.54</v>
      </c>
      <c r="E37" s="875">
        <f>ROUND('2018 Data'!E33*(1+$B$33),2)</f>
        <v>253.29</v>
      </c>
      <c r="F37" s="875">
        <f>ROUND('2018 Data'!F33*(1+$B$33),2)</f>
        <v>490.74</v>
      </c>
      <c r="G37" s="875">
        <f>ROUND('2018 Data'!G33*(1+$B$33),2)</f>
        <v>899.81</v>
      </c>
    </row>
    <row r="38" spans="2:7" x14ac:dyDescent="0.2">
      <c r="B38" s="945" t="str">
        <f>'Data Lists'!$C$3</f>
        <v>Group B</v>
      </c>
      <c r="C38" s="855" t="str">
        <f>'Data Lists'!$B$2</f>
        <v>EE</v>
      </c>
      <c r="D38" s="870">
        <f>ROUND('2018 Data'!D34*(1+$B$33),2)</f>
        <v>132.15</v>
      </c>
      <c r="E38" s="871">
        <f>ROUND('2018 Data'!E34*(1+$B$33),2)</f>
        <v>54.83</v>
      </c>
      <c r="F38" s="871">
        <f>ROUND('2018 Data'!F34*(1+$B$33),2)</f>
        <v>108.47</v>
      </c>
      <c r="G38" s="871">
        <f>ROUND('2018 Data'!G34*(1+$B$33),2)</f>
        <v>101.73</v>
      </c>
    </row>
    <row r="39" spans="2:7" x14ac:dyDescent="0.2">
      <c r="B39" s="946"/>
      <c r="C39" s="859" t="str">
        <f>'Data Lists'!$B$3</f>
        <v>EE + SP</v>
      </c>
      <c r="D39" s="872">
        <f>ROUND('2018 Data'!D35*(1+$B$33),2)</f>
        <v>361.07</v>
      </c>
      <c r="E39" s="873">
        <f>ROUND('2018 Data'!E35*(1+$B$33),2)</f>
        <v>193.78</v>
      </c>
      <c r="F39" s="873">
        <f>ROUND('2018 Data'!F35*(1+$B$33),2)</f>
        <v>344.69</v>
      </c>
      <c r="G39" s="873">
        <f>ROUND('2018 Data'!G35*(1+$B$33),2)</f>
        <v>597.01</v>
      </c>
    </row>
    <row r="40" spans="2:7" x14ac:dyDescent="0.2">
      <c r="B40" s="946"/>
      <c r="C40" s="859" t="str">
        <f>'Data Lists'!$B$4</f>
        <v>EE + C</v>
      </c>
      <c r="D40" s="872">
        <f>ROUND('2018 Data'!D36*(1+$B$33),2)</f>
        <v>301.19</v>
      </c>
      <c r="E40" s="873">
        <f>ROUND('2018 Data'!E36*(1+$B$33),2)</f>
        <v>146.74</v>
      </c>
      <c r="F40" s="873">
        <f>ROUND('2018 Data'!F36*(1+$B$33),2)</f>
        <v>264.94</v>
      </c>
      <c r="G40" s="873">
        <f>ROUND('2018 Data'!G36*(1+$B$33),2)</f>
        <v>459.63</v>
      </c>
    </row>
    <row r="41" spans="2:7" x14ac:dyDescent="0.2">
      <c r="B41" s="947"/>
      <c r="C41" s="862" t="str">
        <f>'Data Lists'!$B$5</f>
        <v>EE + F</v>
      </c>
      <c r="D41" s="874">
        <f>ROUND('2018 Data'!D37*(1+$B$33),2)</f>
        <v>506.2</v>
      </c>
      <c r="E41" s="875">
        <f>ROUND('2018 Data'!E37*(1+$B$33),2)</f>
        <v>253.29</v>
      </c>
      <c r="F41" s="875">
        <f>ROUND('2018 Data'!F37*(1+$B$33),2)</f>
        <v>490.74</v>
      </c>
      <c r="G41" s="875">
        <f>ROUND('2018 Data'!G37*(1+$B$33),2)</f>
        <v>899.81</v>
      </c>
    </row>
    <row r="42" spans="2:7" x14ac:dyDescent="0.2">
      <c r="B42" s="945" t="str">
        <f>'Data Lists'!$C$4</f>
        <v>Group C</v>
      </c>
      <c r="C42" s="855" t="str">
        <f>'Data Lists'!$B$2</f>
        <v>EE</v>
      </c>
      <c r="D42" s="870">
        <f>ROUND('2018 Data'!D38*(1+$B$33),2)</f>
        <v>125.17</v>
      </c>
      <c r="E42" s="871">
        <f>ROUND('2018 Data'!E38*(1+$B$33),2)</f>
        <v>54.83</v>
      </c>
      <c r="F42" s="871">
        <f>ROUND('2018 Data'!F38*(1+$B$33),2)</f>
        <v>108.47</v>
      </c>
      <c r="G42" s="871">
        <f>ROUND('2018 Data'!G38*(1+$B$33),2)</f>
        <v>101.73</v>
      </c>
    </row>
    <row r="43" spans="2:7" x14ac:dyDescent="0.2">
      <c r="B43" s="946"/>
      <c r="C43" s="859" t="str">
        <f>'Data Lists'!$B$3</f>
        <v>EE + SP</v>
      </c>
      <c r="D43" s="872">
        <f>ROUND('2018 Data'!D39*(1+$B$33),2)</f>
        <v>379.65</v>
      </c>
      <c r="E43" s="873">
        <f>ROUND('2018 Data'!E39*(1+$B$33),2)</f>
        <v>193.78</v>
      </c>
      <c r="F43" s="873">
        <f>ROUND('2018 Data'!F39*(1+$B$33),2)</f>
        <v>344.69</v>
      </c>
      <c r="G43" s="873">
        <f>ROUND('2018 Data'!G39*(1+$B$33),2)</f>
        <v>597.01</v>
      </c>
    </row>
    <row r="44" spans="2:7" x14ac:dyDescent="0.2">
      <c r="B44" s="946"/>
      <c r="C44" s="859" t="str">
        <f>'Data Lists'!$B$4</f>
        <v>EE + C</v>
      </c>
      <c r="D44" s="872">
        <f>ROUND('2018 Data'!D40*(1+$B$33),2)</f>
        <v>308.31</v>
      </c>
      <c r="E44" s="873">
        <f>ROUND('2018 Data'!E40*(1+$B$33),2)</f>
        <v>146.74</v>
      </c>
      <c r="F44" s="873">
        <f>ROUND('2018 Data'!F40*(1+$B$33),2)</f>
        <v>264.94</v>
      </c>
      <c r="G44" s="873">
        <f>ROUND('2018 Data'!G40*(1+$B$33),2)</f>
        <v>459.63</v>
      </c>
    </row>
    <row r="45" spans="2:7" x14ac:dyDescent="0.2">
      <c r="B45" s="947"/>
      <c r="C45" s="862" t="str">
        <f>'Data Lists'!$B$5</f>
        <v>EE + F</v>
      </c>
      <c r="D45" s="874">
        <f>ROUND('2018 Data'!D41*(1+$B$33),2)</f>
        <v>542.54</v>
      </c>
      <c r="E45" s="875">
        <f>ROUND('2018 Data'!E41*(1+$B$33),2)</f>
        <v>253.29</v>
      </c>
      <c r="F45" s="875">
        <f>ROUND('2018 Data'!F41*(1+$B$33),2)</f>
        <v>490.74</v>
      </c>
      <c r="G45" s="875">
        <f>ROUND('2018 Data'!G41*(1+$B$33),2)</f>
        <v>899.81</v>
      </c>
    </row>
    <row r="46" spans="2:7" x14ac:dyDescent="0.2">
      <c r="B46" s="945" t="str">
        <f>'Data Lists'!$C$5</f>
        <v>Group D</v>
      </c>
      <c r="C46" s="855" t="str">
        <f>'Data Lists'!$B$2</f>
        <v>EE</v>
      </c>
      <c r="D46" s="872">
        <f>ROUND('2018 Data'!D42*(1+$B$33),2)</f>
        <v>138.25</v>
      </c>
      <c r="E46" s="873">
        <f>ROUND('2018 Data'!E42*(1+$B$33),2)</f>
        <v>54.83</v>
      </c>
      <c r="F46" s="873">
        <f>ROUND('2018 Data'!F42*(1+$B$33),2)</f>
        <v>108.47</v>
      </c>
      <c r="G46" s="871">
        <f>ROUND('2018 Data'!G42*(1+$B$33),2)</f>
        <v>101.73</v>
      </c>
    </row>
    <row r="47" spans="2:7" x14ac:dyDescent="0.2">
      <c r="B47" s="946"/>
      <c r="C47" s="859" t="str">
        <f>'Data Lists'!$B$3</f>
        <v>EE + SP</v>
      </c>
      <c r="D47" s="872">
        <f>ROUND('2018 Data'!D43*(1+$B$33),2)</f>
        <v>409.15</v>
      </c>
      <c r="E47" s="873">
        <f>ROUND('2018 Data'!E43*(1+$B$33),2)</f>
        <v>193.78</v>
      </c>
      <c r="F47" s="873">
        <f>ROUND('2018 Data'!F43*(1+$B$33),2)</f>
        <v>344.69</v>
      </c>
      <c r="G47" s="873">
        <f>ROUND('2018 Data'!G43*(1+$B$33),2)</f>
        <v>597.01</v>
      </c>
    </row>
    <row r="48" spans="2:7" x14ac:dyDescent="0.2">
      <c r="B48" s="946"/>
      <c r="C48" s="859" t="str">
        <f>'Data Lists'!$B$4</f>
        <v>EE + C</v>
      </c>
      <c r="D48" s="872">
        <f>ROUND('2018 Data'!D44*(1+$B$33),2)</f>
        <v>342.94</v>
      </c>
      <c r="E48" s="873">
        <f>ROUND('2018 Data'!E44*(1+$B$33),2)</f>
        <v>146.74</v>
      </c>
      <c r="F48" s="873">
        <f>ROUND('2018 Data'!F44*(1+$B$33),2)</f>
        <v>264.94</v>
      </c>
      <c r="G48" s="873">
        <f>ROUND('2018 Data'!G44*(1+$B$33),2)</f>
        <v>459.63</v>
      </c>
    </row>
    <row r="49" spans="2:9" x14ac:dyDescent="0.2">
      <c r="B49" s="947"/>
      <c r="C49" s="862" t="str">
        <f>'Data Lists'!$B$5</f>
        <v>EE + F</v>
      </c>
      <c r="D49" s="874">
        <f>ROUND('2018 Data'!D45*(1+$B$33),2)</f>
        <v>577.74</v>
      </c>
      <c r="E49" s="875">
        <f>ROUND('2018 Data'!E45*(1+$B$33),2)</f>
        <v>253.29</v>
      </c>
      <c r="F49" s="875">
        <f>ROUND('2018 Data'!F45*(1+$B$33),2)</f>
        <v>490.74</v>
      </c>
      <c r="G49" s="875">
        <f>ROUND('2018 Data'!G45*(1+$B$33),2)</f>
        <v>899.81</v>
      </c>
    </row>
    <row r="50" spans="2:9" x14ac:dyDescent="0.2">
      <c r="B50" s="945" t="str">
        <f>'Data Lists'!$C$6</f>
        <v>Group E</v>
      </c>
      <c r="C50" s="855" t="str">
        <f>'Data Lists'!$B$2</f>
        <v>EE</v>
      </c>
      <c r="D50" s="872">
        <f>ROUND('2018 Data'!D46*(1+$B$33),2)</f>
        <v>96.87</v>
      </c>
      <c r="E50" s="873">
        <f>ROUND('2018 Data'!E46*(1+$B$33),2)</f>
        <v>46.02</v>
      </c>
      <c r="F50" s="873">
        <f>ROUND('2018 Data'!F46*(1+$B$33),2)</f>
        <v>91.09</v>
      </c>
      <c r="G50" s="871">
        <f>ROUND('2018 Data'!G46*(1+$B$33),2)</f>
        <v>101.73</v>
      </c>
    </row>
    <row r="51" spans="2:9" x14ac:dyDescent="0.2">
      <c r="B51" s="946"/>
      <c r="C51" s="859" t="str">
        <f>'Data Lists'!$B$3</f>
        <v>EE + SP</v>
      </c>
      <c r="D51" s="872">
        <f>ROUND('2018 Data'!D47*(1+$B$33),2)</f>
        <v>286.69</v>
      </c>
      <c r="E51" s="873">
        <f>ROUND('2018 Data'!E47*(1+$B$33),2)</f>
        <v>162.71</v>
      </c>
      <c r="F51" s="873">
        <f>ROUND('2018 Data'!F47*(1+$B$33),2)</f>
        <v>289.45</v>
      </c>
      <c r="G51" s="873">
        <f>ROUND('2018 Data'!G47*(1+$B$33),2)</f>
        <v>597.01</v>
      </c>
    </row>
    <row r="52" spans="2:9" x14ac:dyDescent="0.2">
      <c r="B52" s="946"/>
      <c r="C52" s="859" t="str">
        <f>'Data Lists'!$B$4</f>
        <v>EE + C</v>
      </c>
      <c r="D52" s="872">
        <f>ROUND('2018 Data'!D48*(1+$B$33),2)</f>
        <v>240.3</v>
      </c>
      <c r="E52" s="873">
        <f>ROUND('2018 Data'!E48*(1+$B$33),2)</f>
        <v>123.2</v>
      </c>
      <c r="F52" s="873">
        <f>ROUND('2018 Data'!F48*(1+$B$33),2)</f>
        <v>222.45</v>
      </c>
      <c r="G52" s="873">
        <f>ROUND('2018 Data'!G48*(1+$B$33),2)</f>
        <v>459.63</v>
      </c>
    </row>
    <row r="53" spans="2:9" x14ac:dyDescent="0.2">
      <c r="B53" s="947"/>
      <c r="C53" s="862" t="str">
        <f>'Data Lists'!$B$5</f>
        <v>EE + F</v>
      </c>
      <c r="D53" s="874">
        <f>ROUND('2018 Data'!D49*(1+$B$33),2)</f>
        <v>404.8</v>
      </c>
      <c r="E53" s="875">
        <f>ROUND('2018 Data'!E49*(1+$B$33),2)</f>
        <v>212.68</v>
      </c>
      <c r="F53" s="875">
        <f>ROUND('2018 Data'!F49*(1+$B$33),2)</f>
        <v>412.04</v>
      </c>
      <c r="G53" s="875">
        <f>ROUND('2018 Data'!G49*(1+$B$33),2)</f>
        <v>899.81</v>
      </c>
    </row>
    <row r="55" spans="2:9" x14ac:dyDescent="0.2">
      <c r="B55" s="905" t="str">
        <f>'2018 Data'!E78</f>
        <v>Plan 1</v>
      </c>
    </row>
    <row r="56" spans="2:9" x14ac:dyDescent="0.2">
      <c r="D56" s="948" t="s">
        <v>1178</v>
      </c>
      <c r="E56" s="949"/>
      <c r="F56" s="949"/>
      <c r="G56" s="949"/>
      <c r="H56" s="950"/>
    </row>
    <row r="57" spans="2:9" x14ac:dyDescent="0.2">
      <c r="B57" s="883">
        <f>'2018 Data'!$G$90</f>
        <v>5.88853690279183E-2</v>
      </c>
      <c r="D57" s="896" t="str">
        <f>D$3</f>
        <v>Plan 1</v>
      </c>
      <c r="E57" s="896" t="str">
        <f>E$3</f>
        <v>Plan 2</v>
      </c>
      <c r="F57" s="896" t="str">
        <f>F$3</f>
        <v>Plan 3</v>
      </c>
      <c r="G57" s="896" t="str">
        <f>G$3</f>
        <v>Plan 4</v>
      </c>
      <c r="H57" s="854" t="s">
        <v>818</v>
      </c>
      <c r="I57">
        <v>1</v>
      </c>
    </row>
    <row r="58" spans="2:9" x14ac:dyDescent="0.2">
      <c r="B58" s="945" t="str">
        <f>'Data Lists'!$C$2</f>
        <v>Group A</v>
      </c>
      <c r="C58" s="855" t="str">
        <f>'Data Lists'!$B$2</f>
        <v>EE</v>
      </c>
      <c r="D58" s="870">
        <f>ROUND('2018 Data'!D54*(1+$B$57),2)</f>
        <v>477.2</v>
      </c>
      <c r="E58" s="871">
        <f>ROUND('2018 Data'!E54*(1+$B$57),2)</f>
        <v>478.92</v>
      </c>
      <c r="F58" s="871">
        <f>ROUND('2018 Data'!F54*(1+$B$57),2)</f>
        <v>574.74</v>
      </c>
      <c r="G58" s="871">
        <f>ROUND('2018 Data'!G54*(1+$B$57),2)</f>
        <v>408.98</v>
      </c>
      <c r="H58" s="871">
        <f>HLOOKUP('2018 Data'!$E$78,'2019 Data'!$D$57:$G$77,'2019 Data'!$I58,FALSE)*('2018 Data'!$H$114/'2018 Data'!$G$114)</f>
        <v>433.1643657641913</v>
      </c>
      <c r="I58">
        <f>I57+1</f>
        <v>2</v>
      </c>
    </row>
    <row r="59" spans="2:9" x14ac:dyDescent="0.2">
      <c r="B59" s="946"/>
      <c r="C59" s="859" t="str">
        <f>'Data Lists'!$B$3</f>
        <v>EE + SP</v>
      </c>
      <c r="D59" s="872">
        <f>ROUND('2018 Data'!D55*(1+$B$57),2)</f>
        <v>1104.69</v>
      </c>
      <c r="E59" s="873">
        <f>ROUND('2018 Data'!E55*(1+$B$57),2)</f>
        <v>1063.98</v>
      </c>
      <c r="F59" s="873">
        <f>ROUND('2018 Data'!F55*(1+$B$57),2)</f>
        <v>1329.05</v>
      </c>
      <c r="G59" s="873">
        <f>ROUND('2018 Data'!G55*(1+$B$57),2)</f>
        <v>904.28</v>
      </c>
      <c r="H59" s="873">
        <f>HLOOKUP('2018 Data'!$E$78,'2019 Data'!$D$57:$G$77,'2019 Data'!$I59,FALSE)*('2018 Data'!$H$114/'2018 Data'!$G$114)</f>
        <v>1002.7500905617028</v>
      </c>
      <c r="I59">
        <f t="shared" ref="I59:I77" si="4">I58+1</f>
        <v>3</v>
      </c>
    </row>
    <row r="60" spans="2:9" x14ac:dyDescent="0.2">
      <c r="B60" s="946"/>
      <c r="C60" s="859" t="str">
        <f>'Data Lists'!$B$4</f>
        <v>EE + C</v>
      </c>
      <c r="D60" s="872">
        <f>ROUND('2018 Data'!D56*(1+$B$57),2)</f>
        <v>928.11</v>
      </c>
      <c r="E60" s="873">
        <f>ROUND('2018 Data'!E56*(1+$B$57),2)</f>
        <v>918.88</v>
      </c>
      <c r="F60" s="873">
        <f>ROUND('2018 Data'!F56*(1+$B$57),2)</f>
        <v>1113.45</v>
      </c>
      <c r="G60" s="873">
        <f>ROUND('2018 Data'!G56*(1+$B$57),2)</f>
        <v>766.87</v>
      </c>
      <c r="H60" s="873">
        <f>HLOOKUP('2018 Data'!$E$78,'2019 Data'!$D$57:$G$77,'2019 Data'!$I60,FALSE)*('2018 Data'!$H$114/'2018 Data'!$G$114)</f>
        <v>842.46475169615178</v>
      </c>
      <c r="I60">
        <f t="shared" si="4"/>
        <v>4</v>
      </c>
    </row>
    <row r="61" spans="2:9" x14ac:dyDescent="0.2">
      <c r="B61" s="947"/>
      <c r="C61" s="862" t="str">
        <f>'Data Lists'!$B$5</f>
        <v>EE + F</v>
      </c>
      <c r="D61" s="874">
        <f>ROUND('2018 Data'!D57*(1+$B$57),2)</f>
        <v>1505.51</v>
      </c>
      <c r="E61" s="875">
        <f>ROUND('2018 Data'!E57*(1+$B$57),2)</f>
        <v>1436.16</v>
      </c>
      <c r="F61" s="875">
        <f>ROUND('2018 Data'!F57*(1+$B$57),2)</f>
        <v>1807.9</v>
      </c>
      <c r="G61" s="875">
        <f>ROUND('2018 Data'!G57*(1+$B$57),2)</f>
        <v>1207.04</v>
      </c>
      <c r="H61" s="875">
        <f>HLOOKUP('2018 Data'!$E$78,'2019 Data'!$D$57:$G$77,'2019 Data'!$I61,FALSE)*('2018 Data'!$H$114/'2018 Data'!$G$114)</f>
        <v>1366.5827416212232</v>
      </c>
      <c r="I61">
        <f t="shared" si="4"/>
        <v>5</v>
      </c>
    </row>
    <row r="62" spans="2:9" x14ac:dyDescent="0.2">
      <c r="B62" s="945" t="str">
        <f>'Data Lists'!$C$3</f>
        <v>Group B</v>
      </c>
      <c r="C62" s="855" t="str">
        <f>'Data Lists'!$B$2</f>
        <v>EE</v>
      </c>
      <c r="D62" s="870">
        <f>ROUND('2018 Data'!D58*(1+$B$57),2)</f>
        <v>526.46</v>
      </c>
      <c r="E62" s="871">
        <f>ROUND('2018 Data'!E58*(1+$B$57),2)</f>
        <v>478.92</v>
      </c>
      <c r="F62" s="871">
        <f>ROUND('2018 Data'!F58*(1+$B$57),2)</f>
        <v>574.74</v>
      </c>
      <c r="G62" s="871">
        <f>ROUND('2018 Data'!G58*(1+$B$57),2)</f>
        <v>408.98</v>
      </c>
      <c r="H62" s="871">
        <f>HLOOKUP('2018 Data'!$E$78,'2019 Data'!$D$57:$G$77,'2019 Data'!$I62,FALSE)*('2018 Data'!$H$114/'2018 Data'!$G$114)</f>
        <v>477.87869237262402</v>
      </c>
      <c r="I62">
        <f t="shared" si="4"/>
        <v>6</v>
      </c>
    </row>
    <row r="63" spans="2:9" x14ac:dyDescent="0.2">
      <c r="B63" s="946"/>
      <c r="C63" s="859" t="str">
        <f>'Data Lists'!$B$3</f>
        <v>EE + SP</v>
      </c>
      <c r="D63" s="872">
        <f>ROUND('2018 Data'!D59*(1+$B$57),2)</f>
        <v>1217.99</v>
      </c>
      <c r="E63" s="873">
        <f>ROUND('2018 Data'!E59*(1+$B$57),2)</f>
        <v>1063.98</v>
      </c>
      <c r="F63" s="873">
        <f>ROUND('2018 Data'!F59*(1+$B$57),2)</f>
        <v>1329.05</v>
      </c>
      <c r="G63" s="873">
        <f>ROUND('2018 Data'!G59*(1+$B$57),2)</f>
        <v>904.28</v>
      </c>
      <c r="H63" s="873">
        <f>HLOOKUP('2018 Data'!$E$78,'2019 Data'!$D$57:$G$77,'2019 Data'!$I63,FALSE)*('2018 Data'!$H$114/'2018 Data'!$G$114)</f>
        <v>1105.5948572026978</v>
      </c>
      <c r="I63">
        <f t="shared" si="4"/>
        <v>7</v>
      </c>
    </row>
    <row r="64" spans="2:9" x14ac:dyDescent="0.2">
      <c r="B64" s="946"/>
      <c r="C64" s="859" t="str">
        <f>'Data Lists'!$B$4</f>
        <v>EE + C</v>
      </c>
      <c r="D64" s="872">
        <f>ROUND('2018 Data'!D60*(1+$B$57),2)</f>
        <v>1021.71</v>
      </c>
      <c r="E64" s="873">
        <f>ROUND('2018 Data'!E60*(1+$B$57),2)</f>
        <v>918.88</v>
      </c>
      <c r="F64" s="873">
        <f>ROUND('2018 Data'!F60*(1+$B$57),2)</f>
        <v>1113.45</v>
      </c>
      <c r="G64" s="873">
        <f>ROUND('2018 Data'!G60*(1+$B$57),2)</f>
        <v>766.87</v>
      </c>
      <c r="H64" s="873">
        <f>HLOOKUP('2018 Data'!$E$78,'2019 Data'!$D$57:$G$77,'2019 Data'!$I64,FALSE)*('2018 Data'!$H$114/'2018 Data'!$G$114)</f>
        <v>927.42741857697388</v>
      </c>
      <c r="I64">
        <f t="shared" si="4"/>
        <v>8</v>
      </c>
    </row>
    <row r="65" spans="2:9" x14ac:dyDescent="0.2">
      <c r="B65" s="947"/>
      <c r="C65" s="862" t="str">
        <f>'Data Lists'!$B$5</f>
        <v>EE + F</v>
      </c>
      <c r="D65" s="874">
        <f>ROUND('2018 Data'!D61*(1+$B$57),2)</f>
        <v>1658.21</v>
      </c>
      <c r="E65" s="875">
        <f>ROUND('2018 Data'!E61*(1+$B$57),2)</f>
        <v>1436.16</v>
      </c>
      <c r="F65" s="875">
        <f>ROUND('2018 Data'!F61*(1+$B$57),2)</f>
        <v>1807.9</v>
      </c>
      <c r="G65" s="875">
        <f>ROUND('2018 Data'!G61*(1+$B$57),2)</f>
        <v>1207.04</v>
      </c>
      <c r="H65" s="875">
        <f>HLOOKUP('2018 Data'!$E$78,'2019 Data'!$D$57:$G$77,'2019 Data'!$I65,FALSE)*('2018 Data'!$H$114/'2018 Data'!$G$114)</f>
        <v>1505.1917077825644</v>
      </c>
      <c r="I65">
        <f t="shared" si="4"/>
        <v>9</v>
      </c>
    </row>
    <row r="66" spans="2:9" x14ac:dyDescent="0.2">
      <c r="B66" s="945" t="str">
        <f>'Data Lists'!$C$4</f>
        <v>Group C</v>
      </c>
      <c r="C66" s="855" t="str">
        <f>'Data Lists'!$B$2</f>
        <v>EE</v>
      </c>
      <c r="D66" s="870">
        <f>ROUND('2018 Data'!D62*(1+$B$57),2)</f>
        <v>526.46</v>
      </c>
      <c r="E66" s="871">
        <f>ROUND('2018 Data'!E62*(1+$B$57),2)</f>
        <v>478.92</v>
      </c>
      <c r="F66" s="871">
        <f>ROUND('2018 Data'!F62*(1+$B$57),2)</f>
        <v>574.74</v>
      </c>
      <c r="G66" s="871">
        <f>ROUND('2018 Data'!G62*(1+$B$57),2)</f>
        <v>408.98</v>
      </c>
      <c r="H66" s="871">
        <f>HLOOKUP('2018 Data'!$E$78,'2019 Data'!$D$57:$G$77,'2019 Data'!$I66,FALSE)*('2018 Data'!$H$114/'2018 Data'!$G$114)</f>
        <v>477.87869237262402</v>
      </c>
      <c r="I66">
        <f t="shared" si="4"/>
        <v>10</v>
      </c>
    </row>
    <row r="67" spans="2:9" x14ac:dyDescent="0.2">
      <c r="B67" s="946"/>
      <c r="C67" s="859" t="str">
        <f>'Data Lists'!$B$3</f>
        <v>EE + SP</v>
      </c>
      <c r="D67" s="872">
        <f>ROUND('2018 Data'!D63*(1+$B$57),2)</f>
        <v>1217.99</v>
      </c>
      <c r="E67" s="873">
        <f>ROUND('2018 Data'!E63*(1+$B$57),2)</f>
        <v>1063.98</v>
      </c>
      <c r="F67" s="873">
        <f>ROUND('2018 Data'!F63*(1+$B$57),2)</f>
        <v>1329.05</v>
      </c>
      <c r="G67" s="873">
        <f>ROUND('2018 Data'!G63*(1+$B$57),2)</f>
        <v>904.28</v>
      </c>
      <c r="H67" s="873">
        <f>HLOOKUP('2018 Data'!$E$78,'2019 Data'!$D$57:$G$77,'2019 Data'!$I67,FALSE)*('2018 Data'!$H$114/'2018 Data'!$G$114)</f>
        <v>1105.5948572026978</v>
      </c>
      <c r="I67">
        <f t="shared" si="4"/>
        <v>11</v>
      </c>
    </row>
    <row r="68" spans="2:9" x14ac:dyDescent="0.2">
      <c r="B68" s="946"/>
      <c r="C68" s="859" t="str">
        <f>'Data Lists'!$B$4</f>
        <v>EE + C</v>
      </c>
      <c r="D68" s="872">
        <f>ROUND('2018 Data'!D64*(1+$B$57),2)</f>
        <v>1021.71</v>
      </c>
      <c r="E68" s="873">
        <f>ROUND('2018 Data'!E64*(1+$B$57),2)</f>
        <v>918.88</v>
      </c>
      <c r="F68" s="873">
        <f>ROUND('2018 Data'!F64*(1+$B$57),2)</f>
        <v>1113.45</v>
      </c>
      <c r="G68" s="873">
        <f>ROUND('2018 Data'!G64*(1+$B$57),2)</f>
        <v>766.87</v>
      </c>
      <c r="H68" s="873">
        <f>HLOOKUP('2018 Data'!$E$78,'2019 Data'!$D$57:$G$77,'2019 Data'!$I68,FALSE)*('2018 Data'!$H$114/'2018 Data'!$G$114)</f>
        <v>927.42741857697388</v>
      </c>
      <c r="I68">
        <f t="shared" si="4"/>
        <v>12</v>
      </c>
    </row>
    <row r="69" spans="2:9" x14ac:dyDescent="0.2">
      <c r="B69" s="947"/>
      <c r="C69" s="862" t="str">
        <f>'Data Lists'!$B$5</f>
        <v>EE + F</v>
      </c>
      <c r="D69" s="874">
        <f>ROUND('2018 Data'!D65*(1+$B$57),2)</f>
        <v>1658.21</v>
      </c>
      <c r="E69" s="875">
        <f>ROUND('2018 Data'!E65*(1+$B$57),2)</f>
        <v>1436.16</v>
      </c>
      <c r="F69" s="875">
        <f>ROUND('2018 Data'!F65*(1+$B$57),2)</f>
        <v>1807.9</v>
      </c>
      <c r="G69" s="875">
        <f>ROUND('2018 Data'!G65*(1+$B$57),2)</f>
        <v>1207.04</v>
      </c>
      <c r="H69" s="875">
        <f>HLOOKUP('2018 Data'!$E$78,'2019 Data'!$D$57:$G$77,'2019 Data'!$I69,FALSE)*('2018 Data'!$H$114/'2018 Data'!$G$114)</f>
        <v>1505.1917077825644</v>
      </c>
      <c r="I69">
        <f t="shared" si="4"/>
        <v>13</v>
      </c>
    </row>
    <row r="70" spans="2:9" x14ac:dyDescent="0.2">
      <c r="B70" s="945" t="str">
        <f>'Data Lists'!$C$5</f>
        <v>Group D</v>
      </c>
      <c r="C70" s="855" t="str">
        <f>'Data Lists'!$B$2</f>
        <v>EE</v>
      </c>
      <c r="D70" s="872">
        <f>ROUND('2018 Data'!D66*(1+$B$57),2)</f>
        <v>610.39</v>
      </c>
      <c r="E70" s="873">
        <f>ROUND('2018 Data'!E66*(1+$B$57),2)</f>
        <v>478.92</v>
      </c>
      <c r="F70" s="873">
        <f>ROUND('2018 Data'!F66*(1+$B$57),2)</f>
        <v>574.74</v>
      </c>
      <c r="G70" s="871">
        <f>ROUND('2018 Data'!G66*(1+$B$57),2)</f>
        <v>408.98</v>
      </c>
      <c r="H70" s="871">
        <f>HLOOKUP('2018 Data'!$E$78,'2019 Data'!$D$57:$G$77,'2019 Data'!$I70,FALSE)*('2018 Data'!$H$114/'2018 Data'!$G$114)</f>
        <v>554.06369911736112</v>
      </c>
      <c r="I70">
        <f t="shared" si="4"/>
        <v>14</v>
      </c>
    </row>
    <row r="71" spans="2:9" x14ac:dyDescent="0.2">
      <c r="B71" s="946"/>
      <c r="C71" s="859" t="str">
        <f>'Data Lists'!$B$3</f>
        <v>EE + SP</v>
      </c>
      <c r="D71" s="872">
        <f>ROUND('2018 Data'!D67*(1+$B$57),2)</f>
        <v>1411.04</v>
      </c>
      <c r="E71" s="873">
        <f>ROUND('2018 Data'!E67*(1+$B$57),2)</f>
        <v>1063.98</v>
      </c>
      <c r="F71" s="873">
        <f>ROUND('2018 Data'!F67*(1+$B$57),2)</f>
        <v>1329.05</v>
      </c>
      <c r="G71" s="873">
        <f>ROUND('2018 Data'!G67*(1+$B$57),2)</f>
        <v>904.28</v>
      </c>
      <c r="H71" s="873">
        <f>HLOOKUP('2018 Data'!$E$78,'2019 Data'!$D$57:$G$77,'2019 Data'!$I71,FALSE)*('2018 Data'!$H$114/'2018 Data'!$G$114)</f>
        <v>1280.8303576443934</v>
      </c>
      <c r="I71">
        <f t="shared" si="4"/>
        <v>15</v>
      </c>
    </row>
    <row r="72" spans="2:9" x14ac:dyDescent="0.2">
      <c r="B72" s="946"/>
      <c r="C72" s="859" t="str">
        <f>'Data Lists'!$B$4</f>
        <v>EE + C</v>
      </c>
      <c r="D72" s="872">
        <f>ROUND('2018 Data'!D68*(1+$B$57),2)</f>
        <v>1181.19</v>
      </c>
      <c r="E72" s="873">
        <f>ROUND('2018 Data'!E68*(1+$B$57),2)</f>
        <v>918.88</v>
      </c>
      <c r="F72" s="873">
        <f>ROUND('2018 Data'!F68*(1+$B$57),2)</f>
        <v>1113.45</v>
      </c>
      <c r="G72" s="873">
        <f>ROUND('2018 Data'!G68*(1+$B$57),2)</f>
        <v>766.87</v>
      </c>
      <c r="H72" s="873">
        <f>HLOOKUP('2018 Data'!$E$78,'2019 Data'!$D$57:$G$77,'2019 Data'!$I72,FALSE)*('2018 Data'!$H$114/'2018 Data'!$G$114)</f>
        <v>1072.1907317623748</v>
      </c>
      <c r="I72">
        <f t="shared" si="4"/>
        <v>16</v>
      </c>
    </row>
    <row r="73" spans="2:9" x14ac:dyDescent="0.2">
      <c r="B73" s="947"/>
      <c r="C73" s="862" t="str">
        <f>'Data Lists'!$B$5</f>
        <v>EE + F</v>
      </c>
      <c r="D73" s="874">
        <f>ROUND('2018 Data'!D69*(1+$B$57),2)</f>
        <v>1918.41</v>
      </c>
      <c r="E73" s="875">
        <f>ROUND('2018 Data'!E69*(1+$B$57),2)</f>
        <v>1436.16</v>
      </c>
      <c r="F73" s="875">
        <f>ROUND('2018 Data'!F69*(1+$B$57),2)</f>
        <v>1807.9</v>
      </c>
      <c r="G73" s="875">
        <f>ROUND('2018 Data'!G69*(1+$B$57),2)</f>
        <v>1207.04</v>
      </c>
      <c r="H73" s="875">
        <f>HLOOKUP('2018 Data'!$E$78,'2019 Data'!$D$57:$G$77,'2019 Data'!$I73,FALSE)*('2018 Data'!$H$114/'2018 Data'!$G$114)</f>
        <v>1741.3806599448499</v>
      </c>
      <c r="I73">
        <f t="shared" si="4"/>
        <v>17</v>
      </c>
    </row>
    <row r="74" spans="2:9" x14ac:dyDescent="0.2">
      <c r="B74" s="945" t="str">
        <f>'Data Lists'!$C$6</f>
        <v>Group E</v>
      </c>
      <c r="C74" s="855" t="str">
        <f>'Data Lists'!$B$2</f>
        <v>EE</v>
      </c>
      <c r="D74" s="872">
        <f>ROUND('2018 Data'!D70*(1+$B$57),2)</f>
        <v>610.39</v>
      </c>
      <c r="E74" s="873">
        <f>ROUND('2018 Data'!E70*(1+$B$57),2)</f>
        <v>478.92</v>
      </c>
      <c r="F74" s="873">
        <f>ROUND('2018 Data'!F70*(1+$B$57),2)</f>
        <v>574.74</v>
      </c>
      <c r="G74" s="871">
        <f>ROUND('2018 Data'!G70*(1+$B$57),2)</f>
        <v>408.98</v>
      </c>
      <c r="H74" s="871">
        <f>HLOOKUP('2018 Data'!$E$78,'2019 Data'!$D$57:$G$77,'2019 Data'!$I74,FALSE)*('2018 Data'!$H$114/'2018 Data'!$G$114)</f>
        <v>554.06369911736112</v>
      </c>
      <c r="I74">
        <f t="shared" si="4"/>
        <v>18</v>
      </c>
    </row>
    <row r="75" spans="2:9" x14ac:dyDescent="0.2">
      <c r="B75" s="946"/>
      <c r="C75" s="859" t="str">
        <f>'Data Lists'!$B$3</f>
        <v>EE + SP</v>
      </c>
      <c r="D75" s="872">
        <f>ROUND('2018 Data'!D71*(1+$B$57),2)</f>
        <v>1411.04</v>
      </c>
      <c r="E75" s="873">
        <f>ROUND('2018 Data'!E71*(1+$B$57),2)</f>
        <v>1063.98</v>
      </c>
      <c r="F75" s="873">
        <f>ROUND('2018 Data'!F71*(1+$B$57),2)</f>
        <v>1329.05</v>
      </c>
      <c r="G75" s="873">
        <f>ROUND('2018 Data'!G71*(1+$B$57),2)</f>
        <v>904.28</v>
      </c>
      <c r="H75" s="873">
        <f>HLOOKUP('2018 Data'!$E$78,'2019 Data'!$D$57:$G$77,'2019 Data'!$I75,FALSE)*('2018 Data'!$H$114/'2018 Data'!$G$114)</f>
        <v>1280.8303576443934</v>
      </c>
      <c r="I75">
        <f t="shared" si="4"/>
        <v>19</v>
      </c>
    </row>
    <row r="76" spans="2:9" x14ac:dyDescent="0.2">
      <c r="B76" s="946"/>
      <c r="C76" s="859" t="str">
        <f>'Data Lists'!$B$4</f>
        <v>EE + C</v>
      </c>
      <c r="D76" s="872">
        <f>ROUND('2018 Data'!D72*(1+$B$57),2)</f>
        <v>1181.19</v>
      </c>
      <c r="E76" s="873">
        <f>ROUND('2018 Data'!E72*(1+$B$57),2)</f>
        <v>918.88</v>
      </c>
      <c r="F76" s="873">
        <f>ROUND('2018 Data'!F72*(1+$B$57),2)</f>
        <v>1113.45</v>
      </c>
      <c r="G76" s="873">
        <f>ROUND('2018 Data'!G72*(1+$B$57),2)</f>
        <v>766.87</v>
      </c>
      <c r="H76" s="873">
        <f>HLOOKUP('2018 Data'!$E$78,'2019 Data'!$D$57:$G$77,'2019 Data'!$I76,FALSE)*('2018 Data'!$H$114/'2018 Data'!$G$114)</f>
        <v>1072.1907317623748</v>
      </c>
      <c r="I76">
        <f t="shared" si="4"/>
        <v>20</v>
      </c>
    </row>
    <row r="77" spans="2:9" x14ac:dyDescent="0.2">
      <c r="B77" s="947"/>
      <c r="C77" s="862" t="str">
        <f>'Data Lists'!$B$5</f>
        <v>EE + F</v>
      </c>
      <c r="D77" s="874">
        <f>ROUND('2018 Data'!D73*(1+$B$57),2)</f>
        <v>1918.41</v>
      </c>
      <c r="E77" s="875">
        <f>ROUND('2018 Data'!E73*(1+$B$57),2)</f>
        <v>1436.16</v>
      </c>
      <c r="F77" s="875">
        <f>ROUND('2018 Data'!F73*(1+$B$57),2)</f>
        <v>1807.9</v>
      </c>
      <c r="G77" s="875">
        <f>ROUND('2018 Data'!G73*(1+$B$57),2)</f>
        <v>1207.04</v>
      </c>
      <c r="H77" s="875">
        <f>HLOOKUP('2018 Data'!$E$78,'2019 Data'!$D$57:$G$77,'2019 Data'!$I77,FALSE)*('2018 Data'!$H$114/'2018 Data'!$G$114)</f>
        <v>1741.3806599448499</v>
      </c>
      <c r="I77">
        <f t="shared" si="4"/>
        <v>21</v>
      </c>
    </row>
  </sheetData>
  <mergeCells count="24">
    <mergeCell ref="D2:G2"/>
    <mergeCell ref="L2:P2"/>
    <mergeCell ref="B4:B7"/>
    <mergeCell ref="J4:J7"/>
    <mergeCell ref="B8:B11"/>
    <mergeCell ref="J8:J11"/>
    <mergeCell ref="D32:G32"/>
    <mergeCell ref="B12:B15"/>
    <mergeCell ref="J12:J15"/>
    <mergeCell ref="B16:B19"/>
    <mergeCell ref="J16:J19"/>
    <mergeCell ref="B20:B23"/>
    <mergeCell ref="J20:J23"/>
    <mergeCell ref="B74:B77"/>
    <mergeCell ref="B34:B37"/>
    <mergeCell ref="B38:B41"/>
    <mergeCell ref="B42:B45"/>
    <mergeCell ref="B46:B49"/>
    <mergeCell ref="B50:B53"/>
    <mergeCell ref="D56:H56"/>
    <mergeCell ref="B58:B61"/>
    <mergeCell ref="B62:B65"/>
    <mergeCell ref="B66:B69"/>
    <mergeCell ref="B70:B73"/>
  </mergeCells>
  <pageMargins left="0.7" right="0.7" top="0.75" bottom="0.75" header="0.3" footer="0.3"/>
  <ignoredErrors>
    <ignoredError sqref="M7:O7"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baseColWidth="10" defaultColWidth="8.83203125" defaultRowHeight="15" x14ac:dyDescent="0.2"/>
  <cols>
    <col min="1" max="4" width="15.6640625" style="853" customWidth="1"/>
    <col min="5" max="5" width="20.5" bestFit="1" customWidth="1"/>
    <col min="6" max="6" width="16.33203125" bestFit="1" customWidth="1"/>
    <col min="7" max="7" width="16.6640625" bestFit="1" customWidth="1"/>
  </cols>
  <sheetData>
    <row r="1" spans="1:7" x14ac:dyDescent="0.2">
      <c r="A1" s="900" t="s">
        <v>1165</v>
      </c>
      <c r="B1" s="900" t="s">
        <v>1167</v>
      </c>
      <c r="C1" s="900" t="s">
        <v>1166</v>
      </c>
      <c r="D1" s="900" t="s">
        <v>1168</v>
      </c>
      <c r="E1" s="900" t="s">
        <v>1170</v>
      </c>
      <c r="F1" s="900" t="s">
        <v>1180</v>
      </c>
      <c r="G1" s="900" t="s">
        <v>1180</v>
      </c>
    </row>
    <row r="2" spans="1:7" x14ac:dyDescent="0.2">
      <c r="A2" s="853" t="s">
        <v>1123</v>
      </c>
      <c r="B2" s="853" t="s">
        <v>948</v>
      </c>
      <c r="C2" s="853" t="s">
        <v>1127</v>
      </c>
      <c r="D2" s="853">
        <v>2018</v>
      </c>
      <c r="E2" s="902">
        <v>1</v>
      </c>
      <c r="F2" s="853" t="s">
        <v>1181</v>
      </c>
      <c r="G2" s="853" t="s">
        <v>1186</v>
      </c>
    </row>
    <row r="3" spans="1:7" x14ac:dyDescent="0.2">
      <c r="A3" s="853" t="s">
        <v>1124</v>
      </c>
      <c r="B3" s="853" t="s">
        <v>1053</v>
      </c>
      <c r="C3" s="853" t="s">
        <v>1128</v>
      </c>
      <c r="D3" s="853" t="s">
        <v>1084</v>
      </c>
      <c r="E3" s="902">
        <v>2</v>
      </c>
      <c r="F3" s="853" t="s">
        <v>1182</v>
      </c>
      <c r="G3" s="910" t="str">
        <f>'2018 Data'!$E$78&amp;" Tier Ratios"</f>
        <v>Plan 1 Tier Ratios</v>
      </c>
    </row>
    <row r="4" spans="1:7" x14ac:dyDescent="0.2">
      <c r="A4" s="853" t="s">
        <v>1125</v>
      </c>
      <c r="B4" s="853" t="s">
        <v>1054</v>
      </c>
      <c r="C4" s="853" t="s">
        <v>1129</v>
      </c>
      <c r="E4" s="902">
        <v>1.8</v>
      </c>
    </row>
    <row r="5" spans="1:7" x14ac:dyDescent="0.2">
      <c r="A5" s="853" t="s">
        <v>1126</v>
      </c>
      <c r="B5" s="853" t="s">
        <v>1055</v>
      </c>
      <c r="C5" s="853" t="s">
        <v>1130</v>
      </c>
      <c r="E5" s="902">
        <v>3.3</v>
      </c>
    </row>
    <row r="6" spans="1:7" x14ac:dyDescent="0.2">
      <c r="C6" s="853" t="s">
        <v>1131</v>
      </c>
    </row>
    <row r="7" spans="1:7" x14ac:dyDescent="0.2">
      <c r="C7" s="853" t="s">
        <v>1076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M62"/>
  <sheetViews>
    <sheetView zoomScale="80" zoomScaleNormal="80" zoomScalePageLayoutView="80" workbookViewId="0">
      <selection activeCell="E24" sqref="E24"/>
    </sheetView>
  </sheetViews>
  <sheetFormatPr baseColWidth="10" defaultColWidth="8.83203125" defaultRowHeight="15" x14ac:dyDescent="0.2"/>
  <cols>
    <col min="1" max="1" width="61" style="1" customWidth="1"/>
    <col min="2" max="4" width="15.33203125" style="1" customWidth="1"/>
    <col min="5" max="5" width="14.33203125" style="1" customWidth="1"/>
    <col min="6" max="6" width="12.83203125" style="1" customWidth="1"/>
    <col min="7" max="7" width="13.1640625" style="1" customWidth="1"/>
    <col min="8" max="8" width="13.83203125" style="1" customWidth="1"/>
    <col min="9" max="9" width="12.83203125" style="1" customWidth="1"/>
    <col min="10" max="10" width="8.83203125" style="1" hidden="1" customWidth="1"/>
    <col min="11" max="12" width="10" style="1" customWidth="1"/>
    <col min="13" max="16384" width="8.83203125" style="1"/>
  </cols>
  <sheetData>
    <row r="1" spans="1:12" ht="16" thickBot="1" x14ac:dyDescent="0.25">
      <c r="A1" s="2" t="s">
        <v>214</v>
      </c>
      <c r="I1" s="196"/>
      <c r="J1" s="196"/>
      <c r="K1" s="196"/>
      <c r="L1" s="196"/>
    </row>
    <row r="2" spans="1:12" x14ac:dyDescent="0.2">
      <c r="A2" s="27" t="s">
        <v>215</v>
      </c>
      <c r="C2" s="954" t="s">
        <v>177</v>
      </c>
      <c r="D2" s="955"/>
      <c r="E2" s="956"/>
      <c r="F2" s="954" t="s">
        <v>108</v>
      </c>
      <c r="G2" s="955"/>
      <c r="H2" s="956"/>
      <c r="I2" s="196"/>
      <c r="J2" s="196"/>
      <c r="K2" s="196"/>
      <c r="L2" s="196"/>
    </row>
    <row r="3" spans="1:12" x14ac:dyDescent="0.2">
      <c r="A3" s="27" t="s">
        <v>225</v>
      </c>
      <c r="C3" s="41"/>
      <c r="D3" s="40" t="s">
        <v>178</v>
      </c>
      <c r="E3" s="42"/>
      <c r="F3" s="41"/>
      <c r="G3" s="40" t="s">
        <v>134</v>
      </c>
      <c r="H3" s="42"/>
      <c r="I3" s="196"/>
      <c r="J3" s="196"/>
      <c r="K3" s="196"/>
      <c r="L3" s="196"/>
    </row>
    <row r="4" spans="1:12" x14ac:dyDescent="0.2">
      <c r="A4" s="27" t="s">
        <v>226</v>
      </c>
      <c r="C4" s="957" t="s">
        <v>105</v>
      </c>
      <c r="D4" s="958"/>
      <c r="E4" s="961">
        <v>0</v>
      </c>
      <c r="F4" s="965" t="s">
        <v>106</v>
      </c>
      <c r="G4" s="966"/>
      <c r="H4" s="139"/>
      <c r="I4" s="196"/>
      <c r="J4" s="196"/>
      <c r="K4" s="196"/>
      <c r="L4" s="196"/>
    </row>
    <row r="5" spans="1:12" ht="16" thickBot="1" x14ac:dyDescent="0.25">
      <c r="A5" s="27" t="s">
        <v>216</v>
      </c>
      <c r="C5" s="959"/>
      <c r="D5" s="960"/>
      <c r="E5" s="962"/>
      <c r="F5" s="963" t="s">
        <v>107</v>
      </c>
      <c r="G5" s="964"/>
      <c r="H5" s="140"/>
      <c r="I5" s="196"/>
      <c r="J5" s="196"/>
      <c r="K5" s="196"/>
      <c r="L5" s="196"/>
    </row>
    <row r="6" spans="1:12" s="90" customFormat="1" x14ac:dyDescent="0.2">
      <c r="A6" s="27" t="s">
        <v>271</v>
      </c>
      <c r="C6" s="31"/>
      <c r="D6" s="31"/>
      <c r="E6" s="159"/>
      <c r="F6" s="30"/>
      <c r="G6" s="30"/>
      <c r="H6" s="160"/>
      <c r="I6" s="196"/>
      <c r="J6" s="196"/>
      <c r="K6" s="196"/>
      <c r="L6" s="196"/>
    </row>
    <row r="7" spans="1:12" x14ac:dyDescent="0.2">
      <c r="A7" s="187"/>
      <c r="I7" s="196"/>
      <c r="J7" s="197" t="s">
        <v>57</v>
      </c>
      <c r="K7" s="196"/>
      <c r="L7" s="196"/>
    </row>
    <row r="8" spans="1:12" x14ac:dyDescent="0.2">
      <c r="A8" s="186"/>
      <c r="B8" s="967" t="s">
        <v>179</v>
      </c>
      <c r="C8" s="968"/>
      <c r="D8" s="969"/>
      <c r="F8" s="967" t="s">
        <v>180</v>
      </c>
      <c r="G8" s="968"/>
      <c r="H8" s="969"/>
      <c r="I8" s="196"/>
      <c r="J8" s="197" t="s">
        <v>58</v>
      </c>
      <c r="K8" s="196"/>
      <c r="L8" s="196"/>
    </row>
    <row r="9" spans="1:12" x14ac:dyDescent="0.2">
      <c r="A9" s="30"/>
      <c r="B9" s="177" t="s">
        <v>46</v>
      </c>
      <c r="C9" s="178" t="s">
        <v>47</v>
      </c>
      <c r="D9" s="178" t="s">
        <v>48</v>
      </c>
      <c r="F9" s="177" t="s">
        <v>46</v>
      </c>
      <c r="G9" s="178" t="s">
        <v>47</v>
      </c>
      <c r="H9" s="178" t="s">
        <v>48</v>
      </c>
      <c r="I9" s="196"/>
      <c r="J9" s="197" t="s">
        <v>59</v>
      </c>
      <c r="K9" s="196"/>
      <c r="L9" s="196"/>
    </row>
    <row r="10" spans="1:12" x14ac:dyDescent="0.2">
      <c r="A10" s="30" t="s">
        <v>49</v>
      </c>
      <c r="B10" s="245"/>
      <c r="C10" s="122"/>
      <c r="D10" s="121">
        <v>0</v>
      </c>
      <c r="F10" s="245"/>
      <c r="G10" s="122"/>
      <c r="H10" s="121"/>
      <c r="I10" s="196"/>
      <c r="J10" s="197" t="s">
        <v>124</v>
      </c>
      <c r="K10" s="196"/>
      <c r="L10" s="196"/>
    </row>
    <row r="11" spans="1:12" x14ac:dyDescent="0.2">
      <c r="A11" s="30" t="s">
        <v>172</v>
      </c>
      <c r="B11" s="246"/>
      <c r="C11" s="247"/>
      <c r="D11" s="243">
        <v>1</v>
      </c>
      <c r="F11" s="246"/>
      <c r="G11" s="247"/>
      <c r="H11" s="243"/>
      <c r="I11" s="196"/>
      <c r="J11" s="197">
        <v>1</v>
      </c>
      <c r="K11" s="196"/>
      <c r="L11" s="196"/>
    </row>
    <row r="12" spans="1:12" x14ac:dyDescent="0.2">
      <c r="A12" s="30" t="s">
        <v>62</v>
      </c>
      <c r="B12" s="973"/>
      <c r="C12" s="974"/>
      <c r="D12" s="244">
        <v>4000</v>
      </c>
      <c r="F12" s="975"/>
      <c r="G12" s="976"/>
      <c r="H12" s="244"/>
      <c r="I12" s="196"/>
      <c r="J12" s="196"/>
      <c r="K12" s="196"/>
      <c r="L12" s="196"/>
    </row>
    <row r="13" spans="1:12" s="90" customFormat="1" x14ac:dyDescent="0.2">
      <c r="A13" s="30" t="s">
        <v>171</v>
      </c>
      <c r="B13" s="158"/>
      <c r="C13" s="158"/>
      <c r="D13" s="157"/>
      <c r="F13" s="158"/>
      <c r="G13" s="158"/>
      <c r="H13" s="157"/>
      <c r="I13" s="196"/>
      <c r="J13" s="196"/>
      <c r="K13" s="196"/>
      <c r="L13" s="196"/>
    </row>
    <row r="14" spans="1:12" ht="16" thickBot="1" x14ac:dyDescent="0.25">
      <c r="I14" s="196"/>
      <c r="J14" s="196"/>
      <c r="K14" s="196"/>
      <c r="L14" s="196"/>
    </row>
    <row r="15" spans="1:12" ht="16" thickBot="1" x14ac:dyDescent="0.25">
      <c r="A15" s="169" t="s">
        <v>176</v>
      </c>
      <c r="B15" s="970" t="s">
        <v>109</v>
      </c>
      <c r="C15" s="971"/>
      <c r="D15" s="971"/>
      <c r="E15" s="972"/>
      <c r="F15" s="970" t="s">
        <v>110</v>
      </c>
      <c r="G15" s="971"/>
      <c r="H15" s="971"/>
      <c r="I15" s="972"/>
      <c r="K15" s="952" t="s">
        <v>269</v>
      </c>
      <c r="L15" s="953"/>
    </row>
    <row r="16" spans="1:12" s="26" customFormat="1" ht="30" customHeight="1" x14ac:dyDescent="0.2">
      <c r="A16" s="51" t="s">
        <v>50</v>
      </c>
      <c r="B16" s="51" t="s">
        <v>51</v>
      </c>
      <c r="C16" s="52" t="s">
        <v>52</v>
      </c>
      <c r="D16" s="52" t="s">
        <v>67</v>
      </c>
      <c r="E16" s="53" t="s">
        <v>72</v>
      </c>
      <c r="F16" s="51" t="s">
        <v>51</v>
      </c>
      <c r="G16" s="52" t="s">
        <v>52</v>
      </c>
      <c r="H16" s="52" t="s">
        <v>67</v>
      </c>
      <c r="I16" s="53" t="s">
        <v>72</v>
      </c>
      <c r="K16" s="51" t="s">
        <v>109</v>
      </c>
      <c r="L16" s="53" t="s">
        <v>110</v>
      </c>
    </row>
    <row r="17" spans="1:12" s="26" customFormat="1" ht="15" customHeight="1" x14ac:dyDescent="0.2">
      <c r="A17" s="54" t="s">
        <v>46</v>
      </c>
      <c r="B17" s="43"/>
      <c r="C17" s="31"/>
      <c r="D17" s="32"/>
      <c r="E17" s="44"/>
      <c r="F17" s="161"/>
      <c r="G17" s="162"/>
      <c r="H17" s="32"/>
      <c r="I17" s="44"/>
      <c r="K17" s="234"/>
      <c r="L17" s="235"/>
    </row>
    <row r="18" spans="1:12" x14ac:dyDescent="0.2">
      <c r="A18" s="45" t="s">
        <v>162</v>
      </c>
      <c r="B18" s="45"/>
      <c r="C18" s="33"/>
      <c r="D18" s="116"/>
      <c r="E18" s="117">
        <v>250</v>
      </c>
      <c r="F18" s="125"/>
      <c r="G18" s="126"/>
      <c r="H18" s="149"/>
      <c r="I18" s="150"/>
      <c r="K18" s="45"/>
      <c r="L18" s="236"/>
    </row>
    <row r="19" spans="1:12" x14ac:dyDescent="0.2">
      <c r="A19" s="123" t="s">
        <v>163</v>
      </c>
      <c r="B19" s="123"/>
      <c r="C19" s="34"/>
      <c r="D19" s="113"/>
      <c r="E19" s="115">
        <v>1000</v>
      </c>
      <c r="F19" s="127"/>
      <c r="G19" s="128"/>
      <c r="H19" s="151"/>
      <c r="I19" s="152"/>
      <c r="K19" s="123"/>
      <c r="L19" s="237"/>
    </row>
    <row r="20" spans="1:12" ht="30" customHeight="1" x14ac:dyDescent="0.2">
      <c r="A20" s="118" t="s">
        <v>164</v>
      </c>
      <c r="B20" s="123"/>
      <c r="C20" s="34"/>
      <c r="D20" s="113"/>
      <c r="E20" s="115">
        <v>30</v>
      </c>
      <c r="F20" s="127"/>
      <c r="G20" s="128"/>
      <c r="H20" s="151"/>
      <c r="I20" s="152"/>
      <c r="K20" s="123"/>
      <c r="L20" s="237"/>
    </row>
    <row r="21" spans="1:12" x14ac:dyDescent="0.2">
      <c r="A21" s="123" t="s">
        <v>165</v>
      </c>
      <c r="B21" s="123"/>
      <c r="C21" s="34"/>
      <c r="D21" s="113"/>
      <c r="E21" s="115">
        <v>60</v>
      </c>
      <c r="F21" s="127"/>
      <c r="G21" s="128"/>
      <c r="H21" s="151"/>
      <c r="I21" s="152"/>
      <c r="K21" s="123"/>
      <c r="L21" s="237"/>
    </row>
    <row r="22" spans="1:12" x14ac:dyDescent="0.2">
      <c r="A22" s="118" t="s">
        <v>166</v>
      </c>
      <c r="B22" s="123"/>
      <c r="C22" s="34"/>
      <c r="D22" s="113"/>
      <c r="E22" s="115">
        <v>30</v>
      </c>
      <c r="F22" s="127"/>
      <c r="G22" s="128"/>
      <c r="H22" s="151"/>
      <c r="I22" s="152"/>
      <c r="K22" s="123"/>
      <c r="L22" s="237"/>
    </row>
    <row r="23" spans="1:12" hidden="1" x14ac:dyDescent="0.2">
      <c r="A23" s="76"/>
      <c r="B23" s="76"/>
      <c r="C23" s="77"/>
      <c r="D23" s="114"/>
      <c r="E23" s="142"/>
      <c r="F23" s="127"/>
      <c r="G23" s="128"/>
      <c r="H23" s="151"/>
      <c r="I23" s="152"/>
      <c r="K23" s="123"/>
      <c r="L23" s="237"/>
    </row>
    <row r="24" spans="1:12" x14ac:dyDescent="0.2">
      <c r="A24" s="123" t="s">
        <v>175</v>
      </c>
      <c r="B24" s="123"/>
      <c r="C24" s="34"/>
      <c r="D24" s="113"/>
      <c r="E24" s="115"/>
      <c r="F24" s="127"/>
      <c r="G24" s="128"/>
      <c r="H24" s="151"/>
      <c r="I24" s="152"/>
      <c r="K24" s="123"/>
      <c r="L24" s="237"/>
    </row>
    <row r="25" spans="1:12" hidden="1" x14ac:dyDescent="0.2">
      <c r="A25" s="76"/>
      <c r="B25" s="76"/>
      <c r="C25" s="77"/>
      <c r="D25" s="114"/>
      <c r="E25" s="142"/>
      <c r="F25" s="127"/>
      <c r="G25" s="128"/>
      <c r="H25" s="151"/>
      <c r="I25" s="152"/>
      <c r="K25" s="123"/>
      <c r="L25" s="237"/>
    </row>
    <row r="26" spans="1:12" hidden="1" x14ac:dyDescent="0.2">
      <c r="A26" s="76"/>
      <c r="B26" s="76"/>
      <c r="C26" s="77"/>
      <c r="D26" s="114"/>
      <c r="E26" s="142"/>
      <c r="F26" s="127"/>
      <c r="G26" s="128"/>
      <c r="H26" s="151"/>
      <c r="I26" s="152"/>
      <c r="K26" s="123"/>
      <c r="L26" s="237"/>
    </row>
    <row r="27" spans="1:12" x14ac:dyDescent="0.2">
      <c r="A27" s="123" t="s">
        <v>224</v>
      </c>
      <c r="B27" s="123"/>
      <c r="C27" s="34"/>
      <c r="D27" s="113"/>
      <c r="E27" s="115">
        <v>30</v>
      </c>
      <c r="F27" s="127"/>
      <c r="G27" s="128"/>
      <c r="H27" s="151"/>
      <c r="I27" s="152"/>
      <c r="K27" s="123"/>
      <c r="L27" s="237"/>
    </row>
    <row r="28" spans="1:12" ht="30" customHeight="1" x14ac:dyDescent="0.2">
      <c r="A28" s="118" t="s">
        <v>173</v>
      </c>
      <c r="B28" s="123"/>
      <c r="C28" s="34"/>
      <c r="D28" s="113"/>
      <c r="E28" s="115">
        <v>30</v>
      </c>
      <c r="F28" s="127"/>
      <c r="G28" s="128"/>
      <c r="H28" s="151"/>
      <c r="I28" s="152"/>
      <c r="K28" s="123"/>
      <c r="L28" s="237"/>
    </row>
    <row r="29" spans="1:12" ht="30" hidden="1" customHeight="1" x14ac:dyDescent="0.2">
      <c r="A29" s="141" t="s">
        <v>173</v>
      </c>
      <c r="B29" s="123"/>
      <c r="C29" s="34"/>
      <c r="D29" s="113"/>
      <c r="E29" s="115"/>
      <c r="F29" s="127"/>
      <c r="G29" s="128"/>
      <c r="H29" s="151"/>
      <c r="I29" s="152"/>
      <c r="K29" s="123"/>
      <c r="L29" s="237"/>
    </row>
    <row r="30" spans="1:12" hidden="1" x14ac:dyDescent="0.2">
      <c r="A30" s="123" t="s">
        <v>213</v>
      </c>
      <c r="B30" s="123"/>
      <c r="C30" s="34"/>
      <c r="D30" s="113"/>
      <c r="E30" s="115"/>
      <c r="F30" s="127"/>
      <c r="G30" s="128"/>
      <c r="H30" s="151"/>
      <c r="I30" s="152"/>
      <c r="K30" s="123"/>
      <c r="L30" s="237"/>
    </row>
    <row r="31" spans="1:12" x14ac:dyDescent="0.2">
      <c r="A31" s="123" t="s">
        <v>167</v>
      </c>
      <c r="B31" s="163"/>
      <c r="C31" s="164"/>
      <c r="D31" s="165">
        <v>1</v>
      </c>
      <c r="E31" s="166">
        <v>0</v>
      </c>
      <c r="F31" s="163"/>
      <c r="G31" s="164"/>
      <c r="H31" s="165">
        <v>1</v>
      </c>
      <c r="I31" s="166">
        <v>0</v>
      </c>
      <c r="J31" s="212"/>
      <c r="K31" s="127"/>
      <c r="L31" s="237"/>
    </row>
    <row r="32" spans="1:12" x14ac:dyDescent="0.2">
      <c r="A32" s="123" t="s">
        <v>174</v>
      </c>
      <c r="B32" s="123"/>
      <c r="C32" s="34"/>
      <c r="D32" s="113"/>
      <c r="E32" s="115"/>
      <c r="F32" s="127"/>
      <c r="G32" s="128"/>
      <c r="H32" s="151"/>
      <c r="I32" s="152"/>
      <c r="K32" s="123"/>
      <c r="L32" s="237"/>
    </row>
    <row r="33" spans="1:13" x14ac:dyDescent="0.2">
      <c r="A33" s="123" t="s">
        <v>168</v>
      </c>
      <c r="B33" s="123"/>
      <c r="C33" s="34"/>
      <c r="D33" s="113"/>
      <c r="E33" s="115"/>
      <c r="F33" s="127"/>
      <c r="G33" s="128"/>
      <c r="H33" s="151"/>
      <c r="I33" s="152"/>
      <c r="K33" s="123"/>
      <c r="L33" s="237"/>
    </row>
    <row r="34" spans="1:13" x14ac:dyDescent="0.2">
      <c r="A34" s="123" t="s">
        <v>61</v>
      </c>
      <c r="B34" s="123"/>
      <c r="C34" s="34"/>
      <c r="D34" s="113"/>
      <c r="E34" s="115"/>
      <c r="F34" s="127"/>
      <c r="G34" s="128"/>
      <c r="H34" s="151"/>
      <c r="I34" s="152"/>
      <c r="K34" s="123"/>
      <c r="L34" s="237"/>
    </row>
    <row r="35" spans="1:13" s="26" customFormat="1" ht="30" customHeight="1" x14ac:dyDescent="0.2">
      <c r="A35" s="118" t="s">
        <v>169</v>
      </c>
      <c r="B35" s="46"/>
      <c r="C35" s="35"/>
      <c r="D35" s="119"/>
      <c r="E35" s="132"/>
      <c r="F35" s="129"/>
      <c r="G35" s="130"/>
      <c r="H35" s="131"/>
      <c r="I35" s="210"/>
      <c r="K35" s="46"/>
      <c r="L35" s="238"/>
    </row>
    <row r="36" spans="1:13" s="26" customFormat="1" ht="15" customHeight="1" x14ac:dyDescent="0.2">
      <c r="A36" s="124" t="s">
        <v>170</v>
      </c>
      <c r="B36" s="47"/>
      <c r="C36" s="36"/>
      <c r="D36" s="120"/>
      <c r="E36" s="136"/>
      <c r="F36" s="133"/>
      <c r="G36" s="134"/>
      <c r="H36" s="135"/>
      <c r="I36" s="211"/>
      <c r="K36" s="47"/>
      <c r="L36" s="239"/>
    </row>
    <row r="37" spans="1:13" x14ac:dyDescent="0.2">
      <c r="A37" s="55" t="s">
        <v>56</v>
      </c>
      <c r="B37" s="48"/>
      <c r="C37" s="98"/>
      <c r="D37" s="143"/>
      <c r="E37" s="144"/>
      <c r="F37" s="167"/>
      <c r="G37" s="168"/>
      <c r="H37" s="143"/>
      <c r="I37" s="144"/>
      <c r="K37" s="240"/>
      <c r="L37" s="241"/>
    </row>
    <row r="38" spans="1:13" x14ac:dyDescent="0.2">
      <c r="A38" s="45" t="s">
        <v>33</v>
      </c>
      <c r="B38" s="45"/>
      <c r="C38" s="33"/>
      <c r="D38" s="116"/>
      <c r="E38" s="145">
        <v>10</v>
      </c>
      <c r="F38" s="125"/>
      <c r="G38" s="126"/>
      <c r="H38" s="149"/>
      <c r="I38" s="153"/>
      <c r="K38" s="45"/>
      <c r="L38" s="236"/>
    </row>
    <row r="39" spans="1:13" x14ac:dyDescent="0.2">
      <c r="A39" s="123" t="s">
        <v>34</v>
      </c>
      <c r="B39" s="123"/>
      <c r="C39" s="34"/>
      <c r="D39" s="113"/>
      <c r="E39" s="146">
        <v>50</v>
      </c>
      <c r="F39" s="127"/>
      <c r="G39" s="128"/>
      <c r="H39" s="151"/>
      <c r="I39" s="154"/>
      <c r="K39" s="123"/>
      <c r="L39" s="237"/>
    </row>
    <row r="40" spans="1:13" x14ac:dyDescent="0.2">
      <c r="A40" s="123" t="s">
        <v>35</v>
      </c>
      <c r="B40" s="123"/>
      <c r="C40" s="34"/>
      <c r="D40" s="113"/>
      <c r="E40" s="146">
        <v>80</v>
      </c>
      <c r="F40" s="127"/>
      <c r="G40" s="128"/>
      <c r="H40" s="151"/>
      <c r="I40" s="154"/>
      <c r="K40" s="123"/>
      <c r="L40" s="237"/>
    </row>
    <row r="41" spans="1:13" ht="16" thickBot="1" x14ac:dyDescent="0.25">
      <c r="A41" s="49" t="s">
        <v>36</v>
      </c>
      <c r="B41" s="49"/>
      <c r="C41" s="50"/>
      <c r="D41" s="147"/>
      <c r="E41" s="148">
        <v>200</v>
      </c>
      <c r="F41" s="137"/>
      <c r="G41" s="138"/>
      <c r="H41" s="155"/>
      <c r="I41" s="156"/>
      <c r="K41" s="49"/>
      <c r="L41" s="242"/>
    </row>
    <row r="42" spans="1:13" ht="16" hidden="1" thickBot="1" x14ac:dyDescent="0.25">
      <c r="A42" s="170" t="s">
        <v>77</v>
      </c>
      <c r="B42" s="170"/>
      <c r="C42" s="171"/>
      <c r="D42" s="172"/>
      <c r="E42" s="173"/>
      <c r="F42" s="174"/>
      <c r="G42" s="175"/>
      <c r="H42" s="176"/>
      <c r="I42" s="251"/>
    </row>
    <row r="43" spans="1:13" s="90" customFormat="1" x14ac:dyDescent="0.2">
      <c r="A43" s="91" t="s">
        <v>217</v>
      </c>
      <c r="B43" s="1"/>
      <c r="C43" s="1"/>
      <c r="D43" s="1"/>
      <c r="E43" s="98"/>
      <c r="F43" s="98"/>
      <c r="G43" s="98"/>
      <c r="H43" s="181"/>
      <c r="I43" s="159"/>
      <c r="J43" s="98"/>
      <c r="K43" s="98"/>
      <c r="L43" s="181"/>
      <c r="M43" s="159"/>
    </row>
    <row r="44" spans="1:13" s="90" customFormat="1" hidden="1" x14ac:dyDescent="0.2">
      <c r="A44" s="182" t="s">
        <v>218</v>
      </c>
      <c r="B44" s="179"/>
      <c r="C44" s="185"/>
      <c r="D44" s="185"/>
      <c r="E44" s="98"/>
      <c r="F44" s="98"/>
      <c r="G44" s="98"/>
      <c r="H44" s="181"/>
      <c r="I44" s="159"/>
      <c r="J44" s="98"/>
      <c r="K44" s="98"/>
      <c r="L44" s="181"/>
      <c r="M44" s="159"/>
    </row>
    <row r="45" spans="1:13" s="90" customFormat="1" x14ac:dyDescent="0.2">
      <c r="A45" s="183" t="s">
        <v>219</v>
      </c>
      <c r="B45" s="180"/>
      <c r="C45" s="185"/>
      <c r="D45" s="185"/>
      <c r="E45" s="98"/>
      <c r="F45" s="98"/>
      <c r="G45" s="98"/>
      <c r="H45" s="181"/>
      <c r="I45" s="159"/>
      <c r="J45" s="98"/>
      <c r="K45" s="98"/>
      <c r="L45" s="181"/>
      <c r="M45" s="159"/>
    </row>
    <row r="46" spans="1:13" s="90" customFormat="1" x14ac:dyDescent="0.2">
      <c r="A46" s="184" t="s">
        <v>220</v>
      </c>
      <c r="B46" s="198"/>
      <c r="C46" s="185"/>
      <c r="D46" s="185"/>
      <c r="E46" s="98"/>
      <c r="F46" s="98"/>
      <c r="G46" s="98"/>
      <c r="H46" s="181"/>
      <c r="I46" s="159"/>
      <c r="J46" s="98"/>
      <c r="K46" s="98"/>
      <c r="L46" s="181"/>
      <c r="M46" s="159"/>
    </row>
    <row r="47" spans="1:13" s="90" customFormat="1" x14ac:dyDescent="0.2">
      <c r="A47" s="183" t="s">
        <v>221</v>
      </c>
      <c r="B47" s="180"/>
      <c r="C47" s="185"/>
      <c r="D47" s="185"/>
      <c r="E47" s="98"/>
      <c r="F47" s="98"/>
      <c r="G47" s="98"/>
      <c r="H47" s="181"/>
      <c r="I47" s="159"/>
      <c r="J47" s="98"/>
      <c r="K47" s="98"/>
      <c r="L47" s="181"/>
      <c r="M47" s="159"/>
    </row>
    <row r="48" spans="1:13" s="90" customFormat="1" x14ac:dyDescent="0.2">
      <c r="A48" s="184" t="s">
        <v>181</v>
      </c>
      <c r="B48" s="199"/>
      <c r="C48" s="185"/>
      <c r="D48" s="185"/>
      <c r="E48" s="98"/>
      <c r="F48" s="98"/>
      <c r="G48" s="98"/>
      <c r="H48" s="181"/>
      <c r="I48" s="159"/>
      <c r="J48" s="98"/>
      <c r="K48" s="98"/>
      <c r="L48" s="181"/>
      <c r="M48" s="159"/>
    </row>
    <row r="49" spans="1:13" s="90" customFormat="1" x14ac:dyDescent="0.2">
      <c r="A49" s="183" t="s">
        <v>222</v>
      </c>
      <c r="B49" s="180"/>
      <c r="C49" s="185"/>
      <c r="D49" s="185"/>
      <c r="E49" s="98"/>
      <c r="F49" s="98"/>
      <c r="G49" s="98"/>
      <c r="H49" s="181"/>
      <c r="I49" s="159"/>
      <c r="J49" s="98"/>
      <c r="K49" s="98"/>
      <c r="L49" s="181"/>
      <c r="M49" s="159"/>
    </row>
    <row r="50" spans="1:13" s="90" customFormat="1" x14ac:dyDescent="0.2">
      <c r="A50" s="184" t="s">
        <v>182</v>
      </c>
      <c r="B50" s="200"/>
      <c r="C50" s="185"/>
      <c r="D50" s="185"/>
      <c r="E50" s="98"/>
      <c r="F50" s="98"/>
      <c r="G50" s="98"/>
      <c r="H50" s="181"/>
      <c r="I50" s="159"/>
      <c r="J50" s="98"/>
      <c r="K50" s="98"/>
      <c r="L50" s="181"/>
      <c r="M50" s="159"/>
    </row>
    <row r="51" spans="1:13" s="90" customFormat="1" x14ac:dyDescent="0.2">
      <c r="A51" s="209" t="s">
        <v>258</v>
      </c>
      <c r="B51" s="180"/>
      <c r="C51" s="185"/>
      <c r="D51" s="185"/>
      <c r="E51" s="98"/>
      <c r="F51" s="98"/>
      <c r="G51" s="98"/>
      <c r="H51" s="181"/>
      <c r="I51" s="159"/>
      <c r="J51" s="98"/>
      <c r="K51" s="98"/>
      <c r="L51" s="181"/>
      <c r="M51" s="159"/>
    </row>
    <row r="52" spans="1:13" s="90" customFormat="1" x14ac:dyDescent="0.2">
      <c r="A52" s="184" t="s">
        <v>223</v>
      </c>
      <c r="B52" s="200"/>
      <c r="C52" s="185"/>
      <c r="D52" s="185"/>
      <c r="E52" s="98"/>
      <c r="F52" s="98"/>
      <c r="G52" s="98"/>
      <c r="H52" s="181"/>
      <c r="I52" s="159"/>
      <c r="J52" s="98"/>
      <c r="K52" s="98"/>
      <c r="L52" s="181"/>
      <c r="M52" s="159"/>
    </row>
    <row r="53" spans="1:13" x14ac:dyDescent="0.2">
      <c r="A53" s="2" t="s">
        <v>53</v>
      </c>
      <c r="F53" s="90"/>
      <c r="G53" s="90"/>
      <c r="H53" s="90"/>
      <c r="I53" s="90"/>
    </row>
    <row r="54" spans="1:13" x14ac:dyDescent="0.2">
      <c r="A54" s="2"/>
      <c r="B54" s="21"/>
    </row>
    <row r="55" spans="1:13" x14ac:dyDescent="0.2">
      <c r="A55" s="195" t="s">
        <v>60</v>
      </c>
      <c r="B55" s="56" t="s">
        <v>940</v>
      </c>
    </row>
    <row r="56" spans="1:13" x14ac:dyDescent="0.2">
      <c r="A56" s="1" t="s">
        <v>270</v>
      </c>
      <c r="B56" s="57">
        <v>0.84059297085898932</v>
      </c>
      <c r="C56" s="57"/>
    </row>
    <row r="57" spans="1:13" x14ac:dyDescent="0.2">
      <c r="B57" s="56"/>
    </row>
    <row r="58" spans="1:13" x14ac:dyDescent="0.2">
      <c r="B58" s="196"/>
    </row>
    <row r="59" spans="1:13" x14ac:dyDescent="0.2">
      <c r="F59" s="90"/>
    </row>
    <row r="62" spans="1:13" x14ac:dyDescent="0.2">
      <c r="E62" s="90"/>
    </row>
  </sheetData>
  <sheetProtection formatCells="0"/>
  <mergeCells count="13">
    <mergeCell ref="K15:L15"/>
    <mergeCell ref="C2:E2"/>
    <mergeCell ref="F2:H2"/>
    <mergeCell ref="C4:D5"/>
    <mergeCell ref="E4:E5"/>
    <mergeCell ref="F5:G5"/>
    <mergeCell ref="F4:G4"/>
    <mergeCell ref="B8:D8"/>
    <mergeCell ref="F8:H8"/>
    <mergeCell ref="B15:E15"/>
    <mergeCell ref="F15:I15"/>
    <mergeCell ref="B12:C12"/>
    <mergeCell ref="F12:G12"/>
  </mergeCells>
  <dataValidations count="8">
    <dataValidation type="decimal" allowBlank="1" showInputMessage="1" showErrorMessage="1" sqref="D38:D41 D32:D36 D18:D30 H38:H41 H32:H36 H18:H30 H4:H6">
      <formula1>0</formula1>
      <formula2>1</formula2>
    </dataValidation>
    <dataValidation type="decimal" allowBlank="1" showInputMessage="1" showErrorMessage="1" error="OOP Maximum must be above the deductible and below $6500." sqref="D13 H13">
      <formula1>D11</formula1>
      <formula2>6500</formula2>
    </dataValidation>
    <dataValidation type="decimal" operator="greaterThanOrEqual" allowBlank="1" showInputMessage="1" showErrorMessage="1" sqref="G10:H10 H12 F12:G13">
      <formula1>0</formula1>
    </dataValidation>
    <dataValidation type="decimal" errorStyle="warning" allowBlank="1" showInputMessage="1" showErrorMessage="1" errorTitle="Coinsurance below 50%" error="The coinsurance amount should be the provider's cost share, not the enrollee's." sqref="B11:D11 F11:H11">
      <formula1>0.5</formula1>
      <formula2>1</formula2>
    </dataValidation>
    <dataValidation type="whole" allowBlank="1" showInputMessage="1" showErrorMessage="1" errorTitle="Invalid Copay Limit" error="Number of Days must be between 1 and 10." sqref="B48">
      <formula1>1</formula1>
      <formula2>10</formula2>
    </dataValidation>
    <dataValidation type="whole" allowBlank="1" showInputMessage="1" showErrorMessage="1" errorTitle="Invalid Visit Limit" error="Number of visits exempt from cost-sharing must be between 1 and 10." sqref="B50 B52">
      <formula1>1</formula1>
      <formula2>10</formula2>
    </dataValidation>
    <dataValidation type="decimal" operator="greaterThanOrEqual" allowBlank="1" showInputMessage="1" showErrorMessage="1" sqref="D10 D12 B12:C13 F10">
      <formula1>0</formula1>
    </dataValidation>
    <dataValidation type="decimal" operator="greaterThanOrEqual" allowBlank="1" showInputMessage="1" showErrorMessage="1" sqref="B10:C10">
      <formula1>0</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19" r:id="rId4" name="ded_rxmain">
              <controlPr locked="0" defaultSize="0" autoFill="0" autoLine="0" autoPict="0">
                <anchor moveWithCells="1">
                  <from>
                    <xdr:col>1</xdr:col>
                    <xdr:colOff>444500</xdr:colOff>
                    <xdr:row>40</xdr:row>
                    <xdr:rowOff>304800</xdr:rowOff>
                  </from>
                  <to>
                    <xdr:col>1</xdr:col>
                    <xdr:colOff>952500</xdr:colOff>
                    <xdr:row>43</xdr:row>
                    <xdr:rowOff>0</xdr:rowOff>
                  </to>
                </anchor>
              </controlPr>
            </control>
          </mc:Choice>
          <mc:Fallback/>
        </mc:AlternateContent>
        <mc:AlternateContent xmlns:mc="http://schemas.openxmlformats.org/markup-compatibility/2006">
          <mc:Choice Requires="x14">
            <control shapeId="1028" r:id="rId5" name="Checkbox_Int">
              <controlPr defaultSize="0" autoFill="0" autoLine="0" autoPict="0" macro="[0]!Checkbox_Int_Click">
                <anchor moveWithCells="1">
                  <from>
                    <xdr:col>1</xdr:col>
                    <xdr:colOff>317500</xdr:colOff>
                    <xdr:row>0</xdr:row>
                    <xdr:rowOff>304800</xdr:rowOff>
                  </from>
                  <to>
                    <xdr:col>1</xdr:col>
                    <xdr:colOff>825500</xdr:colOff>
                    <xdr:row>2</xdr:row>
                    <xdr:rowOff>0</xdr:rowOff>
                  </to>
                </anchor>
              </controlPr>
            </control>
          </mc:Choice>
          <mc:Fallback/>
        </mc:AlternateContent>
        <mc:AlternateContent xmlns:mc="http://schemas.openxmlformats.org/markup-compatibility/2006">
          <mc:Choice Requires="x14">
            <control shapeId="1132" r:id="rId6" name="Button 108">
              <controlPr locked="0" defaultSize="0" print="0" autoFill="0" autoPict="0" macro="[0]!StartButton_Click">
                <anchor moveWithCells="1" sizeWithCells="1">
                  <from>
                    <xdr:col>0</xdr:col>
                    <xdr:colOff>685800</xdr:colOff>
                    <xdr:row>53</xdr:row>
                    <xdr:rowOff>63500</xdr:rowOff>
                  </from>
                  <to>
                    <xdr:col>0</xdr:col>
                    <xdr:colOff>4432300</xdr:colOff>
                    <xdr:row>54</xdr:row>
                    <xdr:rowOff>50800</xdr:rowOff>
                  </to>
                </anchor>
              </controlPr>
            </control>
          </mc:Choice>
          <mc:Fallback/>
        </mc:AlternateContent>
        <mc:AlternateContent xmlns:mc="http://schemas.openxmlformats.org/markup-compatibility/2006">
          <mc:Choice Requires="x14">
            <control shapeId="1133" r:id="rId7" name="snf_per_diem">
              <controlPr locked="0" defaultSize="0" autoFill="0" autoLine="0" autoPict="0">
                <anchor moveWithCells="1">
                  <from>
                    <xdr:col>1</xdr:col>
                    <xdr:colOff>317500</xdr:colOff>
                    <xdr:row>3</xdr:row>
                    <xdr:rowOff>0</xdr:rowOff>
                  </from>
                  <to>
                    <xdr:col>1</xdr:col>
                    <xdr:colOff>825500</xdr:colOff>
                    <xdr:row>4</xdr:row>
                    <xdr:rowOff>12700</xdr:rowOff>
                  </to>
                </anchor>
              </controlPr>
            </control>
          </mc:Choice>
          <mc:Fallback/>
        </mc:AlternateContent>
        <mc:AlternateContent xmlns:mc="http://schemas.openxmlformats.org/markup-compatibility/2006">
          <mc:Choice Requires="x14">
            <control shapeId="1134" r:id="rId8" name="ip_per_diem">
              <controlPr locked="0" defaultSize="0" autoFill="0" autoLine="0" autoPict="0">
                <anchor moveWithCells="1">
                  <from>
                    <xdr:col>1</xdr:col>
                    <xdr:colOff>317500</xdr:colOff>
                    <xdr:row>2</xdr:row>
                    <xdr:rowOff>0</xdr:rowOff>
                  </from>
                  <to>
                    <xdr:col>1</xdr:col>
                    <xdr:colOff>825500</xdr:colOff>
                    <xdr:row>3</xdr:row>
                    <xdr:rowOff>12700</xdr:rowOff>
                  </to>
                </anchor>
              </controlPr>
            </control>
          </mc:Choice>
          <mc:Fallback/>
        </mc:AlternateContent>
        <mc:AlternateContent xmlns:mc="http://schemas.openxmlformats.org/markup-compatibility/2006">
          <mc:Choice Requires="x14">
            <control shapeId="1162" r:id="rId9" name="ded_med_all">
              <controlPr locked="0" defaultSize="0" autoFill="0" autoLine="0" autoPict="0" macro="[0]!ded_med_all_Click">
                <anchor moveWithCells="1">
                  <from>
                    <xdr:col>1</xdr:col>
                    <xdr:colOff>444500</xdr:colOff>
                    <xdr:row>15</xdr:row>
                    <xdr:rowOff>622300</xdr:rowOff>
                  </from>
                  <to>
                    <xdr:col>1</xdr:col>
                    <xdr:colOff>952500</xdr:colOff>
                    <xdr:row>17</xdr:row>
                    <xdr:rowOff>12700</xdr:rowOff>
                  </to>
                </anchor>
              </controlPr>
            </control>
          </mc:Choice>
          <mc:Fallback/>
        </mc:AlternateContent>
        <mc:AlternateContent xmlns:mc="http://schemas.openxmlformats.org/markup-compatibility/2006">
          <mc:Choice Requires="x14">
            <control shapeId="1163" r:id="rId10" name="ded_er">
              <controlPr locked="0" defaultSize="0" autoFill="0" autoLine="0" autoPict="0">
                <anchor moveWithCells="1">
                  <from>
                    <xdr:col>1</xdr:col>
                    <xdr:colOff>444500</xdr:colOff>
                    <xdr:row>16</xdr:row>
                    <xdr:rowOff>304800</xdr:rowOff>
                  </from>
                  <to>
                    <xdr:col>1</xdr:col>
                    <xdr:colOff>952500</xdr:colOff>
                    <xdr:row>18</xdr:row>
                    <xdr:rowOff>12700</xdr:rowOff>
                  </to>
                </anchor>
              </controlPr>
            </control>
          </mc:Choice>
          <mc:Fallback/>
        </mc:AlternateContent>
        <mc:AlternateContent xmlns:mc="http://schemas.openxmlformats.org/markup-compatibility/2006">
          <mc:Choice Requires="x14">
            <control shapeId="1164" r:id="rId11" name="ded_sp">
              <controlPr locked="0" defaultSize="0" autoFill="0" autoLine="0" autoPict="0">
                <anchor moveWithCells="1">
                  <from>
                    <xdr:col>1</xdr:col>
                    <xdr:colOff>444500</xdr:colOff>
                    <xdr:row>19</xdr:row>
                    <xdr:rowOff>622300</xdr:rowOff>
                  </from>
                  <to>
                    <xdr:col>1</xdr:col>
                    <xdr:colOff>952500</xdr:colOff>
                    <xdr:row>21</xdr:row>
                    <xdr:rowOff>12700</xdr:rowOff>
                  </to>
                </anchor>
              </controlPr>
            </control>
          </mc:Choice>
          <mc:Fallback/>
        </mc:AlternateContent>
        <mc:AlternateContent xmlns:mc="http://schemas.openxmlformats.org/markup-compatibility/2006">
          <mc:Choice Requires="x14">
            <control shapeId="1165" r:id="rId12" name="ded_ip">
              <controlPr locked="0" defaultSize="0" autoFill="0" autoLine="0" autoPict="0">
                <anchor moveWithCells="1">
                  <from>
                    <xdr:col>1</xdr:col>
                    <xdr:colOff>444500</xdr:colOff>
                    <xdr:row>18</xdr:row>
                    <xdr:rowOff>0</xdr:rowOff>
                  </from>
                  <to>
                    <xdr:col>1</xdr:col>
                    <xdr:colOff>952500</xdr:colOff>
                    <xdr:row>19</xdr:row>
                    <xdr:rowOff>12700</xdr:rowOff>
                  </to>
                </anchor>
              </controlPr>
            </control>
          </mc:Choice>
          <mc:Fallback/>
        </mc:AlternateContent>
        <mc:AlternateContent xmlns:mc="http://schemas.openxmlformats.org/markup-compatibility/2006">
          <mc:Choice Requires="x14">
            <control shapeId="1166" r:id="rId13" name="ded_pc">
              <controlPr locked="0" defaultSize="0" autoFill="0" autoLine="0" autoPict="0">
                <anchor moveWithCells="1">
                  <from>
                    <xdr:col>1</xdr:col>
                    <xdr:colOff>444500</xdr:colOff>
                    <xdr:row>19</xdr:row>
                    <xdr:rowOff>177800</xdr:rowOff>
                  </from>
                  <to>
                    <xdr:col>1</xdr:col>
                    <xdr:colOff>952500</xdr:colOff>
                    <xdr:row>19</xdr:row>
                    <xdr:rowOff>520700</xdr:rowOff>
                  </to>
                </anchor>
              </controlPr>
            </control>
          </mc:Choice>
          <mc:Fallback/>
        </mc:AlternateContent>
        <mc:AlternateContent xmlns:mc="http://schemas.openxmlformats.org/markup-compatibility/2006">
          <mc:Choice Requires="x14">
            <control shapeId="1167" r:id="rId14" name="ded_psy">
              <controlPr locked="0" defaultSize="0" autoFill="0" autoLine="0" autoPict="0">
                <anchor moveWithCells="1">
                  <from>
                    <xdr:col>1</xdr:col>
                    <xdr:colOff>444500</xdr:colOff>
                    <xdr:row>21</xdr:row>
                    <xdr:rowOff>177800</xdr:rowOff>
                  </from>
                  <to>
                    <xdr:col>1</xdr:col>
                    <xdr:colOff>952500</xdr:colOff>
                    <xdr:row>21</xdr:row>
                    <xdr:rowOff>520700</xdr:rowOff>
                  </to>
                </anchor>
              </controlPr>
            </control>
          </mc:Choice>
          <mc:Fallback/>
        </mc:AlternateContent>
        <mc:AlternateContent xmlns:mc="http://schemas.openxmlformats.org/markup-compatibility/2006">
          <mc:Choice Requires="x14">
            <control shapeId="1168" r:id="rId15" name="ded_pvis">
              <controlPr locked="0" defaultSize="0" autoFill="0" autoLine="0" autoPict="0">
                <anchor moveWithCells="1">
                  <from>
                    <xdr:col>10</xdr:col>
                    <xdr:colOff>876300</xdr:colOff>
                    <xdr:row>15</xdr:row>
                    <xdr:rowOff>317500</xdr:rowOff>
                  </from>
                  <to>
                    <xdr:col>11</xdr:col>
                    <xdr:colOff>241300</xdr:colOff>
                    <xdr:row>16</xdr:row>
                    <xdr:rowOff>50800</xdr:rowOff>
                  </to>
                </anchor>
              </controlPr>
            </control>
          </mc:Choice>
          <mc:Fallback/>
        </mc:AlternateContent>
        <mc:AlternateContent xmlns:mc="http://schemas.openxmlformats.org/markup-compatibility/2006">
          <mc:Choice Requires="x14">
            <control shapeId="1169" r:id="rId16" name="ded_abu">
              <controlPr locked="0" defaultSize="0" autoFill="0" autoLine="0" autoPict="0">
                <anchor moveWithCells="1">
                  <from>
                    <xdr:col>10</xdr:col>
                    <xdr:colOff>952500</xdr:colOff>
                    <xdr:row>14</xdr:row>
                    <xdr:rowOff>190500</xdr:rowOff>
                  </from>
                  <to>
                    <xdr:col>11</xdr:col>
                    <xdr:colOff>317500</xdr:colOff>
                    <xdr:row>15</xdr:row>
                    <xdr:rowOff>241300</xdr:rowOff>
                  </to>
                </anchor>
              </controlPr>
            </control>
          </mc:Choice>
          <mc:Fallback/>
        </mc:AlternateContent>
        <mc:AlternateContent xmlns:mc="http://schemas.openxmlformats.org/markup-compatibility/2006">
          <mc:Choice Requires="x14">
            <control shapeId="1170" r:id="rId17" name="ded_img">
              <controlPr locked="0" defaultSize="0" autoFill="0" autoLine="0" autoPict="0">
                <anchor moveWithCells="1">
                  <from>
                    <xdr:col>1</xdr:col>
                    <xdr:colOff>444500</xdr:colOff>
                    <xdr:row>22</xdr:row>
                    <xdr:rowOff>12700</xdr:rowOff>
                  </from>
                  <to>
                    <xdr:col>1</xdr:col>
                    <xdr:colOff>952500</xdr:colOff>
                    <xdr:row>24</xdr:row>
                    <xdr:rowOff>12700</xdr:rowOff>
                  </to>
                </anchor>
              </controlPr>
            </control>
          </mc:Choice>
          <mc:Fallback/>
        </mc:AlternateContent>
        <mc:AlternateContent xmlns:mc="http://schemas.openxmlformats.org/markup-compatibility/2006">
          <mc:Choice Requires="x14">
            <control shapeId="1171" r:id="rId18" name="ded_pden">
              <controlPr locked="0" defaultSize="0" autoFill="0" autoLine="0" autoPict="0">
                <anchor moveWithCells="1">
                  <from>
                    <xdr:col>1</xdr:col>
                    <xdr:colOff>444500</xdr:colOff>
                    <xdr:row>24</xdr:row>
                    <xdr:rowOff>0</xdr:rowOff>
                  </from>
                  <to>
                    <xdr:col>1</xdr:col>
                    <xdr:colOff>952500</xdr:colOff>
                    <xdr:row>27</xdr:row>
                    <xdr:rowOff>50800</xdr:rowOff>
                  </to>
                </anchor>
              </controlPr>
            </control>
          </mc:Choice>
          <mc:Fallback/>
        </mc:AlternateContent>
        <mc:AlternateContent xmlns:mc="http://schemas.openxmlformats.org/markup-compatibility/2006">
          <mc:Choice Requires="x14">
            <control shapeId="1172" r:id="rId19" name="ded_pt">
              <controlPr locked="0" defaultSize="0" autoFill="0" autoLine="0" autoPict="0">
                <anchor moveWithCells="1">
                  <from>
                    <xdr:col>1</xdr:col>
                    <xdr:colOff>444500</xdr:colOff>
                    <xdr:row>27</xdr:row>
                    <xdr:rowOff>0</xdr:rowOff>
                  </from>
                  <to>
                    <xdr:col>1</xdr:col>
                    <xdr:colOff>952500</xdr:colOff>
                    <xdr:row>27</xdr:row>
                    <xdr:rowOff>368300</xdr:rowOff>
                  </to>
                </anchor>
              </controlPr>
            </control>
          </mc:Choice>
          <mc:Fallback/>
        </mc:AlternateContent>
        <mc:AlternateContent xmlns:mc="http://schemas.openxmlformats.org/markup-compatibility/2006">
          <mc:Choice Requires="x14">
            <control shapeId="1173" r:id="rId20" name="ded_st">
              <controlPr locked="0" defaultSize="0" autoFill="0" autoLine="0" autoPict="0">
                <anchor moveWithCells="1">
                  <from>
                    <xdr:col>1</xdr:col>
                    <xdr:colOff>444500</xdr:colOff>
                    <xdr:row>24</xdr:row>
                    <xdr:rowOff>0</xdr:rowOff>
                  </from>
                  <to>
                    <xdr:col>1</xdr:col>
                    <xdr:colOff>952500</xdr:colOff>
                    <xdr:row>27</xdr:row>
                    <xdr:rowOff>50800</xdr:rowOff>
                  </to>
                </anchor>
              </controlPr>
            </control>
          </mc:Choice>
          <mc:Fallback/>
        </mc:AlternateContent>
        <mc:AlternateContent xmlns:mc="http://schemas.openxmlformats.org/markup-compatibility/2006">
          <mc:Choice Requires="x14">
            <control shapeId="1174" r:id="rId21" name="ded_ot">
              <controlPr locked="0" defaultSize="0" autoFill="0" autoLine="0" autoPict="0">
                <anchor moveWithCells="1">
                  <from>
                    <xdr:col>1</xdr:col>
                    <xdr:colOff>444500</xdr:colOff>
                    <xdr:row>27</xdr:row>
                    <xdr:rowOff>114300</xdr:rowOff>
                  </from>
                  <to>
                    <xdr:col>1</xdr:col>
                    <xdr:colOff>952500</xdr:colOff>
                    <xdr:row>27</xdr:row>
                    <xdr:rowOff>482600</xdr:rowOff>
                  </to>
                </anchor>
              </controlPr>
            </control>
          </mc:Choice>
          <mc:Fallback/>
        </mc:AlternateContent>
        <mc:AlternateContent xmlns:mc="http://schemas.openxmlformats.org/markup-compatibility/2006">
          <mc:Choice Requires="x14">
            <control shapeId="1175" r:id="rId22" name="ded_wb">
              <controlPr locked="0" defaultSize="0" autoFill="0" autoLine="0" autoPict="0">
                <anchor moveWithCells="1">
                  <from>
                    <xdr:col>1</xdr:col>
                    <xdr:colOff>444500</xdr:colOff>
                    <xdr:row>28</xdr:row>
                    <xdr:rowOff>0</xdr:rowOff>
                  </from>
                  <to>
                    <xdr:col>1</xdr:col>
                    <xdr:colOff>952500</xdr:colOff>
                    <xdr:row>31</xdr:row>
                    <xdr:rowOff>38100</xdr:rowOff>
                  </to>
                </anchor>
              </controlPr>
            </control>
          </mc:Choice>
          <mc:Fallback/>
        </mc:AlternateContent>
        <mc:AlternateContent xmlns:mc="http://schemas.openxmlformats.org/markup-compatibility/2006">
          <mc:Choice Requires="x14">
            <control shapeId="1176" r:id="rId23" name="ded_xray">
              <controlPr locked="0" defaultSize="0" autoFill="0" autoLine="0" autoPict="0">
                <anchor moveWithCells="1">
                  <from>
                    <xdr:col>1</xdr:col>
                    <xdr:colOff>444500</xdr:colOff>
                    <xdr:row>32</xdr:row>
                    <xdr:rowOff>0</xdr:rowOff>
                  </from>
                  <to>
                    <xdr:col>1</xdr:col>
                    <xdr:colOff>952500</xdr:colOff>
                    <xdr:row>33</xdr:row>
                    <xdr:rowOff>12700</xdr:rowOff>
                  </to>
                </anchor>
              </controlPr>
            </control>
          </mc:Choice>
          <mc:Fallback/>
        </mc:AlternateContent>
        <mc:AlternateContent xmlns:mc="http://schemas.openxmlformats.org/markup-compatibility/2006">
          <mc:Choice Requires="x14">
            <control shapeId="1177" r:id="rId24" name="ded_prev">
              <controlPr defaultSize="0" autoFill="0" autoLine="0" autoPict="0" macro="[0]!ded_prev_Click">
                <anchor moveWithCells="1">
                  <from>
                    <xdr:col>1</xdr:col>
                    <xdr:colOff>444500</xdr:colOff>
                    <xdr:row>28</xdr:row>
                    <xdr:rowOff>0</xdr:rowOff>
                  </from>
                  <to>
                    <xdr:col>1</xdr:col>
                    <xdr:colOff>952500</xdr:colOff>
                    <xdr:row>31</xdr:row>
                    <xdr:rowOff>38100</xdr:rowOff>
                  </to>
                </anchor>
              </controlPr>
            </control>
          </mc:Choice>
          <mc:Fallback/>
        </mc:AlternateContent>
        <mc:AlternateContent xmlns:mc="http://schemas.openxmlformats.org/markup-compatibility/2006">
          <mc:Choice Requires="x14">
            <control shapeId="1178" r:id="rId25" name="ded_lab">
              <controlPr locked="0" defaultSize="0" autoFill="0" autoLine="0" autoPict="0">
                <anchor moveWithCells="1">
                  <from>
                    <xdr:col>1</xdr:col>
                    <xdr:colOff>444500</xdr:colOff>
                    <xdr:row>31</xdr:row>
                    <xdr:rowOff>0</xdr:rowOff>
                  </from>
                  <to>
                    <xdr:col>1</xdr:col>
                    <xdr:colOff>952500</xdr:colOff>
                    <xdr:row>32</xdr:row>
                    <xdr:rowOff>12700</xdr:rowOff>
                  </to>
                </anchor>
              </controlPr>
            </control>
          </mc:Choice>
          <mc:Fallback/>
        </mc:AlternateContent>
        <mc:AlternateContent xmlns:mc="http://schemas.openxmlformats.org/markup-compatibility/2006">
          <mc:Choice Requires="x14">
            <control shapeId="1179" r:id="rId26" name="ded_opprof">
              <controlPr locked="0" defaultSize="0" autoFill="0" autoLine="0" autoPict="0">
                <anchor moveWithCells="1">
                  <from>
                    <xdr:col>1</xdr:col>
                    <xdr:colOff>444500</xdr:colOff>
                    <xdr:row>34</xdr:row>
                    <xdr:rowOff>584200</xdr:rowOff>
                  </from>
                  <to>
                    <xdr:col>1</xdr:col>
                    <xdr:colOff>952500</xdr:colOff>
                    <xdr:row>36</xdr:row>
                    <xdr:rowOff>0</xdr:rowOff>
                  </to>
                </anchor>
              </controlPr>
            </control>
          </mc:Choice>
          <mc:Fallback/>
        </mc:AlternateContent>
        <mc:AlternateContent xmlns:mc="http://schemas.openxmlformats.org/markup-compatibility/2006">
          <mc:Choice Requires="x14">
            <control shapeId="1180" r:id="rId27" name="ded_snf">
              <controlPr locked="0" defaultSize="0" autoFill="0" autoLine="0" autoPict="0">
                <anchor moveWithCells="1">
                  <from>
                    <xdr:col>1</xdr:col>
                    <xdr:colOff>444500</xdr:colOff>
                    <xdr:row>33</xdr:row>
                    <xdr:rowOff>0</xdr:rowOff>
                  </from>
                  <to>
                    <xdr:col>1</xdr:col>
                    <xdr:colOff>952500</xdr:colOff>
                    <xdr:row>34</xdr:row>
                    <xdr:rowOff>12700</xdr:rowOff>
                  </to>
                </anchor>
              </controlPr>
            </control>
          </mc:Choice>
          <mc:Fallback/>
        </mc:AlternateContent>
        <mc:AlternateContent xmlns:mc="http://schemas.openxmlformats.org/markup-compatibility/2006">
          <mc:Choice Requires="x14">
            <control shapeId="1181" r:id="rId28" name="ded_opfac">
              <controlPr locked="0" defaultSize="0" autoFill="0" autoLine="0" autoPict="0">
                <anchor moveWithCells="1">
                  <from>
                    <xdr:col>1</xdr:col>
                    <xdr:colOff>444500</xdr:colOff>
                    <xdr:row>34</xdr:row>
                    <xdr:rowOff>127000</xdr:rowOff>
                  </from>
                  <to>
                    <xdr:col>1</xdr:col>
                    <xdr:colOff>952500</xdr:colOff>
                    <xdr:row>34</xdr:row>
                    <xdr:rowOff>495300</xdr:rowOff>
                  </to>
                </anchor>
              </controlPr>
            </control>
          </mc:Choice>
          <mc:Fallback/>
        </mc:AlternateContent>
        <mc:AlternateContent xmlns:mc="http://schemas.openxmlformats.org/markup-compatibility/2006">
          <mc:Choice Requires="x14">
            <control shapeId="1182" r:id="rId29" name="ded_rx_all">
              <controlPr locked="0" defaultSize="0" autoFill="0" autoLine="0" autoPict="0" macro="[0]!ded_rx_all_Click">
                <anchor moveWithCells="1">
                  <from>
                    <xdr:col>1</xdr:col>
                    <xdr:colOff>444500</xdr:colOff>
                    <xdr:row>35</xdr:row>
                    <xdr:rowOff>304800</xdr:rowOff>
                  </from>
                  <to>
                    <xdr:col>1</xdr:col>
                    <xdr:colOff>952500</xdr:colOff>
                    <xdr:row>37</xdr:row>
                    <xdr:rowOff>12700</xdr:rowOff>
                  </to>
                </anchor>
              </controlPr>
            </control>
          </mc:Choice>
          <mc:Fallback/>
        </mc:AlternateContent>
        <mc:AlternateContent xmlns:mc="http://schemas.openxmlformats.org/markup-compatibility/2006">
          <mc:Choice Requires="x14">
            <control shapeId="1183" r:id="rId30" name="ded_rxgen">
              <controlPr locked="0" defaultSize="0" autoFill="0" autoLine="0" autoPict="0">
                <anchor moveWithCells="1">
                  <from>
                    <xdr:col>1</xdr:col>
                    <xdr:colOff>444500</xdr:colOff>
                    <xdr:row>37</xdr:row>
                    <xdr:rowOff>0</xdr:rowOff>
                  </from>
                  <to>
                    <xdr:col>1</xdr:col>
                    <xdr:colOff>952500</xdr:colOff>
                    <xdr:row>38</xdr:row>
                    <xdr:rowOff>12700</xdr:rowOff>
                  </to>
                </anchor>
              </controlPr>
            </control>
          </mc:Choice>
          <mc:Fallback/>
        </mc:AlternateContent>
        <mc:AlternateContent xmlns:mc="http://schemas.openxmlformats.org/markup-compatibility/2006">
          <mc:Choice Requires="x14">
            <control shapeId="1184" r:id="rId31" name="ded_rxform">
              <controlPr locked="0" defaultSize="0" autoFill="0" autoLine="0" autoPict="0">
                <anchor moveWithCells="1">
                  <from>
                    <xdr:col>1</xdr:col>
                    <xdr:colOff>444500</xdr:colOff>
                    <xdr:row>38</xdr:row>
                    <xdr:rowOff>0</xdr:rowOff>
                  </from>
                  <to>
                    <xdr:col>1</xdr:col>
                    <xdr:colOff>952500</xdr:colOff>
                    <xdr:row>39</xdr:row>
                    <xdr:rowOff>12700</xdr:rowOff>
                  </to>
                </anchor>
              </controlPr>
            </control>
          </mc:Choice>
          <mc:Fallback/>
        </mc:AlternateContent>
        <mc:AlternateContent xmlns:mc="http://schemas.openxmlformats.org/markup-compatibility/2006">
          <mc:Choice Requires="x14">
            <control shapeId="1185" r:id="rId32" name="ded_rxnonform">
              <controlPr locked="0" defaultSize="0" autoFill="0" autoLine="0" autoPict="0">
                <anchor moveWithCells="1">
                  <from>
                    <xdr:col>1</xdr:col>
                    <xdr:colOff>444500</xdr:colOff>
                    <xdr:row>39</xdr:row>
                    <xdr:rowOff>0</xdr:rowOff>
                  </from>
                  <to>
                    <xdr:col>1</xdr:col>
                    <xdr:colOff>952500</xdr:colOff>
                    <xdr:row>40</xdr:row>
                    <xdr:rowOff>12700</xdr:rowOff>
                  </to>
                </anchor>
              </controlPr>
            </control>
          </mc:Choice>
          <mc:Fallback/>
        </mc:AlternateContent>
        <mc:AlternateContent xmlns:mc="http://schemas.openxmlformats.org/markup-compatibility/2006">
          <mc:Choice Requires="x14">
            <control shapeId="1190" r:id="rId33" name="ded_rxspclty">
              <controlPr locked="0" defaultSize="0" autoFill="0" autoLine="0" autoPict="0">
                <anchor moveWithCells="1">
                  <from>
                    <xdr:col>1</xdr:col>
                    <xdr:colOff>444500</xdr:colOff>
                    <xdr:row>40</xdr:row>
                    <xdr:rowOff>0</xdr:rowOff>
                  </from>
                  <to>
                    <xdr:col>1</xdr:col>
                    <xdr:colOff>952500</xdr:colOff>
                    <xdr:row>41</xdr:row>
                    <xdr:rowOff>0</xdr:rowOff>
                  </to>
                </anchor>
              </controlPr>
            </control>
          </mc:Choice>
          <mc:Fallback/>
        </mc:AlternateContent>
        <mc:AlternateContent xmlns:mc="http://schemas.openxmlformats.org/markup-compatibility/2006">
          <mc:Choice Requires="x14">
            <control shapeId="1191" r:id="rId34" name="coins_med_all">
              <controlPr locked="0" defaultSize="0" autoFill="0" autoLine="0" autoPict="0" macro="[0]!coins_med_all_Click">
                <anchor moveWithCells="1">
                  <from>
                    <xdr:col>2</xdr:col>
                    <xdr:colOff>495300</xdr:colOff>
                    <xdr:row>15</xdr:row>
                    <xdr:rowOff>622300</xdr:rowOff>
                  </from>
                  <to>
                    <xdr:col>2</xdr:col>
                    <xdr:colOff>1003300</xdr:colOff>
                    <xdr:row>17</xdr:row>
                    <xdr:rowOff>12700</xdr:rowOff>
                  </to>
                </anchor>
              </controlPr>
            </control>
          </mc:Choice>
          <mc:Fallback/>
        </mc:AlternateContent>
        <mc:AlternateContent xmlns:mc="http://schemas.openxmlformats.org/markup-compatibility/2006">
          <mc:Choice Requires="x14">
            <control shapeId="1192" r:id="rId35" name="coins_er">
              <controlPr locked="0" defaultSize="0" autoFill="0" autoLine="0" autoPict="0">
                <anchor moveWithCells="1">
                  <from>
                    <xdr:col>2</xdr:col>
                    <xdr:colOff>495300</xdr:colOff>
                    <xdr:row>16</xdr:row>
                    <xdr:rowOff>304800</xdr:rowOff>
                  </from>
                  <to>
                    <xdr:col>2</xdr:col>
                    <xdr:colOff>1003300</xdr:colOff>
                    <xdr:row>18</xdr:row>
                    <xdr:rowOff>12700</xdr:rowOff>
                  </to>
                </anchor>
              </controlPr>
            </control>
          </mc:Choice>
          <mc:Fallback/>
        </mc:AlternateContent>
        <mc:AlternateContent xmlns:mc="http://schemas.openxmlformats.org/markup-compatibility/2006">
          <mc:Choice Requires="x14">
            <control shapeId="1193" r:id="rId36" name="coins_sp">
              <controlPr locked="0" defaultSize="0" autoFill="0" autoLine="0" autoPict="0">
                <anchor moveWithCells="1">
                  <from>
                    <xdr:col>2</xdr:col>
                    <xdr:colOff>495300</xdr:colOff>
                    <xdr:row>19</xdr:row>
                    <xdr:rowOff>622300</xdr:rowOff>
                  </from>
                  <to>
                    <xdr:col>2</xdr:col>
                    <xdr:colOff>1003300</xdr:colOff>
                    <xdr:row>21</xdr:row>
                    <xdr:rowOff>12700</xdr:rowOff>
                  </to>
                </anchor>
              </controlPr>
            </control>
          </mc:Choice>
          <mc:Fallback/>
        </mc:AlternateContent>
        <mc:AlternateContent xmlns:mc="http://schemas.openxmlformats.org/markup-compatibility/2006">
          <mc:Choice Requires="x14">
            <control shapeId="1194" r:id="rId37" name="coins_ip">
              <controlPr locked="0" defaultSize="0" autoFill="0" autoLine="0" autoPict="0">
                <anchor moveWithCells="1">
                  <from>
                    <xdr:col>2</xdr:col>
                    <xdr:colOff>495300</xdr:colOff>
                    <xdr:row>18</xdr:row>
                    <xdr:rowOff>0</xdr:rowOff>
                  </from>
                  <to>
                    <xdr:col>2</xdr:col>
                    <xdr:colOff>1003300</xdr:colOff>
                    <xdr:row>19</xdr:row>
                    <xdr:rowOff>12700</xdr:rowOff>
                  </to>
                </anchor>
              </controlPr>
            </control>
          </mc:Choice>
          <mc:Fallback/>
        </mc:AlternateContent>
        <mc:AlternateContent xmlns:mc="http://schemas.openxmlformats.org/markup-compatibility/2006">
          <mc:Choice Requires="x14">
            <control shapeId="1195" r:id="rId38" name="coins_pc">
              <controlPr locked="0" defaultSize="0" autoFill="0" autoLine="0" autoPict="0">
                <anchor moveWithCells="1">
                  <from>
                    <xdr:col>2</xdr:col>
                    <xdr:colOff>495300</xdr:colOff>
                    <xdr:row>19</xdr:row>
                    <xdr:rowOff>177800</xdr:rowOff>
                  </from>
                  <to>
                    <xdr:col>2</xdr:col>
                    <xdr:colOff>1003300</xdr:colOff>
                    <xdr:row>19</xdr:row>
                    <xdr:rowOff>520700</xdr:rowOff>
                  </to>
                </anchor>
              </controlPr>
            </control>
          </mc:Choice>
          <mc:Fallback/>
        </mc:AlternateContent>
        <mc:AlternateContent xmlns:mc="http://schemas.openxmlformats.org/markup-compatibility/2006">
          <mc:Choice Requires="x14">
            <control shapeId="1196" r:id="rId39" name="coins_psy">
              <controlPr locked="0" defaultSize="0" autoFill="0" autoLine="0" autoPict="0">
                <anchor moveWithCells="1">
                  <from>
                    <xdr:col>2</xdr:col>
                    <xdr:colOff>495300</xdr:colOff>
                    <xdr:row>21</xdr:row>
                    <xdr:rowOff>177800</xdr:rowOff>
                  </from>
                  <to>
                    <xdr:col>2</xdr:col>
                    <xdr:colOff>1003300</xdr:colOff>
                    <xdr:row>21</xdr:row>
                    <xdr:rowOff>520700</xdr:rowOff>
                  </to>
                </anchor>
              </controlPr>
            </control>
          </mc:Choice>
          <mc:Fallback/>
        </mc:AlternateContent>
        <mc:AlternateContent xmlns:mc="http://schemas.openxmlformats.org/markup-compatibility/2006">
          <mc:Choice Requires="x14">
            <control shapeId="1197" r:id="rId40" name="coins_pvis">
              <controlPr locked="0" defaultSize="0" autoFill="0" autoLine="0" autoPict="0">
                <anchor moveWithCells="1">
                  <from>
                    <xdr:col>11</xdr:col>
                    <xdr:colOff>241300</xdr:colOff>
                    <xdr:row>15</xdr:row>
                    <xdr:rowOff>368300</xdr:rowOff>
                  </from>
                  <to>
                    <xdr:col>11</xdr:col>
                    <xdr:colOff>749300</xdr:colOff>
                    <xdr:row>16</xdr:row>
                    <xdr:rowOff>76200</xdr:rowOff>
                  </to>
                </anchor>
              </controlPr>
            </control>
          </mc:Choice>
          <mc:Fallback/>
        </mc:AlternateContent>
        <mc:AlternateContent xmlns:mc="http://schemas.openxmlformats.org/markup-compatibility/2006">
          <mc:Choice Requires="x14">
            <control shapeId="1198" r:id="rId41" name="coins_abu">
              <controlPr locked="0" defaultSize="0" autoFill="0" autoLine="0" autoPict="0">
                <anchor moveWithCells="1">
                  <from>
                    <xdr:col>11</xdr:col>
                    <xdr:colOff>304800</xdr:colOff>
                    <xdr:row>14</xdr:row>
                    <xdr:rowOff>203200</xdr:rowOff>
                  </from>
                  <to>
                    <xdr:col>11</xdr:col>
                    <xdr:colOff>812800</xdr:colOff>
                    <xdr:row>15</xdr:row>
                    <xdr:rowOff>241300</xdr:rowOff>
                  </to>
                </anchor>
              </controlPr>
            </control>
          </mc:Choice>
          <mc:Fallback/>
        </mc:AlternateContent>
        <mc:AlternateContent xmlns:mc="http://schemas.openxmlformats.org/markup-compatibility/2006">
          <mc:Choice Requires="x14">
            <control shapeId="1199" r:id="rId42" name="coins_img">
              <controlPr locked="0" defaultSize="0" autoFill="0" autoLine="0" autoPict="0">
                <anchor moveWithCells="1">
                  <from>
                    <xdr:col>2</xdr:col>
                    <xdr:colOff>495300</xdr:colOff>
                    <xdr:row>22</xdr:row>
                    <xdr:rowOff>12700</xdr:rowOff>
                  </from>
                  <to>
                    <xdr:col>2</xdr:col>
                    <xdr:colOff>1003300</xdr:colOff>
                    <xdr:row>24</xdr:row>
                    <xdr:rowOff>12700</xdr:rowOff>
                  </to>
                </anchor>
              </controlPr>
            </control>
          </mc:Choice>
          <mc:Fallback/>
        </mc:AlternateContent>
        <mc:AlternateContent xmlns:mc="http://schemas.openxmlformats.org/markup-compatibility/2006">
          <mc:Choice Requires="x14">
            <control shapeId="1200" r:id="rId43" name="coins_pden">
              <controlPr locked="0" defaultSize="0" autoFill="0" autoLine="0" autoPict="0">
                <anchor moveWithCells="1">
                  <from>
                    <xdr:col>3</xdr:col>
                    <xdr:colOff>190500</xdr:colOff>
                    <xdr:row>26</xdr:row>
                    <xdr:rowOff>203200</xdr:rowOff>
                  </from>
                  <to>
                    <xdr:col>3</xdr:col>
                    <xdr:colOff>698500</xdr:colOff>
                    <xdr:row>27</xdr:row>
                    <xdr:rowOff>254000</xdr:rowOff>
                  </to>
                </anchor>
              </controlPr>
            </control>
          </mc:Choice>
          <mc:Fallback/>
        </mc:AlternateContent>
        <mc:AlternateContent xmlns:mc="http://schemas.openxmlformats.org/markup-compatibility/2006">
          <mc:Choice Requires="x14">
            <control shapeId="1201" r:id="rId44" name="coins_pt">
              <controlPr locked="0" defaultSize="0" autoFill="0" autoLine="0" autoPict="0">
                <anchor moveWithCells="1">
                  <from>
                    <xdr:col>2</xdr:col>
                    <xdr:colOff>495300</xdr:colOff>
                    <xdr:row>27</xdr:row>
                    <xdr:rowOff>0</xdr:rowOff>
                  </from>
                  <to>
                    <xdr:col>2</xdr:col>
                    <xdr:colOff>1003300</xdr:colOff>
                    <xdr:row>27</xdr:row>
                    <xdr:rowOff>368300</xdr:rowOff>
                  </to>
                </anchor>
              </controlPr>
            </control>
          </mc:Choice>
          <mc:Fallback/>
        </mc:AlternateContent>
        <mc:AlternateContent xmlns:mc="http://schemas.openxmlformats.org/markup-compatibility/2006">
          <mc:Choice Requires="x14">
            <control shapeId="1202" r:id="rId45" name="coins_st">
              <controlPr locked="0" defaultSize="0" autoFill="0" autoLine="0" autoPict="0">
                <anchor moveWithCells="1">
                  <from>
                    <xdr:col>2</xdr:col>
                    <xdr:colOff>495300</xdr:colOff>
                    <xdr:row>24</xdr:row>
                    <xdr:rowOff>0</xdr:rowOff>
                  </from>
                  <to>
                    <xdr:col>2</xdr:col>
                    <xdr:colOff>1003300</xdr:colOff>
                    <xdr:row>27</xdr:row>
                    <xdr:rowOff>50800</xdr:rowOff>
                  </to>
                </anchor>
              </controlPr>
            </control>
          </mc:Choice>
          <mc:Fallback/>
        </mc:AlternateContent>
        <mc:AlternateContent xmlns:mc="http://schemas.openxmlformats.org/markup-compatibility/2006">
          <mc:Choice Requires="x14">
            <control shapeId="1203" r:id="rId46" name="coins_ot">
              <controlPr locked="0" defaultSize="0" autoFill="0" autoLine="0" autoPict="0">
                <anchor moveWithCells="1">
                  <from>
                    <xdr:col>2</xdr:col>
                    <xdr:colOff>495300</xdr:colOff>
                    <xdr:row>27</xdr:row>
                    <xdr:rowOff>114300</xdr:rowOff>
                  </from>
                  <to>
                    <xdr:col>2</xdr:col>
                    <xdr:colOff>1003300</xdr:colOff>
                    <xdr:row>27</xdr:row>
                    <xdr:rowOff>482600</xdr:rowOff>
                  </to>
                </anchor>
              </controlPr>
            </control>
          </mc:Choice>
          <mc:Fallback/>
        </mc:AlternateContent>
        <mc:AlternateContent xmlns:mc="http://schemas.openxmlformats.org/markup-compatibility/2006">
          <mc:Choice Requires="x14">
            <control shapeId="1204" r:id="rId47" name="coins_wb">
              <controlPr locked="0" defaultSize="0" autoFill="0" autoLine="0" autoPict="0">
                <anchor moveWithCells="1">
                  <from>
                    <xdr:col>2</xdr:col>
                    <xdr:colOff>495300</xdr:colOff>
                    <xdr:row>28</xdr:row>
                    <xdr:rowOff>0</xdr:rowOff>
                  </from>
                  <to>
                    <xdr:col>2</xdr:col>
                    <xdr:colOff>1003300</xdr:colOff>
                    <xdr:row>31</xdr:row>
                    <xdr:rowOff>38100</xdr:rowOff>
                  </to>
                </anchor>
              </controlPr>
            </control>
          </mc:Choice>
          <mc:Fallback/>
        </mc:AlternateContent>
        <mc:AlternateContent xmlns:mc="http://schemas.openxmlformats.org/markup-compatibility/2006">
          <mc:Choice Requires="x14">
            <control shapeId="1205" r:id="rId48" name="coins_xray">
              <controlPr locked="0" defaultSize="0" autoFill="0" autoLine="0" autoPict="0">
                <anchor moveWithCells="1">
                  <from>
                    <xdr:col>2</xdr:col>
                    <xdr:colOff>495300</xdr:colOff>
                    <xdr:row>32</xdr:row>
                    <xdr:rowOff>0</xdr:rowOff>
                  </from>
                  <to>
                    <xdr:col>2</xdr:col>
                    <xdr:colOff>1003300</xdr:colOff>
                    <xdr:row>33</xdr:row>
                    <xdr:rowOff>12700</xdr:rowOff>
                  </to>
                </anchor>
              </controlPr>
            </control>
          </mc:Choice>
          <mc:Fallback/>
        </mc:AlternateContent>
        <mc:AlternateContent xmlns:mc="http://schemas.openxmlformats.org/markup-compatibility/2006">
          <mc:Choice Requires="x14">
            <control shapeId="1206" r:id="rId49" name="coins_prev">
              <controlPr defaultSize="0" autoFill="0" autoLine="0" autoPict="0" macro="[0]!coins_prev_Click">
                <anchor moveWithCells="1">
                  <from>
                    <xdr:col>2</xdr:col>
                    <xdr:colOff>495300</xdr:colOff>
                    <xdr:row>28</xdr:row>
                    <xdr:rowOff>0</xdr:rowOff>
                  </from>
                  <to>
                    <xdr:col>2</xdr:col>
                    <xdr:colOff>1003300</xdr:colOff>
                    <xdr:row>31</xdr:row>
                    <xdr:rowOff>38100</xdr:rowOff>
                  </to>
                </anchor>
              </controlPr>
            </control>
          </mc:Choice>
          <mc:Fallback/>
        </mc:AlternateContent>
        <mc:AlternateContent xmlns:mc="http://schemas.openxmlformats.org/markup-compatibility/2006">
          <mc:Choice Requires="x14">
            <control shapeId="1207" r:id="rId50" name="coins_lab">
              <controlPr locked="0" defaultSize="0" autoFill="0" autoLine="0" autoPict="0">
                <anchor moveWithCells="1">
                  <from>
                    <xdr:col>2</xdr:col>
                    <xdr:colOff>495300</xdr:colOff>
                    <xdr:row>31</xdr:row>
                    <xdr:rowOff>0</xdr:rowOff>
                  </from>
                  <to>
                    <xdr:col>2</xdr:col>
                    <xdr:colOff>1003300</xdr:colOff>
                    <xdr:row>32</xdr:row>
                    <xdr:rowOff>12700</xdr:rowOff>
                  </to>
                </anchor>
              </controlPr>
            </control>
          </mc:Choice>
          <mc:Fallback/>
        </mc:AlternateContent>
        <mc:AlternateContent xmlns:mc="http://schemas.openxmlformats.org/markup-compatibility/2006">
          <mc:Choice Requires="x14">
            <control shapeId="1208" r:id="rId51" name="coins_opprof">
              <controlPr locked="0" defaultSize="0" autoFill="0" autoLine="0" autoPict="0">
                <anchor moveWithCells="1">
                  <from>
                    <xdr:col>2</xdr:col>
                    <xdr:colOff>495300</xdr:colOff>
                    <xdr:row>34</xdr:row>
                    <xdr:rowOff>584200</xdr:rowOff>
                  </from>
                  <to>
                    <xdr:col>2</xdr:col>
                    <xdr:colOff>1003300</xdr:colOff>
                    <xdr:row>36</xdr:row>
                    <xdr:rowOff>0</xdr:rowOff>
                  </to>
                </anchor>
              </controlPr>
            </control>
          </mc:Choice>
          <mc:Fallback/>
        </mc:AlternateContent>
        <mc:AlternateContent xmlns:mc="http://schemas.openxmlformats.org/markup-compatibility/2006">
          <mc:Choice Requires="x14">
            <control shapeId="1209" r:id="rId52" name="coins_snf">
              <controlPr locked="0" defaultSize="0" autoFill="0" autoLine="0" autoPict="0">
                <anchor moveWithCells="1">
                  <from>
                    <xdr:col>2</xdr:col>
                    <xdr:colOff>495300</xdr:colOff>
                    <xdr:row>33</xdr:row>
                    <xdr:rowOff>0</xdr:rowOff>
                  </from>
                  <to>
                    <xdr:col>2</xdr:col>
                    <xdr:colOff>1003300</xdr:colOff>
                    <xdr:row>34</xdr:row>
                    <xdr:rowOff>12700</xdr:rowOff>
                  </to>
                </anchor>
              </controlPr>
            </control>
          </mc:Choice>
          <mc:Fallback/>
        </mc:AlternateContent>
        <mc:AlternateContent xmlns:mc="http://schemas.openxmlformats.org/markup-compatibility/2006">
          <mc:Choice Requires="x14">
            <control shapeId="1210" r:id="rId53" name="coins_opfac">
              <controlPr locked="0" defaultSize="0" autoFill="0" autoLine="0" autoPict="0">
                <anchor moveWithCells="1">
                  <from>
                    <xdr:col>2</xdr:col>
                    <xdr:colOff>495300</xdr:colOff>
                    <xdr:row>34</xdr:row>
                    <xdr:rowOff>127000</xdr:rowOff>
                  </from>
                  <to>
                    <xdr:col>2</xdr:col>
                    <xdr:colOff>1003300</xdr:colOff>
                    <xdr:row>34</xdr:row>
                    <xdr:rowOff>495300</xdr:rowOff>
                  </to>
                </anchor>
              </controlPr>
            </control>
          </mc:Choice>
          <mc:Fallback/>
        </mc:AlternateContent>
        <mc:AlternateContent xmlns:mc="http://schemas.openxmlformats.org/markup-compatibility/2006">
          <mc:Choice Requires="x14">
            <control shapeId="1211" r:id="rId54" name="coins_rx_all">
              <controlPr locked="0" defaultSize="0" autoFill="0" autoLine="0" autoPict="0" macro="[0]!coins_rx_all_Click">
                <anchor moveWithCells="1">
                  <from>
                    <xdr:col>2</xdr:col>
                    <xdr:colOff>495300</xdr:colOff>
                    <xdr:row>35</xdr:row>
                    <xdr:rowOff>304800</xdr:rowOff>
                  </from>
                  <to>
                    <xdr:col>2</xdr:col>
                    <xdr:colOff>1003300</xdr:colOff>
                    <xdr:row>37</xdr:row>
                    <xdr:rowOff>12700</xdr:rowOff>
                  </to>
                </anchor>
              </controlPr>
            </control>
          </mc:Choice>
          <mc:Fallback/>
        </mc:AlternateContent>
        <mc:AlternateContent xmlns:mc="http://schemas.openxmlformats.org/markup-compatibility/2006">
          <mc:Choice Requires="x14">
            <control shapeId="1212" r:id="rId55" name="coins_rxgen">
              <controlPr locked="0" defaultSize="0" autoFill="0" autoLine="0" autoPict="0">
                <anchor moveWithCells="1">
                  <from>
                    <xdr:col>2</xdr:col>
                    <xdr:colOff>495300</xdr:colOff>
                    <xdr:row>37</xdr:row>
                    <xdr:rowOff>0</xdr:rowOff>
                  </from>
                  <to>
                    <xdr:col>2</xdr:col>
                    <xdr:colOff>1003300</xdr:colOff>
                    <xdr:row>38</xdr:row>
                    <xdr:rowOff>12700</xdr:rowOff>
                  </to>
                </anchor>
              </controlPr>
            </control>
          </mc:Choice>
          <mc:Fallback/>
        </mc:AlternateContent>
        <mc:AlternateContent xmlns:mc="http://schemas.openxmlformats.org/markup-compatibility/2006">
          <mc:Choice Requires="x14">
            <control shapeId="1213" r:id="rId56" name="coins_rxform">
              <controlPr locked="0" defaultSize="0" autoFill="0" autoLine="0" autoPict="0">
                <anchor moveWithCells="1">
                  <from>
                    <xdr:col>2</xdr:col>
                    <xdr:colOff>495300</xdr:colOff>
                    <xdr:row>38</xdr:row>
                    <xdr:rowOff>0</xdr:rowOff>
                  </from>
                  <to>
                    <xdr:col>2</xdr:col>
                    <xdr:colOff>1003300</xdr:colOff>
                    <xdr:row>39</xdr:row>
                    <xdr:rowOff>12700</xdr:rowOff>
                  </to>
                </anchor>
              </controlPr>
            </control>
          </mc:Choice>
          <mc:Fallback/>
        </mc:AlternateContent>
        <mc:AlternateContent xmlns:mc="http://schemas.openxmlformats.org/markup-compatibility/2006">
          <mc:Choice Requires="x14">
            <control shapeId="1214" r:id="rId57" name="coins_rxnonform">
              <controlPr locked="0" defaultSize="0" autoFill="0" autoLine="0" autoPict="0">
                <anchor moveWithCells="1">
                  <from>
                    <xdr:col>2</xdr:col>
                    <xdr:colOff>495300</xdr:colOff>
                    <xdr:row>39</xdr:row>
                    <xdr:rowOff>0</xdr:rowOff>
                  </from>
                  <to>
                    <xdr:col>2</xdr:col>
                    <xdr:colOff>1003300</xdr:colOff>
                    <xdr:row>40</xdr:row>
                    <xdr:rowOff>12700</xdr:rowOff>
                  </to>
                </anchor>
              </controlPr>
            </control>
          </mc:Choice>
          <mc:Fallback/>
        </mc:AlternateContent>
        <mc:AlternateContent xmlns:mc="http://schemas.openxmlformats.org/markup-compatibility/2006">
          <mc:Choice Requires="x14">
            <control shapeId="1215" r:id="rId58" name="coins_rxspclty">
              <controlPr locked="0" defaultSize="0" autoFill="0" autoLine="0" autoPict="0">
                <anchor moveWithCells="1">
                  <from>
                    <xdr:col>2</xdr:col>
                    <xdr:colOff>495300</xdr:colOff>
                    <xdr:row>40</xdr:row>
                    <xdr:rowOff>0</xdr:rowOff>
                  </from>
                  <to>
                    <xdr:col>2</xdr:col>
                    <xdr:colOff>1003300</xdr:colOff>
                    <xdr:row>41</xdr:row>
                    <xdr:rowOff>0</xdr:rowOff>
                  </to>
                </anchor>
              </controlPr>
            </control>
          </mc:Choice>
          <mc:Fallback/>
        </mc:AlternateContent>
        <mc:AlternateContent xmlns:mc="http://schemas.openxmlformats.org/markup-compatibility/2006">
          <mc:Choice Requires="x14">
            <control shapeId="1216" r:id="rId59" name="hsa">
              <controlPr locked="0" defaultSize="0" autoFill="0" autoLine="0" autoPict="0" macro="[0]!hsa_Click">
                <anchor moveWithCells="1">
                  <from>
                    <xdr:col>4</xdr:col>
                    <xdr:colOff>317500</xdr:colOff>
                    <xdr:row>2</xdr:row>
                    <xdr:rowOff>0</xdr:rowOff>
                  </from>
                  <to>
                    <xdr:col>4</xdr:col>
                    <xdr:colOff>825500</xdr:colOff>
                    <xdr:row>3</xdr:row>
                    <xdr:rowOff>12700</xdr:rowOff>
                  </to>
                </anchor>
              </controlPr>
            </control>
          </mc:Choice>
          <mc:Fallback/>
        </mc:AlternateContent>
        <mc:AlternateContent xmlns:mc="http://schemas.openxmlformats.org/markup-compatibility/2006">
          <mc:Choice Requires="x14">
            <control shapeId="1217" r:id="rId60" name="blend">
              <controlPr locked="0" defaultSize="0" autoFill="0" autoLine="0" autoPict="0" macro="[0]!blend_Click">
                <anchor moveWithCells="1">
                  <from>
                    <xdr:col>7</xdr:col>
                    <xdr:colOff>317500</xdr:colOff>
                    <xdr:row>2</xdr:row>
                    <xdr:rowOff>0</xdr:rowOff>
                  </from>
                  <to>
                    <xdr:col>7</xdr:col>
                    <xdr:colOff>825500</xdr:colOff>
                    <xdr:row>3</xdr:row>
                    <xdr:rowOff>12700</xdr:rowOff>
                  </to>
                </anchor>
              </controlPr>
            </control>
          </mc:Choice>
          <mc:Fallback/>
        </mc:AlternateContent>
        <mc:AlternateContent xmlns:mc="http://schemas.openxmlformats.org/markup-compatibility/2006">
          <mc:Choice Requires="x14">
            <control shapeId="1220" r:id="rId61" name="coins_rxmain">
              <controlPr locked="0" defaultSize="0" autoFill="0" autoLine="0" autoPict="0">
                <anchor moveWithCells="1">
                  <from>
                    <xdr:col>2</xdr:col>
                    <xdr:colOff>495300</xdr:colOff>
                    <xdr:row>40</xdr:row>
                    <xdr:rowOff>304800</xdr:rowOff>
                  </from>
                  <to>
                    <xdr:col>2</xdr:col>
                    <xdr:colOff>1003300</xdr:colOff>
                    <xdr:row>43</xdr:row>
                    <xdr:rowOff>0</xdr:rowOff>
                  </to>
                </anchor>
              </controlPr>
            </control>
          </mc:Choice>
          <mc:Fallback/>
        </mc:AlternateContent>
        <mc:AlternateContent xmlns:mc="http://schemas.openxmlformats.org/markup-compatibility/2006">
          <mc:Choice Requires="x14">
            <control shapeId="1221" r:id="rId62" name="ded_med_all2">
              <controlPr locked="0" defaultSize="0" autoFill="0" autoLine="0" autoPict="0" macro="[0]!ded_med_all_Click2">
                <anchor moveWithCells="1">
                  <from>
                    <xdr:col>5</xdr:col>
                    <xdr:colOff>444500</xdr:colOff>
                    <xdr:row>15</xdr:row>
                    <xdr:rowOff>622300</xdr:rowOff>
                  </from>
                  <to>
                    <xdr:col>5</xdr:col>
                    <xdr:colOff>952500</xdr:colOff>
                    <xdr:row>17</xdr:row>
                    <xdr:rowOff>12700</xdr:rowOff>
                  </to>
                </anchor>
              </controlPr>
            </control>
          </mc:Choice>
          <mc:Fallback/>
        </mc:AlternateContent>
        <mc:AlternateContent xmlns:mc="http://schemas.openxmlformats.org/markup-compatibility/2006">
          <mc:Choice Requires="x14">
            <control shapeId="1222" r:id="rId63" name="ded_er2">
              <controlPr locked="0" defaultSize="0" autoFill="0" autoLine="0" autoPict="0">
                <anchor moveWithCells="1">
                  <from>
                    <xdr:col>5</xdr:col>
                    <xdr:colOff>444500</xdr:colOff>
                    <xdr:row>16</xdr:row>
                    <xdr:rowOff>304800</xdr:rowOff>
                  </from>
                  <to>
                    <xdr:col>5</xdr:col>
                    <xdr:colOff>952500</xdr:colOff>
                    <xdr:row>18</xdr:row>
                    <xdr:rowOff>12700</xdr:rowOff>
                  </to>
                </anchor>
              </controlPr>
            </control>
          </mc:Choice>
          <mc:Fallback/>
        </mc:AlternateContent>
        <mc:AlternateContent xmlns:mc="http://schemas.openxmlformats.org/markup-compatibility/2006">
          <mc:Choice Requires="x14">
            <control shapeId="1223" r:id="rId64" name="ded_sp2">
              <controlPr locked="0" defaultSize="0" autoFill="0" autoLine="0" autoPict="0">
                <anchor moveWithCells="1">
                  <from>
                    <xdr:col>5</xdr:col>
                    <xdr:colOff>444500</xdr:colOff>
                    <xdr:row>19</xdr:row>
                    <xdr:rowOff>622300</xdr:rowOff>
                  </from>
                  <to>
                    <xdr:col>5</xdr:col>
                    <xdr:colOff>952500</xdr:colOff>
                    <xdr:row>21</xdr:row>
                    <xdr:rowOff>12700</xdr:rowOff>
                  </to>
                </anchor>
              </controlPr>
            </control>
          </mc:Choice>
          <mc:Fallback/>
        </mc:AlternateContent>
        <mc:AlternateContent xmlns:mc="http://schemas.openxmlformats.org/markup-compatibility/2006">
          <mc:Choice Requires="x14">
            <control shapeId="1224" r:id="rId65" name="ded_ip2">
              <controlPr locked="0" defaultSize="0" autoFill="0" autoLine="0" autoPict="0">
                <anchor moveWithCells="1">
                  <from>
                    <xdr:col>5</xdr:col>
                    <xdr:colOff>444500</xdr:colOff>
                    <xdr:row>18</xdr:row>
                    <xdr:rowOff>0</xdr:rowOff>
                  </from>
                  <to>
                    <xdr:col>5</xdr:col>
                    <xdr:colOff>952500</xdr:colOff>
                    <xdr:row>19</xdr:row>
                    <xdr:rowOff>12700</xdr:rowOff>
                  </to>
                </anchor>
              </controlPr>
            </control>
          </mc:Choice>
          <mc:Fallback/>
        </mc:AlternateContent>
        <mc:AlternateContent xmlns:mc="http://schemas.openxmlformats.org/markup-compatibility/2006">
          <mc:Choice Requires="x14">
            <control shapeId="1225" r:id="rId66" name="ded_pc2">
              <controlPr locked="0" defaultSize="0" autoFill="0" autoLine="0" autoPict="0">
                <anchor moveWithCells="1">
                  <from>
                    <xdr:col>5</xdr:col>
                    <xdr:colOff>444500</xdr:colOff>
                    <xdr:row>19</xdr:row>
                    <xdr:rowOff>177800</xdr:rowOff>
                  </from>
                  <to>
                    <xdr:col>5</xdr:col>
                    <xdr:colOff>952500</xdr:colOff>
                    <xdr:row>19</xdr:row>
                    <xdr:rowOff>520700</xdr:rowOff>
                  </to>
                </anchor>
              </controlPr>
            </control>
          </mc:Choice>
          <mc:Fallback/>
        </mc:AlternateContent>
        <mc:AlternateContent xmlns:mc="http://schemas.openxmlformats.org/markup-compatibility/2006">
          <mc:Choice Requires="x14">
            <control shapeId="1226" r:id="rId67" name="ded_psy2">
              <controlPr locked="0" defaultSize="0" autoFill="0" autoLine="0" autoPict="0">
                <anchor moveWithCells="1">
                  <from>
                    <xdr:col>5</xdr:col>
                    <xdr:colOff>444500</xdr:colOff>
                    <xdr:row>21</xdr:row>
                    <xdr:rowOff>177800</xdr:rowOff>
                  </from>
                  <to>
                    <xdr:col>5</xdr:col>
                    <xdr:colOff>952500</xdr:colOff>
                    <xdr:row>21</xdr:row>
                    <xdr:rowOff>520700</xdr:rowOff>
                  </to>
                </anchor>
              </controlPr>
            </control>
          </mc:Choice>
          <mc:Fallback/>
        </mc:AlternateContent>
        <mc:AlternateContent xmlns:mc="http://schemas.openxmlformats.org/markup-compatibility/2006">
          <mc:Choice Requires="x14">
            <control shapeId="1227" r:id="rId68" name="ded_pvis2">
              <controlPr locked="0" defaultSize="0" autoFill="0" autoLine="0" autoPict="0">
                <anchor moveWithCells="1">
                  <from>
                    <xdr:col>11</xdr:col>
                    <xdr:colOff>685800</xdr:colOff>
                    <xdr:row>15</xdr:row>
                    <xdr:rowOff>368300</xdr:rowOff>
                  </from>
                  <to>
                    <xdr:col>12</xdr:col>
                    <xdr:colOff>50800</xdr:colOff>
                    <xdr:row>16</xdr:row>
                    <xdr:rowOff>76200</xdr:rowOff>
                  </to>
                </anchor>
              </controlPr>
            </control>
          </mc:Choice>
          <mc:Fallback/>
        </mc:AlternateContent>
        <mc:AlternateContent xmlns:mc="http://schemas.openxmlformats.org/markup-compatibility/2006">
          <mc:Choice Requires="x14">
            <control shapeId="1228" r:id="rId69" name="ded_abu2">
              <controlPr locked="0" defaultSize="0" autoFill="0" autoLine="0" autoPict="0">
                <anchor moveWithCells="1">
                  <from>
                    <xdr:col>11</xdr:col>
                    <xdr:colOff>635000</xdr:colOff>
                    <xdr:row>14</xdr:row>
                    <xdr:rowOff>203200</xdr:rowOff>
                  </from>
                  <to>
                    <xdr:col>12</xdr:col>
                    <xdr:colOff>0</xdr:colOff>
                    <xdr:row>15</xdr:row>
                    <xdr:rowOff>241300</xdr:rowOff>
                  </to>
                </anchor>
              </controlPr>
            </control>
          </mc:Choice>
          <mc:Fallback/>
        </mc:AlternateContent>
        <mc:AlternateContent xmlns:mc="http://schemas.openxmlformats.org/markup-compatibility/2006">
          <mc:Choice Requires="x14">
            <control shapeId="1229" r:id="rId70" name="ded_img2">
              <controlPr locked="0" defaultSize="0" autoFill="0" autoLine="0" autoPict="0">
                <anchor moveWithCells="1">
                  <from>
                    <xdr:col>5</xdr:col>
                    <xdr:colOff>444500</xdr:colOff>
                    <xdr:row>22</xdr:row>
                    <xdr:rowOff>12700</xdr:rowOff>
                  </from>
                  <to>
                    <xdr:col>5</xdr:col>
                    <xdr:colOff>952500</xdr:colOff>
                    <xdr:row>24</xdr:row>
                    <xdr:rowOff>12700</xdr:rowOff>
                  </to>
                </anchor>
              </controlPr>
            </control>
          </mc:Choice>
          <mc:Fallback/>
        </mc:AlternateContent>
        <mc:AlternateContent xmlns:mc="http://schemas.openxmlformats.org/markup-compatibility/2006">
          <mc:Choice Requires="x14">
            <control shapeId="1230" r:id="rId71" name="ded_pden2">
              <controlPr locked="0" defaultSize="0" autoFill="0" autoLine="0" autoPict="0">
                <anchor moveWithCells="1">
                  <from>
                    <xdr:col>5</xdr:col>
                    <xdr:colOff>444500</xdr:colOff>
                    <xdr:row>24</xdr:row>
                    <xdr:rowOff>0</xdr:rowOff>
                  </from>
                  <to>
                    <xdr:col>5</xdr:col>
                    <xdr:colOff>952500</xdr:colOff>
                    <xdr:row>27</xdr:row>
                    <xdr:rowOff>50800</xdr:rowOff>
                  </to>
                </anchor>
              </controlPr>
            </control>
          </mc:Choice>
          <mc:Fallback/>
        </mc:AlternateContent>
        <mc:AlternateContent xmlns:mc="http://schemas.openxmlformats.org/markup-compatibility/2006">
          <mc:Choice Requires="x14">
            <control shapeId="1231" r:id="rId72" name="ded_pt2">
              <controlPr locked="0" defaultSize="0" autoFill="0" autoLine="0" autoPict="0">
                <anchor moveWithCells="1">
                  <from>
                    <xdr:col>5</xdr:col>
                    <xdr:colOff>444500</xdr:colOff>
                    <xdr:row>27</xdr:row>
                    <xdr:rowOff>0</xdr:rowOff>
                  </from>
                  <to>
                    <xdr:col>5</xdr:col>
                    <xdr:colOff>952500</xdr:colOff>
                    <xdr:row>27</xdr:row>
                    <xdr:rowOff>368300</xdr:rowOff>
                  </to>
                </anchor>
              </controlPr>
            </control>
          </mc:Choice>
          <mc:Fallback/>
        </mc:AlternateContent>
        <mc:AlternateContent xmlns:mc="http://schemas.openxmlformats.org/markup-compatibility/2006">
          <mc:Choice Requires="x14">
            <control shapeId="1232" r:id="rId73" name="ded_st2">
              <controlPr locked="0" defaultSize="0" autoFill="0" autoLine="0" autoPict="0">
                <anchor moveWithCells="1">
                  <from>
                    <xdr:col>5</xdr:col>
                    <xdr:colOff>444500</xdr:colOff>
                    <xdr:row>24</xdr:row>
                    <xdr:rowOff>0</xdr:rowOff>
                  </from>
                  <to>
                    <xdr:col>5</xdr:col>
                    <xdr:colOff>952500</xdr:colOff>
                    <xdr:row>27</xdr:row>
                    <xdr:rowOff>50800</xdr:rowOff>
                  </to>
                </anchor>
              </controlPr>
            </control>
          </mc:Choice>
          <mc:Fallback/>
        </mc:AlternateContent>
        <mc:AlternateContent xmlns:mc="http://schemas.openxmlformats.org/markup-compatibility/2006">
          <mc:Choice Requires="x14">
            <control shapeId="1233" r:id="rId74" name="ded_ot2">
              <controlPr locked="0" defaultSize="0" autoFill="0" autoLine="0" autoPict="0">
                <anchor moveWithCells="1">
                  <from>
                    <xdr:col>5</xdr:col>
                    <xdr:colOff>444500</xdr:colOff>
                    <xdr:row>27</xdr:row>
                    <xdr:rowOff>114300</xdr:rowOff>
                  </from>
                  <to>
                    <xdr:col>5</xdr:col>
                    <xdr:colOff>952500</xdr:colOff>
                    <xdr:row>27</xdr:row>
                    <xdr:rowOff>482600</xdr:rowOff>
                  </to>
                </anchor>
              </controlPr>
            </control>
          </mc:Choice>
          <mc:Fallback/>
        </mc:AlternateContent>
        <mc:AlternateContent xmlns:mc="http://schemas.openxmlformats.org/markup-compatibility/2006">
          <mc:Choice Requires="x14">
            <control shapeId="1234" r:id="rId75" name="ded_wb2">
              <controlPr locked="0" defaultSize="0" autoFill="0" autoLine="0" autoPict="0">
                <anchor moveWithCells="1">
                  <from>
                    <xdr:col>5</xdr:col>
                    <xdr:colOff>444500</xdr:colOff>
                    <xdr:row>28</xdr:row>
                    <xdr:rowOff>0</xdr:rowOff>
                  </from>
                  <to>
                    <xdr:col>5</xdr:col>
                    <xdr:colOff>952500</xdr:colOff>
                    <xdr:row>31</xdr:row>
                    <xdr:rowOff>38100</xdr:rowOff>
                  </to>
                </anchor>
              </controlPr>
            </control>
          </mc:Choice>
          <mc:Fallback/>
        </mc:AlternateContent>
        <mc:AlternateContent xmlns:mc="http://schemas.openxmlformats.org/markup-compatibility/2006">
          <mc:Choice Requires="x14">
            <control shapeId="1235" r:id="rId76" name="ded_xray2">
              <controlPr locked="0" defaultSize="0" autoFill="0" autoLine="0" autoPict="0">
                <anchor moveWithCells="1">
                  <from>
                    <xdr:col>5</xdr:col>
                    <xdr:colOff>444500</xdr:colOff>
                    <xdr:row>32</xdr:row>
                    <xdr:rowOff>0</xdr:rowOff>
                  </from>
                  <to>
                    <xdr:col>5</xdr:col>
                    <xdr:colOff>952500</xdr:colOff>
                    <xdr:row>33</xdr:row>
                    <xdr:rowOff>12700</xdr:rowOff>
                  </to>
                </anchor>
              </controlPr>
            </control>
          </mc:Choice>
          <mc:Fallback/>
        </mc:AlternateContent>
        <mc:AlternateContent xmlns:mc="http://schemas.openxmlformats.org/markup-compatibility/2006">
          <mc:Choice Requires="x14">
            <control shapeId="1236" r:id="rId77" name="ded_prev2">
              <controlPr defaultSize="0" autoFill="0" autoLine="0" autoPict="0" macro="[0]!ded_prev_Click">
                <anchor moveWithCells="1">
                  <from>
                    <xdr:col>5</xdr:col>
                    <xdr:colOff>444500</xdr:colOff>
                    <xdr:row>28</xdr:row>
                    <xdr:rowOff>0</xdr:rowOff>
                  </from>
                  <to>
                    <xdr:col>5</xdr:col>
                    <xdr:colOff>952500</xdr:colOff>
                    <xdr:row>31</xdr:row>
                    <xdr:rowOff>38100</xdr:rowOff>
                  </to>
                </anchor>
              </controlPr>
            </control>
          </mc:Choice>
          <mc:Fallback/>
        </mc:AlternateContent>
        <mc:AlternateContent xmlns:mc="http://schemas.openxmlformats.org/markup-compatibility/2006">
          <mc:Choice Requires="x14">
            <control shapeId="1237" r:id="rId78" name="ded_lab2">
              <controlPr locked="0" defaultSize="0" autoFill="0" autoLine="0" autoPict="0">
                <anchor moveWithCells="1">
                  <from>
                    <xdr:col>5</xdr:col>
                    <xdr:colOff>444500</xdr:colOff>
                    <xdr:row>31</xdr:row>
                    <xdr:rowOff>0</xdr:rowOff>
                  </from>
                  <to>
                    <xdr:col>5</xdr:col>
                    <xdr:colOff>952500</xdr:colOff>
                    <xdr:row>32</xdr:row>
                    <xdr:rowOff>12700</xdr:rowOff>
                  </to>
                </anchor>
              </controlPr>
            </control>
          </mc:Choice>
          <mc:Fallback/>
        </mc:AlternateContent>
        <mc:AlternateContent xmlns:mc="http://schemas.openxmlformats.org/markup-compatibility/2006">
          <mc:Choice Requires="x14">
            <control shapeId="1238" r:id="rId79" name="ded_opprof2">
              <controlPr locked="0" defaultSize="0" autoFill="0" autoLine="0" autoPict="0">
                <anchor moveWithCells="1">
                  <from>
                    <xdr:col>5</xdr:col>
                    <xdr:colOff>444500</xdr:colOff>
                    <xdr:row>34</xdr:row>
                    <xdr:rowOff>584200</xdr:rowOff>
                  </from>
                  <to>
                    <xdr:col>5</xdr:col>
                    <xdr:colOff>952500</xdr:colOff>
                    <xdr:row>36</xdr:row>
                    <xdr:rowOff>0</xdr:rowOff>
                  </to>
                </anchor>
              </controlPr>
            </control>
          </mc:Choice>
          <mc:Fallback/>
        </mc:AlternateContent>
        <mc:AlternateContent xmlns:mc="http://schemas.openxmlformats.org/markup-compatibility/2006">
          <mc:Choice Requires="x14">
            <control shapeId="1239" r:id="rId80" name="ded_snf2">
              <controlPr locked="0" defaultSize="0" autoFill="0" autoLine="0" autoPict="0">
                <anchor moveWithCells="1">
                  <from>
                    <xdr:col>5</xdr:col>
                    <xdr:colOff>444500</xdr:colOff>
                    <xdr:row>33</xdr:row>
                    <xdr:rowOff>0</xdr:rowOff>
                  </from>
                  <to>
                    <xdr:col>5</xdr:col>
                    <xdr:colOff>952500</xdr:colOff>
                    <xdr:row>34</xdr:row>
                    <xdr:rowOff>12700</xdr:rowOff>
                  </to>
                </anchor>
              </controlPr>
            </control>
          </mc:Choice>
          <mc:Fallback/>
        </mc:AlternateContent>
        <mc:AlternateContent xmlns:mc="http://schemas.openxmlformats.org/markup-compatibility/2006">
          <mc:Choice Requires="x14">
            <control shapeId="1240" r:id="rId81" name="ded_opfac2">
              <controlPr locked="0" defaultSize="0" autoFill="0" autoLine="0" autoPict="0">
                <anchor moveWithCells="1">
                  <from>
                    <xdr:col>5</xdr:col>
                    <xdr:colOff>444500</xdr:colOff>
                    <xdr:row>34</xdr:row>
                    <xdr:rowOff>127000</xdr:rowOff>
                  </from>
                  <to>
                    <xdr:col>5</xdr:col>
                    <xdr:colOff>952500</xdr:colOff>
                    <xdr:row>34</xdr:row>
                    <xdr:rowOff>495300</xdr:rowOff>
                  </to>
                </anchor>
              </controlPr>
            </control>
          </mc:Choice>
          <mc:Fallback/>
        </mc:AlternateContent>
        <mc:AlternateContent xmlns:mc="http://schemas.openxmlformats.org/markup-compatibility/2006">
          <mc:Choice Requires="x14">
            <control shapeId="1241" r:id="rId82" name="ded_rx_all2">
              <controlPr locked="0" defaultSize="0" autoFill="0" autoLine="0" autoPict="0" macro="[0]!ded_rx_all_Click2">
                <anchor moveWithCells="1">
                  <from>
                    <xdr:col>5</xdr:col>
                    <xdr:colOff>444500</xdr:colOff>
                    <xdr:row>35</xdr:row>
                    <xdr:rowOff>304800</xdr:rowOff>
                  </from>
                  <to>
                    <xdr:col>5</xdr:col>
                    <xdr:colOff>952500</xdr:colOff>
                    <xdr:row>37</xdr:row>
                    <xdr:rowOff>12700</xdr:rowOff>
                  </to>
                </anchor>
              </controlPr>
            </control>
          </mc:Choice>
          <mc:Fallback/>
        </mc:AlternateContent>
        <mc:AlternateContent xmlns:mc="http://schemas.openxmlformats.org/markup-compatibility/2006">
          <mc:Choice Requires="x14">
            <control shapeId="1242" r:id="rId83" name="ded_rxgen2">
              <controlPr locked="0" defaultSize="0" autoFill="0" autoLine="0" autoPict="0">
                <anchor moveWithCells="1">
                  <from>
                    <xdr:col>5</xdr:col>
                    <xdr:colOff>444500</xdr:colOff>
                    <xdr:row>37</xdr:row>
                    <xdr:rowOff>0</xdr:rowOff>
                  </from>
                  <to>
                    <xdr:col>5</xdr:col>
                    <xdr:colOff>952500</xdr:colOff>
                    <xdr:row>38</xdr:row>
                    <xdr:rowOff>12700</xdr:rowOff>
                  </to>
                </anchor>
              </controlPr>
            </control>
          </mc:Choice>
          <mc:Fallback/>
        </mc:AlternateContent>
        <mc:AlternateContent xmlns:mc="http://schemas.openxmlformats.org/markup-compatibility/2006">
          <mc:Choice Requires="x14">
            <control shapeId="1243" r:id="rId84" name="ded_rxform2">
              <controlPr locked="0" defaultSize="0" autoFill="0" autoLine="0" autoPict="0">
                <anchor moveWithCells="1">
                  <from>
                    <xdr:col>5</xdr:col>
                    <xdr:colOff>444500</xdr:colOff>
                    <xdr:row>38</xdr:row>
                    <xdr:rowOff>0</xdr:rowOff>
                  </from>
                  <to>
                    <xdr:col>5</xdr:col>
                    <xdr:colOff>952500</xdr:colOff>
                    <xdr:row>39</xdr:row>
                    <xdr:rowOff>12700</xdr:rowOff>
                  </to>
                </anchor>
              </controlPr>
            </control>
          </mc:Choice>
          <mc:Fallback/>
        </mc:AlternateContent>
        <mc:AlternateContent xmlns:mc="http://schemas.openxmlformats.org/markup-compatibility/2006">
          <mc:Choice Requires="x14">
            <control shapeId="1244" r:id="rId85" name="ded_rxnonform2">
              <controlPr locked="0" defaultSize="0" autoFill="0" autoLine="0" autoPict="0">
                <anchor moveWithCells="1">
                  <from>
                    <xdr:col>5</xdr:col>
                    <xdr:colOff>444500</xdr:colOff>
                    <xdr:row>39</xdr:row>
                    <xdr:rowOff>0</xdr:rowOff>
                  </from>
                  <to>
                    <xdr:col>5</xdr:col>
                    <xdr:colOff>952500</xdr:colOff>
                    <xdr:row>40</xdr:row>
                    <xdr:rowOff>12700</xdr:rowOff>
                  </to>
                </anchor>
              </controlPr>
            </control>
          </mc:Choice>
          <mc:Fallback/>
        </mc:AlternateContent>
        <mc:AlternateContent xmlns:mc="http://schemas.openxmlformats.org/markup-compatibility/2006">
          <mc:Choice Requires="x14">
            <control shapeId="1245" r:id="rId86" name="ded_rxspclty2">
              <controlPr locked="0" defaultSize="0" autoFill="0" autoLine="0" autoPict="0">
                <anchor moveWithCells="1">
                  <from>
                    <xdr:col>5</xdr:col>
                    <xdr:colOff>444500</xdr:colOff>
                    <xdr:row>40</xdr:row>
                    <xdr:rowOff>0</xdr:rowOff>
                  </from>
                  <to>
                    <xdr:col>5</xdr:col>
                    <xdr:colOff>952500</xdr:colOff>
                    <xdr:row>41</xdr:row>
                    <xdr:rowOff>0</xdr:rowOff>
                  </to>
                </anchor>
              </controlPr>
            </control>
          </mc:Choice>
          <mc:Fallback/>
        </mc:AlternateContent>
        <mc:AlternateContent xmlns:mc="http://schemas.openxmlformats.org/markup-compatibility/2006">
          <mc:Choice Requires="x14">
            <control shapeId="1246" r:id="rId87" name="coins_med_all2">
              <controlPr locked="0" defaultSize="0" autoFill="0" autoLine="0" autoPict="0" macro="[0]!coins_med_all_Click2">
                <anchor moveWithCells="1">
                  <from>
                    <xdr:col>6</xdr:col>
                    <xdr:colOff>495300</xdr:colOff>
                    <xdr:row>15</xdr:row>
                    <xdr:rowOff>622300</xdr:rowOff>
                  </from>
                  <to>
                    <xdr:col>6</xdr:col>
                    <xdr:colOff>1003300</xdr:colOff>
                    <xdr:row>17</xdr:row>
                    <xdr:rowOff>12700</xdr:rowOff>
                  </to>
                </anchor>
              </controlPr>
            </control>
          </mc:Choice>
          <mc:Fallback/>
        </mc:AlternateContent>
        <mc:AlternateContent xmlns:mc="http://schemas.openxmlformats.org/markup-compatibility/2006">
          <mc:Choice Requires="x14">
            <control shapeId="1247" r:id="rId88" name="coins_er2">
              <controlPr locked="0" defaultSize="0" autoFill="0" autoLine="0" autoPict="0">
                <anchor moveWithCells="1">
                  <from>
                    <xdr:col>6</xdr:col>
                    <xdr:colOff>495300</xdr:colOff>
                    <xdr:row>16</xdr:row>
                    <xdr:rowOff>304800</xdr:rowOff>
                  </from>
                  <to>
                    <xdr:col>6</xdr:col>
                    <xdr:colOff>1003300</xdr:colOff>
                    <xdr:row>18</xdr:row>
                    <xdr:rowOff>12700</xdr:rowOff>
                  </to>
                </anchor>
              </controlPr>
            </control>
          </mc:Choice>
          <mc:Fallback/>
        </mc:AlternateContent>
        <mc:AlternateContent xmlns:mc="http://schemas.openxmlformats.org/markup-compatibility/2006">
          <mc:Choice Requires="x14">
            <control shapeId="1248" r:id="rId89" name="coins_sp2">
              <controlPr locked="0" defaultSize="0" autoFill="0" autoLine="0" autoPict="0">
                <anchor moveWithCells="1">
                  <from>
                    <xdr:col>6</xdr:col>
                    <xdr:colOff>495300</xdr:colOff>
                    <xdr:row>19</xdr:row>
                    <xdr:rowOff>622300</xdr:rowOff>
                  </from>
                  <to>
                    <xdr:col>6</xdr:col>
                    <xdr:colOff>1003300</xdr:colOff>
                    <xdr:row>21</xdr:row>
                    <xdr:rowOff>12700</xdr:rowOff>
                  </to>
                </anchor>
              </controlPr>
            </control>
          </mc:Choice>
          <mc:Fallback/>
        </mc:AlternateContent>
        <mc:AlternateContent xmlns:mc="http://schemas.openxmlformats.org/markup-compatibility/2006">
          <mc:Choice Requires="x14">
            <control shapeId="1249" r:id="rId90" name="coins_ip2">
              <controlPr locked="0" defaultSize="0" autoFill="0" autoLine="0" autoPict="0">
                <anchor moveWithCells="1">
                  <from>
                    <xdr:col>6</xdr:col>
                    <xdr:colOff>495300</xdr:colOff>
                    <xdr:row>18</xdr:row>
                    <xdr:rowOff>0</xdr:rowOff>
                  </from>
                  <to>
                    <xdr:col>6</xdr:col>
                    <xdr:colOff>1003300</xdr:colOff>
                    <xdr:row>19</xdr:row>
                    <xdr:rowOff>12700</xdr:rowOff>
                  </to>
                </anchor>
              </controlPr>
            </control>
          </mc:Choice>
          <mc:Fallback/>
        </mc:AlternateContent>
        <mc:AlternateContent xmlns:mc="http://schemas.openxmlformats.org/markup-compatibility/2006">
          <mc:Choice Requires="x14">
            <control shapeId="1250" r:id="rId91" name="coins_pc2">
              <controlPr locked="0" defaultSize="0" autoFill="0" autoLine="0" autoPict="0">
                <anchor moveWithCells="1">
                  <from>
                    <xdr:col>6</xdr:col>
                    <xdr:colOff>495300</xdr:colOff>
                    <xdr:row>19</xdr:row>
                    <xdr:rowOff>177800</xdr:rowOff>
                  </from>
                  <to>
                    <xdr:col>6</xdr:col>
                    <xdr:colOff>1003300</xdr:colOff>
                    <xdr:row>19</xdr:row>
                    <xdr:rowOff>520700</xdr:rowOff>
                  </to>
                </anchor>
              </controlPr>
            </control>
          </mc:Choice>
          <mc:Fallback/>
        </mc:AlternateContent>
        <mc:AlternateContent xmlns:mc="http://schemas.openxmlformats.org/markup-compatibility/2006">
          <mc:Choice Requires="x14">
            <control shapeId="1251" r:id="rId92" name="coins_psy2">
              <controlPr locked="0" defaultSize="0" autoFill="0" autoLine="0" autoPict="0">
                <anchor moveWithCells="1">
                  <from>
                    <xdr:col>6</xdr:col>
                    <xdr:colOff>495300</xdr:colOff>
                    <xdr:row>21</xdr:row>
                    <xdr:rowOff>177800</xdr:rowOff>
                  </from>
                  <to>
                    <xdr:col>6</xdr:col>
                    <xdr:colOff>1003300</xdr:colOff>
                    <xdr:row>21</xdr:row>
                    <xdr:rowOff>520700</xdr:rowOff>
                  </to>
                </anchor>
              </controlPr>
            </control>
          </mc:Choice>
          <mc:Fallback/>
        </mc:AlternateContent>
        <mc:AlternateContent xmlns:mc="http://schemas.openxmlformats.org/markup-compatibility/2006">
          <mc:Choice Requires="x14">
            <control shapeId="1252" r:id="rId93" name="coins_pvis2">
              <controlPr locked="0" defaultSize="0" autoFill="0" autoLine="0" autoPict="0">
                <anchor moveWithCells="1">
                  <from>
                    <xdr:col>12</xdr:col>
                    <xdr:colOff>50800</xdr:colOff>
                    <xdr:row>15</xdr:row>
                    <xdr:rowOff>393700</xdr:rowOff>
                  </from>
                  <to>
                    <xdr:col>12</xdr:col>
                    <xdr:colOff>558800</xdr:colOff>
                    <xdr:row>16</xdr:row>
                    <xdr:rowOff>127000</xdr:rowOff>
                  </to>
                </anchor>
              </controlPr>
            </control>
          </mc:Choice>
          <mc:Fallback/>
        </mc:AlternateContent>
        <mc:AlternateContent xmlns:mc="http://schemas.openxmlformats.org/markup-compatibility/2006">
          <mc:Choice Requires="x14">
            <control shapeId="1253" r:id="rId94" name="coins_abu2">
              <controlPr locked="0" defaultSize="0" autoFill="0" autoLine="0" autoPict="0">
                <anchor moveWithCells="1">
                  <from>
                    <xdr:col>12</xdr:col>
                    <xdr:colOff>114300</xdr:colOff>
                    <xdr:row>14</xdr:row>
                    <xdr:rowOff>241300</xdr:rowOff>
                  </from>
                  <to>
                    <xdr:col>12</xdr:col>
                    <xdr:colOff>622300</xdr:colOff>
                    <xdr:row>15</xdr:row>
                    <xdr:rowOff>254000</xdr:rowOff>
                  </to>
                </anchor>
              </controlPr>
            </control>
          </mc:Choice>
          <mc:Fallback/>
        </mc:AlternateContent>
        <mc:AlternateContent xmlns:mc="http://schemas.openxmlformats.org/markup-compatibility/2006">
          <mc:Choice Requires="x14">
            <control shapeId="1254" r:id="rId95" name="coins_img2">
              <controlPr locked="0" defaultSize="0" autoFill="0" autoLine="0" autoPict="0">
                <anchor moveWithCells="1">
                  <from>
                    <xdr:col>6</xdr:col>
                    <xdr:colOff>495300</xdr:colOff>
                    <xdr:row>22</xdr:row>
                    <xdr:rowOff>12700</xdr:rowOff>
                  </from>
                  <to>
                    <xdr:col>6</xdr:col>
                    <xdr:colOff>1003300</xdr:colOff>
                    <xdr:row>24</xdr:row>
                    <xdr:rowOff>12700</xdr:rowOff>
                  </to>
                </anchor>
              </controlPr>
            </control>
          </mc:Choice>
          <mc:Fallback/>
        </mc:AlternateContent>
        <mc:AlternateContent xmlns:mc="http://schemas.openxmlformats.org/markup-compatibility/2006">
          <mc:Choice Requires="x14">
            <control shapeId="1255" r:id="rId96" name="coins_pden2">
              <controlPr locked="0" defaultSize="0" autoFill="0" autoLine="0" autoPict="0">
                <anchor moveWithCells="1">
                  <from>
                    <xdr:col>6</xdr:col>
                    <xdr:colOff>495300</xdr:colOff>
                    <xdr:row>24</xdr:row>
                    <xdr:rowOff>0</xdr:rowOff>
                  </from>
                  <to>
                    <xdr:col>6</xdr:col>
                    <xdr:colOff>1003300</xdr:colOff>
                    <xdr:row>27</xdr:row>
                    <xdr:rowOff>50800</xdr:rowOff>
                  </to>
                </anchor>
              </controlPr>
            </control>
          </mc:Choice>
          <mc:Fallback/>
        </mc:AlternateContent>
        <mc:AlternateContent xmlns:mc="http://schemas.openxmlformats.org/markup-compatibility/2006">
          <mc:Choice Requires="x14">
            <control shapeId="1256" r:id="rId97" name="coins_pt2">
              <controlPr locked="0" defaultSize="0" autoFill="0" autoLine="0" autoPict="0">
                <anchor moveWithCells="1">
                  <from>
                    <xdr:col>6</xdr:col>
                    <xdr:colOff>495300</xdr:colOff>
                    <xdr:row>27</xdr:row>
                    <xdr:rowOff>0</xdr:rowOff>
                  </from>
                  <to>
                    <xdr:col>6</xdr:col>
                    <xdr:colOff>1003300</xdr:colOff>
                    <xdr:row>27</xdr:row>
                    <xdr:rowOff>368300</xdr:rowOff>
                  </to>
                </anchor>
              </controlPr>
            </control>
          </mc:Choice>
          <mc:Fallback/>
        </mc:AlternateContent>
        <mc:AlternateContent xmlns:mc="http://schemas.openxmlformats.org/markup-compatibility/2006">
          <mc:Choice Requires="x14">
            <control shapeId="1257" r:id="rId98" name="coins_st2">
              <controlPr locked="0" defaultSize="0" autoFill="0" autoLine="0" autoPict="0">
                <anchor moveWithCells="1">
                  <from>
                    <xdr:col>6</xdr:col>
                    <xdr:colOff>495300</xdr:colOff>
                    <xdr:row>24</xdr:row>
                    <xdr:rowOff>0</xdr:rowOff>
                  </from>
                  <to>
                    <xdr:col>6</xdr:col>
                    <xdr:colOff>1003300</xdr:colOff>
                    <xdr:row>27</xdr:row>
                    <xdr:rowOff>50800</xdr:rowOff>
                  </to>
                </anchor>
              </controlPr>
            </control>
          </mc:Choice>
          <mc:Fallback/>
        </mc:AlternateContent>
        <mc:AlternateContent xmlns:mc="http://schemas.openxmlformats.org/markup-compatibility/2006">
          <mc:Choice Requires="x14">
            <control shapeId="1258" r:id="rId99" name="coins_ot2">
              <controlPr locked="0" defaultSize="0" autoFill="0" autoLine="0" autoPict="0">
                <anchor moveWithCells="1">
                  <from>
                    <xdr:col>6</xdr:col>
                    <xdr:colOff>495300</xdr:colOff>
                    <xdr:row>27</xdr:row>
                    <xdr:rowOff>114300</xdr:rowOff>
                  </from>
                  <to>
                    <xdr:col>6</xdr:col>
                    <xdr:colOff>1003300</xdr:colOff>
                    <xdr:row>27</xdr:row>
                    <xdr:rowOff>482600</xdr:rowOff>
                  </to>
                </anchor>
              </controlPr>
            </control>
          </mc:Choice>
          <mc:Fallback/>
        </mc:AlternateContent>
        <mc:AlternateContent xmlns:mc="http://schemas.openxmlformats.org/markup-compatibility/2006">
          <mc:Choice Requires="x14">
            <control shapeId="1259" r:id="rId100" name="coins_wb2">
              <controlPr locked="0" defaultSize="0" autoFill="0" autoLine="0" autoPict="0">
                <anchor moveWithCells="1">
                  <from>
                    <xdr:col>6</xdr:col>
                    <xdr:colOff>495300</xdr:colOff>
                    <xdr:row>28</xdr:row>
                    <xdr:rowOff>0</xdr:rowOff>
                  </from>
                  <to>
                    <xdr:col>6</xdr:col>
                    <xdr:colOff>1003300</xdr:colOff>
                    <xdr:row>31</xdr:row>
                    <xdr:rowOff>38100</xdr:rowOff>
                  </to>
                </anchor>
              </controlPr>
            </control>
          </mc:Choice>
          <mc:Fallback/>
        </mc:AlternateContent>
        <mc:AlternateContent xmlns:mc="http://schemas.openxmlformats.org/markup-compatibility/2006">
          <mc:Choice Requires="x14">
            <control shapeId="1260" r:id="rId101" name="coins_xray2">
              <controlPr locked="0" defaultSize="0" autoFill="0" autoLine="0" autoPict="0">
                <anchor moveWithCells="1">
                  <from>
                    <xdr:col>6</xdr:col>
                    <xdr:colOff>495300</xdr:colOff>
                    <xdr:row>32</xdr:row>
                    <xdr:rowOff>0</xdr:rowOff>
                  </from>
                  <to>
                    <xdr:col>6</xdr:col>
                    <xdr:colOff>1003300</xdr:colOff>
                    <xdr:row>33</xdr:row>
                    <xdr:rowOff>12700</xdr:rowOff>
                  </to>
                </anchor>
              </controlPr>
            </control>
          </mc:Choice>
          <mc:Fallback/>
        </mc:AlternateContent>
        <mc:AlternateContent xmlns:mc="http://schemas.openxmlformats.org/markup-compatibility/2006">
          <mc:Choice Requires="x14">
            <control shapeId="1261" r:id="rId102" name="coins_prev2">
              <controlPr defaultSize="0" autoFill="0" autoLine="0" autoPict="0" macro="[0]!coins_prev_Click">
                <anchor moveWithCells="1">
                  <from>
                    <xdr:col>6</xdr:col>
                    <xdr:colOff>495300</xdr:colOff>
                    <xdr:row>28</xdr:row>
                    <xdr:rowOff>0</xdr:rowOff>
                  </from>
                  <to>
                    <xdr:col>6</xdr:col>
                    <xdr:colOff>1003300</xdr:colOff>
                    <xdr:row>31</xdr:row>
                    <xdr:rowOff>38100</xdr:rowOff>
                  </to>
                </anchor>
              </controlPr>
            </control>
          </mc:Choice>
          <mc:Fallback/>
        </mc:AlternateContent>
        <mc:AlternateContent xmlns:mc="http://schemas.openxmlformats.org/markup-compatibility/2006">
          <mc:Choice Requires="x14">
            <control shapeId="1262" r:id="rId103" name="coins_lab2">
              <controlPr locked="0" defaultSize="0" autoFill="0" autoLine="0" autoPict="0">
                <anchor moveWithCells="1">
                  <from>
                    <xdr:col>6</xdr:col>
                    <xdr:colOff>495300</xdr:colOff>
                    <xdr:row>31</xdr:row>
                    <xdr:rowOff>0</xdr:rowOff>
                  </from>
                  <to>
                    <xdr:col>6</xdr:col>
                    <xdr:colOff>1003300</xdr:colOff>
                    <xdr:row>32</xdr:row>
                    <xdr:rowOff>12700</xdr:rowOff>
                  </to>
                </anchor>
              </controlPr>
            </control>
          </mc:Choice>
          <mc:Fallback/>
        </mc:AlternateContent>
        <mc:AlternateContent xmlns:mc="http://schemas.openxmlformats.org/markup-compatibility/2006">
          <mc:Choice Requires="x14">
            <control shapeId="1263" r:id="rId104" name="coins_opprof2">
              <controlPr locked="0" defaultSize="0" autoFill="0" autoLine="0" autoPict="0">
                <anchor moveWithCells="1">
                  <from>
                    <xdr:col>6</xdr:col>
                    <xdr:colOff>495300</xdr:colOff>
                    <xdr:row>34</xdr:row>
                    <xdr:rowOff>584200</xdr:rowOff>
                  </from>
                  <to>
                    <xdr:col>6</xdr:col>
                    <xdr:colOff>1003300</xdr:colOff>
                    <xdr:row>36</xdr:row>
                    <xdr:rowOff>0</xdr:rowOff>
                  </to>
                </anchor>
              </controlPr>
            </control>
          </mc:Choice>
          <mc:Fallback/>
        </mc:AlternateContent>
        <mc:AlternateContent xmlns:mc="http://schemas.openxmlformats.org/markup-compatibility/2006">
          <mc:Choice Requires="x14">
            <control shapeId="1264" r:id="rId105" name="coins_snf2">
              <controlPr locked="0" defaultSize="0" autoFill="0" autoLine="0" autoPict="0">
                <anchor moveWithCells="1">
                  <from>
                    <xdr:col>6</xdr:col>
                    <xdr:colOff>495300</xdr:colOff>
                    <xdr:row>33</xdr:row>
                    <xdr:rowOff>0</xdr:rowOff>
                  </from>
                  <to>
                    <xdr:col>6</xdr:col>
                    <xdr:colOff>1003300</xdr:colOff>
                    <xdr:row>34</xdr:row>
                    <xdr:rowOff>12700</xdr:rowOff>
                  </to>
                </anchor>
              </controlPr>
            </control>
          </mc:Choice>
          <mc:Fallback/>
        </mc:AlternateContent>
        <mc:AlternateContent xmlns:mc="http://schemas.openxmlformats.org/markup-compatibility/2006">
          <mc:Choice Requires="x14">
            <control shapeId="1265" r:id="rId106" name="coins_opfac2">
              <controlPr locked="0" defaultSize="0" autoFill="0" autoLine="0" autoPict="0">
                <anchor moveWithCells="1">
                  <from>
                    <xdr:col>6</xdr:col>
                    <xdr:colOff>495300</xdr:colOff>
                    <xdr:row>34</xdr:row>
                    <xdr:rowOff>127000</xdr:rowOff>
                  </from>
                  <to>
                    <xdr:col>6</xdr:col>
                    <xdr:colOff>1003300</xdr:colOff>
                    <xdr:row>34</xdr:row>
                    <xdr:rowOff>495300</xdr:rowOff>
                  </to>
                </anchor>
              </controlPr>
            </control>
          </mc:Choice>
          <mc:Fallback/>
        </mc:AlternateContent>
        <mc:AlternateContent xmlns:mc="http://schemas.openxmlformats.org/markup-compatibility/2006">
          <mc:Choice Requires="x14">
            <control shapeId="1266" r:id="rId107" name="coins_rx_all2">
              <controlPr locked="0" defaultSize="0" autoFill="0" autoLine="0" autoPict="0" macro="[0]!coins_rx_all_Click2">
                <anchor moveWithCells="1">
                  <from>
                    <xdr:col>6</xdr:col>
                    <xdr:colOff>495300</xdr:colOff>
                    <xdr:row>35</xdr:row>
                    <xdr:rowOff>304800</xdr:rowOff>
                  </from>
                  <to>
                    <xdr:col>6</xdr:col>
                    <xdr:colOff>1003300</xdr:colOff>
                    <xdr:row>37</xdr:row>
                    <xdr:rowOff>12700</xdr:rowOff>
                  </to>
                </anchor>
              </controlPr>
            </control>
          </mc:Choice>
          <mc:Fallback/>
        </mc:AlternateContent>
        <mc:AlternateContent xmlns:mc="http://schemas.openxmlformats.org/markup-compatibility/2006">
          <mc:Choice Requires="x14">
            <control shapeId="1267" r:id="rId108" name="coins_rxgen2">
              <controlPr locked="0" defaultSize="0" autoFill="0" autoLine="0" autoPict="0">
                <anchor moveWithCells="1">
                  <from>
                    <xdr:col>6</xdr:col>
                    <xdr:colOff>495300</xdr:colOff>
                    <xdr:row>37</xdr:row>
                    <xdr:rowOff>0</xdr:rowOff>
                  </from>
                  <to>
                    <xdr:col>6</xdr:col>
                    <xdr:colOff>1003300</xdr:colOff>
                    <xdr:row>38</xdr:row>
                    <xdr:rowOff>12700</xdr:rowOff>
                  </to>
                </anchor>
              </controlPr>
            </control>
          </mc:Choice>
          <mc:Fallback/>
        </mc:AlternateContent>
        <mc:AlternateContent xmlns:mc="http://schemas.openxmlformats.org/markup-compatibility/2006">
          <mc:Choice Requires="x14">
            <control shapeId="1268" r:id="rId109" name="coins_rxform2">
              <controlPr locked="0" defaultSize="0" autoFill="0" autoLine="0" autoPict="0">
                <anchor moveWithCells="1">
                  <from>
                    <xdr:col>6</xdr:col>
                    <xdr:colOff>495300</xdr:colOff>
                    <xdr:row>38</xdr:row>
                    <xdr:rowOff>0</xdr:rowOff>
                  </from>
                  <to>
                    <xdr:col>6</xdr:col>
                    <xdr:colOff>1003300</xdr:colOff>
                    <xdr:row>39</xdr:row>
                    <xdr:rowOff>12700</xdr:rowOff>
                  </to>
                </anchor>
              </controlPr>
            </control>
          </mc:Choice>
          <mc:Fallback/>
        </mc:AlternateContent>
        <mc:AlternateContent xmlns:mc="http://schemas.openxmlformats.org/markup-compatibility/2006">
          <mc:Choice Requires="x14">
            <control shapeId="1269" r:id="rId110" name="coins_rxnonform2">
              <controlPr locked="0" defaultSize="0" autoFill="0" autoLine="0" autoPict="0">
                <anchor moveWithCells="1">
                  <from>
                    <xdr:col>6</xdr:col>
                    <xdr:colOff>495300</xdr:colOff>
                    <xdr:row>39</xdr:row>
                    <xdr:rowOff>0</xdr:rowOff>
                  </from>
                  <to>
                    <xdr:col>6</xdr:col>
                    <xdr:colOff>1003300</xdr:colOff>
                    <xdr:row>40</xdr:row>
                    <xdr:rowOff>12700</xdr:rowOff>
                  </to>
                </anchor>
              </controlPr>
            </control>
          </mc:Choice>
          <mc:Fallback/>
        </mc:AlternateContent>
        <mc:AlternateContent xmlns:mc="http://schemas.openxmlformats.org/markup-compatibility/2006">
          <mc:Choice Requires="x14">
            <control shapeId="1270" r:id="rId111" name="coins_rxspclty2">
              <controlPr locked="0" defaultSize="0" autoFill="0" autoLine="0" autoPict="0">
                <anchor moveWithCells="1">
                  <from>
                    <xdr:col>6</xdr:col>
                    <xdr:colOff>495300</xdr:colOff>
                    <xdr:row>40</xdr:row>
                    <xdr:rowOff>0</xdr:rowOff>
                  </from>
                  <to>
                    <xdr:col>6</xdr:col>
                    <xdr:colOff>1003300</xdr:colOff>
                    <xdr:row>41</xdr:row>
                    <xdr:rowOff>0</xdr:rowOff>
                  </to>
                </anchor>
              </controlPr>
            </control>
          </mc:Choice>
          <mc:Fallback/>
        </mc:AlternateContent>
        <mc:AlternateContent xmlns:mc="http://schemas.openxmlformats.org/markup-compatibility/2006">
          <mc:Choice Requires="x14">
            <control shapeId="1271" r:id="rId112" name="ded_rxmain2">
              <controlPr locked="0" defaultSize="0" autoFill="0" autoLine="0" autoPict="0">
                <anchor moveWithCells="1">
                  <from>
                    <xdr:col>5</xdr:col>
                    <xdr:colOff>444500</xdr:colOff>
                    <xdr:row>40</xdr:row>
                    <xdr:rowOff>304800</xdr:rowOff>
                  </from>
                  <to>
                    <xdr:col>5</xdr:col>
                    <xdr:colOff>952500</xdr:colOff>
                    <xdr:row>43</xdr:row>
                    <xdr:rowOff>0</xdr:rowOff>
                  </to>
                </anchor>
              </controlPr>
            </control>
          </mc:Choice>
          <mc:Fallback/>
        </mc:AlternateContent>
        <mc:AlternateContent xmlns:mc="http://schemas.openxmlformats.org/markup-compatibility/2006">
          <mc:Choice Requires="x14">
            <control shapeId="1272" r:id="rId113" name="coins_rxmain2">
              <controlPr locked="0" defaultSize="0" autoFill="0" autoLine="0" autoPict="0">
                <anchor moveWithCells="1">
                  <from>
                    <xdr:col>6</xdr:col>
                    <xdr:colOff>495300</xdr:colOff>
                    <xdr:row>40</xdr:row>
                    <xdr:rowOff>304800</xdr:rowOff>
                  </from>
                  <to>
                    <xdr:col>6</xdr:col>
                    <xdr:colOff>1003300</xdr:colOff>
                    <xdr:row>43</xdr:row>
                    <xdr:rowOff>0</xdr:rowOff>
                  </to>
                </anchor>
              </controlPr>
            </control>
          </mc:Choice>
          <mc:Fallback/>
        </mc:AlternateContent>
        <mc:AlternateContent xmlns:mc="http://schemas.openxmlformats.org/markup-compatibility/2006">
          <mc:Choice Requires="x14">
            <control shapeId="1275" r:id="rId114" name="Checkbox_Sep">
              <controlPr defaultSize="0" autoFill="0" autoLine="0" autoPict="0" macro="[0]!Checkbox_Sep_Click">
                <anchor moveWithCells="1">
                  <from>
                    <xdr:col>1</xdr:col>
                    <xdr:colOff>317500</xdr:colOff>
                    <xdr:row>4</xdr:row>
                    <xdr:rowOff>0</xdr:rowOff>
                  </from>
                  <to>
                    <xdr:col>2</xdr:col>
                    <xdr:colOff>114300</xdr:colOff>
                    <xdr:row>5</xdr:row>
                    <xdr:rowOff>0</xdr:rowOff>
                  </to>
                </anchor>
              </controlPr>
            </control>
          </mc:Choice>
          <mc:Fallback/>
        </mc:AlternateContent>
        <mc:AlternateContent xmlns:mc="http://schemas.openxmlformats.org/markup-compatibility/2006">
          <mc:Choice Requires="x14">
            <control shapeId="1276" r:id="rId115" name="lesser_of">
              <controlPr locked="0" defaultSize="0" autoFill="0" autoLine="0" autoPict="0">
                <anchor moveWithCells="1">
                  <from>
                    <xdr:col>1</xdr:col>
                    <xdr:colOff>127000</xdr:colOff>
                    <xdr:row>43</xdr:row>
                    <xdr:rowOff>0</xdr:rowOff>
                  </from>
                  <to>
                    <xdr:col>1</xdr:col>
                    <xdr:colOff>635000</xdr:colOff>
                    <xdr:row>45</xdr:row>
                    <xdr:rowOff>12700</xdr:rowOff>
                  </to>
                </anchor>
              </controlPr>
            </control>
          </mc:Choice>
          <mc:Fallback/>
        </mc:AlternateContent>
        <mc:AlternateContent xmlns:mc="http://schemas.openxmlformats.org/markup-compatibility/2006">
          <mc:Choice Requires="x14">
            <control shapeId="1277" r:id="rId116" name="specrx_lesser_of">
              <controlPr locked="0" defaultSize="0" autoFill="0" autoLine="0" autoPict="0">
                <anchor moveWithCells="1">
                  <from>
                    <xdr:col>1</xdr:col>
                    <xdr:colOff>127000</xdr:colOff>
                    <xdr:row>43</xdr:row>
                    <xdr:rowOff>0</xdr:rowOff>
                  </from>
                  <to>
                    <xdr:col>1</xdr:col>
                    <xdr:colOff>635000</xdr:colOff>
                    <xdr:row>45</xdr:row>
                    <xdr:rowOff>38100</xdr:rowOff>
                  </to>
                </anchor>
              </controlPr>
            </control>
          </mc:Choice>
          <mc:Fallback/>
        </mc:AlternateContent>
        <mc:AlternateContent xmlns:mc="http://schemas.openxmlformats.org/markup-compatibility/2006">
          <mc:Choice Requires="x14">
            <control shapeId="1278" r:id="rId117" name="ip_copay_limit">
              <controlPr locked="0" defaultSize="0" autoFill="0" autoLine="0" autoPict="0">
                <anchor moveWithCells="1">
                  <from>
                    <xdr:col>1</xdr:col>
                    <xdr:colOff>127000</xdr:colOff>
                    <xdr:row>46</xdr:row>
                    <xdr:rowOff>0</xdr:rowOff>
                  </from>
                  <to>
                    <xdr:col>1</xdr:col>
                    <xdr:colOff>635000</xdr:colOff>
                    <xdr:row>47</xdr:row>
                    <xdr:rowOff>12700</xdr:rowOff>
                  </to>
                </anchor>
              </controlPr>
            </control>
          </mc:Choice>
          <mc:Fallback/>
        </mc:AlternateContent>
        <mc:AlternateContent xmlns:mc="http://schemas.openxmlformats.org/markup-compatibility/2006">
          <mc:Choice Requires="x14">
            <control shapeId="1279" r:id="rId118" name="ofv_limit">
              <controlPr locked="0" defaultSize="0" autoFill="0" autoLine="0" autoPict="0">
                <anchor moveWithCells="1">
                  <from>
                    <xdr:col>1</xdr:col>
                    <xdr:colOff>127000</xdr:colOff>
                    <xdr:row>48</xdr:row>
                    <xdr:rowOff>0</xdr:rowOff>
                  </from>
                  <to>
                    <xdr:col>1</xdr:col>
                    <xdr:colOff>635000</xdr:colOff>
                    <xdr:row>49</xdr:row>
                    <xdr:rowOff>38100</xdr:rowOff>
                  </to>
                </anchor>
              </controlPr>
            </control>
          </mc:Choice>
          <mc:Fallback/>
        </mc:AlternateContent>
        <mc:AlternateContent xmlns:mc="http://schemas.openxmlformats.org/markup-compatibility/2006">
          <mc:Choice Requires="x14">
            <control shapeId="1282" r:id="rId119" name="ofv_copay_limit">
              <controlPr locked="0" defaultSize="0" autoFill="0" autoLine="0" autoPict="0">
                <anchor moveWithCells="1">
                  <from>
                    <xdr:col>1</xdr:col>
                    <xdr:colOff>127000</xdr:colOff>
                    <xdr:row>50</xdr:row>
                    <xdr:rowOff>0</xdr:rowOff>
                  </from>
                  <to>
                    <xdr:col>1</xdr:col>
                    <xdr:colOff>635000</xdr:colOff>
                    <xdr:row>50</xdr:row>
                    <xdr:rowOff>355600</xdr:rowOff>
                  </to>
                </anchor>
              </controlPr>
            </control>
          </mc:Choice>
          <mc:Fallback/>
        </mc:AlternateContent>
        <mc:AlternateContent xmlns:mc="http://schemas.openxmlformats.org/markup-compatibility/2006">
          <mc:Choice Requires="x14">
            <control shapeId="1283" r:id="rId120" name="omit_er">
              <controlPr locked="0" defaultSize="0" autoFill="0" autoLine="0" autoPict="0" macro="[0]!omit_er_Click">
                <anchor moveWithCells="1">
                  <from>
                    <xdr:col>10</xdr:col>
                    <xdr:colOff>330200</xdr:colOff>
                    <xdr:row>16</xdr:row>
                    <xdr:rowOff>304800</xdr:rowOff>
                  </from>
                  <to>
                    <xdr:col>10</xdr:col>
                    <xdr:colOff>838200</xdr:colOff>
                    <xdr:row>18</xdr:row>
                    <xdr:rowOff>12700</xdr:rowOff>
                  </to>
                </anchor>
              </controlPr>
            </control>
          </mc:Choice>
          <mc:Fallback/>
        </mc:AlternateContent>
        <mc:AlternateContent xmlns:mc="http://schemas.openxmlformats.org/markup-compatibility/2006">
          <mc:Choice Requires="x14">
            <control shapeId="1284" r:id="rId121" name="omit_sp">
              <controlPr locked="0" defaultSize="0" autoFill="0" autoLine="0" autoPict="0" macro="[0]!omit_sp_Click">
                <anchor moveWithCells="1">
                  <from>
                    <xdr:col>10</xdr:col>
                    <xdr:colOff>330200</xdr:colOff>
                    <xdr:row>19</xdr:row>
                    <xdr:rowOff>622300</xdr:rowOff>
                  </from>
                  <to>
                    <xdr:col>10</xdr:col>
                    <xdr:colOff>838200</xdr:colOff>
                    <xdr:row>21</xdr:row>
                    <xdr:rowOff>12700</xdr:rowOff>
                  </to>
                </anchor>
              </controlPr>
            </control>
          </mc:Choice>
          <mc:Fallback/>
        </mc:AlternateContent>
        <mc:AlternateContent xmlns:mc="http://schemas.openxmlformats.org/markup-compatibility/2006">
          <mc:Choice Requires="x14">
            <control shapeId="1285" r:id="rId122" name="omit_ip">
              <controlPr locked="0" defaultSize="0" autoFill="0" autoLine="0" autoPict="0" macro="[0]!omit_ip_Click">
                <anchor moveWithCells="1">
                  <from>
                    <xdr:col>10</xdr:col>
                    <xdr:colOff>330200</xdr:colOff>
                    <xdr:row>18</xdr:row>
                    <xdr:rowOff>0</xdr:rowOff>
                  </from>
                  <to>
                    <xdr:col>10</xdr:col>
                    <xdr:colOff>838200</xdr:colOff>
                    <xdr:row>19</xdr:row>
                    <xdr:rowOff>12700</xdr:rowOff>
                  </to>
                </anchor>
              </controlPr>
            </control>
          </mc:Choice>
          <mc:Fallback/>
        </mc:AlternateContent>
        <mc:AlternateContent xmlns:mc="http://schemas.openxmlformats.org/markup-compatibility/2006">
          <mc:Choice Requires="x14">
            <control shapeId="1286" r:id="rId123" name="omit_pc">
              <controlPr locked="0" defaultSize="0" autoFill="0" autoLine="0" autoPict="0" macro="[0]!omit_pc_Click">
                <anchor moveWithCells="1">
                  <from>
                    <xdr:col>10</xdr:col>
                    <xdr:colOff>330200</xdr:colOff>
                    <xdr:row>19</xdr:row>
                    <xdr:rowOff>177800</xdr:rowOff>
                  </from>
                  <to>
                    <xdr:col>10</xdr:col>
                    <xdr:colOff>838200</xdr:colOff>
                    <xdr:row>19</xdr:row>
                    <xdr:rowOff>520700</xdr:rowOff>
                  </to>
                </anchor>
              </controlPr>
            </control>
          </mc:Choice>
          <mc:Fallback/>
        </mc:AlternateContent>
        <mc:AlternateContent xmlns:mc="http://schemas.openxmlformats.org/markup-compatibility/2006">
          <mc:Choice Requires="x14">
            <control shapeId="1287" r:id="rId124" name="omit_psy">
              <controlPr locked="0" defaultSize="0" autoFill="0" autoLine="0" autoPict="0" macro="[0]!omit_psy_Click">
                <anchor moveWithCells="1">
                  <from>
                    <xdr:col>10</xdr:col>
                    <xdr:colOff>330200</xdr:colOff>
                    <xdr:row>21</xdr:row>
                    <xdr:rowOff>177800</xdr:rowOff>
                  </from>
                  <to>
                    <xdr:col>10</xdr:col>
                    <xdr:colOff>838200</xdr:colOff>
                    <xdr:row>21</xdr:row>
                    <xdr:rowOff>520700</xdr:rowOff>
                  </to>
                </anchor>
              </controlPr>
            </control>
          </mc:Choice>
          <mc:Fallback/>
        </mc:AlternateContent>
        <mc:AlternateContent xmlns:mc="http://schemas.openxmlformats.org/markup-compatibility/2006">
          <mc:Choice Requires="x14">
            <control shapeId="1288" r:id="rId125" name="omit_img">
              <controlPr locked="0" defaultSize="0" autoFill="0" autoLine="0" autoPict="0" macro="[0]!omit_img_Click">
                <anchor moveWithCells="1">
                  <from>
                    <xdr:col>10</xdr:col>
                    <xdr:colOff>330200</xdr:colOff>
                    <xdr:row>22</xdr:row>
                    <xdr:rowOff>12700</xdr:rowOff>
                  </from>
                  <to>
                    <xdr:col>10</xdr:col>
                    <xdr:colOff>838200</xdr:colOff>
                    <xdr:row>24</xdr:row>
                    <xdr:rowOff>12700</xdr:rowOff>
                  </to>
                </anchor>
              </controlPr>
            </control>
          </mc:Choice>
          <mc:Fallback/>
        </mc:AlternateContent>
        <mc:AlternateContent xmlns:mc="http://schemas.openxmlformats.org/markup-compatibility/2006">
          <mc:Choice Requires="x14">
            <control shapeId="1289" r:id="rId126" name="omit_st">
              <controlPr locked="0" defaultSize="0" autoFill="0" autoLine="0" autoPict="0" macro="[0]!omit_st_Click">
                <anchor moveWithCells="1">
                  <from>
                    <xdr:col>10</xdr:col>
                    <xdr:colOff>330200</xdr:colOff>
                    <xdr:row>24</xdr:row>
                    <xdr:rowOff>0</xdr:rowOff>
                  </from>
                  <to>
                    <xdr:col>10</xdr:col>
                    <xdr:colOff>838200</xdr:colOff>
                    <xdr:row>27</xdr:row>
                    <xdr:rowOff>50800</xdr:rowOff>
                  </to>
                </anchor>
              </controlPr>
            </control>
          </mc:Choice>
          <mc:Fallback/>
        </mc:AlternateContent>
        <mc:AlternateContent xmlns:mc="http://schemas.openxmlformats.org/markup-compatibility/2006">
          <mc:Choice Requires="x14">
            <control shapeId="1290" r:id="rId127" name="omit_ot">
              <controlPr locked="0" defaultSize="0" autoFill="0" autoLine="0" autoPict="0" macro="[0]!omit_ot_Click">
                <anchor moveWithCells="1">
                  <from>
                    <xdr:col>10</xdr:col>
                    <xdr:colOff>330200</xdr:colOff>
                    <xdr:row>27</xdr:row>
                    <xdr:rowOff>114300</xdr:rowOff>
                  </from>
                  <to>
                    <xdr:col>10</xdr:col>
                    <xdr:colOff>838200</xdr:colOff>
                    <xdr:row>27</xdr:row>
                    <xdr:rowOff>482600</xdr:rowOff>
                  </to>
                </anchor>
              </controlPr>
            </control>
          </mc:Choice>
          <mc:Fallback/>
        </mc:AlternateContent>
        <mc:AlternateContent xmlns:mc="http://schemas.openxmlformats.org/markup-compatibility/2006">
          <mc:Choice Requires="x14">
            <control shapeId="1291" r:id="rId128" name="omit_xray">
              <controlPr locked="0" defaultSize="0" autoFill="0" autoLine="0" autoPict="0" macro="[0]!omit_xray_Click">
                <anchor moveWithCells="1">
                  <from>
                    <xdr:col>10</xdr:col>
                    <xdr:colOff>330200</xdr:colOff>
                    <xdr:row>32</xdr:row>
                    <xdr:rowOff>0</xdr:rowOff>
                  </from>
                  <to>
                    <xdr:col>10</xdr:col>
                    <xdr:colOff>838200</xdr:colOff>
                    <xdr:row>33</xdr:row>
                    <xdr:rowOff>12700</xdr:rowOff>
                  </to>
                </anchor>
              </controlPr>
            </control>
          </mc:Choice>
          <mc:Fallback/>
        </mc:AlternateContent>
        <mc:AlternateContent xmlns:mc="http://schemas.openxmlformats.org/markup-compatibility/2006">
          <mc:Choice Requires="x14">
            <control shapeId="1293" r:id="rId129" name="omit_lab">
              <controlPr locked="0" defaultSize="0" autoFill="0" autoLine="0" autoPict="0" macro="[0]!omit_lab_Click">
                <anchor moveWithCells="1">
                  <from>
                    <xdr:col>10</xdr:col>
                    <xdr:colOff>330200</xdr:colOff>
                    <xdr:row>31</xdr:row>
                    <xdr:rowOff>0</xdr:rowOff>
                  </from>
                  <to>
                    <xdr:col>10</xdr:col>
                    <xdr:colOff>838200</xdr:colOff>
                    <xdr:row>32</xdr:row>
                    <xdr:rowOff>12700</xdr:rowOff>
                  </to>
                </anchor>
              </controlPr>
            </control>
          </mc:Choice>
          <mc:Fallback/>
        </mc:AlternateContent>
        <mc:AlternateContent xmlns:mc="http://schemas.openxmlformats.org/markup-compatibility/2006">
          <mc:Choice Requires="x14">
            <control shapeId="1294" r:id="rId130" name="omit_opprof">
              <controlPr locked="0" defaultSize="0" autoFill="0" autoLine="0" autoPict="0" macro="[0]!omit_opprof_Click">
                <anchor moveWithCells="1">
                  <from>
                    <xdr:col>10</xdr:col>
                    <xdr:colOff>330200</xdr:colOff>
                    <xdr:row>34</xdr:row>
                    <xdr:rowOff>584200</xdr:rowOff>
                  </from>
                  <to>
                    <xdr:col>10</xdr:col>
                    <xdr:colOff>838200</xdr:colOff>
                    <xdr:row>36</xdr:row>
                    <xdr:rowOff>0</xdr:rowOff>
                  </to>
                </anchor>
              </controlPr>
            </control>
          </mc:Choice>
          <mc:Fallback/>
        </mc:AlternateContent>
        <mc:AlternateContent xmlns:mc="http://schemas.openxmlformats.org/markup-compatibility/2006">
          <mc:Choice Requires="x14">
            <control shapeId="1295" r:id="rId131" name="omit_snf">
              <controlPr locked="0" defaultSize="0" autoFill="0" autoLine="0" autoPict="0" macro="[0]!omit_snf_Click">
                <anchor moveWithCells="1">
                  <from>
                    <xdr:col>10</xdr:col>
                    <xdr:colOff>330200</xdr:colOff>
                    <xdr:row>33</xdr:row>
                    <xdr:rowOff>0</xdr:rowOff>
                  </from>
                  <to>
                    <xdr:col>10</xdr:col>
                    <xdr:colOff>838200</xdr:colOff>
                    <xdr:row>34</xdr:row>
                    <xdr:rowOff>12700</xdr:rowOff>
                  </to>
                </anchor>
              </controlPr>
            </control>
          </mc:Choice>
          <mc:Fallback/>
        </mc:AlternateContent>
        <mc:AlternateContent xmlns:mc="http://schemas.openxmlformats.org/markup-compatibility/2006">
          <mc:Choice Requires="x14">
            <control shapeId="1296" r:id="rId132" name="omit_opfac">
              <controlPr locked="0" defaultSize="0" autoFill="0" autoLine="0" autoPict="0" macro="[0]!omit_opfac_Click">
                <anchor moveWithCells="1">
                  <from>
                    <xdr:col>10</xdr:col>
                    <xdr:colOff>330200</xdr:colOff>
                    <xdr:row>34</xdr:row>
                    <xdr:rowOff>127000</xdr:rowOff>
                  </from>
                  <to>
                    <xdr:col>10</xdr:col>
                    <xdr:colOff>838200</xdr:colOff>
                    <xdr:row>34</xdr:row>
                    <xdr:rowOff>495300</xdr:rowOff>
                  </to>
                </anchor>
              </controlPr>
            </control>
          </mc:Choice>
          <mc:Fallback/>
        </mc:AlternateContent>
        <mc:AlternateContent xmlns:mc="http://schemas.openxmlformats.org/markup-compatibility/2006">
          <mc:Choice Requires="x14">
            <control shapeId="1297" r:id="rId133" name="omit_rxgen">
              <controlPr locked="0" defaultSize="0" autoFill="0" autoLine="0" autoPict="0" macro="[0]!omit_rxgen_Click">
                <anchor moveWithCells="1">
                  <from>
                    <xdr:col>10</xdr:col>
                    <xdr:colOff>330200</xdr:colOff>
                    <xdr:row>37</xdr:row>
                    <xdr:rowOff>0</xdr:rowOff>
                  </from>
                  <to>
                    <xdr:col>10</xdr:col>
                    <xdr:colOff>838200</xdr:colOff>
                    <xdr:row>38</xdr:row>
                    <xdr:rowOff>12700</xdr:rowOff>
                  </to>
                </anchor>
              </controlPr>
            </control>
          </mc:Choice>
          <mc:Fallback/>
        </mc:AlternateContent>
        <mc:AlternateContent xmlns:mc="http://schemas.openxmlformats.org/markup-compatibility/2006">
          <mc:Choice Requires="x14">
            <control shapeId="1298" r:id="rId134" name="omit_rxform">
              <controlPr locked="0" defaultSize="0" autoFill="0" autoLine="0" autoPict="0" macro="[0]!omit_rxform_Click">
                <anchor moveWithCells="1">
                  <from>
                    <xdr:col>10</xdr:col>
                    <xdr:colOff>330200</xdr:colOff>
                    <xdr:row>38</xdr:row>
                    <xdr:rowOff>0</xdr:rowOff>
                  </from>
                  <to>
                    <xdr:col>10</xdr:col>
                    <xdr:colOff>838200</xdr:colOff>
                    <xdr:row>39</xdr:row>
                    <xdr:rowOff>12700</xdr:rowOff>
                  </to>
                </anchor>
              </controlPr>
            </control>
          </mc:Choice>
          <mc:Fallback/>
        </mc:AlternateContent>
        <mc:AlternateContent xmlns:mc="http://schemas.openxmlformats.org/markup-compatibility/2006">
          <mc:Choice Requires="x14">
            <control shapeId="1299" r:id="rId135" name="omit_rxnonform">
              <controlPr locked="0" defaultSize="0" autoFill="0" autoLine="0" autoPict="0" macro="[0]!omit_rxnonform_Click">
                <anchor moveWithCells="1">
                  <from>
                    <xdr:col>10</xdr:col>
                    <xdr:colOff>330200</xdr:colOff>
                    <xdr:row>39</xdr:row>
                    <xdr:rowOff>0</xdr:rowOff>
                  </from>
                  <to>
                    <xdr:col>10</xdr:col>
                    <xdr:colOff>838200</xdr:colOff>
                    <xdr:row>40</xdr:row>
                    <xdr:rowOff>12700</xdr:rowOff>
                  </to>
                </anchor>
              </controlPr>
            </control>
          </mc:Choice>
          <mc:Fallback/>
        </mc:AlternateContent>
        <mc:AlternateContent xmlns:mc="http://schemas.openxmlformats.org/markup-compatibility/2006">
          <mc:Choice Requires="x14">
            <control shapeId="1300" r:id="rId136" name="omit_rxspclty">
              <controlPr locked="0" defaultSize="0" autoFill="0" autoLine="0" autoPict="0" macro="[0]!omit_rxspclty_Click">
                <anchor moveWithCells="1">
                  <from>
                    <xdr:col>10</xdr:col>
                    <xdr:colOff>330200</xdr:colOff>
                    <xdr:row>40</xdr:row>
                    <xdr:rowOff>0</xdr:rowOff>
                  </from>
                  <to>
                    <xdr:col>10</xdr:col>
                    <xdr:colOff>838200</xdr:colOff>
                    <xdr:row>41</xdr:row>
                    <xdr:rowOff>0</xdr:rowOff>
                  </to>
                </anchor>
              </controlPr>
            </control>
          </mc:Choice>
          <mc:Fallback/>
        </mc:AlternateContent>
        <mc:AlternateContent xmlns:mc="http://schemas.openxmlformats.org/markup-compatibility/2006">
          <mc:Choice Requires="x14">
            <control shapeId="1301" r:id="rId137" name="omit_er2">
              <controlPr locked="0" defaultSize="0" autoFill="0" autoLine="0" autoPict="0" macro="[0]!omit_er_Click2">
                <anchor moveWithCells="1">
                  <from>
                    <xdr:col>11</xdr:col>
                    <xdr:colOff>330200</xdr:colOff>
                    <xdr:row>16</xdr:row>
                    <xdr:rowOff>304800</xdr:rowOff>
                  </from>
                  <to>
                    <xdr:col>11</xdr:col>
                    <xdr:colOff>838200</xdr:colOff>
                    <xdr:row>18</xdr:row>
                    <xdr:rowOff>12700</xdr:rowOff>
                  </to>
                </anchor>
              </controlPr>
            </control>
          </mc:Choice>
          <mc:Fallback/>
        </mc:AlternateContent>
        <mc:AlternateContent xmlns:mc="http://schemas.openxmlformats.org/markup-compatibility/2006">
          <mc:Choice Requires="x14">
            <control shapeId="1302" r:id="rId138" name="omit_sp2">
              <controlPr locked="0" defaultSize="0" autoFill="0" autoLine="0" autoPict="0" macro="[0]!omit_sp_Click2">
                <anchor moveWithCells="1">
                  <from>
                    <xdr:col>11</xdr:col>
                    <xdr:colOff>330200</xdr:colOff>
                    <xdr:row>19</xdr:row>
                    <xdr:rowOff>622300</xdr:rowOff>
                  </from>
                  <to>
                    <xdr:col>11</xdr:col>
                    <xdr:colOff>838200</xdr:colOff>
                    <xdr:row>21</xdr:row>
                    <xdr:rowOff>12700</xdr:rowOff>
                  </to>
                </anchor>
              </controlPr>
            </control>
          </mc:Choice>
          <mc:Fallback/>
        </mc:AlternateContent>
        <mc:AlternateContent xmlns:mc="http://schemas.openxmlformats.org/markup-compatibility/2006">
          <mc:Choice Requires="x14">
            <control shapeId="1303" r:id="rId139" name="omit_ip2">
              <controlPr locked="0" defaultSize="0" autoFill="0" autoLine="0" autoPict="0" macro="[0]!omit_ip_Click2">
                <anchor moveWithCells="1">
                  <from>
                    <xdr:col>11</xdr:col>
                    <xdr:colOff>330200</xdr:colOff>
                    <xdr:row>18</xdr:row>
                    <xdr:rowOff>0</xdr:rowOff>
                  </from>
                  <to>
                    <xdr:col>11</xdr:col>
                    <xdr:colOff>838200</xdr:colOff>
                    <xdr:row>19</xdr:row>
                    <xdr:rowOff>12700</xdr:rowOff>
                  </to>
                </anchor>
              </controlPr>
            </control>
          </mc:Choice>
          <mc:Fallback/>
        </mc:AlternateContent>
        <mc:AlternateContent xmlns:mc="http://schemas.openxmlformats.org/markup-compatibility/2006">
          <mc:Choice Requires="x14">
            <control shapeId="1304" r:id="rId140" name="omit_pc2">
              <controlPr locked="0" defaultSize="0" autoFill="0" autoLine="0" autoPict="0" macro="[0]!omit_pc_Click2">
                <anchor moveWithCells="1">
                  <from>
                    <xdr:col>11</xdr:col>
                    <xdr:colOff>330200</xdr:colOff>
                    <xdr:row>19</xdr:row>
                    <xdr:rowOff>177800</xdr:rowOff>
                  </from>
                  <to>
                    <xdr:col>11</xdr:col>
                    <xdr:colOff>838200</xdr:colOff>
                    <xdr:row>19</xdr:row>
                    <xdr:rowOff>520700</xdr:rowOff>
                  </to>
                </anchor>
              </controlPr>
            </control>
          </mc:Choice>
          <mc:Fallback/>
        </mc:AlternateContent>
        <mc:AlternateContent xmlns:mc="http://schemas.openxmlformats.org/markup-compatibility/2006">
          <mc:Choice Requires="x14">
            <control shapeId="1305" r:id="rId141" name="omit_psy2">
              <controlPr locked="0" defaultSize="0" autoFill="0" autoLine="0" autoPict="0" macro="[0]!omit_psy_Click2">
                <anchor moveWithCells="1">
                  <from>
                    <xdr:col>11</xdr:col>
                    <xdr:colOff>330200</xdr:colOff>
                    <xdr:row>21</xdr:row>
                    <xdr:rowOff>177800</xdr:rowOff>
                  </from>
                  <to>
                    <xdr:col>11</xdr:col>
                    <xdr:colOff>838200</xdr:colOff>
                    <xdr:row>21</xdr:row>
                    <xdr:rowOff>520700</xdr:rowOff>
                  </to>
                </anchor>
              </controlPr>
            </control>
          </mc:Choice>
          <mc:Fallback/>
        </mc:AlternateContent>
        <mc:AlternateContent xmlns:mc="http://schemas.openxmlformats.org/markup-compatibility/2006">
          <mc:Choice Requires="x14">
            <control shapeId="1306" r:id="rId142" name="omit_img2">
              <controlPr locked="0" defaultSize="0" autoFill="0" autoLine="0" autoPict="0" macro="[0]!omit_img_Click2">
                <anchor moveWithCells="1">
                  <from>
                    <xdr:col>11</xdr:col>
                    <xdr:colOff>330200</xdr:colOff>
                    <xdr:row>22</xdr:row>
                    <xdr:rowOff>12700</xdr:rowOff>
                  </from>
                  <to>
                    <xdr:col>11</xdr:col>
                    <xdr:colOff>838200</xdr:colOff>
                    <xdr:row>24</xdr:row>
                    <xdr:rowOff>12700</xdr:rowOff>
                  </to>
                </anchor>
              </controlPr>
            </control>
          </mc:Choice>
          <mc:Fallback/>
        </mc:AlternateContent>
        <mc:AlternateContent xmlns:mc="http://schemas.openxmlformats.org/markup-compatibility/2006">
          <mc:Choice Requires="x14">
            <control shapeId="1307" r:id="rId143" name="omit_st2">
              <controlPr locked="0" defaultSize="0" autoFill="0" autoLine="0" autoPict="0" macro="[0]!omit_st_Click2">
                <anchor moveWithCells="1">
                  <from>
                    <xdr:col>11</xdr:col>
                    <xdr:colOff>330200</xdr:colOff>
                    <xdr:row>24</xdr:row>
                    <xdr:rowOff>0</xdr:rowOff>
                  </from>
                  <to>
                    <xdr:col>11</xdr:col>
                    <xdr:colOff>838200</xdr:colOff>
                    <xdr:row>27</xdr:row>
                    <xdr:rowOff>50800</xdr:rowOff>
                  </to>
                </anchor>
              </controlPr>
            </control>
          </mc:Choice>
          <mc:Fallback/>
        </mc:AlternateContent>
        <mc:AlternateContent xmlns:mc="http://schemas.openxmlformats.org/markup-compatibility/2006">
          <mc:Choice Requires="x14">
            <control shapeId="1308" r:id="rId144" name="omit_ot2">
              <controlPr locked="0" defaultSize="0" autoFill="0" autoLine="0" autoPict="0" macro="[0]!omit_ot_Click2">
                <anchor moveWithCells="1">
                  <from>
                    <xdr:col>11</xdr:col>
                    <xdr:colOff>330200</xdr:colOff>
                    <xdr:row>27</xdr:row>
                    <xdr:rowOff>114300</xdr:rowOff>
                  </from>
                  <to>
                    <xdr:col>11</xdr:col>
                    <xdr:colOff>838200</xdr:colOff>
                    <xdr:row>27</xdr:row>
                    <xdr:rowOff>482600</xdr:rowOff>
                  </to>
                </anchor>
              </controlPr>
            </control>
          </mc:Choice>
          <mc:Fallback/>
        </mc:AlternateContent>
        <mc:AlternateContent xmlns:mc="http://schemas.openxmlformats.org/markup-compatibility/2006">
          <mc:Choice Requires="x14">
            <control shapeId="1309" r:id="rId145" name="omit_xray2">
              <controlPr locked="0" defaultSize="0" autoFill="0" autoLine="0" autoPict="0" macro="[0]!omit_xray_Click2">
                <anchor moveWithCells="1">
                  <from>
                    <xdr:col>11</xdr:col>
                    <xdr:colOff>330200</xdr:colOff>
                    <xdr:row>32</xdr:row>
                    <xdr:rowOff>0</xdr:rowOff>
                  </from>
                  <to>
                    <xdr:col>11</xdr:col>
                    <xdr:colOff>838200</xdr:colOff>
                    <xdr:row>33</xdr:row>
                    <xdr:rowOff>12700</xdr:rowOff>
                  </to>
                </anchor>
              </controlPr>
            </control>
          </mc:Choice>
          <mc:Fallback/>
        </mc:AlternateContent>
        <mc:AlternateContent xmlns:mc="http://schemas.openxmlformats.org/markup-compatibility/2006">
          <mc:Choice Requires="x14">
            <control shapeId="1311" r:id="rId146" name="omit_lab2">
              <controlPr locked="0" defaultSize="0" autoFill="0" autoLine="0" autoPict="0" macro="[0]!omit_lab_Click2">
                <anchor moveWithCells="1">
                  <from>
                    <xdr:col>11</xdr:col>
                    <xdr:colOff>330200</xdr:colOff>
                    <xdr:row>31</xdr:row>
                    <xdr:rowOff>0</xdr:rowOff>
                  </from>
                  <to>
                    <xdr:col>11</xdr:col>
                    <xdr:colOff>838200</xdr:colOff>
                    <xdr:row>32</xdr:row>
                    <xdr:rowOff>12700</xdr:rowOff>
                  </to>
                </anchor>
              </controlPr>
            </control>
          </mc:Choice>
          <mc:Fallback/>
        </mc:AlternateContent>
        <mc:AlternateContent xmlns:mc="http://schemas.openxmlformats.org/markup-compatibility/2006">
          <mc:Choice Requires="x14">
            <control shapeId="1312" r:id="rId147" name="omit_opprof2">
              <controlPr locked="0" defaultSize="0" autoFill="0" autoLine="0" autoPict="0" macro="[0]!omit_opprof_Click2">
                <anchor moveWithCells="1">
                  <from>
                    <xdr:col>11</xdr:col>
                    <xdr:colOff>330200</xdr:colOff>
                    <xdr:row>34</xdr:row>
                    <xdr:rowOff>584200</xdr:rowOff>
                  </from>
                  <to>
                    <xdr:col>11</xdr:col>
                    <xdr:colOff>838200</xdr:colOff>
                    <xdr:row>36</xdr:row>
                    <xdr:rowOff>0</xdr:rowOff>
                  </to>
                </anchor>
              </controlPr>
            </control>
          </mc:Choice>
          <mc:Fallback/>
        </mc:AlternateContent>
        <mc:AlternateContent xmlns:mc="http://schemas.openxmlformats.org/markup-compatibility/2006">
          <mc:Choice Requires="x14">
            <control shapeId="1313" r:id="rId148" name="omit_snf2">
              <controlPr locked="0" defaultSize="0" autoFill="0" autoLine="0" autoPict="0" macro="[0]!omit_snf_Click2">
                <anchor moveWithCells="1">
                  <from>
                    <xdr:col>11</xdr:col>
                    <xdr:colOff>330200</xdr:colOff>
                    <xdr:row>33</xdr:row>
                    <xdr:rowOff>0</xdr:rowOff>
                  </from>
                  <to>
                    <xdr:col>11</xdr:col>
                    <xdr:colOff>838200</xdr:colOff>
                    <xdr:row>34</xdr:row>
                    <xdr:rowOff>12700</xdr:rowOff>
                  </to>
                </anchor>
              </controlPr>
            </control>
          </mc:Choice>
          <mc:Fallback/>
        </mc:AlternateContent>
        <mc:AlternateContent xmlns:mc="http://schemas.openxmlformats.org/markup-compatibility/2006">
          <mc:Choice Requires="x14">
            <control shapeId="1314" r:id="rId149" name="omit_opfac2">
              <controlPr locked="0" defaultSize="0" autoFill="0" autoLine="0" autoPict="0" macro="[0]!omit_opfac_Click2">
                <anchor moveWithCells="1">
                  <from>
                    <xdr:col>11</xdr:col>
                    <xdr:colOff>330200</xdr:colOff>
                    <xdr:row>34</xdr:row>
                    <xdr:rowOff>127000</xdr:rowOff>
                  </from>
                  <to>
                    <xdr:col>11</xdr:col>
                    <xdr:colOff>838200</xdr:colOff>
                    <xdr:row>34</xdr:row>
                    <xdr:rowOff>495300</xdr:rowOff>
                  </to>
                </anchor>
              </controlPr>
            </control>
          </mc:Choice>
          <mc:Fallback/>
        </mc:AlternateContent>
        <mc:AlternateContent xmlns:mc="http://schemas.openxmlformats.org/markup-compatibility/2006">
          <mc:Choice Requires="x14">
            <control shapeId="1315" r:id="rId150" name="omit_rxgen2">
              <controlPr locked="0" defaultSize="0" autoFill="0" autoLine="0" autoPict="0" macro="[0]!omit_rxgen_Click2">
                <anchor moveWithCells="1">
                  <from>
                    <xdr:col>11</xdr:col>
                    <xdr:colOff>330200</xdr:colOff>
                    <xdr:row>37</xdr:row>
                    <xdr:rowOff>0</xdr:rowOff>
                  </from>
                  <to>
                    <xdr:col>11</xdr:col>
                    <xdr:colOff>838200</xdr:colOff>
                    <xdr:row>38</xdr:row>
                    <xdr:rowOff>12700</xdr:rowOff>
                  </to>
                </anchor>
              </controlPr>
            </control>
          </mc:Choice>
          <mc:Fallback/>
        </mc:AlternateContent>
        <mc:AlternateContent xmlns:mc="http://schemas.openxmlformats.org/markup-compatibility/2006">
          <mc:Choice Requires="x14">
            <control shapeId="1316" r:id="rId151" name="omit_rxform2">
              <controlPr locked="0" defaultSize="0" autoFill="0" autoLine="0" autoPict="0" macro="[0]!omit_rxform_Click2">
                <anchor moveWithCells="1">
                  <from>
                    <xdr:col>11</xdr:col>
                    <xdr:colOff>330200</xdr:colOff>
                    <xdr:row>38</xdr:row>
                    <xdr:rowOff>0</xdr:rowOff>
                  </from>
                  <to>
                    <xdr:col>11</xdr:col>
                    <xdr:colOff>838200</xdr:colOff>
                    <xdr:row>39</xdr:row>
                    <xdr:rowOff>12700</xdr:rowOff>
                  </to>
                </anchor>
              </controlPr>
            </control>
          </mc:Choice>
          <mc:Fallback/>
        </mc:AlternateContent>
        <mc:AlternateContent xmlns:mc="http://schemas.openxmlformats.org/markup-compatibility/2006">
          <mc:Choice Requires="x14">
            <control shapeId="1317" r:id="rId152" name="omit_rxnonform2">
              <controlPr locked="0" defaultSize="0" autoFill="0" autoLine="0" autoPict="0" macro="[0]!omit_rxnonform_Click2">
                <anchor moveWithCells="1">
                  <from>
                    <xdr:col>11</xdr:col>
                    <xdr:colOff>330200</xdr:colOff>
                    <xdr:row>39</xdr:row>
                    <xdr:rowOff>0</xdr:rowOff>
                  </from>
                  <to>
                    <xdr:col>11</xdr:col>
                    <xdr:colOff>838200</xdr:colOff>
                    <xdr:row>40</xdr:row>
                    <xdr:rowOff>12700</xdr:rowOff>
                  </to>
                </anchor>
              </controlPr>
            </control>
          </mc:Choice>
          <mc:Fallback/>
        </mc:AlternateContent>
        <mc:AlternateContent xmlns:mc="http://schemas.openxmlformats.org/markup-compatibility/2006">
          <mc:Choice Requires="x14">
            <control shapeId="1318" r:id="rId153" name="omit_rxspclty2">
              <controlPr locked="0" defaultSize="0" autoFill="0" autoLine="0" autoPict="0" macro="[0]!omit_rxspclty_Click2">
                <anchor moveWithCells="1">
                  <from>
                    <xdr:col>11</xdr:col>
                    <xdr:colOff>330200</xdr:colOff>
                    <xdr:row>40</xdr:row>
                    <xdr:rowOff>0</xdr:rowOff>
                  </from>
                  <to>
                    <xdr:col>11</xdr:col>
                    <xdr:colOff>838200</xdr:colOff>
                    <xdr:row>41</xdr:row>
                    <xdr:rowOff>0</xdr:rowOff>
                  </to>
                </anchor>
              </controlPr>
            </control>
          </mc:Choice>
          <mc:Fallback/>
        </mc:AlternateContent>
        <mc:AlternateContent xmlns:mc="http://schemas.openxmlformats.org/markup-compatibility/2006">
          <mc:Choice Requires="x14">
            <control shapeId="1319" r:id="rId154" name="omit_abu">
              <controlPr locked="0" defaultSize="0" autoFill="0" autoLine="0" autoPict="0">
                <anchor moveWithCells="1">
                  <from>
                    <xdr:col>13</xdr:col>
                    <xdr:colOff>330200</xdr:colOff>
                    <xdr:row>21</xdr:row>
                    <xdr:rowOff>177800</xdr:rowOff>
                  </from>
                  <to>
                    <xdr:col>13</xdr:col>
                    <xdr:colOff>838200</xdr:colOff>
                    <xdr:row>21</xdr:row>
                    <xdr:rowOff>520700</xdr:rowOff>
                  </to>
                </anchor>
              </controlPr>
            </control>
          </mc:Choice>
          <mc:Fallback/>
        </mc:AlternateContent>
        <mc:AlternateContent xmlns:mc="http://schemas.openxmlformats.org/markup-compatibility/2006">
          <mc:Choice Requires="x14">
            <control shapeId="1320" r:id="rId155" name="omit_abu2">
              <controlPr locked="0" defaultSize="0" autoFill="0" autoLine="0" autoPict="0">
                <anchor moveWithCells="1">
                  <from>
                    <xdr:col>14</xdr:col>
                    <xdr:colOff>457200</xdr:colOff>
                    <xdr:row>21</xdr:row>
                    <xdr:rowOff>177800</xdr:rowOff>
                  </from>
                  <to>
                    <xdr:col>14</xdr:col>
                    <xdr:colOff>965200</xdr:colOff>
                    <xdr:row>21</xdr:row>
                    <xdr:rowOff>520700</xdr:rowOff>
                  </to>
                </anchor>
              </controlPr>
            </control>
          </mc:Choice>
          <mc:Fallback/>
        </mc:AlternateContent>
        <mc:AlternateContent xmlns:mc="http://schemas.openxmlformats.org/markup-compatibility/2006">
          <mc:Choice Requires="x14">
            <control shapeId="1321" r:id="rId156" name="omit_pvis">
              <controlPr locked="0" defaultSize="0" autoFill="0" autoLine="0" autoPict="0">
                <anchor moveWithCells="1">
                  <from>
                    <xdr:col>13</xdr:col>
                    <xdr:colOff>330200</xdr:colOff>
                    <xdr:row>23</xdr:row>
                    <xdr:rowOff>177800</xdr:rowOff>
                  </from>
                  <to>
                    <xdr:col>13</xdr:col>
                    <xdr:colOff>838200</xdr:colOff>
                    <xdr:row>26</xdr:row>
                    <xdr:rowOff>203200</xdr:rowOff>
                  </to>
                </anchor>
              </controlPr>
            </control>
          </mc:Choice>
          <mc:Fallback/>
        </mc:AlternateContent>
        <mc:AlternateContent xmlns:mc="http://schemas.openxmlformats.org/markup-compatibility/2006">
          <mc:Choice Requires="x14">
            <control shapeId="1322" r:id="rId157" name="omit_pvis2">
              <controlPr locked="0" defaultSize="0" autoFill="0" autoLine="0" autoPict="0">
                <anchor moveWithCells="1">
                  <from>
                    <xdr:col>14</xdr:col>
                    <xdr:colOff>457200</xdr:colOff>
                    <xdr:row>23</xdr:row>
                    <xdr:rowOff>177800</xdr:rowOff>
                  </from>
                  <to>
                    <xdr:col>14</xdr:col>
                    <xdr:colOff>965200</xdr:colOff>
                    <xdr:row>26</xdr:row>
                    <xdr:rowOff>203200</xdr:rowOff>
                  </to>
                </anchor>
              </controlPr>
            </control>
          </mc:Choice>
          <mc:Fallback/>
        </mc:AlternateContent>
        <mc:AlternateContent xmlns:mc="http://schemas.openxmlformats.org/markup-compatibility/2006">
          <mc:Choice Requires="x14">
            <control shapeId="1323" r:id="rId158" name="omit_pden">
              <controlPr locked="0" defaultSize="0" autoFill="0" autoLine="0" autoPict="0">
                <anchor moveWithCells="1">
                  <from>
                    <xdr:col>13</xdr:col>
                    <xdr:colOff>330200</xdr:colOff>
                    <xdr:row>26</xdr:row>
                    <xdr:rowOff>101600</xdr:rowOff>
                  </from>
                  <to>
                    <xdr:col>13</xdr:col>
                    <xdr:colOff>838200</xdr:colOff>
                    <xdr:row>27</xdr:row>
                    <xdr:rowOff>127000</xdr:rowOff>
                  </to>
                </anchor>
              </controlPr>
            </control>
          </mc:Choice>
          <mc:Fallback/>
        </mc:AlternateContent>
        <mc:AlternateContent xmlns:mc="http://schemas.openxmlformats.org/markup-compatibility/2006">
          <mc:Choice Requires="x14">
            <control shapeId="1324" r:id="rId159" name="omit_pden2">
              <controlPr locked="0" defaultSize="0" autoFill="0" autoLine="0" autoPict="0">
                <anchor moveWithCells="1">
                  <from>
                    <xdr:col>14</xdr:col>
                    <xdr:colOff>457200</xdr:colOff>
                    <xdr:row>26</xdr:row>
                    <xdr:rowOff>101600</xdr:rowOff>
                  </from>
                  <to>
                    <xdr:col>14</xdr:col>
                    <xdr:colOff>965200</xdr:colOff>
                    <xdr:row>27</xdr:row>
                    <xdr:rowOff>127000</xdr:rowOff>
                  </to>
                </anchor>
              </controlPr>
            </control>
          </mc:Choice>
          <mc:Fallback/>
        </mc:AlternateContent>
        <mc:AlternateContent xmlns:mc="http://schemas.openxmlformats.org/markup-compatibility/2006">
          <mc:Choice Requires="x14">
            <control shapeId="1325" r:id="rId160" name="omit_pt">
              <controlPr locked="0" defaultSize="0" autoFill="0" autoLine="0" autoPict="0">
                <anchor moveWithCells="1">
                  <from>
                    <xdr:col>13</xdr:col>
                    <xdr:colOff>330200</xdr:colOff>
                    <xdr:row>27</xdr:row>
                    <xdr:rowOff>177800</xdr:rowOff>
                  </from>
                  <to>
                    <xdr:col>13</xdr:col>
                    <xdr:colOff>838200</xdr:colOff>
                    <xdr:row>27</xdr:row>
                    <xdr:rowOff>520700</xdr:rowOff>
                  </to>
                </anchor>
              </controlPr>
            </control>
          </mc:Choice>
          <mc:Fallback/>
        </mc:AlternateContent>
        <mc:AlternateContent xmlns:mc="http://schemas.openxmlformats.org/markup-compatibility/2006">
          <mc:Choice Requires="x14">
            <control shapeId="1326" r:id="rId161" name="omit_pt2">
              <controlPr locked="0" defaultSize="0" autoFill="0" autoLine="0" autoPict="0">
                <anchor moveWithCells="1">
                  <from>
                    <xdr:col>14</xdr:col>
                    <xdr:colOff>457200</xdr:colOff>
                    <xdr:row>27</xdr:row>
                    <xdr:rowOff>177800</xdr:rowOff>
                  </from>
                  <to>
                    <xdr:col>14</xdr:col>
                    <xdr:colOff>965200</xdr:colOff>
                    <xdr:row>27</xdr:row>
                    <xdr:rowOff>520700</xdr:rowOff>
                  </to>
                </anchor>
              </controlPr>
            </control>
          </mc:Choice>
          <mc:Fallback/>
        </mc:AlternateContent>
        <mc:AlternateContent xmlns:mc="http://schemas.openxmlformats.org/markup-compatibility/2006">
          <mc:Choice Requires="x14">
            <control shapeId="1327" r:id="rId162" name="omit_wb">
              <controlPr locked="0" defaultSize="0" autoFill="0" autoLine="0" autoPict="0">
                <anchor moveWithCells="1">
                  <from>
                    <xdr:col>13</xdr:col>
                    <xdr:colOff>330200</xdr:colOff>
                    <xdr:row>27</xdr:row>
                    <xdr:rowOff>419100</xdr:rowOff>
                  </from>
                  <to>
                    <xdr:col>13</xdr:col>
                    <xdr:colOff>838200</xdr:colOff>
                    <xdr:row>30</xdr:row>
                    <xdr:rowOff>127000</xdr:rowOff>
                  </to>
                </anchor>
              </controlPr>
            </control>
          </mc:Choice>
          <mc:Fallback/>
        </mc:AlternateContent>
        <mc:AlternateContent xmlns:mc="http://schemas.openxmlformats.org/markup-compatibility/2006">
          <mc:Choice Requires="x14">
            <control shapeId="1328" r:id="rId163" name="omit_wb2">
              <controlPr locked="0" defaultSize="0" autoFill="0" autoLine="0" autoPict="0">
                <anchor moveWithCells="1">
                  <from>
                    <xdr:col>14</xdr:col>
                    <xdr:colOff>457200</xdr:colOff>
                    <xdr:row>27</xdr:row>
                    <xdr:rowOff>419100</xdr:rowOff>
                  </from>
                  <to>
                    <xdr:col>14</xdr:col>
                    <xdr:colOff>965200</xdr:colOff>
                    <xdr:row>30</xdr:row>
                    <xdr:rowOff>127000</xdr:rowOff>
                  </to>
                </anchor>
              </controlPr>
            </control>
          </mc:Choice>
          <mc:Fallback/>
        </mc:AlternateContent>
        <mc:AlternateContent xmlns:mc="http://schemas.openxmlformats.org/markup-compatibility/2006">
          <mc:Choice Requires="x14">
            <control shapeId="1329" r:id="rId164" name="omit_prev">
              <controlPr locked="0" defaultSize="0" autoFill="0" autoLine="0" autoPict="0" macro="[0]!omit_prev_Click">
                <anchor moveWithCells="1">
                  <from>
                    <xdr:col>10</xdr:col>
                    <xdr:colOff>330200</xdr:colOff>
                    <xdr:row>27</xdr:row>
                    <xdr:rowOff>622300</xdr:rowOff>
                  </from>
                  <to>
                    <xdr:col>10</xdr:col>
                    <xdr:colOff>838200</xdr:colOff>
                    <xdr:row>31</xdr:row>
                    <xdr:rowOff>12700</xdr:rowOff>
                  </to>
                </anchor>
              </controlPr>
            </control>
          </mc:Choice>
          <mc:Fallback/>
        </mc:AlternateContent>
        <mc:AlternateContent xmlns:mc="http://schemas.openxmlformats.org/markup-compatibility/2006">
          <mc:Choice Requires="x14">
            <control shapeId="1330" r:id="rId165" name="omit_prev2">
              <controlPr locked="0" defaultSize="0" autoFill="0" autoLine="0" autoPict="0" macro="[0]!omit_prev_Click2">
                <anchor moveWithCells="1">
                  <from>
                    <xdr:col>11</xdr:col>
                    <xdr:colOff>330200</xdr:colOff>
                    <xdr:row>27</xdr:row>
                    <xdr:rowOff>622300</xdr:rowOff>
                  </from>
                  <to>
                    <xdr:col>11</xdr:col>
                    <xdr:colOff>838200</xdr:colOff>
                    <xdr:row>31</xdr:row>
                    <xdr:rowOff>12700</xdr:rowOff>
                  </to>
                </anchor>
              </controlPr>
            </control>
          </mc:Choice>
          <mc:Fallback/>
        </mc:AlternateContent>
        <mc:AlternateContent xmlns:mc="http://schemas.openxmlformats.org/markup-compatibility/2006">
          <mc:Choice Requires="x14">
            <control shapeId="1331" r:id="rId166" name="Checkbox_Grandfather">
              <controlPr defaultSize="0" autoFill="0" autoLine="0" autoPict="0" macro="[0]!Checkbox_Grandfather_click">
                <anchor moveWithCells="1">
                  <from>
                    <xdr:col>1</xdr:col>
                    <xdr:colOff>317500</xdr:colOff>
                    <xdr:row>5</xdr:row>
                    <xdr:rowOff>0</xdr:rowOff>
                  </from>
                  <to>
                    <xdr:col>2</xdr:col>
                    <xdr:colOff>114300</xdr:colOff>
                    <xdr:row>6</xdr:row>
                    <xdr:rowOff>12700</xdr:rowOff>
                  </to>
                </anchor>
              </controlPr>
            </control>
          </mc:Choice>
          <mc:Fallback/>
        </mc:AlternateContent>
      </controls>
    </mc:Choice>
    <mc:Fallback/>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enableFormatConditionsCalculation="0"/>
  <dimension ref="A1:D35"/>
  <sheetViews>
    <sheetView workbookViewId="0"/>
  </sheetViews>
  <sheetFormatPr baseColWidth="10" defaultColWidth="8.83203125" defaultRowHeight="15" x14ac:dyDescent="0.2"/>
  <cols>
    <col min="1" max="1" width="32.83203125" customWidth="1"/>
  </cols>
  <sheetData>
    <row r="1" spans="1:4" x14ac:dyDescent="0.2">
      <c r="A1" t="s">
        <v>1134</v>
      </c>
      <c r="B1" t="b">
        <f>'Add-In_Control'!J10</f>
        <v>1</v>
      </c>
      <c r="C1" t="s">
        <v>678</v>
      </c>
      <c r="D1">
        <f>B1*1</f>
        <v>1</v>
      </c>
    </row>
    <row r="2" spans="1:4" x14ac:dyDescent="0.2">
      <c r="A2" t="s">
        <v>953</v>
      </c>
      <c r="B2" t="b">
        <f>'Add-In_Control'!J11</f>
        <v>1</v>
      </c>
      <c r="C2" t="s">
        <v>633</v>
      </c>
      <c r="D2">
        <f t="shared" ref="D2:D35" si="0">B2*1</f>
        <v>1</v>
      </c>
    </row>
    <row r="3" spans="1:4" x14ac:dyDescent="0.2">
      <c r="A3" t="s">
        <v>954</v>
      </c>
      <c r="B3" t="b">
        <f>'Add-In_Control'!J12</f>
        <v>1</v>
      </c>
      <c r="C3" t="s">
        <v>633</v>
      </c>
      <c r="D3">
        <f t="shared" si="0"/>
        <v>1</v>
      </c>
    </row>
    <row r="4" spans="1:4" x14ac:dyDescent="0.2">
      <c r="A4" t="s">
        <v>952</v>
      </c>
      <c r="B4" t="b">
        <f>'Add-In_Control'!J13</f>
        <v>1</v>
      </c>
      <c r="C4" t="s">
        <v>633</v>
      </c>
      <c r="D4">
        <f t="shared" si="0"/>
        <v>1</v>
      </c>
    </row>
    <row r="5" spans="1:4" x14ac:dyDescent="0.2">
      <c r="A5" t="s">
        <v>1135</v>
      </c>
      <c r="B5" t="b">
        <f>'Add-In_Control'!J14</f>
        <v>1</v>
      </c>
      <c r="C5" t="s">
        <v>689</v>
      </c>
      <c r="D5">
        <f t="shared" si="0"/>
        <v>1</v>
      </c>
    </row>
    <row r="6" spans="1:4" x14ac:dyDescent="0.2">
      <c r="A6" t="s">
        <v>823</v>
      </c>
      <c r="B6" t="b">
        <f>'Add-In_Control'!J15</f>
        <v>1</v>
      </c>
      <c r="C6" t="s">
        <v>668</v>
      </c>
      <c r="D6">
        <f t="shared" si="0"/>
        <v>1</v>
      </c>
    </row>
    <row r="7" spans="1:4" x14ac:dyDescent="0.2">
      <c r="A7" t="s">
        <v>824</v>
      </c>
      <c r="B7" t="b">
        <f>'Add-In_Control'!J16</f>
        <v>1</v>
      </c>
      <c r="C7" t="s">
        <v>654</v>
      </c>
      <c r="D7">
        <f t="shared" si="0"/>
        <v>1</v>
      </c>
    </row>
    <row r="8" spans="1:4" x14ac:dyDescent="0.2">
      <c r="A8" t="s">
        <v>825</v>
      </c>
      <c r="B8" t="b">
        <f>'Add-In_Control'!J17</f>
        <v>1</v>
      </c>
      <c r="C8" t="s">
        <v>663</v>
      </c>
      <c r="D8">
        <f t="shared" si="0"/>
        <v>1</v>
      </c>
    </row>
    <row r="9" spans="1:4" x14ac:dyDescent="0.2">
      <c r="A9" t="s">
        <v>826</v>
      </c>
      <c r="B9" t="b">
        <f>'Add-In_Control'!J18</f>
        <v>1</v>
      </c>
      <c r="C9" t="s">
        <v>657</v>
      </c>
      <c r="D9">
        <f t="shared" si="0"/>
        <v>1</v>
      </c>
    </row>
    <row r="10" spans="1:4" x14ac:dyDescent="0.2">
      <c r="A10" t="s">
        <v>955</v>
      </c>
      <c r="B10" t="b">
        <f>'Add-In_Control'!J19</f>
        <v>1</v>
      </c>
      <c r="C10" t="s">
        <v>956</v>
      </c>
      <c r="D10">
        <f t="shared" si="0"/>
        <v>1</v>
      </c>
    </row>
    <row r="11" spans="1:4" x14ac:dyDescent="0.2">
      <c r="A11" t="s">
        <v>1136</v>
      </c>
      <c r="B11" t="b">
        <f>'Add-In_Control'!J20</f>
        <v>1</v>
      </c>
      <c r="C11" t="s">
        <v>632</v>
      </c>
      <c r="D11">
        <f t="shared" si="0"/>
        <v>1</v>
      </c>
    </row>
    <row r="12" spans="1:4" x14ac:dyDescent="0.2">
      <c r="A12" t="s">
        <v>1137</v>
      </c>
      <c r="B12" t="b">
        <f>'Add-In_Control'!J21</f>
        <v>1</v>
      </c>
      <c r="C12" t="s">
        <v>651</v>
      </c>
      <c r="D12">
        <f t="shared" si="0"/>
        <v>1</v>
      </c>
    </row>
    <row r="13" spans="1:4" x14ac:dyDescent="0.2">
      <c r="A13" t="s">
        <v>1140</v>
      </c>
      <c r="B13" t="b">
        <f>'Add-In_Control'!J34</f>
        <v>1</v>
      </c>
      <c r="C13" t="s">
        <v>687</v>
      </c>
      <c r="D13">
        <f>B13*1</f>
        <v>1</v>
      </c>
    </row>
    <row r="14" spans="1:4" x14ac:dyDescent="0.2">
      <c r="A14" t="s">
        <v>827</v>
      </c>
      <c r="B14" t="b">
        <f>'Add-In_Control'!J22</f>
        <v>1</v>
      </c>
      <c r="C14" t="s">
        <v>682</v>
      </c>
      <c r="D14">
        <f t="shared" si="0"/>
        <v>1</v>
      </c>
    </row>
    <row r="15" spans="1:4" x14ac:dyDescent="0.2">
      <c r="A15" t="s">
        <v>960</v>
      </c>
      <c r="B15" t="b">
        <f>'Add-In_Control'!J23</f>
        <v>1</v>
      </c>
      <c r="C15" t="s">
        <v>961</v>
      </c>
      <c r="D15">
        <f t="shared" si="0"/>
        <v>1</v>
      </c>
    </row>
    <row r="16" spans="1:4" x14ac:dyDescent="0.2">
      <c r="A16" t="s">
        <v>828</v>
      </c>
      <c r="B16" t="b">
        <f>'Add-In_Control'!J25</f>
        <v>1</v>
      </c>
      <c r="C16" t="s">
        <v>686</v>
      </c>
      <c r="D16">
        <f t="shared" si="0"/>
        <v>1</v>
      </c>
    </row>
    <row r="17" spans="1:4" x14ac:dyDescent="0.2">
      <c r="A17" t="s">
        <v>829</v>
      </c>
      <c r="B17" t="b">
        <f>'Add-In_Control'!J26</f>
        <v>1</v>
      </c>
      <c r="C17" t="s">
        <v>676</v>
      </c>
      <c r="D17">
        <f t="shared" si="0"/>
        <v>1</v>
      </c>
    </row>
    <row r="18" spans="1:4" x14ac:dyDescent="0.2">
      <c r="A18" t="s">
        <v>957</v>
      </c>
      <c r="B18" t="b">
        <f>'Add-In_Control'!J27</f>
        <v>1</v>
      </c>
      <c r="C18" t="s">
        <v>646</v>
      </c>
      <c r="D18">
        <f t="shared" si="0"/>
        <v>1</v>
      </c>
    </row>
    <row r="19" spans="1:4" x14ac:dyDescent="0.2">
      <c r="A19" t="s">
        <v>830</v>
      </c>
      <c r="B19" t="b">
        <f>'Add-In_Control'!J28</f>
        <v>1</v>
      </c>
      <c r="C19" t="s">
        <v>664</v>
      </c>
      <c r="D19">
        <f t="shared" si="0"/>
        <v>1</v>
      </c>
    </row>
    <row r="20" spans="1:4" x14ac:dyDescent="0.2">
      <c r="A20" t="s">
        <v>1141</v>
      </c>
      <c r="B20" t="b">
        <f>'Add-In_Control'!J29</f>
        <v>1</v>
      </c>
      <c r="C20" t="s">
        <v>644</v>
      </c>
      <c r="D20">
        <f t="shared" si="0"/>
        <v>1</v>
      </c>
    </row>
    <row r="21" spans="1:4" x14ac:dyDescent="0.2">
      <c r="A21" t="s">
        <v>1142</v>
      </c>
      <c r="B21" t="b">
        <f>'Add-In_Control'!J30</f>
        <v>1</v>
      </c>
      <c r="C21" t="s">
        <v>640</v>
      </c>
      <c r="D21">
        <f t="shared" si="0"/>
        <v>1</v>
      </c>
    </row>
    <row r="22" spans="1:4" x14ac:dyDescent="0.2">
      <c r="A22" t="s">
        <v>1144</v>
      </c>
      <c r="B22" t="b">
        <f>'Add-In_Control'!J31</f>
        <v>1</v>
      </c>
      <c r="C22" t="s">
        <v>636</v>
      </c>
      <c r="D22">
        <f t="shared" si="0"/>
        <v>1</v>
      </c>
    </row>
    <row r="23" spans="1:4" x14ac:dyDescent="0.2">
      <c r="A23" t="s">
        <v>1143</v>
      </c>
      <c r="B23" t="b">
        <f>'Add-In_Control'!J32</f>
        <v>1</v>
      </c>
      <c r="C23" t="s">
        <v>639</v>
      </c>
      <c r="D23">
        <f t="shared" si="0"/>
        <v>1</v>
      </c>
    </row>
    <row r="24" spans="1:4" x14ac:dyDescent="0.2">
      <c r="A24" t="s">
        <v>959</v>
      </c>
      <c r="B24" t="b">
        <f>'Add-In_Control'!J33</f>
        <v>1</v>
      </c>
      <c r="C24" t="s">
        <v>680</v>
      </c>
      <c r="D24">
        <f t="shared" si="0"/>
        <v>1</v>
      </c>
    </row>
    <row r="25" spans="1:4" x14ac:dyDescent="0.2">
      <c r="A25" t="s">
        <v>1020</v>
      </c>
      <c r="B25" t="b">
        <f>'Add-In_Control'!J35</f>
        <v>1</v>
      </c>
      <c r="C25" t="s">
        <v>667</v>
      </c>
      <c r="D25">
        <f t="shared" si="0"/>
        <v>1</v>
      </c>
    </row>
    <row r="26" spans="1:4" x14ac:dyDescent="0.2">
      <c r="A26" t="s">
        <v>831</v>
      </c>
      <c r="B26" t="b">
        <f>'Add-In_Control'!J36</f>
        <v>1</v>
      </c>
      <c r="C26" t="s">
        <v>684</v>
      </c>
      <c r="D26">
        <f t="shared" si="0"/>
        <v>1</v>
      </c>
    </row>
    <row r="27" spans="1:4" x14ac:dyDescent="0.2">
      <c r="A27" t="s">
        <v>1138</v>
      </c>
      <c r="B27" t="b">
        <f>'Add-In_Control'!J24</f>
        <v>1</v>
      </c>
      <c r="C27" t="s">
        <v>645</v>
      </c>
      <c r="D27">
        <f>B27*1</f>
        <v>1</v>
      </c>
    </row>
    <row r="28" spans="1:4" x14ac:dyDescent="0.2">
      <c r="A28" t="s">
        <v>832</v>
      </c>
      <c r="B28" t="b">
        <f>'Add-In_Control'!J37</f>
        <v>1</v>
      </c>
      <c r="C28" t="s">
        <v>670</v>
      </c>
      <c r="D28">
        <f t="shared" si="0"/>
        <v>1</v>
      </c>
    </row>
    <row r="29" spans="1:4" x14ac:dyDescent="0.2">
      <c r="A29" t="s">
        <v>1139</v>
      </c>
      <c r="B29" t="b">
        <f>'Add-In_Control'!J40</f>
        <v>1</v>
      </c>
      <c r="C29" t="s">
        <v>635</v>
      </c>
      <c r="D29">
        <f>B29*1</f>
        <v>1</v>
      </c>
    </row>
    <row r="30" spans="1:4" x14ac:dyDescent="0.2">
      <c r="A30" t="s">
        <v>833</v>
      </c>
      <c r="B30" t="b">
        <f>'Add-In_Control'!J38</f>
        <v>1</v>
      </c>
      <c r="C30" t="s">
        <v>656</v>
      </c>
      <c r="D30">
        <f t="shared" si="0"/>
        <v>1</v>
      </c>
    </row>
    <row r="31" spans="1:4" x14ac:dyDescent="0.2">
      <c r="A31" t="s">
        <v>958</v>
      </c>
      <c r="B31" t="b">
        <f>'Add-In_Control'!J39</f>
        <v>1</v>
      </c>
      <c r="C31" t="s">
        <v>650</v>
      </c>
      <c r="D31">
        <f t="shared" si="0"/>
        <v>1</v>
      </c>
    </row>
    <row r="32" spans="1:4" x14ac:dyDescent="0.2">
      <c r="B32" t="b">
        <f>'Add-In_Control'!J41</f>
        <v>0</v>
      </c>
      <c r="D32">
        <f t="shared" si="0"/>
        <v>0</v>
      </c>
    </row>
    <row r="33" spans="2:4" x14ac:dyDescent="0.2">
      <c r="B33" t="b">
        <f>'Add-In_Control'!J42</f>
        <v>0</v>
      </c>
      <c r="D33">
        <f t="shared" si="0"/>
        <v>0</v>
      </c>
    </row>
    <row r="34" spans="2:4" x14ac:dyDescent="0.2">
      <c r="B34" t="b">
        <f>'Add-In_Control'!J43</f>
        <v>0</v>
      </c>
      <c r="D34">
        <f t="shared" si="0"/>
        <v>0</v>
      </c>
    </row>
    <row r="35" spans="2:4" x14ac:dyDescent="0.2">
      <c r="B35" t="b">
        <f>'Add-In_Control'!J44</f>
        <v>0</v>
      </c>
      <c r="D35">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enableFormatConditionsCalculation="0"/>
  <dimension ref="A1:AC6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8.83203125" defaultRowHeight="15" x14ac:dyDescent="0.2"/>
  <cols>
    <col min="1" max="1" width="40.6640625" style="478" customWidth="1"/>
    <col min="2" max="2" width="48.83203125" customWidth="1"/>
    <col min="3" max="3" width="21.83203125" customWidth="1"/>
    <col min="4" max="7" width="17.1640625" customWidth="1"/>
    <col min="8" max="8" width="3.83203125" customWidth="1"/>
    <col min="9" max="12" width="18.83203125" style="479" customWidth="1"/>
    <col min="13" max="13" width="5.1640625" style="479" customWidth="1"/>
    <col min="14" max="17" width="14.1640625" customWidth="1"/>
    <col min="18" max="18" width="3.83203125" customWidth="1"/>
    <col min="19" max="22" width="14.1640625" customWidth="1"/>
    <col min="23" max="23" width="3.1640625" customWidth="1"/>
    <col min="24" max="27" width="14.1640625" customWidth="1"/>
    <col min="28" max="28" width="18.6640625" style="625" customWidth="1"/>
  </cols>
  <sheetData>
    <row r="1" spans="1:29" x14ac:dyDescent="0.2">
      <c r="B1" s="624"/>
      <c r="C1" s="624" t="s">
        <v>967</v>
      </c>
      <c r="D1" s="624" t="s">
        <v>968</v>
      </c>
      <c r="E1" s="624" t="s">
        <v>969</v>
      </c>
      <c r="F1" s="624" t="s">
        <v>970</v>
      </c>
      <c r="G1" s="624" t="s">
        <v>970</v>
      </c>
      <c r="H1" s="626"/>
      <c r="I1" s="627" t="s">
        <v>971</v>
      </c>
      <c r="J1" s="628" t="s">
        <v>972</v>
      </c>
      <c r="K1" s="628" t="s">
        <v>973</v>
      </c>
      <c r="L1" s="628" t="s">
        <v>974</v>
      </c>
      <c r="M1" s="628"/>
      <c r="N1" s="627" t="s">
        <v>971</v>
      </c>
      <c r="O1" s="627" t="s">
        <v>972</v>
      </c>
      <c r="P1" s="627" t="s">
        <v>973</v>
      </c>
      <c r="Q1" s="627" t="s">
        <v>974</v>
      </c>
      <c r="S1" s="627" t="s">
        <v>971</v>
      </c>
      <c r="T1" s="627" t="s">
        <v>972</v>
      </c>
      <c r="U1" s="627" t="s">
        <v>973</v>
      </c>
      <c r="V1" s="627" t="s">
        <v>974</v>
      </c>
      <c r="W1" s="627"/>
      <c r="X1" s="627" t="s">
        <v>971</v>
      </c>
      <c r="Y1" s="627" t="s">
        <v>972</v>
      </c>
      <c r="Z1" s="627" t="s">
        <v>973</v>
      </c>
      <c r="AA1" s="627" t="s">
        <v>974</v>
      </c>
      <c r="AB1" s="629" t="s">
        <v>975</v>
      </c>
      <c r="AC1" s="629" t="s">
        <v>975</v>
      </c>
    </row>
    <row r="2" spans="1:29" x14ac:dyDescent="0.2">
      <c r="A2" s="630" t="s">
        <v>976</v>
      </c>
      <c r="B2" s="631" t="s">
        <v>977</v>
      </c>
      <c r="C2" s="632" t="s">
        <v>978</v>
      </c>
      <c r="D2" s="632" t="s">
        <v>979</v>
      </c>
      <c r="E2" s="632" t="s">
        <v>403</v>
      </c>
      <c r="F2" s="632" t="s">
        <v>979</v>
      </c>
      <c r="G2" s="633" t="s">
        <v>403</v>
      </c>
      <c r="I2" s="479" t="s">
        <v>980</v>
      </c>
      <c r="J2" s="479" t="s">
        <v>943</v>
      </c>
      <c r="K2" s="479" t="s">
        <v>981</v>
      </c>
      <c r="L2" s="479" t="s">
        <v>982</v>
      </c>
      <c r="N2" s="479" t="s">
        <v>980</v>
      </c>
      <c r="O2" s="479" t="s">
        <v>943</v>
      </c>
      <c r="P2" s="479" t="s">
        <v>981</v>
      </c>
      <c r="Q2" s="479" t="s">
        <v>982</v>
      </c>
      <c r="S2" s="479" t="s">
        <v>980</v>
      </c>
      <c r="T2" s="479" t="s">
        <v>943</v>
      </c>
      <c r="U2" s="479" t="s">
        <v>981</v>
      </c>
      <c r="V2" s="479" t="s">
        <v>982</v>
      </c>
      <c r="W2" s="479"/>
      <c r="X2" s="479" t="s">
        <v>980</v>
      </c>
      <c r="Y2" s="479" t="s">
        <v>943</v>
      </c>
      <c r="Z2" s="479" t="s">
        <v>981</v>
      </c>
      <c r="AA2" s="479" t="s">
        <v>982</v>
      </c>
      <c r="AB2" s="310" t="s">
        <v>983</v>
      </c>
      <c r="AC2" s="479" t="s">
        <v>984</v>
      </c>
    </row>
    <row r="3" spans="1:29" x14ac:dyDescent="0.2">
      <c r="A3" s="630" t="s">
        <v>985</v>
      </c>
      <c r="B3" s="537" t="s">
        <v>1137</v>
      </c>
      <c r="C3" s="634">
        <v>96494</v>
      </c>
      <c r="D3" s="479">
        <v>99871.108275585881</v>
      </c>
      <c r="E3">
        <v>4993</v>
      </c>
      <c r="F3" s="479">
        <v>84446.885188773856</v>
      </c>
      <c r="G3">
        <v>2993</v>
      </c>
      <c r="I3" s="479">
        <v>0</v>
      </c>
      <c r="J3" s="479">
        <v>84482.59221330662</v>
      </c>
      <c r="K3" s="479">
        <v>0</v>
      </c>
      <c r="L3" s="479">
        <v>31047.029999999992</v>
      </c>
      <c r="N3">
        <v>0</v>
      </c>
      <c r="O3">
        <v>2991</v>
      </c>
      <c r="P3">
        <v>0</v>
      </c>
      <c r="Q3">
        <v>2</v>
      </c>
      <c r="S3" s="518">
        <v>0</v>
      </c>
      <c r="T3" s="518">
        <v>1.0004228341217434</v>
      </c>
      <c r="U3" s="518">
        <v>0</v>
      </c>
      <c r="V3" s="518">
        <v>0.36765157093239126</v>
      </c>
      <c r="W3" s="518"/>
      <c r="X3" s="518">
        <v>0</v>
      </c>
      <c r="Y3" s="518">
        <v>1</v>
      </c>
      <c r="Z3" s="518">
        <v>0</v>
      </c>
      <c r="AA3" s="518">
        <v>0.36749618100745091</v>
      </c>
      <c r="AB3" s="635" t="str">
        <f>IF(O3/SUM(N3:Q3)&gt;0.1,"x","")</f>
        <v>x</v>
      </c>
      <c r="AC3" s="518" t="str">
        <f>IF(O3/SUM(N3:Q3)&lt;0.01,"x","")</f>
        <v/>
      </c>
    </row>
    <row r="4" spans="1:29" x14ac:dyDescent="0.2">
      <c r="A4" s="630" t="s">
        <v>986</v>
      </c>
      <c r="B4" s="537" t="s">
        <v>1134</v>
      </c>
      <c r="C4" s="634">
        <v>13576</v>
      </c>
      <c r="D4" s="479">
        <v>14986.57202665441</v>
      </c>
      <c r="E4">
        <v>2176</v>
      </c>
      <c r="F4" s="479">
        <v>12354.384595842965</v>
      </c>
      <c r="G4">
        <v>1299</v>
      </c>
      <c r="I4" s="479">
        <v>13065.597533092672</v>
      </c>
      <c r="J4" s="479">
        <v>32413.166060606061</v>
      </c>
      <c r="K4" s="479">
        <v>9494.3327400468406</v>
      </c>
      <c r="L4" s="479">
        <v>8389.9350000000013</v>
      </c>
      <c r="N4">
        <v>831</v>
      </c>
      <c r="O4">
        <v>33</v>
      </c>
      <c r="P4">
        <v>427</v>
      </c>
      <c r="Q4">
        <v>8</v>
      </c>
      <c r="S4" s="518">
        <v>1.0575676539557477</v>
      </c>
      <c r="T4" s="518">
        <v>2.6236164018653367</v>
      </c>
      <c r="U4" s="518">
        <v>0.76849904310422057</v>
      </c>
      <c r="V4" s="518">
        <v>0.67910586196442912</v>
      </c>
      <c r="W4" s="518"/>
      <c r="X4" s="518">
        <v>0.40309538132321443</v>
      </c>
      <c r="Y4" s="518">
        <v>1</v>
      </c>
      <c r="Z4" s="518">
        <v>0.29291593182518361</v>
      </c>
      <c r="AA4" s="518">
        <v>0.25884342752301703</v>
      </c>
      <c r="AB4" s="635" t="str">
        <f t="shared" ref="AB4:AB33" si="0">IF(O4/SUM(N4:Q4)&gt;0.1,"x","")</f>
        <v/>
      </c>
      <c r="AC4" s="518" t="str">
        <f t="shared" ref="AC4:AC33" si="1">IF(O4/SUM(N4:Q4)&lt;0.01,"x","")</f>
        <v/>
      </c>
    </row>
    <row r="5" spans="1:29" x14ac:dyDescent="0.2">
      <c r="A5" s="630" t="s">
        <v>987</v>
      </c>
      <c r="B5" s="537" t="s">
        <v>952</v>
      </c>
      <c r="C5" s="634">
        <v>30864</v>
      </c>
      <c r="D5" s="479">
        <v>61543.273667065499</v>
      </c>
      <c r="E5">
        <v>39263</v>
      </c>
      <c r="F5" s="479">
        <v>46045.210501443617</v>
      </c>
      <c r="G5">
        <v>23552</v>
      </c>
      <c r="I5" s="479">
        <v>18923.324309862619</v>
      </c>
      <c r="J5" s="479">
        <v>66516.658822421421</v>
      </c>
      <c r="K5" s="479">
        <v>22084.685984015996</v>
      </c>
      <c r="L5" s="479">
        <v>32613.852592592593</v>
      </c>
      <c r="N5">
        <v>8223</v>
      </c>
      <c r="O5">
        <v>13273</v>
      </c>
      <c r="P5">
        <v>2002</v>
      </c>
      <c r="Q5">
        <v>54</v>
      </c>
      <c r="S5" s="518">
        <v>0.41097269626488803</v>
      </c>
      <c r="T5" s="518">
        <v>1.4445945212984961</v>
      </c>
      <c r="U5" s="518">
        <v>0.47963047065065745</v>
      </c>
      <c r="V5" s="518">
        <v>0.7083006514123783</v>
      </c>
      <c r="W5" s="518"/>
      <c r="X5" s="518">
        <v>0.28449000062348212</v>
      </c>
      <c r="Y5" s="518">
        <v>1</v>
      </c>
      <c r="Z5" s="518">
        <v>0.33201736790440978</v>
      </c>
      <c r="AA5" s="518">
        <v>0.49031104643516943</v>
      </c>
      <c r="AB5" s="635" t="str">
        <f t="shared" si="0"/>
        <v>x</v>
      </c>
      <c r="AC5" s="518" t="str">
        <f t="shared" si="1"/>
        <v/>
      </c>
    </row>
    <row r="6" spans="1:29" x14ac:dyDescent="0.2">
      <c r="A6" s="630" t="s">
        <v>988</v>
      </c>
      <c r="B6" s="537" t="s">
        <v>1135</v>
      </c>
      <c r="C6" s="634">
        <v>31115</v>
      </c>
      <c r="D6" s="479">
        <v>32077.93567672891</v>
      </c>
      <c r="E6">
        <v>15139</v>
      </c>
      <c r="F6" s="479">
        <v>26922.002954921274</v>
      </c>
      <c r="G6">
        <v>9073</v>
      </c>
      <c r="I6" s="479">
        <v>22396.035482330459</v>
      </c>
      <c r="J6" s="479">
        <v>27337.729468920632</v>
      </c>
      <c r="K6" s="479">
        <v>30725.266876310285</v>
      </c>
      <c r="L6" s="479">
        <v>21399.162777777776</v>
      </c>
      <c r="N6">
        <v>1047</v>
      </c>
      <c r="O6">
        <v>7513</v>
      </c>
      <c r="P6">
        <v>477</v>
      </c>
      <c r="Q6">
        <v>36</v>
      </c>
      <c r="S6" s="518">
        <v>0.8318859306207943</v>
      </c>
      <c r="T6" s="518">
        <v>1.0154418865006241</v>
      </c>
      <c r="U6" s="518">
        <v>1.1412697237927383</v>
      </c>
      <c r="V6" s="518">
        <v>0.79485775310287832</v>
      </c>
      <c r="W6" s="518"/>
      <c r="X6" s="518">
        <v>0.81923539070030582</v>
      </c>
      <c r="Y6" s="518">
        <v>1</v>
      </c>
      <c r="Z6" s="518">
        <v>1.1239143657208559</v>
      </c>
      <c r="AA6" s="518">
        <v>0.78277030292898986</v>
      </c>
      <c r="AB6" s="635" t="str">
        <f t="shared" si="0"/>
        <v>x</v>
      </c>
      <c r="AC6" s="518" t="str">
        <f t="shared" si="1"/>
        <v/>
      </c>
    </row>
    <row r="7" spans="1:29" x14ac:dyDescent="0.2">
      <c r="A7" s="630" t="s">
        <v>989</v>
      </c>
      <c r="B7" s="537" t="s">
        <v>823</v>
      </c>
      <c r="C7" s="634">
        <v>15568</v>
      </c>
      <c r="D7" s="479">
        <v>16451.055434479575</v>
      </c>
      <c r="E7">
        <v>4304</v>
      </c>
      <c r="F7" s="479">
        <v>12705.348295807455</v>
      </c>
      <c r="G7">
        <v>2576</v>
      </c>
      <c r="I7" s="479">
        <v>13721.856840921871</v>
      </c>
      <c r="J7" s="479">
        <v>26740.308196721311</v>
      </c>
      <c r="K7" s="479">
        <v>9139.4089852941161</v>
      </c>
      <c r="L7" s="479">
        <v>8425.6603571428568</v>
      </c>
      <c r="N7">
        <v>1779</v>
      </c>
      <c r="O7">
        <v>61</v>
      </c>
      <c r="P7">
        <v>680</v>
      </c>
      <c r="Q7">
        <v>56</v>
      </c>
      <c r="S7" s="518">
        <v>1.0800063501958341</v>
      </c>
      <c r="T7" s="518">
        <v>2.1046497564765816</v>
      </c>
      <c r="U7" s="518">
        <v>0.71933557211571786</v>
      </c>
      <c r="V7" s="518">
        <v>0.66315855031878024</v>
      </c>
      <c r="W7" s="518"/>
      <c r="X7" s="518">
        <v>0.51315253137599737</v>
      </c>
      <c r="Y7" s="518">
        <v>1</v>
      </c>
      <c r="Z7" s="518">
        <v>0.34178398087478734</v>
      </c>
      <c r="AA7" s="518">
        <v>0.31509211842876012</v>
      </c>
      <c r="AB7" s="635" t="str">
        <f t="shared" si="0"/>
        <v/>
      </c>
      <c r="AC7" s="518" t="str">
        <f t="shared" si="1"/>
        <v/>
      </c>
    </row>
    <row r="8" spans="1:29" x14ac:dyDescent="0.2">
      <c r="A8" s="630" t="s">
        <v>990</v>
      </c>
      <c r="B8" s="537" t="s">
        <v>824</v>
      </c>
      <c r="C8" s="634">
        <v>9813</v>
      </c>
      <c r="D8" s="479">
        <v>11533.479967231013</v>
      </c>
      <c r="E8">
        <v>10986</v>
      </c>
      <c r="F8" s="479">
        <v>8530.1090320620151</v>
      </c>
      <c r="G8">
        <v>6581</v>
      </c>
      <c r="I8" s="479">
        <v>9838.7712723393288</v>
      </c>
      <c r="J8" s="479">
        <v>15156.584374999999</v>
      </c>
      <c r="K8" s="479">
        <v>6657.1769336384386</v>
      </c>
      <c r="L8" s="479">
        <v>6595.4325308642037</v>
      </c>
      <c r="N8">
        <v>3749</v>
      </c>
      <c r="O8">
        <v>48</v>
      </c>
      <c r="P8">
        <v>2622</v>
      </c>
      <c r="Q8">
        <v>162</v>
      </c>
      <c r="S8" s="518">
        <v>1.1534168244929182</v>
      </c>
      <c r="T8" s="518">
        <v>1.7768336041228936</v>
      </c>
      <c r="U8" s="518">
        <v>0.78043280673391047</v>
      </c>
      <c r="V8" s="518">
        <v>0.77319439951752467</v>
      </c>
      <c r="W8" s="518"/>
      <c r="X8" s="518">
        <v>0.64914172144008075</v>
      </c>
      <c r="Y8" s="518">
        <v>1</v>
      </c>
      <c r="Z8" s="518">
        <v>0.43922672608342467</v>
      </c>
      <c r="AA8" s="518">
        <v>0.43515295845566815</v>
      </c>
      <c r="AB8" s="635" t="str">
        <f t="shared" si="0"/>
        <v/>
      </c>
      <c r="AC8" s="518" t="str">
        <f t="shared" si="1"/>
        <v>x</v>
      </c>
    </row>
    <row r="9" spans="1:29" x14ac:dyDescent="0.2">
      <c r="A9" s="630" t="s">
        <v>991</v>
      </c>
      <c r="B9" s="537" t="s">
        <v>955</v>
      </c>
      <c r="C9" s="634">
        <v>32040</v>
      </c>
      <c r="D9" s="479">
        <v>42794.649028125379</v>
      </c>
      <c r="E9">
        <v>62755</v>
      </c>
      <c r="F9" s="479">
        <v>26256.78768264164</v>
      </c>
      <c r="G9">
        <v>37642</v>
      </c>
      <c r="I9" s="479">
        <v>16358.343340364958</v>
      </c>
      <c r="J9" s="479">
        <v>41149.392253409635</v>
      </c>
      <c r="K9" s="479">
        <v>11213.367607973421</v>
      </c>
      <c r="L9" s="479">
        <v>10470.439078212288</v>
      </c>
      <c r="N9">
        <v>21806</v>
      </c>
      <c r="O9">
        <v>15177</v>
      </c>
      <c r="P9">
        <v>301</v>
      </c>
      <c r="Q9">
        <v>358</v>
      </c>
      <c r="S9" s="518">
        <v>0.6230138864694198</v>
      </c>
      <c r="T9" s="518">
        <v>1.5671906537376428</v>
      </c>
      <c r="U9" s="518">
        <v>0.42706547897276015</v>
      </c>
      <c r="V9" s="518">
        <v>0.39877075614753493</v>
      </c>
      <c r="W9" s="518"/>
      <c r="X9" s="518">
        <v>0.39753547852239562</v>
      </c>
      <c r="Y9" s="518">
        <v>1</v>
      </c>
      <c r="Z9" s="518">
        <v>0.27250384498799696</v>
      </c>
      <c r="AA9" s="518">
        <v>0.25444942208945281</v>
      </c>
      <c r="AB9" s="635" t="str">
        <f t="shared" si="0"/>
        <v>x</v>
      </c>
      <c r="AC9" s="518" t="str">
        <f t="shared" si="1"/>
        <v/>
      </c>
    </row>
    <row r="10" spans="1:29" x14ac:dyDescent="0.2">
      <c r="A10" s="630" t="s">
        <v>992</v>
      </c>
      <c r="B10" s="537" t="s">
        <v>825</v>
      </c>
      <c r="C10" s="634">
        <v>43453</v>
      </c>
      <c r="D10" s="479">
        <v>61223.476677243874</v>
      </c>
      <c r="E10">
        <v>2206</v>
      </c>
      <c r="F10" s="479">
        <v>38233.271438304255</v>
      </c>
      <c r="G10">
        <v>1321</v>
      </c>
      <c r="I10" s="479">
        <v>20641.93</v>
      </c>
      <c r="J10" s="479">
        <v>38380.984992366342</v>
      </c>
      <c r="K10" s="479">
        <v>0</v>
      </c>
      <c r="L10" s="479">
        <v>0</v>
      </c>
      <c r="N10">
        <v>11</v>
      </c>
      <c r="O10">
        <v>1310</v>
      </c>
      <c r="P10">
        <v>0</v>
      </c>
      <c r="Q10">
        <v>0</v>
      </c>
      <c r="S10" s="518">
        <v>0.53989442240926699</v>
      </c>
      <c r="T10" s="518">
        <v>1.0038634819492349</v>
      </c>
      <c r="U10" s="518">
        <v>0</v>
      </c>
      <c r="V10" s="518">
        <v>0</v>
      </c>
      <c r="W10" s="518"/>
      <c r="X10" s="518">
        <v>0.53781657776905689</v>
      </c>
      <c r="Y10" s="518">
        <v>1</v>
      </c>
      <c r="Z10" s="518">
        <v>0</v>
      </c>
      <c r="AA10" s="518">
        <v>0</v>
      </c>
      <c r="AB10" s="635" t="str">
        <f t="shared" si="0"/>
        <v>x</v>
      </c>
      <c r="AC10" s="518" t="str">
        <f t="shared" si="1"/>
        <v/>
      </c>
    </row>
    <row r="11" spans="1:29" x14ac:dyDescent="0.2">
      <c r="A11" s="630" t="s">
        <v>993</v>
      </c>
      <c r="B11" s="537" t="s">
        <v>826</v>
      </c>
      <c r="C11" s="634">
        <v>6677</v>
      </c>
      <c r="D11" s="479">
        <v>8447.2053619968028</v>
      </c>
      <c r="E11">
        <v>19351</v>
      </c>
      <c r="F11" s="479">
        <v>6065.4530583570277</v>
      </c>
      <c r="G11">
        <v>11601</v>
      </c>
      <c r="I11" s="479">
        <v>6775.6312930899967</v>
      </c>
      <c r="J11" s="479">
        <v>26672.288850574711</v>
      </c>
      <c r="K11" s="479">
        <v>4890.8686701591578</v>
      </c>
      <c r="L11" s="479">
        <v>2377.7026428571435</v>
      </c>
      <c r="N11">
        <v>6411</v>
      </c>
      <c r="O11">
        <v>87</v>
      </c>
      <c r="P11">
        <v>4963</v>
      </c>
      <c r="Q11">
        <v>140</v>
      </c>
      <c r="S11" s="518">
        <v>1.1170857688453264</v>
      </c>
      <c r="T11" s="518">
        <v>4.3974108106937582</v>
      </c>
      <c r="U11" s="518">
        <v>0.80634844967112251</v>
      </c>
      <c r="V11" s="518">
        <v>0.39200742631766422</v>
      </c>
      <c r="W11" s="518"/>
      <c r="X11" s="518">
        <v>0.25403261531280252</v>
      </c>
      <c r="Y11" s="518">
        <v>1</v>
      </c>
      <c r="Z11" s="518">
        <v>0.18336891511482614</v>
      </c>
      <c r="AA11" s="518">
        <v>8.9145054486237343E-2</v>
      </c>
      <c r="AB11" s="635" t="str">
        <f t="shared" si="0"/>
        <v/>
      </c>
      <c r="AC11" s="518" t="str">
        <f t="shared" si="1"/>
        <v>x</v>
      </c>
    </row>
    <row r="12" spans="1:29" x14ac:dyDescent="0.2">
      <c r="A12" s="630" t="s">
        <v>994</v>
      </c>
      <c r="B12" s="537" t="s">
        <v>953</v>
      </c>
      <c r="C12" s="634">
        <v>43167</v>
      </c>
      <c r="D12" s="479">
        <v>48590.02581926727</v>
      </c>
      <c r="E12">
        <v>13567</v>
      </c>
      <c r="F12" s="479">
        <v>37460.299589226452</v>
      </c>
      <c r="G12">
        <v>8131</v>
      </c>
      <c r="I12" s="479">
        <v>27969.915615690217</v>
      </c>
      <c r="J12" s="479">
        <v>41204.261270542534</v>
      </c>
      <c r="K12" s="479">
        <v>32704.921548672548</v>
      </c>
      <c r="L12" s="479">
        <v>50124.473333333335</v>
      </c>
      <c r="N12">
        <v>2014</v>
      </c>
      <c r="O12">
        <v>5659</v>
      </c>
      <c r="P12">
        <v>452</v>
      </c>
      <c r="Q12">
        <v>6</v>
      </c>
      <c r="S12" s="518">
        <v>0.74665488323361784</v>
      </c>
      <c r="T12" s="518">
        <v>1.0999447874782304</v>
      </c>
      <c r="U12" s="518">
        <v>0.87305552564450006</v>
      </c>
      <c r="V12" s="518">
        <v>1.3380692061456201</v>
      </c>
      <c r="W12" s="518"/>
      <c r="X12" s="518">
        <v>0.67881123828535361</v>
      </c>
      <c r="Y12" s="518">
        <v>1</v>
      </c>
      <c r="Z12" s="518">
        <v>0.79372668117833056</v>
      </c>
      <c r="AA12" s="518">
        <v>1.2164876104493585</v>
      </c>
      <c r="AB12" s="635" t="str">
        <f t="shared" si="0"/>
        <v>x</v>
      </c>
      <c r="AC12" s="518" t="str">
        <f t="shared" si="1"/>
        <v/>
      </c>
    </row>
    <row r="13" spans="1:29" x14ac:dyDescent="0.2">
      <c r="A13" s="630" t="s">
        <v>995</v>
      </c>
      <c r="B13" s="537" t="s">
        <v>1136</v>
      </c>
      <c r="C13" s="634">
        <v>44357</v>
      </c>
      <c r="D13" s="479">
        <v>47396.77201173432</v>
      </c>
      <c r="E13">
        <v>20112</v>
      </c>
      <c r="F13" s="479">
        <v>37142.623540094581</v>
      </c>
      <c r="G13">
        <v>12059</v>
      </c>
      <c r="I13" s="479">
        <v>30396.492234726709</v>
      </c>
      <c r="J13" s="479">
        <v>42153.432481741431</v>
      </c>
      <c r="K13" s="479">
        <v>23798.631206896553</v>
      </c>
      <c r="L13" s="479">
        <v>21719.339999999997</v>
      </c>
      <c r="N13">
        <v>4976</v>
      </c>
      <c r="O13">
        <v>6983</v>
      </c>
      <c r="P13">
        <v>58</v>
      </c>
      <c r="Q13">
        <v>42</v>
      </c>
      <c r="S13" s="518">
        <v>0.81837224562003319</v>
      </c>
      <c r="T13" s="518">
        <v>1.1349072430556177</v>
      </c>
      <c r="U13" s="518">
        <v>0.64073640843400559</v>
      </c>
      <c r="V13" s="518">
        <v>0.58475513924196776</v>
      </c>
      <c r="W13" s="518"/>
      <c r="X13" s="518">
        <v>0.72109174615596994</v>
      </c>
      <c r="Y13" s="518">
        <v>1</v>
      </c>
      <c r="Z13" s="518">
        <v>0.56457160913775695</v>
      </c>
      <c r="AA13" s="518">
        <v>0.51524487381680317</v>
      </c>
      <c r="AB13" s="635" t="str">
        <f t="shared" si="0"/>
        <v>x</v>
      </c>
      <c r="AC13" s="518" t="str">
        <f t="shared" si="1"/>
        <v/>
      </c>
    </row>
    <row r="14" spans="1:29" x14ac:dyDescent="0.2">
      <c r="A14" s="630" t="s">
        <v>996</v>
      </c>
      <c r="B14" s="537" t="s">
        <v>827</v>
      </c>
      <c r="C14" s="634">
        <v>8164</v>
      </c>
      <c r="D14" s="479">
        <v>8627.0021962830215</v>
      </c>
      <c r="E14">
        <v>15335</v>
      </c>
      <c r="F14" s="479">
        <v>7070.7617032847529</v>
      </c>
      <c r="G14">
        <v>9194</v>
      </c>
      <c r="I14" s="479">
        <v>8450.5621519416691</v>
      </c>
      <c r="J14" s="479">
        <v>11017.197857142861</v>
      </c>
      <c r="K14" s="479">
        <v>5527.3036478454669</v>
      </c>
      <c r="L14" s="479">
        <v>3702.6387719298318</v>
      </c>
      <c r="N14">
        <v>5897</v>
      </c>
      <c r="O14">
        <v>70</v>
      </c>
      <c r="P14">
        <v>1346</v>
      </c>
      <c r="Q14">
        <v>1881</v>
      </c>
      <c r="S14" s="518">
        <v>1.1951416985267547</v>
      </c>
      <c r="T14" s="518">
        <v>1.558134514987936</v>
      </c>
      <c r="U14" s="518">
        <v>0.78171261878019938</v>
      </c>
      <c r="V14" s="518">
        <v>0.52365486595450605</v>
      </c>
      <c r="W14" s="518"/>
      <c r="X14" s="518">
        <v>0.76703371052402891</v>
      </c>
      <c r="Y14" s="518">
        <v>1</v>
      </c>
      <c r="Z14" s="518">
        <v>0.50169777465346233</v>
      </c>
      <c r="AA14" s="518">
        <v>0.33607808627393154</v>
      </c>
      <c r="AB14" s="635" t="str">
        <f t="shared" si="0"/>
        <v/>
      </c>
      <c r="AC14" s="518" t="str">
        <f t="shared" si="1"/>
        <v>x</v>
      </c>
    </row>
    <row r="15" spans="1:29" x14ac:dyDescent="0.2">
      <c r="A15" s="630" t="s">
        <v>997</v>
      </c>
      <c r="B15" s="537" t="s">
        <v>960</v>
      </c>
      <c r="C15" s="634">
        <v>20253</v>
      </c>
      <c r="D15" s="479">
        <v>23456.579393652268</v>
      </c>
      <c r="E15">
        <v>2111</v>
      </c>
      <c r="F15" s="479">
        <v>18566.75617460319</v>
      </c>
      <c r="G15">
        <v>1260</v>
      </c>
      <c r="I15" s="479">
        <v>18608.079293721996</v>
      </c>
      <c r="J15" s="479">
        <v>34712.713727272734</v>
      </c>
      <c r="K15" s="479">
        <v>11360.537649402388</v>
      </c>
      <c r="L15" s="479">
        <v>17973.227142857144</v>
      </c>
      <c r="N15">
        <v>892</v>
      </c>
      <c r="O15">
        <v>110</v>
      </c>
      <c r="P15">
        <v>251</v>
      </c>
      <c r="Q15">
        <v>7</v>
      </c>
      <c r="S15" s="518">
        <v>1.0022256509823364</v>
      </c>
      <c r="T15" s="518">
        <v>1.869616501710462</v>
      </c>
      <c r="U15" s="518">
        <v>0.61187520009241392</v>
      </c>
      <c r="V15" s="518">
        <v>0.96803270177275702</v>
      </c>
      <c r="W15" s="518"/>
      <c r="X15" s="518">
        <v>0.53605948068249665</v>
      </c>
      <c r="Y15" s="518">
        <v>1</v>
      </c>
      <c r="Z15" s="518">
        <v>0.32727310629352369</v>
      </c>
      <c r="AA15" s="518">
        <v>0.51777073046110256</v>
      </c>
      <c r="AB15" s="635" t="str">
        <f t="shared" si="0"/>
        <v/>
      </c>
      <c r="AC15" s="518" t="str">
        <f t="shared" si="1"/>
        <v/>
      </c>
    </row>
    <row r="16" spans="1:29" x14ac:dyDescent="0.2">
      <c r="A16" s="630" t="s">
        <v>998</v>
      </c>
      <c r="B16" s="537" t="s">
        <v>828</v>
      </c>
      <c r="C16" s="634">
        <v>5398</v>
      </c>
      <c r="D16" s="479">
        <v>6345.0175601092933</v>
      </c>
      <c r="E16">
        <v>3660</v>
      </c>
      <c r="F16" s="479">
        <v>4727.0054952076644</v>
      </c>
      <c r="G16">
        <v>2191</v>
      </c>
      <c r="I16" s="479">
        <v>5566.4321255230134</v>
      </c>
      <c r="J16" s="479">
        <v>20805.301818181819</v>
      </c>
      <c r="K16" s="479">
        <v>3584.2517068062757</v>
      </c>
      <c r="L16" s="479">
        <v>1772.1316666666667</v>
      </c>
      <c r="N16">
        <v>1195</v>
      </c>
      <c r="O16">
        <v>11</v>
      </c>
      <c r="P16">
        <v>955</v>
      </c>
      <c r="Q16">
        <v>30</v>
      </c>
      <c r="S16" s="518">
        <v>1.1775810565835765</v>
      </c>
      <c r="T16" s="518">
        <v>4.4013703473107153</v>
      </c>
      <c r="U16" s="518">
        <v>0.75824995558817609</v>
      </c>
      <c r="V16" s="518">
        <v>0.37489519918334985</v>
      </c>
      <c r="W16" s="518"/>
      <c r="X16" s="518">
        <v>0.26754873224951203</v>
      </c>
      <c r="Y16" s="518">
        <v>1</v>
      </c>
      <c r="Z16" s="518">
        <v>0.1722758813176162</v>
      </c>
      <c r="AA16" s="518">
        <v>8.517692663886256E-2</v>
      </c>
      <c r="AB16" s="635" t="str">
        <f t="shared" si="0"/>
        <v/>
      </c>
      <c r="AC16" s="518" t="str">
        <f t="shared" si="1"/>
        <v>x</v>
      </c>
    </row>
    <row r="17" spans="1:29" x14ac:dyDescent="0.2">
      <c r="A17" s="630" t="s">
        <v>999</v>
      </c>
      <c r="B17" s="537" t="s">
        <v>829</v>
      </c>
      <c r="C17" s="634">
        <v>9661</v>
      </c>
      <c r="D17" s="479">
        <v>12151.622239254597</v>
      </c>
      <c r="E17">
        <v>6654</v>
      </c>
      <c r="F17" s="479">
        <v>8599.4213177710863</v>
      </c>
      <c r="G17">
        <v>3984</v>
      </c>
      <c r="I17" s="479">
        <v>10094.367516339875</v>
      </c>
      <c r="J17" s="479">
        <v>27047.730555555561</v>
      </c>
      <c r="K17" s="479">
        <v>7143.4646284224309</v>
      </c>
      <c r="L17" s="479">
        <v>2596.1995220588237</v>
      </c>
      <c r="N17">
        <v>2142</v>
      </c>
      <c r="O17">
        <v>36</v>
      </c>
      <c r="P17">
        <v>1534</v>
      </c>
      <c r="Q17">
        <v>272</v>
      </c>
      <c r="S17" s="518">
        <v>1.1738426509559912</v>
      </c>
      <c r="T17" s="518">
        <v>3.1452965910229591</v>
      </c>
      <c r="U17" s="518">
        <v>0.83069131799137974</v>
      </c>
      <c r="V17" s="518">
        <v>0.30190398006127017</v>
      </c>
      <c r="W17" s="518"/>
      <c r="X17" s="518">
        <v>0.37320571112634465</v>
      </c>
      <c r="Y17" s="518">
        <v>1</v>
      </c>
      <c r="Z17" s="518">
        <v>0.26410587807911945</v>
      </c>
      <c r="AA17" s="518">
        <v>9.598585421894365E-2</v>
      </c>
      <c r="AB17" s="635" t="str">
        <f t="shared" si="0"/>
        <v/>
      </c>
      <c r="AC17" s="518" t="str">
        <f t="shared" si="1"/>
        <v>x</v>
      </c>
    </row>
    <row r="18" spans="1:29" x14ac:dyDescent="0.2">
      <c r="A18" s="630" t="s">
        <v>1000</v>
      </c>
      <c r="B18" s="537" t="s">
        <v>957</v>
      </c>
      <c r="C18" s="634">
        <v>16697</v>
      </c>
      <c r="D18" s="479">
        <v>21312.208054359558</v>
      </c>
      <c r="E18">
        <v>14864</v>
      </c>
      <c r="F18" s="479">
        <v>15745.787847362528</v>
      </c>
      <c r="G18">
        <v>8910</v>
      </c>
      <c r="I18" s="479">
        <v>12004.757424821415</v>
      </c>
      <c r="J18" s="479">
        <v>30510.450849802372</v>
      </c>
      <c r="K18" s="479">
        <v>7247.8498673100157</v>
      </c>
      <c r="L18" s="479">
        <v>7281.9663157894729</v>
      </c>
      <c r="N18">
        <v>6019</v>
      </c>
      <c r="O18">
        <v>2024</v>
      </c>
      <c r="P18">
        <v>829</v>
      </c>
      <c r="Q18">
        <v>38</v>
      </c>
      <c r="S18" s="518">
        <v>0.76241071842157793</v>
      </c>
      <c r="T18" s="518">
        <v>1.937689694892782</v>
      </c>
      <c r="U18" s="518">
        <v>0.46030404687079884</v>
      </c>
      <c r="V18" s="518">
        <v>0.46247075004311244</v>
      </c>
      <c r="W18" s="518"/>
      <c r="X18" s="518">
        <v>0.39346378340715915</v>
      </c>
      <c r="Y18" s="518">
        <v>1</v>
      </c>
      <c r="Z18" s="518">
        <v>0.23755302414211826</v>
      </c>
      <c r="AA18" s="518">
        <v>0.23867121307506478</v>
      </c>
      <c r="AB18" s="635" t="str">
        <f t="shared" si="0"/>
        <v>x</v>
      </c>
      <c r="AC18" s="518" t="str">
        <f t="shared" si="1"/>
        <v/>
      </c>
    </row>
    <row r="19" spans="1:29" x14ac:dyDescent="0.2">
      <c r="A19" s="630" t="s">
        <v>1001</v>
      </c>
      <c r="B19" s="537" t="s">
        <v>830</v>
      </c>
      <c r="C19" s="634">
        <v>19773</v>
      </c>
      <c r="D19" s="479">
        <v>19864.739935824859</v>
      </c>
      <c r="E19">
        <v>2649</v>
      </c>
      <c r="F19" s="479">
        <v>16974.728768939414</v>
      </c>
      <c r="G19">
        <v>1584</v>
      </c>
      <c r="I19" s="479">
        <v>18693.306773584933</v>
      </c>
      <c r="J19" s="479">
        <v>30352.575833333332</v>
      </c>
      <c r="K19" s="479">
        <v>12251.481325051773</v>
      </c>
      <c r="L19" s="479">
        <v>12581.396000000001</v>
      </c>
      <c r="N19">
        <v>1060</v>
      </c>
      <c r="O19">
        <v>36</v>
      </c>
      <c r="P19">
        <v>483</v>
      </c>
      <c r="Q19">
        <v>5</v>
      </c>
      <c r="S19" s="518">
        <v>1.1012433263611372</v>
      </c>
      <c r="T19" s="518">
        <v>1.7881037303448926</v>
      </c>
      <c r="U19" s="518">
        <v>0.7217482819206924</v>
      </c>
      <c r="V19" s="518">
        <v>0.74118391941682193</v>
      </c>
      <c r="W19" s="518"/>
      <c r="X19" s="518">
        <v>0.61587217098905522</v>
      </c>
      <c r="Y19" s="518">
        <v>1</v>
      </c>
      <c r="Z19" s="518">
        <v>0.40363893306205473</v>
      </c>
      <c r="AA19" s="518">
        <v>0.41450834581831625</v>
      </c>
      <c r="AB19" s="635" t="str">
        <f t="shared" si="0"/>
        <v/>
      </c>
      <c r="AC19" s="518" t="str">
        <f t="shared" si="1"/>
        <v/>
      </c>
    </row>
    <row r="20" spans="1:29" x14ac:dyDescent="0.2">
      <c r="A20" s="630" t="s">
        <v>1002</v>
      </c>
      <c r="B20" s="537" t="s">
        <v>1141</v>
      </c>
      <c r="C20" s="634">
        <v>41177</v>
      </c>
      <c r="D20" s="479">
        <v>41580.12148072476</v>
      </c>
      <c r="E20">
        <v>18599</v>
      </c>
      <c r="F20" s="479">
        <v>36306.972471305417</v>
      </c>
      <c r="G20">
        <v>11152</v>
      </c>
      <c r="I20" s="479">
        <v>32348.929893617009</v>
      </c>
      <c r="J20" s="479">
        <v>36458.339580722277</v>
      </c>
      <c r="K20" s="479">
        <v>30096.090541871945</v>
      </c>
      <c r="L20" s="479">
        <v>33050.026666666672</v>
      </c>
      <c r="N20">
        <v>94</v>
      </c>
      <c r="O20">
        <v>10852</v>
      </c>
      <c r="P20">
        <v>203</v>
      </c>
      <c r="Q20">
        <v>3</v>
      </c>
      <c r="S20" s="518">
        <v>0.89098395409265874</v>
      </c>
      <c r="T20" s="518">
        <v>1.0041690920259598</v>
      </c>
      <c r="U20" s="518">
        <v>0.82893418242619554</v>
      </c>
      <c r="V20" s="518">
        <v>0.91029420568699815</v>
      </c>
      <c r="W20" s="518"/>
      <c r="X20" s="518">
        <v>0.88728478218250617</v>
      </c>
      <c r="Y20" s="518">
        <v>1</v>
      </c>
      <c r="Z20" s="518">
        <v>0.82549262769458553</v>
      </c>
      <c r="AA20" s="518">
        <v>0.90651486180523189</v>
      </c>
      <c r="AB20" s="635" t="str">
        <f t="shared" si="0"/>
        <v>x</v>
      </c>
      <c r="AC20" s="518" t="str">
        <f t="shared" si="1"/>
        <v/>
      </c>
    </row>
    <row r="21" spans="1:29" x14ac:dyDescent="0.2">
      <c r="A21" s="630" t="s">
        <v>1003</v>
      </c>
      <c r="B21" s="537" t="s">
        <v>1142</v>
      </c>
      <c r="C21" s="634">
        <v>19283</v>
      </c>
      <c r="D21" s="479">
        <v>18080.988210788662</v>
      </c>
      <c r="E21">
        <v>34110</v>
      </c>
      <c r="F21" s="479">
        <v>15353.71304537015</v>
      </c>
      <c r="G21">
        <v>20454</v>
      </c>
      <c r="I21" s="479">
        <v>14671.578964737877</v>
      </c>
      <c r="J21" s="479">
        <v>17136.506941282219</v>
      </c>
      <c r="K21" s="479">
        <v>9391.1648630137024</v>
      </c>
      <c r="L21" s="479">
        <v>11867.647941176472</v>
      </c>
      <c r="N21">
        <v>13272</v>
      </c>
      <c r="O21">
        <v>6676</v>
      </c>
      <c r="P21">
        <v>438</v>
      </c>
      <c r="Q21">
        <v>68</v>
      </c>
      <c r="S21" s="518">
        <v>0.95557204445487742</v>
      </c>
      <c r="T21" s="518">
        <v>1.1161148375408556</v>
      </c>
      <c r="U21" s="518">
        <v>0.6116543167937849</v>
      </c>
      <c r="V21" s="518">
        <v>0.7729497031830429</v>
      </c>
      <c r="W21" s="518"/>
      <c r="X21" s="518">
        <v>0.85615925199981813</v>
      </c>
      <c r="Y21" s="518">
        <v>1</v>
      </c>
      <c r="Z21" s="518">
        <v>0.54802095288102037</v>
      </c>
      <c r="AA21" s="518">
        <v>0.69253599825452461</v>
      </c>
      <c r="AB21" s="635" t="str">
        <f t="shared" si="0"/>
        <v>x</v>
      </c>
      <c r="AC21" s="518" t="str">
        <f t="shared" si="1"/>
        <v/>
      </c>
    </row>
    <row r="22" spans="1:29" x14ac:dyDescent="0.2">
      <c r="A22" s="630" t="s">
        <v>1004</v>
      </c>
      <c r="B22" s="537" t="s">
        <v>1144</v>
      </c>
      <c r="C22" s="634">
        <v>11497</v>
      </c>
      <c r="D22" s="479">
        <v>11316.378682943048</v>
      </c>
      <c r="E22">
        <v>42147</v>
      </c>
      <c r="F22" s="479">
        <v>8658.3441377536765</v>
      </c>
      <c r="G22">
        <v>25277</v>
      </c>
      <c r="I22" s="479">
        <v>9797.1511722588493</v>
      </c>
      <c r="J22" s="479">
        <v>29445.593534743195</v>
      </c>
      <c r="K22" s="479">
        <v>6498.4087481146407</v>
      </c>
      <c r="L22" s="479">
        <v>6577.5838043478261</v>
      </c>
      <c r="N22">
        <v>14246</v>
      </c>
      <c r="O22">
        <v>331</v>
      </c>
      <c r="P22">
        <v>10608</v>
      </c>
      <c r="Q22">
        <v>92</v>
      </c>
      <c r="S22" s="518">
        <v>1.1315271160844185</v>
      </c>
      <c r="T22" s="518">
        <v>3.4008342780404393</v>
      </c>
      <c r="U22" s="518">
        <v>0.7505371286617154</v>
      </c>
      <c r="V22" s="518">
        <v>0.75968149333162405</v>
      </c>
      <c r="W22" s="518"/>
      <c r="X22" s="518">
        <v>0.332720451387712</v>
      </c>
      <c r="Y22" s="518">
        <v>1</v>
      </c>
      <c r="Z22" s="518">
        <v>0.22069206180025183</v>
      </c>
      <c r="AA22" s="518">
        <v>0.22338092103957283</v>
      </c>
      <c r="AB22" s="635" t="str">
        <f t="shared" si="0"/>
        <v/>
      </c>
      <c r="AC22" s="518" t="str">
        <f t="shared" si="1"/>
        <v/>
      </c>
    </row>
    <row r="23" spans="1:29" x14ac:dyDescent="0.2">
      <c r="A23" s="630" t="s">
        <v>1005</v>
      </c>
      <c r="B23" s="537" t="s">
        <v>1143</v>
      </c>
      <c r="C23" s="634">
        <v>42429</v>
      </c>
      <c r="D23" s="479">
        <v>41832.313587326265</v>
      </c>
      <c r="E23">
        <v>31182</v>
      </c>
      <c r="F23" s="479">
        <v>36925.163132819944</v>
      </c>
      <c r="G23">
        <v>18702</v>
      </c>
      <c r="I23" s="479">
        <v>25317.949096385542</v>
      </c>
      <c r="J23" s="479">
        <v>37463.538707551874</v>
      </c>
      <c r="K23" s="479">
        <v>28276.759298642559</v>
      </c>
      <c r="L23" s="479">
        <v>45535.563999999977</v>
      </c>
      <c r="N23">
        <v>498</v>
      </c>
      <c r="O23">
        <v>17757</v>
      </c>
      <c r="P23">
        <v>442</v>
      </c>
      <c r="Q23">
        <v>5</v>
      </c>
      <c r="S23" s="518">
        <v>0.68565571410793202</v>
      </c>
      <c r="T23" s="518">
        <v>1.0145801813466711</v>
      </c>
      <c r="U23" s="518">
        <v>0.76578562962419294</v>
      </c>
      <c r="V23" s="518">
        <v>1.2331851815036914</v>
      </c>
      <c r="W23" s="518"/>
      <c r="X23" s="518">
        <v>0.67580239266831377</v>
      </c>
      <c r="Y23" s="518">
        <v>1</v>
      </c>
      <c r="Z23" s="518">
        <v>0.75478078884583721</v>
      </c>
      <c r="AA23" s="518">
        <v>1.2154635032066778</v>
      </c>
      <c r="AB23" s="635" t="str">
        <f t="shared" si="0"/>
        <v>x</v>
      </c>
      <c r="AC23" s="518" t="str">
        <f t="shared" si="1"/>
        <v/>
      </c>
    </row>
    <row r="24" spans="1:29" x14ac:dyDescent="0.2">
      <c r="A24" s="630" t="s">
        <v>1006</v>
      </c>
      <c r="B24" s="537" t="s">
        <v>954</v>
      </c>
      <c r="C24" s="634">
        <v>82366</v>
      </c>
      <c r="D24" s="479">
        <v>86830.595809797203</v>
      </c>
      <c r="E24">
        <v>13596</v>
      </c>
      <c r="F24" s="479">
        <v>70499.653420051531</v>
      </c>
      <c r="G24">
        <v>8149</v>
      </c>
      <c r="I24" s="479">
        <v>39483.22910052909</v>
      </c>
      <c r="J24" s="479">
        <v>71370.405014662741</v>
      </c>
      <c r="K24" s="479">
        <v>61955.255803571432</v>
      </c>
      <c r="L24" s="479">
        <v>68454.047999999995</v>
      </c>
      <c r="N24">
        <v>189</v>
      </c>
      <c r="O24">
        <v>7843</v>
      </c>
      <c r="P24">
        <v>112</v>
      </c>
      <c r="Q24">
        <v>5</v>
      </c>
      <c r="S24" s="518">
        <v>0.56004855605856441</v>
      </c>
      <c r="T24" s="518">
        <v>1.0123511471669668</v>
      </c>
      <c r="U24" s="518">
        <v>0.87880227487685925</v>
      </c>
      <c r="V24" s="518">
        <v>0.97098417764037226</v>
      </c>
      <c r="W24" s="518"/>
      <c r="X24" s="518">
        <v>0.55321570744088433</v>
      </c>
      <c r="Y24" s="518">
        <v>1</v>
      </c>
      <c r="Z24" s="518">
        <v>0.86808048505319524</v>
      </c>
      <c r="AA24" s="518">
        <v>0.95913772642787165</v>
      </c>
      <c r="AB24" s="635" t="str">
        <f t="shared" si="0"/>
        <v>x</v>
      </c>
      <c r="AC24" s="518" t="str">
        <f t="shared" si="1"/>
        <v/>
      </c>
    </row>
    <row r="25" spans="1:29" x14ac:dyDescent="0.2">
      <c r="A25" s="630" t="s">
        <v>1007</v>
      </c>
      <c r="B25" s="537" t="s">
        <v>959</v>
      </c>
      <c r="C25" s="634">
        <v>6696</v>
      </c>
      <c r="D25" s="479">
        <v>8654.0564684591354</v>
      </c>
      <c r="E25">
        <v>1934</v>
      </c>
      <c r="F25" s="479">
        <v>5955.5854238754346</v>
      </c>
      <c r="G25">
        <v>1156</v>
      </c>
      <c r="I25" s="479">
        <v>7209.5809775641092</v>
      </c>
      <c r="J25" s="479">
        <v>6174.12</v>
      </c>
      <c r="K25" s="479">
        <v>4637.8134979423849</v>
      </c>
      <c r="L25" s="479">
        <v>2636.7093023255816</v>
      </c>
      <c r="N25">
        <v>624</v>
      </c>
      <c r="O25">
        <v>3</v>
      </c>
      <c r="P25">
        <v>486</v>
      </c>
      <c r="Q25">
        <v>43</v>
      </c>
      <c r="S25" s="518">
        <v>1.2105578989198129</v>
      </c>
      <c r="T25" s="518">
        <v>1.0366940545002477</v>
      </c>
      <c r="U25" s="518">
        <v>0.77873343556618058</v>
      </c>
      <c r="V25" s="518">
        <v>0.4427288191947073</v>
      </c>
      <c r="W25" s="518"/>
      <c r="X25" s="518">
        <v>1.167709888626089</v>
      </c>
      <c r="Y25" s="518">
        <v>1</v>
      </c>
      <c r="Z25" s="518">
        <v>0.75116996396934055</v>
      </c>
      <c r="AA25" s="518">
        <v>0.42705831799925847</v>
      </c>
      <c r="AB25" s="635" t="str">
        <f t="shared" si="0"/>
        <v/>
      </c>
      <c r="AC25" s="518" t="str">
        <f t="shared" si="1"/>
        <v>x</v>
      </c>
    </row>
    <row r="26" spans="1:29" x14ac:dyDescent="0.2">
      <c r="A26" s="630" t="s">
        <v>1008</v>
      </c>
      <c r="B26" s="537" t="s">
        <v>1140</v>
      </c>
      <c r="C26" s="634">
        <v>4656</v>
      </c>
      <c r="D26" s="479">
        <v>6385.6310969005017</v>
      </c>
      <c r="E26">
        <v>39329</v>
      </c>
      <c r="F26" s="479">
        <v>4183.809135263451</v>
      </c>
      <c r="G26">
        <v>23591</v>
      </c>
      <c r="I26" s="479">
        <v>5347.6238146679052</v>
      </c>
      <c r="J26" s="479">
        <v>24638.738170731707</v>
      </c>
      <c r="K26" s="479">
        <v>3426.3071868421134</v>
      </c>
      <c r="L26" s="479">
        <v>1321.1561211664161</v>
      </c>
      <c r="N26">
        <v>11849</v>
      </c>
      <c r="O26">
        <v>164</v>
      </c>
      <c r="P26">
        <v>7600</v>
      </c>
      <c r="Q26">
        <v>3978</v>
      </c>
      <c r="S26" s="518">
        <v>1.2781710737220735</v>
      </c>
      <c r="T26" s="518">
        <v>5.8890684001482843</v>
      </c>
      <c r="U26" s="518">
        <v>0.81894442984105242</v>
      </c>
      <c r="V26" s="518">
        <v>0.31577829639286925</v>
      </c>
      <c r="W26" s="518"/>
      <c r="X26" s="518">
        <v>0.21704130209964784</v>
      </c>
      <c r="Y26" s="518">
        <v>1</v>
      </c>
      <c r="Z26" s="518">
        <v>0.13906179622916789</v>
      </c>
      <c r="AA26" s="518">
        <v>5.3621095041945538E-2</v>
      </c>
      <c r="AB26" s="635" t="str">
        <f t="shared" si="0"/>
        <v/>
      </c>
      <c r="AC26" s="518" t="str">
        <f t="shared" si="1"/>
        <v>x</v>
      </c>
    </row>
    <row r="27" spans="1:29" x14ac:dyDescent="0.2">
      <c r="A27" s="630" t="s">
        <v>1009</v>
      </c>
      <c r="B27" s="537" t="s">
        <v>1138</v>
      </c>
      <c r="C27" s="634">
        <v>12169</v>
      </c>
      <c r="D27" s="479">
        <v>19322.476709072951</v>
      </c>
      <c r="E27">
        <v>36394</v>
      </c>
      <c r="F27" s="479">
        <v>13755.588406175593</v>
      </c>
      <c r="G27">
        <v>21828</v>
      </c>
      <c r="I27" s="479">
        <v>17918.685360762742</v>
      </c>
      <c r="J27" s="479">
        <v>48078.143511450362</v>
      </c>
      <c r="K27" s="479">
        <v>12615.193390679806</v>
      </c>
      <c r="L27" s="479">
        <v>4974.5414699981729</v>
      </c>
      <c r="N27">
        <v>9965</v>
      </c>
      <c r="O27">
        <v>393</v>
      </c>
      <c r="P27">
        <v>5987</v>
      </c>
      <c r="Q27">
        <v>5483</v>
      </c>
      <c r="S27" s="518">
        <v>1.3026476826478843</v>
      </c>
      <c r="T27" s="518">
        <v>3.4951717143459748</v>
      </c>
      <c r="U27" s="518">
        <v>0.91709587537645387</v>
      </c>
      <c r="V27" s="518">
        <v>0.36163785387507269</v>
      </c>
      <c r="W27" s="518"/>
      <c r="X27" s="518">
        <v>0.37269919452058714</v>
      </c>
      <c r="Y27" s="518">
        <v>1</v>
      </c>
      <c r="Z27" s="518">
        <v>0.26238936176217686</v>
      </c>
      <c r="AA27" s="518">
        <v>0.10346783604099498</v>
      </c>
      <c r="AB27" s="635" t="str">
        <f t="shared" si="0"/>
        <v/>
      </c>
      <c r="AC27" s="518" t="str">
        <f t="shared" si="1"/>
        <v/>
      </c>
    </row>
    <row r="28" spans="1:29" x14ac:dyDescent="0.2">
      <c r="A28" s="630" t="s">
        <v>1023</v>
      </c>
      <c r="B28" s="537" t="s">
        <v>1020</v>
      </c>
      <c r="C28" s="634">
        <v>29354</v>
      </c>
      <c r="D28" s="479">
        <v>33880.38661473745</v>
      </c>
      <c r="E28">
        <v>6419</v>
      </c>
      <c r="F28" s="479">
        <v>25371.478005201596</v>
      </c>
      <c r="G28">
        <v>3845</v>
      </c>
      <c r="I28" s="479">
        <v>18167.524953742632</v>
      </c>
      <c r="J28" s="479">
        <v>28818.834533447014</v>
      </c>
      <c r="K28" s="479">
        <v>26963.096464646445</v>
      </c>
      <c r="L28" s="479">
        <v>25525.12166666667</v>
      </c>
      <c r="N28">
        <v>1189</v>
      </c>
      <c r="O28">
        <v>2347</v>
      </c>
      <c r="P28">
        <v>297</v>
      </c>
      <c r="Q28">
        <v>12</v>
      </c>
      <c r="S28" s="518">
        <v>0.71606096223554538</v>
      </c>
      <c r="T28" s="518">
        <v>1.1358752740986808</v>
      </c>
      <c r="U28" s="518">
        <v>1.0627325873218163</v>
      </c>
      <c r="V28" s="518">
        <v>1.006055763146064</v>
      </c>
      <c r="W28" s="518"/>
      <c r="X28" s="518">
        <v>0.63040456867391637</v>
      </c>
      <c r="Y28" s="518">
        <v>1</v>
      </c>
      <c r="Z28" s="518">
        <v>0.93560676207614135</v>
      </c>
      <c r="AA28" s="518">
        <v>0.88570971310593161</v>
      </c>
      <c r="AB28" s="635" t="str">
        <f t="shared" si="0"/>
        <v>x</v>
      </c>
      <c r="AC28" s="518" t="str">
        <f t="shared" si="1"/>
        <v/>
      </c>
    </row>
    <row r="29" spans="1:29" x14ac:dyDescent="0.2">
      <c r="A29" s="630" t="s">
        <v>1010</v>
      </c>
      <c r="B29" s="537" t="s">
        <v>831</v>
      </c>
      <c r="C29" s="634">
        <v>6582</v>
      </c>
      <c r="D29" s="479">
        <v>8472.6353333333318</v>
      </c>
      <c r="E29">
        <v>1050</v>
      </c>
      <c r="F29" s="479">
        <v>5866.7045906902067</v>
      </c>
      <c r="G29">
        <v>623</v>
      </c>
      <c r="I29" s="479">
        <v>6939.9130701754384</v>
      </c>
      <c r="J29" s="479">
        <v>8827.9333333333325</v>
      </c>
      <c r="K29" s="479">
        <v>4496.5080740740741</v>
      </c>
      <c r="L29" s="479">
        <v>5120.7137499999999</v>
      </c>
      <c r="N29">
        <v>342</v>
      </c>
      <c r="O29">
        <v>3</v>
      </c>
      <c r="P29">
        <v>270</v>
      </c>
      <c r="Q29">
        <v>8</v>
      </c>
      <c r="S29" s="518">
        <v>1.1829320810167077</v>
      </c>
      <c r="T29" s="518">
        <v>1.5047516364369631</v>
      </c>
      <c r="U29" s="518">
        <v>0.76644528534972112</v>
      </c>
      <c r="V29" s="518">
        <v>0.87284329231882418</v>
      </c>
      <c r="W29" s="518"/>
      <c r="X29" s="518">
        <v>0.78613111451250639</v>
      </c>
      <c r="Y29" s="518">
        <v>1</v>
      </c>
      <c r="Z29" s="518">
        <v>0.50935002613757174</v>
      </c>
      <c r="AA29" s="518">
        <v>0.58005804491802537</v>
      </c>
      <c r="AB29" s="635" t="str">
        <f t="shared" si="0"/>
        <v/>
      </c>
      <c r="AC29" s="518" t="str">
        <f t="shared" si="1"/>
        <v>x</v>
      </c>
    </row>
    <row r="30" spans="1:29" x14ac:dyDescent="0.2">
      <c r="A30" s="630" t="s">
        <v>1011</v>
      </c>
      <c r="B30" s="537" t="s">
        <v>832</v>
      </c>
      <c r="C30" s="634">
        <v>40843</v>
      </c>
      <c r="D30" s="479">
        <v>39951.099526066384</v>
      </c>
      <c r="E30">
        <v>1899</v>
      </c>
      <c r="F30" s="479">
        <v>34990.567025595738</v>
      </c>
      <c r="G30">
        <v>1133</v>
      </c>
      <c r="I30" s="479">
        <v>28534.719354838719</v>
      </c>
      <c r="J30" s="479">
        <v>35815.097312992097</v>
      </c>
      <c r="K30" s="479">
        <v>25101.861250000005</v>
      </c>
      <c r="L30" s="479">
        <v>0</v>
      </c>
      <c r="N30">
        <v>93</v>
      </c>
      <c r="O30">
        <v>1016</v>
      </c>
      <c r="P30">
        <v>24</v>
      </c>
      <c r="Q30">
        <v>0</v>
      </c>
      <c r="S30" s="518">
        <v>0.81549748347791728</v>
      </c>
      <c r="T30" s="518">
        <v>1.0235643591255097</v>
      </c>
      <c r="U30" s="518">
        <v>0.7173893818764896</v>
      </c>
      <c r="V30" s="518">
        <v>0</v>
      </c>
      <c r="W30" s="518"/>
      <c r="X30" s="518">
        <v>0.79672321159623416</v>
      </c>
      <c r="Y30" s="518">
        <v>1</v>
      </c>
      <c r="Z30" s="518">
        <v>0.70087374133405433</v>
      </c>
      <c r="AA30" s="518">
        <v>0</v>
      </c>
      <c r="AB30" s="635" t="str">
        <f t="shared" si="0"/>
        <v>x</v>
      </c>
      <c r="AC30" s="518" t="str">
        <f t="shared" si="1"/>
        <v/>
      </c>
    </row>
    <row r="31" spans="1:29" x14ac:dyDescent="0.2">
      <c r="A31" s="630" t="s">
        <v>1012</v>
      </c>
      <c r="B31" s="537" t="s">
        <v>833</v>
      </c>
      <c r="C31" s="634">
        <v>6188</v>
      </c>
      <c r="D31" s="479">
        <v>6736.3126989788107</v>
      </c>
      <c r="E31">
        <v>38974</v>
      </c>
      <c r="F31" s="479">
        <v>5320.2525843850235</v>
      </c>
      <c r="G31">
        <v>23375</v>
      </c>
      <c r="I31" s="479">
        <v>6199.694322788273</v>
      </c>
      <c r="J31" s="479">
        <v>15279.568505154639</v>
      </c>
      <c r="K31" s="479">
        <v>3591.5174113225253</v>
      </c>
      <c r="L31" s="479">
        <v>4415.1228571428574</v>
      </c>
      <c r="N31">
        <v>14604</v>
      </c>
      <c r="O31">
        <v>194</v>
      </c>
      <c r="P31">
        <v>8514</v>
      </c>
      <c r="Q31">
        <v>63</v>
      </c>
      <c r="S31" s="518">
        <v>1.1653007492509693</v>
      </c>
      <c r="T31" s="518">
        <v>2.8719629872461834</v>
      </c>
      <c r="U31" s="518">
        <v>0.67506520684067761</v>
      </c>
      <c r="V31" s="518">
        <v>0.82987091065963148</v>
      </c>
      <c r="W31" s="518"/>
      <c r="X31" s="518">
        <v>0.40575061531984852</v>
      </c>
      <c r="Y31" s="518">
        <v>1</v>
      </c>
      <c r="Z31" s="518">
        <v>0.23505358872607618</v>
      </c>
      <c r="AA31" s="518">
        <v>0.28895599084839296</v>
      </c>
      <c r="AB31" s="635" t="str">
        <f t="shared" si="0"/>
        <v/>
      </c>
      <c r="AC31" s="518" t="str">
        <f t="shared" si="1"/>
        <v>x</v>
      </c>
    </row>
    <row r="32" spans="1:29" x14ac:dyDescent="0.2">
      <c r="A32" s="630" t="s">
        <v>1013</v>
      </c>
      <c r="B32" s="537" t="s">
        <v>958</v>
      </c>
      <c r="C32" s="634">
        <v>6963</v>
      </c>
      <c r="D32" s="479">
        <v>12783.024017247668</v>
      </c>
      <c r="E32">
        <v>274820</v>
      </c>
      <c r="F32" s="479">
        <v>6226.923452475542</v>
      </c>
      <c r="G32">
        <v>164873</v>
      </c>
      <c r="I32" s="479">
        <v>5680.934644550387</v>
      </c>
      <c r="J32" s="479">
        <v>28872.097766707764</v>
      </c>
      <c r="K32" s="479">
        <v>3491.7944531250091</v>
      </c>
      <c r="L32" s="479">
        <v>3256.3962190191651</v>
      </c>
      <c r="N32">
        <v>75721</v>
      </c>
      <c r="O32">
        <v>11342</v>
      </c>
      <c r="P32">
        <v>66432</v>
      </c>
      <c r="Q32">
        <v>11378</v>
      </c>
      <c r="S32" s="518">
        <v>0.91231804725203514</v>
      </c>
      <c r="T32" s="518">
        <v>4.6366553221767211</v>
      </c>
      <c r="U32" s="518">
        <v>0.5607575682878887</v>
      </c>
      <c r="V32" s="518">
        <v>0.52295427169970587</v>
      </c>
      <c r="W32" s="518"/>
      <c r="X32" s="518">
        <v>0.19676210195924998</v>
      </c>
      <c r="Y32" s="518">
        <v>1</v>
      </c>
      <c r="Z32" s="518">
        <v>0.12094010214773433</v>
      </c>
      <c r="AA32" s="518">
        <v>0.11278696287784448</v>
      </c>
      <c r="AB32" s="635" t="str">
        <f t="shared" si="0"/>
        <v/>
      </c>
      <c r="AC32" s="518" t="str">
        <f t="shared" si="1"/>
        <v/>
      </c>
    </row>
    <row r="33" spans="1:29" x14ac:dyDescent="0.2">
      <c r="A33" s="630" t="s">
        <v>1014</v>
      </c>
      <c r="B33" s="537" t="s">
        <v>1139</v>
      </c>
      <c r="C33" s="634">
        <v>15381</v>
      </c>
      <c r="D33" s="479">
        <v>15536.856632510488</v>
      </c>
      <c r="E33">
        <v>6441</v>
      </c>
      <c r="F33" s="479">
        <v>12986.087979771786</v>
      </c>
      <c r="G33">
        <v>3856</v>
      </c>
      <c r="I33" s="479">
        <v>13195.094194901583</v>
      </c>
      <c r="J33" s="479">
        <v>18964.374846625775</v>
      </c>
      <c r="K33" s="479">
        <v>6793.6833578431369</v>
      </c>
      <c r="L33" s="479">
        <v>9936.9273913043471</v>
      </c>
      <c r="N33">
        <v>3099</v>
      </c>
      <c r="O33">
        <v>326</v>
      </c>
      <c r="P33">
        <v>408</v>
      </c>
      <c r="Q33">
        <v>23</v>
      </c>
      <c r="S33" s="518">
        <v>1.0160946249136278</v>
      </c>
      <c r="T33" s="518">
        <v>1.460360878207992</v>
      </c>
      <c r="U33" s="518">
        <v>0.52315088026706313</v>
      </c>
      <c r="V33" s="518">
        <v>0.76519791077828314</v>
      </c>
      <c r="W33" s="518"/>
      <c r="X33" s="518">
        <v>0.69578324103044786</v>
      </c>
      <c r="Y33" s="518">
        <v>1</v>
      </c>
      <c r="Z33" s="518">
        <v>0.35823397358399606</v>
      </c>
      <c r="AA33" s="518">
        <v>0.52397864267444438</v>
      </c>
      <c r="AB33" s="635" t="str">
        <f t="shared" si="0"/>
        <v/>
      </c>
      <c r="AC33" s="518" t="str">
        <f t="shared" si="1"/>
        <v/>
      </c>
    </row>
    <row r="34" spans="1:29" x14ac:dyDescent="0.2">
      <c r="B34" s="632"/>
    </row>
    <row r="35" spans="1:29" x14ac:dyDescent="0.2">
      <c r="A35" s="636" t="s">
        <v>979</v>
      </c>
      <c r="B35" s="632"/>
      <c r="X35" s="455">
        <v>0.5595258031501672</v>
      </c>
      <c r="Y35" s="455">
        <v>1</v>
      </c>
      <c r="Z35" s="455">
        <v>0.46483862940057297</v>
      </c>
      <c r="AA35" s="455">
        <v>0.34747866673653977</v>
      </c>
    </row>
    <row r="36" spans="1:29" x14ac:dyDescent="0.2">
      <c r="A36" s="636" t="s">
        <v>1015</v>
      </c>
      <c r="B36" s="632"/>
      <c r="X36" s="518">
        <v>0.36941075484603902</v>
      </c>
      <c r="Y36" s="518">
        <v>1</v>
      </c>
      <c r="Z36" s="518">
        <v>0.18958609264505211</v>
      </c>
      <c r="AA36" s="518">
        <v>0.13037928074956948</v>
      </c>
    </row>
    <row r="37" spans="1:29" x14ac:dyDescent="0.2">
      <c r="A37" s="636" t="s">
        <v>1016</v>
      </c>
      <c r="B37" s="632"/>
      <c r="X37" s="518">
        <v>0.43953397399026845</v>
      </c>
      <c r="Y37" s="518">
        <v>1</v>
      </c>
      <c r="Z37" s="518">
        <v>0.27902133151118858</v>
      </c>
      <c r="AA37" s="518">
        <v>0.17411513859257743</v>
      </c>
    </row>
    <row r="38" spans="1:29" x14ac:dyDescent="0.2">
      <c r="A38" s="478" t="s">
        <v>1017</v>
      </c>
      <c r="B38" s="632"/>
      <c r="X38" s="637">
        <v>0.6</v>
      </c>
      <c r="Y38" s="637">
        <v>1</v>
      </c>
      <c r="Z38" s="637">
        <v>0.5</v>
      </c>
      <c r="AA38" s="637">
        <v>0.3</v>
      </c>
    </row>
    <row r="39" spans="1:29" s="349" customFormat="1" x14ac:dyDescent="0.2">
      <c r="A39" s="638" t="s">
        <v>1018</v>
      </c>
      <c r="B39" s="633"/>
      <c r="I39" s="639"/>
      <c r="J39" s="639"/>
      <c r="K39" s="639"/>
      <c r="L39" s="639"/>
      <c r="M39" s="639"/>
      <c r="X39" s="640">
        <v>0.7</v>
      </c>
      <c r="Y39" s="640">
        <v>1</v>
      </c>
      <c r="Z39" s="640">
        <v>0.6</v>
      </c>
      <c r="AA39" s="640">
        <v>0.25</v>
      </c>
      <c r="AB39" s="641"/>
    </row>
    <row r="40" spans="1:29" x14ac:dyDescent="0.2">
      <c r="A40" s="478" t="s">
        <v>1019</v>
      </c>
      <c r="B40" s="632"/>
      <c r="X40" s="642">
        <v>0.8</v>
      </c>
      <c r="Y40" s="642">
        <v>1</v>
      </c>
      <c r="Z40" s="642">
        <v>0.7</v>
      </c>
      <c r="AA40" s="642">
        <v>0.2</v>
      </c>
    </row>
    <row r="41" spans="1:29" x14ac:dyDescent="0.2">
      <c r="B41" s="632"/>
    </row>
    <row r="42" spans="1:29" x14ac:dyDescent="0.2">
      <c r="B42" s="632"/>
    </row>
    <row r="43" spans="1:29" x14ac:dyDescent="0.2">
      <c r="B43" s="632"/>
    </row>
    <row r="44" spans="1:29" x14ac:dyDescent="0.2">
      <c r="B44" s="632"/>
    </row>
    <row r="45" spans="1:29" x14ac:dyDescent="0.2">
      <c r="B45" s="632"/>
    </row>
    <row r="46" spans="1:29" x14ac:dyDescent="0.2">
      <c r="B46" s="632"/>
    </row>
    <row r="47" spans="1:29" x14ac:dyDescent="0.2">
      <c r="B47" s="632"/>
    </row>
    <row r="48" spans="1:29" x14ac:dyDescent="0.2">
      <c r="B48" s="632"/>
    </row>
    <row r="49" spans="2:2" x14ac:dyDescent="0.2">
      <c r="B49" s="632"/>
    </row>
    <row r="50" spans="2:2" x14ac:dyDescent="0.2">
      <c r="B50" s="632"/>
    </row>
    <row r="51" spans="2:2" x14ac:dyDescent="0.2">
      <c r="B51" s="632"/>
    </row>
    <row r="52" spans="2:2" x14ac:dyDescent="0.2">
      <c r="B52" s="632"/>
    </row>
    <row r="53" spans="2:2" x14ac:dyDescent="0.2">
      <c r="B53" s="632"/>
    </row>
    <row r="54" spans="2:2" x14ac:dyDescent="0.2">
      <c r="B54" s="632"/>
    </row>
    <row r="55" spans="2:2" x14ac:dyDescent="0.2">
      <c r="B55" s="632"/>
    </row>
    <row r="56" spans="2:2" x14ac:dyDescent="0.2">
      <c r="B56" s="632"/>
    </row>
    <row r="57" spans="2:2" x14ac:dyDescent="0.2">
      <c r="B57" s="632"/>
    </row>
    <row r="58" spans="2:2" x14ac:dyDescent="0.2">
      <c r="B58" s="632"/>
    </row>
    <row r="59" spans="2:2" x14ac:dyDescent="0.2">
      <c r="B59" s="632"/>
    </row>
    <row r="60" spans="2:2" x14ac:dyDescent="0.2">
      <c r="B60" s="63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enableFormatConditionsCalculation="0"/>
  <dimension ref="A1:AN60"/>
  <sheetViews>
    <sheetView workbookViewId="0">
      <pane xSplit="1" ySplit="2" topLeftCell="C3" activePane="bottomRight" state="frozen"/>
      <selection activeCell="C4" sqref="C4"/>
      <selection pane="topRight" activeCell="C4" sqref="C4"/>
      <selection pane="bottomLeft" activeCell="C4" sqref="C4"/>
      <selection pane="bottomRight" activeCell="C4" sqref="C4"/>
    </sheetView>
  </sheetViews>
  <sheetFormatPr baseColWidth="10" defaultColWidth="8.83203125" defaultRowHeight="15" x14ac:dyDescent="0.2"/>
  <cols>
    <col min="1" max="1" width="29.1640625" style="478" customWidth="1"/>
    <col min="2" max="2" width="48.83203125" customWidth="1"/>
    <col min="3" max="3" width="21.83203125" customWidth="1"/>
    <col min="4" max="7" width="17.1640625" customWidth="1"/>
    <col min="8" max="8" width="3.83203125" customWidth="1"/>
    <col min="9" max="12" width="18.83203125" style="479" customWidth="1"/>
    <col min="13" max="13" width="5.1640625" style="479" customWidth="1"/>
    <col min="14" max="17" width="14.1640625" customWidth="1"/>
    <col min="18" max="18" width="3.83203125" customWidth="1"/>
    <col min="19" max="22" width="14.1640625" customWidth="1"/>
    <col min="23" max="23" width="3.1640625" customWidth="1"/>
    <col min="24" max="27" width="14.1640625" customWidth="1"/>
    <col min="28" max="28" width="10.5" customWidth="1"/>
    <col min="40" max="40" width="9.83203125" bestFit="1" customWidth="1"/>
  </cols>
  <sheetData>
    <row r="1" spans="1:40" x14ac:dyDescent="0.2">
      <c r="B1" s="624"/>
      <c r="C1" s="624" t="s">
        <v>967</v>
      </c>
      <c r="D1" s="624" t="s">
        <v>968</v>
      </c>
      <c r="E1" s="624" t="s">
        <v>969</v>
      </c>
      <c r="F1" s="624" t="s">
        <v>970</v>
      </c>
      <c r="G1" s="624" t="s">
        <v>970</v>
      </c>
      <c r="H1" s="626"/>
      <c r="I1" s="627" t="s">
        <v>971</v>
      </c>
      <c r="J1" s="628" t="s">
        <v>972</v>
      </c>
      <c r="K1" s="628" t="s">
        <v>973</v>
      </c>
      <c r="L1" s="628" t="s">
        <v>974</v>
      </c>
      <c r="M1" s="628"/>
      <c r="N1" s="627" t="s">
        <v>971</v>
      </c>
      <c r="O1" s="627" t="s">
        <v>972</v>
      </c>
      <c r="P1" s="627" t="s">
        <v>973</v>
      </c>
      <c r="Q1" s="627" t="s">
        <v>974</v>
      </c>
      <c r="S1" s="627" t="s">
        <v>971</v>
      </c>
      <c r="T1" s="627" t="s">
        <v>972</v>
      </c>
      <c r="U1" s="627" t="s">
        <v>973</v>
      </c>
      <c r="V1" s="627" t="s">
        <v>974</v>
      </c>
      <c r="W1" s="627"/>
      <c r="X1" s="627" t="s">
        <v>971</v>
      </c>
      <c r="Y1" s="627" t="s">
        <v>972</v>
      </c>
      <c r="Z1" s="627" t="s">
        <v>973</v>
      </c>
      <c r="AA1" s="627" t="s">
        <v>974</v>
      </c>
    </row>
    <row r="2" spans="1:40" x14ac:dyDescent="0.2">
      <c r="A2" s="630" t="s">
        <v>976</v>
      </c>
      <c r="B2" s="631" t="s">
        <v>977</v>
      </c>
      <c r="C2" s="632" t="s">
        <v>978</v>
      </c>
      <c r="D2" s="632" t="s">
        <v>1021</v>
      </c>
      <c r="E2" s="632" t="s">
        <v>403</v>
      </c>
      <c r="F2" s="632" t="s">
        <v>979</v>
      </c>
      <c r="G2" s="633" t="s">
        <v>403</v>
      </c>
      <c r="I2" s="479" t="s">
        <v>980</v>
      </c>
      <c r="J2" s="479" t="s">
        <v>943</v>
      </c>
      <c r="K2" s="479" t="s">
        <v>981</v>
      </c>
      <c r="L2" s="479" t="s">
        <v>982</v>
      </c>
      <c r="N2" s="479" t="s">
        <v>980</v>
      </c>
      <c r="O2" s="479" t="s">
        <v>943</v>
      </c>
      <c r="P2" s="479" t="s">
        <v>981</v>
      </c>
      <c r="Q2" s="479" t="s">
        <v>982</v>
      </c>
      <c r="S2" s="479" t="s">
        <v>980</v>
      </c>
      <c r="T2" s="479" t="s">
        <v>943</v>
      </c>
      <c r="U2" s="479" t="s">
        <v>981</v>
      </c>
      <c r="V2" s="479" t="s">
        <v>982</v>
      </c>
      <c r="W2" s="479"/>
      <c r="X2" s="479" t="s">
        <v>980</v>
      </c>
      <c r="Y2" s="479" t="s">
        <v>943</v>
      </c>
      <c r="Z2" s="479" t="s">
        <v>981</v>
      </c>
      <c r="AA2" s="479" t="s">
        <v>982</v>
      </c>
      <c r="AB2" s="479"/>
      <c r="AC2" s="479"/>
      <c r="AH2" t="s">
        <v>462</v>
      </c>
      <c r="AI2" t="s">
        <v>1</v>
      </c>
      <c r="AJ2" t="s">
        <v>981</v>
      </c>
      <c r="AK2" t="s">
        <v>982</v>
      </c>
    </row>
    <row r="3" spans="1:40" x14ac:dyDescent="0.2">
      <c r="A3" s="630" t="s">
        <v>985</v>
      </c>
      <c r="B3" s="537" t="s">
        <v>1137</v>
      </c>
      <c r="C3" s="634">
        <v>96494</v>
      </c>
      <c r="D3" s="479">
        <v>92446.392879631472</v>
      </c>
      <c r="E3">
        <v>4993</v>
      </c>
      <c r="F3" s="479">
        <v>84446.885188773856</v>
      </c>
      <c r="G3">
        <v>2993</v>
      </c>
      <c r="I3" s="479">
        <v>61461.039999999994</v>
      </c>
      <c r="J3" s="479">
        <v>92499.23651323175</v>
      </c>
      <c r="K3" s="479">
        <v>0</v>
      </c>
      <c r="L3" s="479">
        <v>34296.719999999987</v>
      </c>
      <c r="N3">
        <v>0</v>
      </c>
      <c r="O3">
        <v>499</v>
      </c>
      <c r="P3">
        <v>0</v>
      </c>
      <c r="Q3">
        <v>0</v>
      </c>
      <c r="S3" s="518">
        <v>0.72780706905422321</v>
      </c>
      <c r="T3" s="518">
        <v>1.095354035929893</v>
      </c>
      <c r="U3" s="518">
        <v>0</v>
      </c>
      <c r="V3" s="518">
        <v>0.40613362971686373</v>
      </c>
      <c r="W3" s="518"/>
      <c r="X3" s="518">
        <v>0.6644491599799115</v>
      </c>
      <c r="Y3" s="518">
        <v>1</v>
      </c>
      <c r="Z3" s="518">
        <v>0</v>
      </c>
      <c r="AA3" s="518">
        <v>0.37077841172336529</v>
      </c>
      <c r="AB3" s="518"/>
      <c r="AC3" s="518">
        <f>N3/SUM($N3:$Q3)</f>
        <v>0</v>
      </c>
      <c r="AD3" s="518">
        <f>O3/SUM($N3:$Q3)</f>
        <v>1</v>
      </c>
      <c r="AE3" s="518">
        <f>P3/SUM($N3:$Q3)</f>
        <v>0</v>
      </c>
      <c r="AF3" s="518">
        <f>Q3/SUM($N3:$Q3)</f>
        <v>0</v>
      </c>
      <c r="AH3" s="518" t="str">
        <f>IF(AND(N3&lt;20,AC3&lt;0.01),"x","")</f>
        <v>x</v>
      </c>
      <c r="AI3" s="518" t="str">
        <f t="shared" ref="AI3:AI33" si="0">IF(AND(O3&lt;20,AD3&lt;0.01),"x","")</f>
        <v/>
      </c>
      <c r="AJ3" s="518" t="str">
        <f t="shared" ref="AJ3:AJ33" si="1">IF(AND(P3&lt;20,AE3&lt;0.01),"x","")</f>
        <v>x</v>
      </c>
      <c r="AK3" s="518" t="str">
        <f t="shared" ref="AK3:AK33" si="2">IF(AND(Q3&lt;20,AF3&lt;0.01),"x","")</f>
        <v>x</v>
      </c>
    </row>
    <row r="4" spans="1:40" x14ac:dyDescent="0.2">
      <c r="A4" s="630" t="s">
        <v>986</v>
      </c>
      <c r="B4" s="537" t="s">
        <v>1134</v>
      </c>
      <c r="C4" s="634">
        <v>13576</v>
      </c>
      <c r="D4" s="479">
        <v>14139.200827205883</v>
      </c>
      <c r="E4">
        <v>2176</v>
      </c>
      <c r="F4" s="479">
        <v>12354.384595842965</v>
      </c>
      <c r="G4">
        <v>1299</v>
      </c>
      <c r="I4" s="479">
        <v>15012.166185745142</v>
      </c>
      <c r="J4" s="479">
        <v>39360.143864406775</v>
      </c>
      <c r="K4" s="479">
        <v>10427.736538569423</v>
      </c>
      <c r="L4" s="479">
        <v>10518.501866666667</v>
      </c>
      <c r="N4">
        <v>139</v>
      </c>
      <c r="O4">
        <v>6</v>
      </c>
      <c r="P4">
        <v>71</v>
      </c>
      <c r="Q4">
        <v>2</v>
      </c>
      <c r="S4" s="518">
        <v>1.2151286103555878</v>
      </c>
      <c r="T4" s="518">
        <v>3.1859250907285803</v>
      </c>
      <c r="U4" s="518">
        <v>0.84405147481633158</v>
      </c>
      <c r="V4" s="518">
        <v>0.85139828577183518</v>
      </c>
      <c r="W4" s="518"/>
      <c r="X4" s="518">
        <v>0.38140526715199802</v>
      </c>
      <c r="Y4" s="518">
        <v>1</v>
      </c>
      <c r="Z4" s="518">
        <v>0.26493136240793025</v>
      </c>
      <c r="AA4" s="518">
        <v>0.26723738365647864</v>
      </c>
      <c r="AB4" s="518"/>
      <c r="AC4" s="518">
        <f t="shared" ref="AC4:AC33" si="3">N4/SUM($N4:$Q4)</f>
        <v>0.63761467889908252</v>
      </c>
      <c r="AD4" s="518">
        <f t="shared" ref="AD4:AD33" si="4">O4/SUM($N4:$Q4)</f>
        <v>2.7522935779816515E-2</v>
      </c>
      <c r="AE4" s="518">
        <f t="shared" ref="AE4:AE33" si="5">P4/SUM($N4:$Q4)</f>
        <v>0.3256880733944954</v>
      </c>
      <c r="AF4" s="518">
        <f t="shared" ref="AF4:AF33" si="6">Q4/SUM($N4:$Q4)</f>
        <v>9.1743119266055051E-3</v>
      </c>
      <c r="AH4" s="518" t="str">
        <f t="shared" ref="AH4:AH33" si="7">IF(AND(N4&lt;20,AC4&lt;0.01),"x","")</f>
        <v/>
      </c>
      <c r="AI4" s="518" t="str">
        <f t="shared" si="0"/>
        <v/>
      </c>
      <c r="AJ4" s="518" t="str">
        <f t="shared" si="1"/>
        <v/>
      </c>
      <c r="AK4" s="518" t="str">
        <f t="shared" si="2"/>
        <v>x</v>
      </c>
      <c r="AN4" s="352"/>
    </row>
    <row r="5" spans="1:40" x14ac:dyDescent="0.2">
      <c r="A5" s="630" t="s">
        <v>987</v>
      </c>
      <c r="B5" s="537" t="s">
        <v>952</v>
      </c>
      <c r="C5" s="634">
        <v>30864</v>
      </c>
      <c r="D5" s="479">
        <v>51704.705835570385</v>
      </c>
      <c r="E5">
        <v>39263</v>
      </c>
      <c r="F5" s="479">
        <v>46045.210501443617</v>
      </c>
      <c r="G5">
        <v>23552</v>
      </c>
      <c r="I5" s="479">
        <v>20194.132894871236</v>
      </c>
      <c r="J5" s="479">
        <v>75346.802298395472</v>
      </c>
      <c r="K5" s="479">
        <v>24801.724926668652</v>
      </c>
      <c r="L5" s="479">
        <v>37448.019999999997</v>
      </c>
      <c r="N5">
        <v>1371</v>
      </c>
      <c r="O5">
        <v>2213</v>
      </c>
      <c r="P5">
        <v>334</v>
      </c>
      <c r="Q5">
        <v>9</v>
      </c>
      <c r="S5" s="518">
        <v>0.43857184438842139</v>
      </c>
      <c r="T5" s="518">
        <v>1.6363656822903043</v>
      </c>
      <c r="U5" s="518">
        <v>0.53863853930890515</v>
      </c>
      <c r="V5" s="518">
        <v>0.81328806171547241</v>
      </c>
      <c r="W5" s="518"/>
      <c r="X5" s="518">
        <v>0.26801579202918974</v>
      </c>
      <c r="Y5" s="518">
        <v>1</v>
      </c>
      <c r="Z5" s="518">
        <v>0.32916758468987889</v>
      </c>
      <c r="AA5" s="518">
        <v>0.49700874964401059</v>
      </c>
      <c r="AB5" s="518"/>
      <c r="AC5" s="518">
        <f t="shared" si="3"/>
        <v>0.34912146676852557</v>
      </c>
      <c r="AD5" s="518">
        <f t="shared" si="4"/>
        <v>0.56353450471097533</v>
      </c>
      <c r="AE5" s="518">
        <f t="shared" si="5"/>
        <v>8.5052202699261517E-2</v>
      </c>
      <c r="AF5" s="518">
        <f t="shared" si="6"/>
        <v>2.2918258212375861E-3</v>
      </c>
      <c r="AH5" s="518" t="str">
        <f t="shared" si="7"/>
        <v/>
      </c>
      <c r="AI5" s="518" t="str">
        <f t="shared" si="0"/>
        <v/>
      </c>
      <c r="AJ5" s="518" t="str">
        <f t="shared" si="1"/>
        <v/>
      </c>
      <c r="AK5" s="518" t="str">
        <f t="shared" si="2"/>
        <v>x</v>
      </c>
    </row>
    <row r="6" spans="1:40" x14ac:dyDescent="0.2">
      <c r="A6" s="630" t="s">
        <v>988</v>
      </c>
      <c r="B6" s="537" t="s">
        <v>1135</v>
      </c>
      <c r="C6" s="634">
        <v>31115</v>
      </c>
      <c r="D6" s="479">
        <v>29454.865826672838</v>
      </c>
      <c r="E6">
        <v>15139</v>
      </c>
      <c r="F6" s="479">
        <v>26922.002954921274</v>
      </c>
      <c r="G6">
        <v>9073</v>
      </c>
      <c r="I6" s="479">
        <v>25319.695898575505</v>
      </c>
      <c r="J6" s="479">
        <v>29664.848658842318</v>
      </c>
      <c r="K6" s="479">
        <v>35681.157056461729</v>
      </c>
      <c r="L6" s="479">
        <v>24048.964870967742</v>
      </c>
      <c r="N6">
        <v>176</v>
      </c>
      <c r="O6">
        <v>1253</v>
      </c>
      <c r="P6">
        <v>80</v>
      </c>
      <c r="Q6">
        <v>6</v>
      </c>
      <c r="S6" s="518">
        <v>0.94048336377390995</v>
      </c>
      <c r="T6" s="518">
        <v>1.1018811902113568</v>
      </c>
      <c r="U6" s="518">
        <v>1.3253529878964412</v>
      </c>
      <c r="V6" s="518">
        <v>0.89328289991037435</v>
      </c>
      <c r="W6" s="518"/>
      <c r="X6" s="518">
        <v>0.85352520047421054</v>
      </c>
      <c r="Y6" s="518">
        <v>1</v>
      </c>
      <c r="Z6" s="518">
        <v>1.2028093406714921</v>
      </c>
      <c r="AA6" s="518">
        <v>0.81068894527460778</v>
      </c>
      <c r="AB6" s="518"/>
      <c r="AC6" s="518">
        <f t="shared" si="3"/>
        <v>0.11617161716171617</v>
      </c>
      <c r="AD6" s="518">
        <f t="shared" si="4"/>
        <v>0.82706270627062706</v>
      </c>
      <c r="AE6" s="518">
        <f t="shared" si="5"/>
        <v>5.2805280528052806E-2</v>
      </c>
      <c r="AF6" s="518">
        <f t="shared" si="6"/>
        <v>3.9603960396039604E-3</v>
      </c>
      <c r="AH6" s="518" t="str">
        <f t="shared" si="7"/>
        <v/>
      </c>
      <c r="AI6" s="518" t="str">
        <f t="shared" si="0"/>
        <v/>
      </c>
      <c r="AJ6" s="518" t="str">
        <f t="shared" si="1"/>
        <v/>
      </c>
      <c r="AK6" s="518" t="str">
        <f t="shared" si="2"/>
        <v>x</v>
      </c>
    </row>
    <row r="7" spans="1:40" x14ac:dyDescent="0.2">
      <c r="A7" s="630" t="s">
        <v>989</v>
      </c>
      <c r="B7" s="537" t="s">
        <v>823</v>
      </c>
      <c r="C7" s="634">
        <v>15568</v>
      </c>
      <c r="D7" s="479">
        <v>14048.532997211896</v>
      </c>
      <c r="E7">
        <v>4304</v>
      </c>
      <c r="F7" s="479">
        <v>12705.348295807455</v>
      </c>
      <c r="G7">
        <v>2576</v>
      </c>
      <c r="I7" s="479">
        <v>15276.089888177838</v>
      </c>
      <c r="J7" s="479">
        <v>31162.716685714266</v>
      </c>
      <c r="K7" s="479">
        <v>9684.7328257042282</v>
      </c>
      <c r="L7" s="479">
        <v>8896.0999999999985</v>
      </c>
      <c r="N7">
        <v>297</v>
      </c>
      <c r="O7">
        <v>11</v>
      </c>
      <c r="P7">
        <v>114</v>
      </c>
      <c r="Q7">
        <v>9</v>
      </c>
      <c r="S7" s="518">
        <v>1.2023353892013084</v>
      </c>
      <c r="T7" s="518">
        <v>2.4527243142163542</v>
      </c>
      <c r="U7" s="518">
        <v>0.76225638213318581</v>
      </c>
      <c r="V7" s="518">
        <v>0.70018544890544698</v>
      </c>
      <c r="W7" s="518"/>
      <c r="X7" s="518">
        <v>0.49020404871122042</v>
      </c>
      <c r="Y7" s="518">
        <v>1</v>
      </c>
      <c r="Z7" s="518">
        <v>0.31077947803388856</v>
      </c>
      <c r="AA7" s="518">
        <v>0.28547254367197655</v>
      </c>
      <c r="AB7" s="518"/>
      <c r="AC7" s="518">
        <f t="shared" si="3"/>
        <v>0.68909512761020886</v>
      </c>
      <c r="AD7" s="518">
        <f t="shared" si="4"/>
        <v>2.5522041763341066E-2</v>
      </c>
      <c r="AE7" s="518">
        <f t="shared" si="5"/>
        <v>0.26450116009280744</v>
      </c>
      <c r="AF7" s="518">
        <f t="shared" si="6"/>
        <v>2.0881670533642691E-2</v>
      </c>
      <c r="AH7" s="518" t="str">
        <f t="shared" si="7"/>
        <v/>
      </c>
      <c r="AI7" s="518" t="str">
        <f t="shared" si="0"/>
        <v/>
      </c>
      <c r="AJ7" s="518" t="str">
        <f t="shared" si="1"/>
        <v/>
      </c>
      <c r="AK7" s="518" t="str">
        <f t="shared" si="2"/>
        <v/>
      </c>
    </row>
    <row r="8" spans="1:40" x14ac:dyDescent="0.2">
      <c r="A8" s="630" t="s">
        <v>990</v>
      </c>
      <c r="B8" s="537" t="s">
        <v>824</v>
      </c>
      <c r="C8" s="634">
        <v>9813</v>
      </c>
      <c r="D8" s="479">
        <v>9546.5535446932445</v>
      </c>
      <c r="E8">
        <v>10986</v>
      </c>
      <c r="F8" s="479">
        <v>8530.1090320620151</v>
      </c>
      <c r="G8">
        <v>6581</v>
      </c>
      <c r="I8" s="479">
        <v>11048.103298273654</v>
      </c>
      <c r="J8" s="479">
        <v>17498.626000000007</v>
      </c>
      <c r="K8" s="479">
        <v>7348.7556195701864</v>
      </c>
      <c r="L8" s="479">
        <v>7897.652000000001</v>
      </c>
      <c r="N8">
        <v>626</v>
      </c>
      <c r="O8">
        <v>8</v>
      </c>
      <c r="P8">
        <v>437</v>
      </c>
      <c r="Q8">
        <v>27</v>
      </c>
      <c r="S8" s="518">
        <v>1.2951889895835194</v>
      </c>
      <c r="T8" s="518">
        <v>2.0513953496055137</v>
      </c>
      <c r="U8" s="518">
        <v>0.8615078180066057</v>
      </c>
      <c r="V8" s="518">
        <v>0.92585592637974434</v>
      </c>
      <c r="W8" s="518"/>
      <c r="X8" s="518">
        <v>0.63136976001850942</v>
      </c>
      <c r="Y8" s="518">
        <v>1</v>
      </c>
      <c r="Z8" s="518">
        <v>0.41996186555276871</v>
      </c>
      <c r="AA8" s="518">
        <v>0.45132983583968234</v>
      </c>
      <c r="AB8" s="518"/>
      <c r="AC8" s="518">
        <f t="shared" si="3"/>
        <v>0.57012750455373407</v>
      </c>
      <c r="AD8" s="518">
        <f t="shared" si="4"/>
        <v>7.2859744990892532E-3</v>
      </c>
      <c r="AE8" s="518">
        <f t="shared" si="5"/>
        <v>0.39799635701275043</v>
      </c>
      <c r="AF8" s="518">
        <f t="shared" si="6"/>
        <v>2.4590163934426229E-2</v>
      </c>
      <c r="AH8" s="518" t="str">
        <f t="shared" si="7"/>
        <v/>
      </c>
      <c r="AI8" s="518" t="str">
        <f t="shared" si="0"/>
        <v>x</v>
      </c>
      <c r="AJ8" s="518" t="str">
        <f t="shared" si="1"/>
        <v/>
      </c>
      <c r="AK8" s="518" t="str">
        <f t="shared" si="2"/>
        <v/>
      </c>
    </row>
    <row r="9" spans="1:40" x14ac:dyDescent="0.2">
      <c r="A9" s="630" t="s">
        <v>991</v>
      </c>
      <c r="B9" s="537" t="s">
        <v>955</v>
      </c>
      <c r="C9" s="634">
        <v>32040</v>
      </c>
      <c r="D9" s="479">
        <v>29063.533991905028</v>
      </c>
      <c r="E9">
        <v>62755</v>
      </c>
      <c r="F9" s="479">
        <v>26256.78768264164</v>
      </c>
      <c r="G9">
        <v>37642</v>
      </c>
      <c r="I9" s="479">
        <v>17624.872709879768</v>
      </c>
      <c r="J9" s="479">
        <v>46243.110359511476</v>
      </c>
      <c r="K9" s="479">
        <v>12262.497314851485</v>
      </c>
      <c r="L9" s="479">
        <v>11763.008182724254</v>
      </c>
      <c r="N9">
        <v>3635</v>
      </c>
      <c r="O9">
        <v>2530</v>
      </c>
      <c r="P9">
        <v>51</v>
      </c>
      <c r="Q9">
        <v>60</v>
      </c>
      <c r="S9" s="518">
        <v>0.67125015150012313</v>
      </c>
      <c r="T9" s="518">
        <v>1.761186894544712</v>
      </c>
      <c r="U9" s="518">
        <v>0.46702199305813108</v>
      </c>
      <c r="V9" s="518">
        <v>0.44799875464205308</v>
      </c>
      <c r="W9" s="518"/>
      <c r="X9" s="518">
        <v>0.3811351047292737</v>
      </c>
      <c r="Y9" s="518">
        <v>1</v>
      </c>
      <c r="Z9" s="518">
        <v>0.26517457886197926</v>
      </c>
      <c r="AA9" s="518">
        <v>0.25437320481416947</v>
      </c>
      <c r="AB9" s="518"/>
      <c r="AC9" s="518">
        <f t="shared" si="3"/>
        <v>0.5791905672402804</v>
      </c>
      <c r="AD9" s="518">
        <f t="shared" si="4"/>
        <v>0.40312300828553216</v>
      </c>
      <c r="AE9" s="518">
        <f t="shared" si="5"/>
        <v>8.126195028680689E-3</v>
      </c>
      <c r="AF9" s="518">
        <f t="shared" si="6"/>
        <v>9.5602294455066923E-3</v>
      </c>
      <c r="AH9" s="518" t="str">
        <f t="shared" si="7"/>
        <v/>
      </c>
      <c r="AI9" s="518" t="str">
        <f t="shared" si="0"/>
        <v/>
      </c>
      <c r="AJ9" s="518" t="str">
        <f t="shared" si="1"/>
        <v/>
      </c>
      <c r="AK9" s="518" t="str">
        <f t="shared" si="2"/>
        <v/>
      </c>
    </row>
    <row r="10" spans="1:40" x14ac:dyDescent="0.2">
      <c r="A10" s="630" t="s">
        <v>992</v>
      </c>
      <c r="B10" s="537" t="s">
        <v>825</v>
      </c>
      <c r="C10" s="634">
        <v>43453</v>
      </c>
      <c r="D10" s="479">
        <v>43620.802578422488</v>
      </c>
      <c r="E10">
        <v>2206</v>
      </c>
      <c r="F10" s="479">
        <v>38233.271438304255</v>
      </c>
      <c r="G10">
        <v>1321</v>
      </c>
      <c r="I10" s="479">
        <v>40132.331238095234</v>
      </c>
      <c r="J10" s="479">
        <v>43654.330220594966</v>
      </c>
      <c r="K10" s="479">
        <v>0</v>
      </c>
      <c r="L10" s="479">
        <v>0</v>
      </c>
      <c r="N10">
        <v>2</v>
      </c>
      <c r="O10">
        <v>219</v>
      </c>
      <c r="P10">
        <v>0</v>
      </c>
      <c r="Q10">
        <v>0</v>
      </c>
      <c r="S10" s="518">
        <v>1.0496703454439003</v>
      </c>
      <c r="T10" s="518">
        <v>1.1417890381428253</v>
      </c>
      <c r="U10" s="518">
        <v>0</v>
      </c>
      <c r="V10" s="518">
        <v>0</v>
      </c>
      <c r="W10" s="518"/>
      <c r="X10" s="518">
        <v>0.91932074172934752</v>
      </c>
      <c r="Y10" s="518">
        <v>1</v>
      </c>
      <c r="Z10" s="518">
        <v>0</v>
      </c>
      <c r="AA10" s="518">
        <v>0</v>
      </c>
      <c r="AB10" s="518"/>
      <c r="AC10" s="518">
        <f t="shared" si="3"/>
        <v>9.0497737556561094E-3</v>
      </c>
      <c r="AD10" s="518">
        <f t="shared" si="4"/>
        <v>0.99095022624434392</v>
      </c>
      <c r="AE10" s="518">
        <f t="shared" si="5"/>
        <v>0</v>
      </c>
      <c r="AF10" s="518">
        <f t="shared" si="6"/>
        <v>0</v>
      </c>
      <c r="AH10" s="518" t="str">
        <f t="shared" si="7"/>
        <v>x</v>
      </c>
      <c r="AI10" s="518" t="str">
        <f t="shared" si="0"/>
        <v/>
      </c>
      <c r="AJ10" s="518" t="str">
        <f t="shared" si="1"/>
        <v>x</v>
      </c>
      <c r="AK10" s="518" t="str">
        <f t="shared" si="2"/>
        <v>x</v>
      </c>
    </row>
    <row r="11" spans="1:40" x14ac:dyDescent="0.2">
      <c r="A11" s="630" t="s">
        <v>993</v>
      </c>
      <c r="B11" s="537" t="s">
        <v>826</v>
      </c>
      <c r="C11" s="634">
        <v>6677</v>
      </c>
      <c r="D11" s="479">
        <v>6817.5638537543291</v>
      </c>
      <c r="E11">
        <v>19351</v>
      </c>
      <c r="F11" s="479">
        <v>6065.4530583570277</v>
      </c>
      <c r="G11">
        <v>11601</v>
      </c>
      <c r="I11" s="479">
        <v>7600.2879425470182</v>
      </c>
      <c r="J11" s="479">
        <v>31980.132733333332</v>
      </c>
      <c r="K11" s="479">
        <v>5467.202094743202</v>
      </c>
      <c r="L11" s="479">
        <v>2779.4294895397479</v>
      </c>
      <c r="N11">
        <v>1069</v>
      </c>
      <c r="O11">
        <v>15</v>
      </c>
      <c r="P11">
        <v>828</v>
      </c>
      <c r="Q11">
        <v>24</v>
      </c>
      <c r="S11" s="518">
        <v>1.2530453816760287</v>
      </c>
      <c r="T11" s="518">
        <v>5.2725051905678937</v>
      </c>
      <c r="U11" s="518">
        <v>0.90136747282388896</v>
      </c>
      <c r="V11" s="518">
        <v>0.4582393867033937</v>
      </c>
      <c r="W11" s="518"/>
      <c r="X11" s="518">
        <v>0.23765654776739353</v>
      </c>
      <c r="Y11" s="518">
        <v>1</v>
      </c>
      <c r="Z11" s="518">
        <v>0.17095620397612241</v>
      </c>
      <c r="AA11" s="518">
        <v>8.6911130504555734E-2</v>
      </c>
      <c r="AB11" s="518"/>
      <c r="AC11" s="518">
        <f t="shared" si="3"/>
        <v>0.55216942148760328</v>
      </c>
      <c r="AD11" s="518">
        <f t="shared" si="4"/>
        <v>7.7479338842975209E-3</v>
      </c>
      <c r="AE11" s="518">
        <f t="shared" si="5"/>
        <v>0.42768595041322316</v>
      </c>
      <c r="AF11" s="518">
        <f t="shared" si="6"/>
        <v>1.2396694214876033E-2</v>
      </c>
      <c r="AH11" s="518" t="str">
        <f t="shared" si="7"/>
        <v/>
      </c>
      <c r="AI11" s="518" t="str">
        <f t="shared" si="0"/>
        <v>x</v>
      </c>
      <c r="AJ11" s="518" t="str">
        <f t="shared" si="1"/>
        <v/>
      </c>
      <c r="AK11" s="518" t="str">
        <f t="shared" si="2"/>
        <v/>
      </c>
    </row>
    <row r="12" spans="1:40" x14ac:dyDescent="0.2">
      <c r="A12" s="630" t="s">
        <v>994</v>
      </c>
      <c r="B12" s="537" t="s">
        <v>953</v>
      </c>
      <c r="C12" s="634">
        <v>43167</v>
      </c>
      <c r="D12" s="479">
        <v>41086.631598289983</v>
      </c>
      <c r="E12">
        <v>13567</v>
      </c>
      <c r="F12" s="479">
        <v>37460.299589226452</v>
      </c>
      <c r="G12">
        <v>8131</v>
      </c>
      <c r="I12" s="479">
        <v>31471.116644047612</v>
      </c>
      <c r="J12" s="479">
        <v>44991.647928586557</v>
      </c>
      <c r="K12" s="479">
        <v>34869.541372031665</v>
      </c>
      <c r="L12" s="479">
        <v>56099.405454545442</v>
      </c>
      <c r="N12">
        <v>336</v>
      </c>
      <c r="O12">
        <v>944</v>
      </c>
      <c r="P12">
        <v>76</v>
      </c>
      <c r="Q12">
        <v>1</v>
      </c>
      <c r="S12" s="518">
        <v>0.84011919256242884</v>
      </c>
      <c r="T12" s="518">
        <v>1.2010488015831597</v>
      </c>
      <c r="U12" s="518">
        <v>0.93083989595374494</v>
      </c>
      <c r="V12" s="518">
        <v>1.497569588863608</v>
      </c>
      <c r="W12" s="518"/>
      <c r="X12" s="518">
        <v>0.69948797372348881</v>
      </c>
      <c r="Y12" s="518">
        <v>1</v>
      </c>
      <c r="Z12" s="518">
        <v>0.77502254257009418</v>
      </c>
      <c r="AA12" s="518">
        <v>1.2468848783576405</v>
      </c>
      <c r="AB12" s="518"/>
      <c r="AC12" s="518">
        <f t="shared" si="3"/>
        <v>0.24760501105379515</v>
      </c>
      <c r="AD12" s="518">
        <f t="shared" si="4"/>
        <v>0.69565217391304346</v>
      </c>
      <c r="AE12" s="518">
        <f t="shared" si="5"/>
        <v>5.6005895357406042E-2</v>
      </c>
      <c r="AF12" s="518">
        <f t="shared" si="6"/>
        <v>7.3691967575534268E-4</v>
      </c>
      <c r="AH12" s="518" t="str">
        <f t="shared" si="7"/>
        <v/>
      </c>
      <c r="AI12" s="518" t="str">
        <f t="shared" si="0"/>
        <v/>
      </c>
      <c r="AJ12" s="518" t="str">
        <f t="shared" si="1"/>
        <v/>
      </c>
      <c r="AK12" s="518" t="str">
        <f t="shared" si="2"/>
        <v>x</v>
      </c>
    </row>
    <row r="13" spans="1:40" x14ac:dyDescent="0.2">
      <c r="A13" s="630" t="s">
        <v>995</v>
      </c>
      <c r="B13" s="537" t="s">
        <v>1136</v>
      </c>
      <c r="C13" s="634">
        <v>44357</v>
      </c>
      <c r="D13" s="479">
        <v>41269.522555887037</v>
      </c>
      <c r="E13">
        <v>20112</v>
      </c>
      <c r="F13" s="479">
        <v>37142.623540094581</v>
      </c>
      <c r="G13">
        <v>12059</v>
      </c>
      <c r="I13" s="479">
        <v>34631.710854284676</v>
      </c>
      <c r="J13" s="479">
        <v>46225.768503091713</v>
      </c>
      <c r="K13" s="479">
        <v>25370.40806060606</v>
      </c>
      <c r="L13" s="479">
        <v>26511.303305555561</v>
      </c>
      <c r="N13">
        <v>830</v>
      </c>
      <c r="O13">
        <v>1164</v>
      </c>
      <c r="P13">
        <v>10</v>
      </c>
      <c r="Q13">
        <v>7</v>
      </c>
      <c r="S13" s="518">
        <v>0.93239807944370345</v>
      </c>
      <c r="T13" s="518">
        <v>1.2445477485776439</v>
      </c>
      <c r="U13" s="518">
        <v>0.68305374371897309</v>
      </c>
      <c r="V13" s="518">
        <v>0.71377034734601441</v>
      </c>
      <c r="W13" s="518"/>
      <c r="X13" s="518">
        <v>0.74918626505838204</v>
      </c>
      <c r="Y13" s="518">
        <v>1</v>
      </c>
      <c r="Z13" s="518">
        <v>0.54883691244439159</v>
      </c>
      <c r="AA13" s="518">
        <v>0.57351784868178901</v>
      </c>
      <c r="AB13" s="518"/>
      <c r="AC13" s="518">
        <f t="shared" si="3"/>
        <v>0.41272998508204872</v>
      </c>
      <c r="AD13" s="518">
        <f t="shared" si="4"/>
        <v>0.57881650919940331</v>
      </c>
      <c r="AE13" s="518">
        <f t="shared" si="5"/>
        <v>4.9726504226752857E-3</v>
      </c>
      <c r="AF13" s="518">
        <f t="shared" si="6"/>
        <v>3.4808552958727002E-3</v>
      </c>
      <c r="AH13" s="518" t="str">
        <f t="shared" si="7"/>
        <v/>
      </c>
      <c r="AI13" s="518" t="str">
        <f t="shared" si="0"/>
        <v/>
      </c>
      <c r="AJ13" s="518" t="str">
        <f t="shared" si="1"/>
        <v>x</v>
      </c>
      <c r="AK13" s="518" t="str">
        <f t="shared" si="2"/>
        <v>x</v>
      </c>
    </row>
    <row r="14" spans="1:40" x14ac:dyDescent="0.2">
      <c r="A14" s="630" t="s">
        <v>996</v>
      </c>
      <c r="B14" s="537" t="s">
        <v>827</v>
      </c>
      <c r="C14" s="634">
        <v>8164</v>
      </c>
      <c r="D14" s="479">
        <v>7849.6943655689611</v>
      </c>
      <c r="E14">
        <v>15335</v>
      </c>
      <c r="F14" s="479">
        <v>7070.7617032847529</v>
      </c>
      <c r="G14">
        <v>9194</v>
      </c>
      <c r="I14" s="479">
        <v>9419.2175490235968</v>
      </c>
      <c r="J14" s="479">
        <v>12621.733316666667</v>
      </c>
      <c r="K14" s="479">
        <v>6139.4423514234886</v>
      </c>
      <c r="L14" s="479">
        <v>3971.05</v>
      </c>
      <c r="N14">
        <v>983</v>
      </c>
      <c r="O14">
        <v>12</v>
      </c>
      <c r="P14">
        <v>225</v>
      </c>
      <c r="Q14">
        <v>314</v>
      </c>
      <c r="S14" s="518">
        <v>1.3321361890399812</v>
      </c>
      <c r="T14" s="518">
        <v>1.7850599194713612</v>
      </c>
      <c r="U14" s="518">
        <v>0.8682858522259892</v>
      </c>
      <c r="V14" s="518">
        <v>0.56161558918825272</v>
      </c>
      <c r="W14" s="518"/>
      <c r="X14" s="518">
        <v>0.74626973274627562</v>
      </c>
      <c r="Y14" s="518">
        <v>1</v>
      </c>
      <c r="Z14" s="518">
        <v>0.48641832285558723</v>
      </c>
      <c r="AA14" s="518">
        <v>0.31462002090919899</v>
      </c>
      <c r="AB14" s="518"/>
      <c r="AC14" s="518">
        <f t="shared" si="3"/>
        <v>0.64080834419817467</v>
      </c>
      <c r="AD14" s="518">
        <f t="shared" si="4"/>
        <v>7.8226857887874843E-3</v>
      </c>
      <c r="AE14" s="518">
        <f t="shared" si="5"/>
        <v>0.14667535853976532</v>
      </c>
      <c r="AF14" s="518">
        <f t="shared" si="6"/>
        <v>0.2046936114732725</v>
      </c>
      <c r="AH14" s="518" t="str">
        <f t="shared" si="7"/>
        <v/>
      </c>
      <c r="AI14" s="518" t="str">
        <f t="shared" si="0"/>
        <v>x</v>
      </c>
      <c r="AJ14" s="518" t="str">
        <f t="shared" si="1"/>
        <v/>
      </c>
      <c r="AK14" s="518" t="str">
        <f t="shared" si="2"/>
        <v/>
      </c>
    </row>
    <row r="15" spans="1:40" x14ac:dyDescent="0.2">
      <c r="A15" s="630" t="s">
        <v>997</v>
      </c>
      <c r="B15" s="537" t="s">
        <v>960</v>
      </c>
      <c r="C15" s="634">
        <v>20253</v>
      </c>
      <c r="D15" s="479">
        <v>20743.070277593557</v>
      </c>
      <c r="E15">
        <v>2111</v>
      </c>
      <c r="F15" s="479">
        <v>18566.75617460319</v>
      </c>
      <c r="G15">
        <v>1260</v>
      </c>
      <c r="I15" s="479">
        <v>20916.863065771809</v>
      </c>
      <c r="J15" s="479">
        <v>38131.533208556146</v>
      </c>
      <c r="K15" s="479">
        <v>12417.587353919242</v>
      </c>
      <c r="L15" s="479">
        <v>20314.954000000002</v>
      </c>
      <c r="N15">
        <v>149</v>
      </c>
      <c r="O15">
        <v>19</v>
      </c>
      <c r="P15">
        <v>42</v>
      </c>
      <c r="Q15">
        <v>1</v>
      </c>
      <c r="S15" s="518">
        <v>1.1265760625640815</v>
      </c>
      <c r="T15" s="518">
        <v>2.0537531085109486</v>
      </c>
      <c r="U15" s="518">
        <v>0.66880758475757984</v>
      </c>
      <c r="V15" s="518">
        <v>1.0941574181810019</v>
      </c>
      <c r="W15" s="518"/>
      <c r="X15" s="518">
        <v>0.54854503099493457</v>
      </c>
      <c r="Y15" s="518">
        <v>1</v>
      </c>
      <c r="Z15" s="518">
        <v>0.3256514047311615</v>
      </c>
      <c r="AA15" s="518">
        <v>0.53275995719578439</v>
      </c>
      <c r="AB15" s="518"/>
      <c r="AC15" s="518">
        <f t="shared" si="3"/>
        <v>0.70616113744075826</v>
      </c>
      <c r="AD15" s="518">
        <f t="shared" si="4"/>
        <v>9.004739336492891E-2</v>
      </c>
      <c r="AE15" s="518">
        <f t="shared" si="5"/>
        <v>0.1990521327014218</v>
      </c>
      <c r="AF15" s="518">
        <f t="shared" si="6"/>
        <v>4.7393364928909956E-3</v>
      </c>
      <c r="AH15" s="518" t="str">
        <f t="shared" si="7"/>
        <v/>
      </c>
      <c r="AI15" s="518" t="str">
        <f t="shared" si="0"/>
        <v/>
      </c>
      <c r="AJ15" s="518" t="str">
        <f t="shared" si="1"/>
        <v/>
      </c>
      <c r="AK15" s="518" t="str">
        <f t="shared" si="2"/>
        <v>x</v>
      </c>
    </row>
    <row r="16" spans="1:40" x14ac:dyDescent="0.2">
      <c r="A16" s="630" t="s">
        <v>998</v>
      </c>
      <c r="B16" s="537" t="s">
        <v>828</v>
      </c>
      <c r="C16" s="634">
        <v>5398</v>
      </c>
      <c r="D16" s="479">
        <v>5279.8723912568321</v>
      </c>
      <c r="E16">
        <v>3660</v>
      </c>
      <c r="F16" s="479">
        <v>4727.0054952076644</v>
      </c>
      <c r="G16">
        <v>2191</v>
      </c>
      <c r="I16" s="479">
        <v>6249.957501254391</v>
      </c>
      <c r="J16" s="479">
        <v>24354.787899999988</v>
      </c>
      <c r="K16" s="479">
        <v>3920.8921768025089</v>
      </c>
      <c r="L16" s="479">
        <v>2447.0936923076924</v>
      </c>
      <c r="N16">
        <v>199</v>
      </c>
      <c r="O16">
        <v>2</v>
      </c>
      <c r="P16">
        <v>160</v>
      </c>
      <c r="Q16">
        <v>5</v>
      </c>
      <c r="S16" s="518">
        <v>1.3221811372105927</v>
      </c>
      <c r="T16" s="518">
        <v>5.1522656203153083</v>
      </c>
      <c r="U16" s="518">
        <v>0.82946638855774346</v>
      </c>
      <c r="V16" s="518">
        <v>0.51768369949825666</v>
      </c>
      <c r="W16" s="518"/>
      <c r="X16" s="518">
        <v>0.2566213069445123</v>
      </c>
      <c r="Y16" s="518">
        <v>1</v>
      </c>
      <c r="Z16" s="518">
        <v>0.16099061067177312</v>
      </c>
      <c r="AA16" s="518">
        <v>0.10047690426849061</v>
      </c>
      <c r="AB16" s="518"/>
      <c r="AC16" s="518">
        <f t="shared" si="3"/>
        <v>0.54371584699453557</v>
      </c>
      <c r="AD16" s="518">
        <f t="shared" si="4"/>
        <v>5.4644808743169399E-3</v>
      </c>
      <c r="AE16" s="518">
        <f t="shared" si="5"/>
        <v>0.43715846994535518</v>
      </c>
      <c r="AF16" s="518">
        <f t="shared" si="6"/>
        <v>1.3661202185792349E-2</v>
      </c>
      <c r="AH16" s="518" t="str">
        <f t="shared" si="7"/>
        <v/>
      </c>
      <c r="AI16" s="518" t="str">
        <f t="shared" si="0"/>
        <v>x</v>
      </c>
      <c r="AJ16" s="518" t="str">
        <f t="shared" si="1"/>
        <v/>
      </c>
      <c r="AK16" s="518" t="str">
        <f t="shared" si="2"/>
        <v/>
      </c>
    </row>
    <row r="17" spans="1:37" x14ac:dyDescent="0.2">
      <c r="A17" s="630" t="s">
        <v>999</v>
      </c>
      <c r="B17" s="537" t="s">
        <v>829</v>
      </c>
      <c r="C17" s="634">
        <v>9661</v>
      </c>
      <c r="D17" s="479">
        <v>9607.3675178839803</v>
      </c>
      <c r="E17">
        <v>6654</v>
      </c>
      <c r="F17" s="479">
        <v>8599.4213177710863</v>
      </c>
      <c r="G17">
        <v>3984</v>
      </c>
      <c r="I17" s="479">
        <v>11312.821827644095</v>
      </c>
      <c r="J17" s="479">
        <v>33016.660064516116</v>
      </c>
      <c r="K17" s="479">
        <v>7924.0353750000004</v>
      </c>
      <c r="L17" s="479">
        <v>2538.9405414847161</v>
      </c>
      <c r="N17">
        <v>357</v>
      </c>
      <c r="O17">
        <v>6</v>
      </c>
      <c r="P17">
        <v>256</v>
      </c>
      <c r="Q17">
        <v>46</v>
      </c>
      <c r="S17" s="518">
        <v>1.3155329189727738</v>
      </c>
      <c r="T17" s="518">
        <v>3.8394048674281978</v>
      </c>
      <c r="U17" s="518">
        <v>0.92146146609012269</v>
      </c>
      <c r="V17" s="518">
        <v>0.29524551102501312</v>
      </c>
      <c r="W17" s="518"/>
      <c r="X17" s="518">
        <v>0.34263980080172574</v>
      </c>
      <c r="Y17" s="518">
        <v>1</v>
      </c>
      <c r="Z17" s="518">
        <v>0.24000111942019756</v>
      </c>
      <c r="AA17" s="518">
        <v>7.6898769788449409E-2</v>
      </c>
      <c r="AB17" s="518"/>
      <c r="AC17" s="518">
        <f t="shared" si="3"/>
        <v>0.5368421052631579</v>
      </c>
      <c r="AD17" s="518">
        <f t="shared" si="4"/>
        <v>9.0225563909774441E-3</v>
      </c>
      <c r="AE17" s="518">
        <f t="shared" si="5"/>
        <v>0.38496240601503762</v>
      </c>
      <c r="AF17" s="518">
        <f t="shared" si="6"/>
        <v>6.9172932330827067E-2</v>
      </c>
      <c r="AH17" s="518" t="str">
        <f t="shared" si="7"/>
        <v/>
      </c>
      <c r="AI17" s="518" t="str">
        <f t="shared" si="0"/>
        <v>x</v>
      </c>
      <c r="AJ17" s="518" t="str">
        <f t="shared" si="1"/>
        <v/>
      </c>
      <c r="AK17" s="518" t="str">
        <f t="shared" si="2"/>
        <v/>
      </c>
    </row>
    <row r="18" spans="1:37" x14ac:dyDescent="0.2">
      <c r="A18" s="630" t="s">
        <v>1000</v>
      </c>
      <c r="B18" s="537" t="s">
        <v>957</v>
      </c>
      <c r="C18" s="634">
        <v>16697</v>
      </c>
      <c r="D18" s="479">
        <v>17621.945600242194</v>
      </c>
      <c r="E18">
        <v>14864</v>
      </c>
      <c r="F18" s="479">
        <v>15745.787847362528</v>
      </c>
      <c r="G18">
        <v>8910</v>
      </c>
      <c r="I18" s="479">
        <v>13452.702352530887</v>
      </c>
      <c r="J18" s="479">
        <v>34087.765557265455</v>
      </c>
      <c r="K18" s="479">
        <v>8016.9577396963123</v>
      </c>
      <c r="L18" s="479">
        <v>9867.67</v>
      </c>
      <c r="N18">
        <v>1004</v>
      </c>
      <c r="O18">
        <v>338</v>
      </c>
      <c r="P18">
        <v>138</v>
      </c>
      <c r="Q18">
        <v>7</v>
      </c>
      <c r="S18" s="518">
        <v>0.85436832268664531</v>
      </c>
      <c r="T18" s="518">
        <v>2.164881547224407</v>
      </c>
      <c r="U18" s="518">
        <v>0.50914935584116738</v>
      </c>
      <c r="V18" s="518">
        <v>0.62668633006209773</v>
      </c>
      <c r="W18" s="518"/>
      <c r="X18" s="518">
        <v>0.3946489930509271</v>
      </c>
      <c r="Y18" s="518">
        <v>1</v>
      </c>
      <c r="Z18" s="518">
        <v>0.23518578025386533</v>
      </c>
      <c r="AA18" s="518">
        <v>0.28947834622433349</v>
      </c>
      <c r="AB18" s="518"/>
      <c r="AC18" s="518">
        <f t="shared" si="3"/>
        <v>0.67518493611297914</v>
      </c>
      <c r="AD18" s="518">
        <f t="shared" si="4"/>
        <v>0.22730329522528581</v>
      </c>
      <c r="AE18" s="518">
        <f t="shared" si="5"/>
        <v>9.2804303967720242E-2</v>
      </c>
      <c r="AF18" s="518">
        <f t="shared" si="6"/>
        <v>4.707464694014795E-3</v>
      </c>
      <c r="AH18" s="518" t="str">
        <f t="shared" si="7"/>
        <v/>
      </c>
      <c r="AI18" s="518" t="str">
        <f t="shared" si="0"/>
        <v/>
      </c>
      <c r="AJ18" s="518" t="str">
        <f t="shared" si="1"/>
        <v/>
      </c>
      <c r="AK18" s="518" t="str">
        <f t="shared" si="2"/>
        <v>x</v>
      </c>
    </row>
    <row r="19" spans="1:37" x14ac:dyDescent="0.2">
      <c r="A19" s="630" t="s">
        <v>1001</v>
      </c>
      <c r="B19" s="537" t="s">
        <v>830</v>
      </c>
      <c r="C19" s="634">
        <v>19773</v>
      </c>
      <c r="D19" s="479">
        <v>18773.541745564362</v>
      </c>
      <c r="E19">
        <v>2649</v>
      </c>
      <c r="F19" s="479">
        <v>16974.728768939414</v>
      </c>
      <c r="G19">
        <v>1584</v>
      </c>
      <c r="I19" s="479">
        <v>20749.44491299435</v>
      </c>
      <c r="J19" s="479">
        <v>32754.955142857158</v>
      </c>
      <c r="K19" s="479">
        <v>13418.386151177197</v>
      </c>
      <c r="L19" s="479">
        <v>12488.31</v>
      </c>
      <c r="N19">
        <v>177</v>
      </c>
      <c r="O19">
        <v>6</v>
      </c>
      <c r="P19">
        <v>81</v>
      </c>
      <c r="Q19">
        <v>1</v>
      </c>
      <c r="S19" s="518">
        <v>1.2223726926913825</v>
      </c>
      <c r="T19" s="518">
        <v>1.9296305460145327</v>
      </c>
      <c r="U19" s="518">
        <v>0.79049193267407847</v>
      </c>
      <c r="V19" s="518">
        <v>0.73570012045501876</v>
      </c>
      <c r="W19" s="518"/>
      <c r="X19" s="518">
        <v>0.63347499095931936</v>
      </c>
      <c r="Y19" s="518">
        <v>1</v>
      </c>
      <c r="Z19" s="518">
        <v>0.40965973217347945</v>
      </c>
      <c r="AA19" s="518">
        <v>0.38126475660044717</v>
      </c>
      <c r="AB19" s="518"/>
      <c r="AC19" s="518">
        <f t="shared" si="3"/>
        <v>0.66792452830188676</v>
      </c>
      <c r="AD19" s="518">
        <f t="shared" si="4"/>
        <v>2.2641509433962263E-2</v>
      </c>
      <c r="AE19" s="518">
        <f t="shared" si="5"/>
        <v>0.30566037735849055</v>
      </c>
      <c r="AF19" s="518">
        <f t="shared" si="6"/>
        <v>3.7735849056603774E-3</v>
      </c>
      <c r="AH19" s="518" t="str">
        <f t="shared" si="7"/>
        <v/>
      </c>
      <c r="AI19" s="518" t="str">
        <f t="shared" si="0"/>
        <v/>
      </c>
      <c r="AJ19" s="518" t="str">
        <f t="shared" si="1"/>
        <v/>
      </c>
      <c r="AK19" s="518" t="str">
        <f t="shared" si="2"/>
        <v>x</v>
      </c>
    </row>
    <row r="20" spans="1:37" x14ac:dyDescent="0.2">
      <c r="A20" s="630" t="s">
        <v>1002</v>
      </c>
      <c r="B20" s="537" t="s">
        <v>1141</v>
      </c>
      <c r="C20" s="634">
        <v>41177</v>
      </c>
      <c r="D20" s="479">
        <v>38959.236827678898</v>
      </c>
      <c r="E20">
        <v>18599</v>
      </c>
      <c r="F20" s="479">
        <v>36306.972471305417</v>
      </c>
      <c r="G20">
        <v>11152</v>
      </c>
      <c r="I20" s="479">
        <v>35146.038621118001</v>
      </c>
      <c r="J20" s="479">
        <v>39139.784378109442</v>
      </c>
      <c r="K20" s="479">
        <v>31178.395306122446</v>
      </c>
      <c r="L20" s="479">
        <v>42288.91</v>
      </c>
      <c r="N20">
        <v>16</v>
      </c>
      <c r="O20">
        <v>1809</v>
      </c>
      <c r="P20">
        <v>34</v>
      </c>
      <c r="Q20">
        <v>1</v>
      </c>
      <c r="S20" s="518">
        <v>0.96802449306107963</v>
      </c>
      <c r="T20" s="518">
        <v>1.0780239087421264</v>
      </c>
      <c r="U20" s="518">
        <v>0.858744014824253</v>
      </c>
      <c r="V20" s="518">
        <v>1.1647600205008091</v>
      </c>
      <c r="W20" s="518"/>
      <c r="X20" s="518">
        <v>0.89796198879355327</v>
      </c>
      <c r="Y20" s="518">
        <v>1</v>
      </c>
      <c r="Z20" s="518">
        <v>0.79659088064778061</v>
      </c>
      <c r="AA20" s="518">
        <v>1.0804584305183818</v>
      </c>
      <c r="AB20" s="518"/>
      <c r="AC20" s="518">
        <f t="shared" si="3"/>
        <v>8.6021505376344086E-3</v>
      </c>
      <c r="AD20" s="518">
        <f t="shared" si="4"/>
        <v>0.97258064516129028</v>
      </c>
      <c r="AE20" s="518">
        <f t="shared" si="5"/>
        <v>1.8279569892473119E-2</v>
      </c>
      <c r="AF20" s="518">
        <f t="shared" si="6"/>
        <v>5.3763440860215054E-4</v>
      </c>
      <c r="AH20" s="518" t="str">
        <f t="shared" si="7"/>
        <v>x</v>
      </c>
      <c r="AI20" s="518" t="str">
        <f t="shared" si="0"/>
        <v/>
      </c>
      <c r="AJ20" s="518" t="str">
        <f t="shared" si="1"/>
        <v/>
      </c>
      <c r="AK20" s="518" t="str">
        <f t="shared" si="2"/>
        <v>x</v>
      </c>
    </row>
    <row r="21" spans="1:37" x14ac:dyDescent="0.2">
      <c r="A21" s="630" t="s">
        <v>1003</v>
      </c>
      <c r="B21" s="537" t="s">
        <v>1142</v>
      </c>
      <c r="C21" s="634">
        <v>19283</v>
      </c>
      <c r="D21" s="479">
        <v>16976.676317150392</v>
      </c>
      <c r="E21">
        <v>34110</v>
      </c>
      <c r="F21" s="479">
        <v>15353.71304537015</v>
      </c>
      <c r="G21">
        <v>20454</v>
      </c>
      <c r="I21" s="479">
        <v>16331.936159262441</v>
      </c>
      <c r="J21" s="479">
        <v>18738.871752223524</v>
      </c>
      <c r="K21" s="479">
        <v>10113.53329427793</v>
      </c>
      <c r="L21" s="479">
        <v>14338.668389830509</v>
      </c>
      <c r="N21">
        <v>2213</v>
      </c>
      <c r="O21">
        <v>1113</v>
      </c>
      <c r="P21">
        <v>73</v>
      </c>
      <c r="Q21">
        <v>12</v>
      </c>
      <c r="S21" s="518">
        <v>1.063712478603817</v>
      </c>
      <c r="T21" s="518">
        <v>1.2204781798937003</v>
      </c>
      <c r="U21" s="518">
        <v>0.65870276879556666</v>
      </c>
      <c r="V21" s="518">
        <v>0.93388930400482351</v>
      </c>
      <c r="W21" s="518"/>
      <c r="X21" s="518">
        <v>0.87155386808837731</v>
      </c>
      <c r="Y21" s="518">
        <v>1</v>
      </c>
      <c r="Z21" s="518">
        <v>0.53970876304641313</v>
      </c>
      <c r="AA21" s="518">
        <v>0.76518312198433747</v>
      </c>
      <c r="AB21" s="518"/>
      <c r="AC21" s="518">
        <f t="shared" si="3"/>
        <v>0.64878334799179127</v>
      </c>
      <c r="AD21" s="518">
        <f t="shared" si="4"/>
        <v>0.32629727352682497</v>
      </c>
      <c r="AE21" s="518">
        <f t="shared" si="5"/>
        <v>2.140134857812958E-2</v>
      </c>
      <c r="AF21" s="518">
        <f t="shared" si="6"/>
        <v>3.5180299032541778E-3</v>
      </c>
      <c r="AH21" s="518" t="str">
        <f t="shared" si="7"/>
        <v/>
      </c>
      <c r="AI21" s="518" t="str">
        <f t="shared" si="0"/>
        <v/>
      </c>
      <c r="AJ21" s="518" t="str">
        <f t="shared" si="1"/>
        <v/>
      </c>
      <c r="AK21" s="518" t="str">
        <f t="shared" si="2"/>
        <v>x</v>
      </c>
    </row>
    <row r="22" spans="1:37" x14ac:dyDescent="0.2">
      <c r="A22" s="630" t="s">
        <v>1004</v>
      </c>
      <c r="B22" s="537" t="s">
        <v>1144</v>
      </c>
      <c r="C22" s="634">
        <v>11497</v>
      </c>
      <c r="D22" s="479">
        <v>9609.7943396683113</v>
      </c>
      <c r="E22">
        <v>42147</v>
      </c>
      <c r="F22" s="479">
        <v>8658.3441377536765</v>
      </c>
      <c r="G22">
        <v>25277</v>
      </c>
      <c r="I22" s="479">
        <v>10878.512664533253</v>
      </c>
      <c r="J22" s="479">
        <v>33944.819190647475</v>
      </c>
      <c r="K22" s="479">
        <v>7164.4830978906311</v>
      </c>
      <c r="L22" s="479">
        <v>6964.3438616352205</v>
      </c>
      <c r="N22">
        <v>2375</v>
      </c>
      <c r="O22">
        <v>56</v>
      </c>
      <c r="P22">
        <v>1768</v>
      </c>
      <c r="Q22">
        <v>16</v>
      </c>
      <c r="S22" s="518">
        <v>1.2564195291220634</v>
      </c>
      <c r="T22" s="518">
        <v>3.920474706316551</v>
      </c>
      <c r="U22" s="518">
        <v>0.82746573523807598</v>
      </c>
      <c r="V22" s="518">
        <v>0.80435054911574033</v>
      </c>
      <c r="W22" s="518"/>
      <c r="X22" s="518">
        <v>0.32047637677594454</v>
      </c>
      <c r="Y22" s="518">
        <v>1</v>
      </c>
      <c r="Z22" s="518">
        <v>0.211062638385318</v>
      </c>
      <c r="AA22" s="518">
        <v>0.20516662123078996</v>
      </c>
      <c r="AB22" s="518"/>
      <c r="AC22" s="518">
        <f t="shared" si="3"/>
        <v>0.56346381969157766</v>
      </c>
      <c r="AD22" s="518">
        <f t="shared" si="4"/>
        <v>1.32858837485172E-2</v>
      </c>
      <c r="AE22" s="518">
        <f t="shared" si="5"/>
        <v>0.4194543297746145</v>
      </c>
      <c r="AF22" s="518">
        <f t="shared" si="6"/>
        <v>3.7959667852906285E-3</v>
      </c>
      <c r="AH22" s="518" t="str">
        <f t="shared" si="7"/>
        <v/>
      </c>
      <c r="AI22" s="518" t="str">
        <f t="shared" si="0"/>
        <v/>
      </c>
      <c r="AJ22" s="518" t="str">
        <f t="shared" si="1"/>
        <v/>
      </c>
      <c r="AK22" s="518" t="str">
        <f t="shared" si="2"/>
        <v>x</v>
      </c>
    </row>
    <row r="23" spans="1:37" x14ac:dyDescent="0.2">
      <c r="A23" s="630" t="s">
        <v>1005</v>
      </c>
      <c r="B23" s="537" t="s">
        <v>1143</v>
      </c>
      <c r="C23" s="634">
        <v>42429</v>
      </c>
      <c r="D23" s="479">
        <v>39673.916914950925</v>
      </c>
      <c r="E23">
        <v>31182</v>
      </c>
      <c r="F23" s="479">
        <v>36925.163132819944</v>
      </c>
      <c r="G23">
        <v>18702</v>
      </c>
      <c r="I23" s="479">
        <v>28832.484554621853</v>
      </c>
      <c r="J23" s="479">
        <v>40209.636603918916</v>
      </c>
      <c r="K23" s="479">
        <v>30276.444751351341</v>
      </c>
      <c r="L23" s="479">
        <v>53867.224000000002</v>
      </c>
      <c r="N23">
        <v>83</v>
      </c>
      <c r="O23">
        <v>2960</v>
      </c>
      <c r="P23">
        <v>74</v>
      </c>
      <c r="Q23">
        <v>1</v>
      </c>
      <c r="S23" s="518">
        <v>0.78083567162347534</v>
      </c>
      <c r="T23" s="518">
        <v>1.0889494640628861</v>
      </c>
      <c r="U23" s="518">
        <v>0.81994071745727592</v>
      </c>
      <c r="V23" s="518">
        <v>1.4588215577068517</v>
      </c>
      <c r="W23" s="518"/>
      <c r="X23" s="518">
        <v>0.7170540942369964</v>
      </c>
      <c r="Y23" s="518">
        <v>1</v>
      </c>
      <c r="Z23" s="518">
        <v>0.752964893704126</v>
      </c>
      <c r="AA23" s="518">
        <v>1.3396595579963533</v>
      </c>
      <c r="AB23" s="518"/>
      <c r="AC23" s="518">
        <f t="shared" si="3"/>
        <v>2.6619627966645285E-2</v>
      </c>
      <c r="AD23" s="518">
        <f t="shared" si="4"/>
        <v>0.94932649134060298</v>
      </c>
      <c r="AE23" s="518">
        <f t="shared" si="5"/>
        <v>2.3733162283515075E-2</v>
      </c>
      <c r="AF23" s="518">
        <f t="shared" si="6"/>
        <v>3.2071840923669016E-4</v>
      </c>
      <c r="AH23" s="518" t="str">
        <f t="shared" si="7"/>
        <v/>
      </c>
      <c r="AI23" s="518" t="str">
        <f t="shared" si="0"/>
        <v/>
      </c>
      <c r="AJ23" s="518" t="str">
        <f t="shared" si="1"/>
        <v/>
      </c>
      <c r="AK23" s="518" t="str">
        <f t="shared" si="2"/>
        <v>x</v>
      </c>
    </row>
    <row r="24" spans="1:37" x14ac:dyDescent="0.2">
      <c r="A24" s="630" t="s">
        <v>1006</v>
      </c>
      <c r="B24" s="537" t="s">
        <v>954</v>
      </c>
      <c r="C24" s="634">
        <v>82366</v>
      </c>
      <c r="D24" s="479">
        <v>78172.246487055003</v>
      </c>
      <c r="E24">
        <v>13596</v>
      </c>
      <c r="F24" s="479">
        <v>70499.653420051531</v>
      </c>
      <c r="G24">
        <v>8149</v>
      </c>
      <c r="I24" s="479">
        <v>44041.654398753897</v>
      </c>
      <c r="J24" s="479">
        <v>79059.049283365181</v>
      </c>
      <c r="K24" s="479">
        <v>75599.564347368418</v>
      </c>
      <c r="L24" s="479">
        <v>63150.556999999986</v>
      </c>
      <c r="N24">
        <v>32</v>
      </c>
      <c r="O24">
        <v>1308</v>
      </c>
      <c r="P24">
        <v>19</v>
      </c>
      <c r="Q24">
        <v>1</v>
      </c>
      <c r="S24" s="518">
        <v>0.62470738879161014</v>
      </c>
      <c r="T24" s="518">
        <v>1.1214104672588245</v>
      </c>
      <c r="U24" s="518">
        <v>1.0723395177126696</v>
      </c>
      <c r="V24" s="518">
        <v>0.89575698512637913</v>
      </c>
      <c r="W24" s="518"/>
      <c r="X24" s="518">
        <v>0.55707290687115185</v>
      </c>
      <c r="Y24" s="518">
        <v>1</v>
      </c>
      <c r="Z24" s="518">
        <v>0.9562417589465666</v>
      </c>
      <c r="AA24" s="518">
        <v>0.79877708589252538</v>
      </c>
      <c r="AB24" s="518"/>
      <c r="AC24" s="518">
        <f t="shared" si="3"/>
        <v>2.3529411764705882E-2</v>
      </c>
      <c r="AD24" s="518">
        <f t="shared" si="4"/>
        <v>0.96176470588235297</v>
      </c>
      <c r="AE24" s="518">
        <f t="shared" si="5"/>
        <v>1.3970588235294118E-2</v>
      </c>
      <c r="AF24" s="518">
        <f t="shared" si="6"/>
        <v>7.3529411764705881E-4</v>
      </c>
      <c r="AH24" s="518" t="str">
        <f t="shared" si="7"/>
        <v/>
      </c>
      <c r="AI24" s="518" t="str">
        <f t="shared" si="0"/>
        <v/>
      </c>
      <c r="AJ24" s="518" t="str">
        <f t="shared" si="1"/>
        <v/>
      </c>
      <c r="AK24" s="518" t="str">
        <f t="shared" si="2"/>
        <v>x</v>
      </c>
    </row>
    <row r="25" spans="1:37" x14ac:dyDescent="0.2">
      <c r="A25" s="630" t="s">
        <v>1007</v>
      </c>
      <c r="B25" s="537" t="s">
        <v>959</v>
      </c>
      <c r="C25" s="634">
        <v>6696</v>
      </c>
      <c r="D25" s="479">
        <v>6668.4217528438458</v>
      </c>
      <c r="E25">
        <v>1934</v>
      </c>
      <c r="F25" s="479">
        <v>5955.5854238754346</v>
      </c>
      <c r="G25">
        <v>1156</v>
      </c>
      <c r="I25" s="479">
        <v>8109.713999999999</v>
      </c>
      <c r="J25" s="479">
        <v>6667.1773333333322</v>
      </c>
      <c r="K25" s="479">
        <v>5168.3289827586204</v>
      </c>
      <c r="L25" s="479">
        <v>2821.059999999999</v>
      </c>
      <c r="N25">
        <v>104</v>
      </c>
      <c r="O25">
        <v>1</v>
      </c>
      <c r="P25">
        <v>81</v>
      </c>
      <c r="Q25">
        <v>7</v>
      </c>
      <c r="S25" s="518">
        <v>1.3616988797589649</v>
      </c>
      <c r="T25" s="518">
        <v>1.1194831169082364</v>
      </c>
      <c r="U25" s="518">
        <v>0.8678120814184328</v>
      </c>
      <c r="V25" s="518">
        <v>0.4736830721444461</v>
      </c>
      <c r="W25" s="518"/>
      <c r="X25" s="518">
        <v>1.2163639265232284</v>
      </c>
      <c r="Y25" s="518">
        <v>1</v>
      </c>
      <c r="Z25" s="518">
        <v>0.77518996786225491</v>
      </c>
      <c r="AA25" s="518">
        <v>0.42312658850332058</v>
      </c>
      <c r="AB25" s="518"/>
      <c r="AC25" s="518">
        <f t="shared" si="3"/>
        <v>0.53886010362694303</v>
      </c>
      <c r="AD25" s="518">
        <f t="shared" si="4"/>
        <v>5.1813471502590676E-3</v>
      </c>
      <c r="AE25" s="518">
        <f t="shared" si="5"/>
        <v>0.41968911917098445</v>
      </c>
      <c r="AF25" s="518">
        <f t="shared" si="6"/>
        <v>3.6269430051813469E-2</v>
      </c>
      <c r="AH25" s="518" t="str">
        <f t="shared" si="7"/>
        <v/>
      </c>
      <c r="AI25" s="518" t="str">
        <f t="shared" si="0"/>
        <v>x</v>
      </c>
      <c r="AJ25" s="518" t="str">
        <f t="shared" si="1"/>
        <v/>
      </c>
      <c r="AK25" s="518" t="str">
        <f t="shared" si="2"/>
        <v/>
      </c>
    </row>
    <row r="26" spans="1:37" x14ac:dyDescent="0.2">
      <c r="A26" s="630" t="s">
        <v>1008</v>
      </c>
      <c r="B26" s="537" t="s">
        <v>1140</v>
      </c>
      <c r="C26" s="634">
        <v>4656</v>
      </c>
      <c r="D26" s="479">
        <v>4621.347547509471</v>
      </c>
      <c r="E26">
        <v>39329</v>
      </c>
      <c r="F26" s="479">
        <v>4183.809135263451</v>
      </c>
      <c r="G26">
        <v>23591</v>
      </c>
      <c r="I26" s="479">
        <v>5908.8922627448992</v>
      </c>
      <c r="J26" s="479">
        <v>29300.466391304344</v>
      </c>
      <c r="K26" s="479">
        <v>3731.5915175625551</v>
      </c>
      <c r="L26" s="479">
        <v>1458.6287392550141</v>
      </c>
      <c r="N26">
        <v>1975</v>
      </c>
      <c r="O26">
        <v>28</v>
      </c>
      <c r="P26">
        <v>1267</v>
      </c>
      <c r="Q26">
        <v>663</v>
      </c>
      <c r="S26" s="518">
        <v>1.4123235720629548</v>
      </c>
      <c r="T26" s="518">
        <v>7.0032990138923532</v>
      </c>
      <c r="U26" s="518">
        <v>0.89191246467498808</v>
      </c>
      <c r="V26" s="518">
        <v>0.348636539597585</v>
      </c>
      <c r="W26" s="518"/>
      <c r="X26" s="518">
        <v>0.20166546784042019</v>
      </c>
      <c r="Y26" s="518">
        <v>1</v>
      </c>
      <c r="Z26" s="518">
        <v>0.12735604504473005</v>
      </c>
      <c r="AA26" s="518">
        <v>4.9781758412142517E-2</v>
      </c>
      <c r="AB26" s="518"/>
      <c r="AC26" s="518">
        <f t="shared" si="3"/>
        <v>0.50216120010170351</v>
      </c>
      <c r="AD26" s="518">
        <f t="shared" si="4"/>
        <v>7.1192473938469364E-3</v>
      </c>
      <c r="AE26" s="518">
        <f t="shared" si="5"/>
        <v>0.32214594457157386</v>
      </c>
      <c r="AF26" s="518">
        <f t="shared" si="6"/>
        <v>0.16857360793287568</v>
      </c>
      <c r="AH26" s="518" t="str">
        <f t="shared" si="7"/>
        <v/>
      </c>
      <c r="AI26" s="518" t="str">
        <f t="shared" si="0"/>
        <v/>
      </c>
      <c r="AJ26" s="518" t="str">
        <f t="shared" si="1"/>
        <v/>
      </c>
      <c r="AK26" s="518" t="str">
        <f t="shared" si="2"/>
        <v/>
      </c>
    </row>
    <row r="27" spans="1:37" x14ac:dyDescent="0.2">
      <c r="A27" s="630" t="s">
        <v>1009</v>
      </c>
      <c r="B27" s="537" t="s">
        <v>1138</v>
      </c>
      <c r="C27" s="634">
        <v>12169</v>
      </c>
      <c r="D27" s="479">
        <v>15958.156192339397</v>
      </c>
      <c r="E27">
        <v>36394</v>
      </c>
      <c r="F27" s="479">
        <v>13755.588406175593</v>
      </c>
      <c r="G27">
        <v>21828</v>
      </c>
      <c r="I27" s="479">
        <v>20580.41398494973</v>
      </c>
      <c r="J27" s="479">
        <v>56671.727170953098</v>
      </c>
      <c r="K27" s="479">
        <v>14227.035343151989</v>
      </c>
      <c r="L27" s="479">
        <v>6504.7400000000043</v>
      </c>
      <c r="N27">
        <v>1661</v>
      </c>
      <c r="O27">
        <v>66</v>
      </c>
      <c r="P27">
        <v>998</v>
      </c>
      <c r="Q27">
        <v>914</v>
      </c>
      <c r="S27" s="518">
        <v>1.496149301451192</v>
      </c>
      <c r="T27" s="518">
        <v>4.1199057065061817</v>
      </c>
      <c r="U27" s="518">
        <v>1.0342731203533786</v>
      </c>
      <c r="V27" s="518">
        <v>0.47287980767727034</v>
      </c>
      <c r="W27" s="518"/>
      <c r="X27" s="518">
        <v>0.36315134569426272</v>
      </c>
      <c r="Y27" s="518">
        <v>1</v>
      </c>
      <c r="Z27" s="518">
        <v>0.25104291069575885</v>
      </c>
      <c r="AA27" s="518">
        <v>0.1147792792758571</v>
      </c>
      <c r="AB27" s="518"/>
      <c r="AC27" s="518">
        <f t="shared" si="3"/>
        <v>0.45644407804341852</v>
      </c>
      <c r="AD27" s="518">
        <f t="shared" si="4"/>
        <v>1.8136850783182192E-2</v>
      </c>
      <c r="AE27" s="518">
        <f t="shared" si="5"/>
        <v>0.27425116790327014</v>
      </c>
      <c r="AF27" s="518">
        <f t="shared" si="6"/>
        <v>0.25116790327012917</v>
      </c>
      <c r="AH27" s="518" t="str">
        <f t="shared" si="7"/>
        <v/>
      </c>
      <c r="AI27" s="518" t="str">
        <f t="shared" si="0"/>
        <v/>
      </c>
      <c r="AJ27" s="518" t="str">
        <f t="shared" si="1"/>
        <v/>
      </c>
      <c r="AK27" s="518" t="str">
        <f t="shared" si="2"/>
        <v/>
      </c>
    </row>
    <row r="28" spans="1:37" x14ac:dyDescent="0.2">
      <c r="A28" s="630" t="s">
        <v>1023</v>
      </c>
      <c r="B28" s="537" t="s">
        <v>1020</v>
      </c>
      <c r="C28" s="634">
        <v>29354</v>
      </c>
      <c r="D28" s="479">
        <v>27966.137788129003</v>
      </c>
      <c r="E28">
        <v>6419</v>
      </c>
      <c r="F28" s="479">
        <v>25371.478005201596</v>
      </c>
      <c r="G28">
        <v>3845</v>
      </c>
      <c r="I28" s="479">
        <v>20619.88822367759</v>
      </c>
      <c r="J28" s="479">
        <v>31193.9430035769</v>
      </c>
      <c r="K28" s="479">
        <v>31831.061441767066</v>
      </c>
      <c r="L28" s="479">
        <v>29054.491999999998</v>
      </c>
      <c r="N28">
        <v>199</v>
      </c>
      <c r="O28">
        <v>391</v>
      </c>
      <c r="P28">
        <v>50</v>
      </c>
      <c r="Q28">
        <v>2</v>
      </c>
      <c r="S28" s="518">
        <v>0.81271923612215857</v>
      </c>
      <c r="T28" s="518">
        <v>1.2294886012230584</v>
      </c>
      <c r="U28" s="518">
        <v>1.2546002024494254</v>
      </c>
      <c r="V28" s="518">
        <v>1.1451635570479308</v>
      </c>
      <c r="W28" s="518"/>
      <c r="X28" s="518">
        <v>0.66102218053399597</v>
      </c>
      <c r="Y28" s="518">
        <v>1</v>
      </c>
      <c r="Z28" s="518">
        <v>1.0204244278486085</v>
      </c>
      <c r="AA28" s="518">
        <v>0.93141453764496596</v>
      </c>
      <c r="AB28" s="518"/>
      <c r="AC28" s="518">
        <f t="shared" si="3"/>
        <v>0.3099688473520249</v>
      </c>
      <c r="AD28" s="518">
        <f t="shared" si="4"/>
        <v>0.6090342679127726</v>
      </c>
      <c r="AE28" s="518">
        <f t="shared" si="5"/>
        <v>7.7881619937694699E-2</v>
      </c>
      <c r="AF28" s="518">
        <f t="shared" si="6"/>
        <v>3.1152647975077881E-3</v>
      </c>
      <c r="AH28" s="518" t="str">
        <f t="shared" si="7"/>
        <v/>
      </c>
      <c r="AI28" s="518" t="str">
        <f t="shared" si="0"/>
        <v/>
      </c>
      <c r="AJ28" s="518" t="str">
        <f t="shared" si="1"/>
        <v/>
      </c>
      <c r="AK28" s="518" t="str">
        <f t="shared" si="2"/>
        <v>x</v>
      </c>
    </row>
    <row r="29" spans="1:37" x14ac:dyDescent="0.2">
      <c r="A29" s="630" t="s">
        <v>1010</v>
      </c>
      <c r="B29" s="537" t="s">
        <v>831</v>
      </c>
      <c r="C29" s="634">
        <v>6582</v>
      </c>
      <c r="D29" s="479">
        <v>6532.8774933333325</v>
      </c>
      <c r="E29">
        <v>1050</v>
      </c>
      <c r="F29" s="479">
        <v>5866.7045906902067</v>
      </c>
      <c r="G29">
        <v>623</v>
      </c>
      <c r="I29" s="479">
        <v>7732.3399999999983</v>
      </c>
      <c r="J29" s="479">
        <v>10578.391428571429</v>
      </c>
      <c r="K29" s="479">
        <v>5004.1599295154183</v>
      </c>
      <c r="L29" s="479">
        <v>5334.4435294117638</v>
      </c>
      <c r="N29">
        <v>57</v>
      </c>
      <c r="O29">
        <v>1</v>
      </c>
      <c r="P29">
        <v>45</v>
      </c>
      <c r="Q29">
        <v>2</v>
      </c>
      <c r="S29" s="518">
        <v>1.3180039799976195</v>
      </c>
      <c r="T29" s="518">
        <v>1.8031232466277805</v>
      </c>
      <c r="U29" s="518">
        <v>0.85297629225382354</v>
      </c>
      <c r="V29" s="518">
        <v>0.90927426921698418</v>
      </c>
      <c r="W29" s="518"/>
      <c r="X29" s="518">
        <v>0.73095612430407308</v>
      </c>
      <c r="Y29" s="518">
        <v>1</v>
      </c>
      <c r="Z29" s="518">
        <v>0.47305490284652957</v>
      </c>
      <c r="AA29" s="518">
        <v>0.50427738143663681</v>
      </c>
      <c r="AB29" s="518"/>
      <c r="AC29" s="518">
        <f t="shared" si="3"/>
        <v>0.54285714285714282</v>
      </c>
      <c r="AD29" s="518">
        <f t="shared" si="4"/>
        <v>9.5238095238095247E-3</v>
      </c>
      <c r="AE29" s="518">
        <f t="shared" si="5"/>
        <v>0.42857142857142855</v>
      </c>
      <c r="AF29" s="518">
        <f t="shared" si="6"/>
        <v>1.9047619047619049E-2</v>
      </c>
      <c r="AH29" s="518" t="str">
        <f t="shared" si="7"/>
        <v/>
      </c>
      <c r="AI29" s="518" t="str">
        <f t="shared" si="0"/>
        <v>x</v>
      </c>
      <c r="AJ29" s="518" t="str">
        <f t="shared" si="1"/>
        <v/>
      </c>
      <c r="AK29" s="518" t="str">
        <f t="shared" si="2"/>
        <v/>
      </c>
    </row>
    <row r="30" spans="1:37" x14ac:dyDescent="0.2">
      <c r="A30" s="630" t="s">
        <v>1011</v>
      </c>
      <c r="B30" s="537" t="s">
        <v>832</v>
      </c>
      <c r="C30" s="634">
        <v>40843</v>
      </c>
      <c r="D30" s="479">
        <v>38828.665707214328</v>
      </c>
      <c r="E30">
        <v>1899</v>
      </c>
      <c r="F30" s="479">
        <v>34990.567025595738</v>
      </c>
      <c r="G30">
        <v>1133</v>
      </c>
      <c r="I30" s="479">
        <v>33671.544114649681</v>
      </c>
      <c r="J30" s="479">
        <v>39545.855116607781</v>
      </c>
      <c r="K30" s="479">
        <v>29553.221909090891</v>
      </c>
      <c r="L30" s="479">
        <v>0</v>
      </c>
      <c r="N30">
        <v>16</v>
      </c>
      <c r="O30">
        <v>170</v>
      </c>
      <c r="P30">
        <v>4</v>
      </c>
      <c r="Q30">
        <v>0</v>
      </c>
      <c r="S30" s="518">
        <v>0.96230347139041261</v>
      </c>
      <c r="T30" s="518">
        <v>1.130186175253457</v>
      </c>
      <c r="U30" s="518">
        <v>0.84460540143498086</v>
      </c>
      <c r="V30" s="518">
        <v>0</v>
      </c>
      <c r="W30" s="518"/>
      <c r="X30" s="518">
        <v>0.8514557092105689</v>
      </c>
      <c r="Y30" s="518">
        <v>1</v>
      </c>
      <c r="Z30" s="518">
        <v>0.74731528302898276</v>
      </c>
      <c r="AA30" s="518">
        <v>0</v>
      </c>
      <c r="AB30" s="518"/>
      <c r="AC30" s="518">
        <f t="shared" si="3"/>
        <v>8.4210526315789472E-2</v>
      </c>
      <c r="AD30" s="518">
        <f t="shared" si="4"/>
        <v>0.89473684210526316</v>
      </c>
      <c r="AE30" s="518">
        <f t="shared" si="5"/>
        <v>2.1052631578947368E-2</v>
      </c>
      <c r="AF30" s="518">
        <f t="shared" si="6"/>
        <v>0</v>
      </c>
      <c r="AH30" s="518" t="str">
        <f t="shared" si="7"/>
        <v/>
      </c>
      <c r="AI30" s="518" t="str">
        <f t="shared" si="0"/>
        <v/>
      </c>
      <c r="AJ30" s="518" t="str">
        <f t="shared" si="1"/>
        <v/>
      </c>
      <c r="AK30" s="518" t="str">
        <f t="shared" si="2"/>
        <v>x</v>
      </c>
    </row>
    <row r="31" spans="1:37" x14ac:dyDescent="0.2">
      <c r="A31" s="630" t="s">
        <v>1012</v>
      </c>
      <c r="B31" s="537" t="s">
        <v>833</v>
      </c>
      <c r="C31" s="634">
        <v>6188</v>
      </c>
      <c r="D31" s="479">
        <v>5867.4337200184746</v>
      </c>
      <c r="E31">
        <v>38974</v>
      </c>
      <c r="F31" s="479">
        <v>5320.2525843850235</v>
      </c>
      <c r="G31">
        <v>23375</v>
      </c>
      <c r="I31" s="479">
        <v>6864.0087097675196</v>
      </c>
      <c r="J31" s="479">
        <v>16606.322146341463</v>
      </c>
      <c r="K31" s="479">
        <v>3912.1845562913904</v>
      </c>
      <c r="L31" s="479">
        <v>5564.0047169811314</v>
      </c>
      <c r="N31">
        <v>2435</v>
      </c>
      <c r="O31">
        <v>33</v>
      </c>
      <c r="P31">
        <v>1419</v>
      </c>
      <c r="Q31">
        <v>11</v>
      </c>
      <c r="S31" s="518">
        <v>1.2901659462397388</v>
      </c>
      <c r="T31" s="518">
        <v>3.1213409293914216</v>
      </c>
      <c r="U31" s="518">
        <v>0.73533812431644274</v>
      </c>
      <c r="V31" s="518">
        <v>1.0458158947775378</v>
      </c>
      <c r="W31" s="518"/>
      <c r="X31" s="518">
        <v>0.41333708025649307</v>
      </c>
      <c r="Y31" s="518">
        <v>1</v>
      </c>
      <c r="Z31" s="518">
        <v>0.23558404575171291</v>
      </c>
      <c r="AA31" s="518">
        <v>0.33505340122568539</v>
      </c>
      <c r="AB31" s="518"/>
      <c r="AC31" s="518">
        <f t="shared" si="3"/>
        <v>0.62467932272960491</v>
      </c>
      <c r="AD31" s="518">
        <f t="shared" si="4"/>
        <v>8.4658799384299648E-3</v>
      </c>
      <c r="AE31" s="518">
        <f t="shared" si="5"/>
        <v>0.36403283735248848</v>
      </c>
      <c r="AF31" s="518">
        <f t="shared" si="6"/>
        <v>2.8219599794766545E-3</v>
      </c>
      <c r="AH31" s="518" t="str">
        <f t="shared" si="7"/>
        <v/>
      </c>
      <c r="AI31" s="518" t="str">
        <f t="shared" si="0"/>
        <v/>
      </c>
      <c r="AJ31" s="518" t="str">
        <f t="shared" si="1"/>
        <v/>
      </c>
      <c r="AK31" s="518" t="str">
        <f t="shared" si="2"/>
        <v>x</v>
      </c>
    </row>
    <row r="32" spans="1:37" x14ac:dyDescent="0.2">
      <c r="A32" s="630" t="s">
        <v>1013</v>
      </c>
      <c r="B32" s="537" t="s">
        <v>958</v>
      </c>
      <c r="C32" s="634">
        <v>6963</v>
      </c>
      <c r="D32" s="479">
        <v>6850.0991683065276</v>
      </c>
      <c r="E32">
        <v>274820</v>
      </c>
      <c r="F32" s="479">
        <v>6226.923452475542</v>
      </c>
      <c r="G32">
        <v>164873</v>
      </c>
      <c r="I32" s="479">
        <v>6284.8475771525464</v>
      </c>
      <c r="J32" s="479">
        <v>31544.848658840943</v>
      </c>
      <c r="K32" s="479">
        <v>3832.6680207719955</v>
      </c>
      <c r="L32" s="479">
        <v>3604.1947588424432</v>
      </c>
      <c r="N32">
        <v>12621</v>
      </c>
      <c r="O32">
        <v>1891</v>
      </c>
      <c r="P32">
        <v>11073</v>
      </c>
      <c r="Q32">
        <v>1897</v>
      </c>
      <c r="S32" s="518">
        <v>1.009302205996121</v>
      </c>
      <c r="T32" s="518">
        <v>5.0658802697020695</v>
      </c>
      <c r="U32" s="518">
        <v>0.61549945972891329</v>
      </c>
      <c r="V32" s="518">
        <v>0.57880826484378556</v>
      </c>
      <c r="W32" s="518"/>
      <c r="X32" s="518">
        <v>0.1992353060597461</v>
      </c>
      <c r="Y32" s="518">
        <v>1</v>
      </c>
      <c r="Z32" s="518">
        <v>0.12149901437862279</v>
      </c>
      <c r="AA32" s="518">
        <v>0.11425620702200803</v>
      </c>
      <c r="AB32" s="518"/>
      <c r="AC32" s="518">
        <f t="shared" si="3"/>
        <v>0.45924605196128376</v>
      </c>
      <c r="AD32" s="518">
        <f t="shared" si="4"/>
        <v>6.8808674768939676E-2</v>
      </c>
      <c r="AE32" s="518">
        <f t="shared" si="5"/>
        <v>0.40291827377920092</v>
      </c>
      <c r="AF32" s="518">
        <f t="shared" si="6"/>
        <v>6.9026999490575655E-2</v>
      </c>
      <c r="AH32" s="518" t="str">
        <f t="shared" si="7"/>
        <v/>
      </c>
      <c r="AI32" s="518" t="str">
        <f t="shared" si="0"/>
        <v/>
      </c>
      <c r="AJ32" s="518" t="str">
        <f t="shared" si="1"/>
        <v/>
      </c>
      <c r="AK32" s="518" t="str">
        <f t="shared" si="2"/>
        <v/>
      </c>
    </row>
    <row r="33" spans="1:37" x14ac:dyDescent="0.2">
      <c r="A33" s="630" t="s">
        <v>1014</v>
      </c>
      <c r="B33" s="537" t="s">
        <v>1139</v>
      </c>
      <c r="C33" s="634">
        <v>15381</v>
      </c>
      <c r="D33" s="479">
        <v>14615.940124514827</v>
      </c>
      <c r="E33">
        <v>6441</v>
      </c>
      <c r="F33" s="479">
        <v>12986.087979771786</v>
      </c>
      <c r="G33">
        <v>3856</v>
      </c>
      <c r="I33" s="479">
        <v>14913.329742746613</v>
      </c>
      <c r="J33" s="479">
        <v>21053.379262773724</v>
      </c>
      <c r="K33" s="479">
        <v>7300.875536656893</v>
      </c>
      <c r="L33" s="479">
        <v>12753.82</v>
      </c>
      <c r="N33">
        <v>517</v>
      </c>
      <c r="O33">
        <v>55</v>
      </c>
      <c r="P33">
        <v>68</v>
      </c>
      <c r="Q33">
        <v>4</v>
      </c>
      <c r="S33" s="518">
        <v>1.1484081862048725</v>
      </c>
      <c r="T33" s="518">
        <v>1.6212256759362962</v>
      </c>
      <c r="U33" s="518">
        <v>0.56220745986238085</v>
      </c>
      <c r="V33" s="518">
        <v>0.98211409162377561</v>
      </c>
      <c r="W33" s="518"/>
      <c r="X33" s="518">
        <v>0.70835800545882643</v>
      </c>
      <c r="Y33" s="518">
        <v>1</v>
      </c>
      <c r="Z33" s="518">
        <v>0.34677927213168075</v>
      </c>
      <c r="AA33" s="518">
        <v>0.60578493555906809</v>
      </c>
      <c r="AB33" s="518"/>
      <c r="AC33" s="518">
        <f t="shared" si="3"/>
        <v>0.80279503105590067</v>
      </c>
      <c r="AD33" s="518">
        <f t="shared" si="4"/>
        <v>8.5403726708074529E-2</v>
      </c>
      <c r="AE33" s="518">
        <f t="shared" si="5"/>
        <v>0.10559006211180125</v>
      </c>
      <c r="AF33" s="518">
        <f t="shared" si="6"/>
        <v>6.2111801242236021E-3</v>
      </c>
      <c r="AH33" s="518" t="str">
        <f t="shared" si="7"/>
        <v/>
      </c>
      <c r="AI33" s="518" t="str">
        <f t="shared" si="0"/>
        <v/>
      </c>
      <c r="AJ33" s="518" t="str">
        <f t="shared" si="1"/>
        <v/>
      </c>
      <c r="AK33" s="518" t="str">
        <f t="shared" si="2"/>
        <v>x</v>
      </c>
    </row>
    <row r="34" spans="1:37" x14ac:dyDescent="0.2">
      <c r="B34" s="632"/>
    </row>
    <row r="35" spans="1:37" x14ac:dyDescent="0.2">
      <c r="A35" s="636" t="s">
        <v>979</v>
      </c>
      <c r="B35" s="632"/>
      <c r="X35" s="455">
        <v>0.56289138606237932</v>
      </c>
      <c r="Y35" s="455">
        <v>1</v>
      </c>
      <c r="Z35" s="455">
        <v>0.45200775733927112</v>
      </c>
      <c r="AA35" s="455">
        <v>0.25166848645517059</v>
      </c>
    </row>
    <row r="36" spans="1:37" x14ac:dyDescent="0.2">
      <c r="A36" s="636" t="s">
        <v>1015</v>
      </c>
      <c r="B36" s="632"/>
      <c r="X36" s="518">
        <v>0.36715085118770768</v>
      </c>
      <c r="Y36" s="518">
        <v>1</v>
      </c>
      <c r="Z36" s="518">
        <v>0.18646132469758678</v>
      </c>
      <c r="AA36" s="518">
        <v>0.13217055553542767</v>
      </c>
    </row>
    <row r="37" spans="1:37" x14ac:dyDescent="0.2">
      <c r="A37" s="636" t="s">
        <v>1016</v>
      </c>
      <c r="B37" s="632"/>
      <c r="X37" s="518">
        <v>0.44009535608282629</v>
      </c>
      <c r="Y37" s="518">
        <v>1</v>
      </c>
      <c r="Z37" s="518">
        <v>0.27952987741699958</v>
      </c>
      <c r="AA37" s="518">
        <v>0.17888551858871782</v>
      </c>
    </row>
    <row r="38" spans="1:37" x14ac:dyDescent="0.2">
      <c r="B38" s="632"/>
    </row>
    <row r="39" spans="1:37" x14ac:dyDescent="0.2">
      <c r="B39" s="632"/>
    </row>
    <row r="40" spans="1:37" x14ac:dyDescent="0.2">
      <c r="B40" s="632"/>
    </row>
    <row r="41" spans="1:37" x14ac:dyDescent="0.2">
      <c r="B41" s="632"/>
    </row>
    <row r="42" spans="1:37" x14ac:dyDescent="0.2">
      <c r="B42" s="632"/>
    </row>
    <row r="43" spans="1:37" x14ac:dyDescent="0.2">
      <c r="B43" s="632"/>
    </row>
    <row r="44" spans="1:37" x14ac:dyDescent="0.2">
      <c r="B44" s="632"/>
    </row>
    <row r="45" spans="1:37" x14ac:dyDescent="0.2">
      <c r="B45" s="632"/>
    </row>
    <row r="46" spans="1:37" x14ac:dyDescent="0.2">
      <c r="B46" s="632"/>
    </row>
    <row r="47" spans="1:37" x14ac:dyDescent="0.2">
      <c r="B47" s="632"/>
    </row>
    <row r="48" spans="1:37" x14ac:dyDescent="0.2">
      <c r="B48" s="632"/>
    </row>
    <row r="49" spans="2:2" x14ac:dyDescent="0.2">
      <c r="B49" s="632"/>
    </row>
    <row r="50" spans="2:2" x14ac:dyDescent="0.2">
      <c r="B50" s="632"/>
    </row>
    <row r="51" spans="2:2" x14ac:dyDescent="0.2">
      <c r="B51" s="632"/>
    </row>
    <row r="52" spans="2:2" x14ac:dyDescent="0.2">
      <c r="B52" s="632"/>
    </row>
    <row r="53" spans="2:2" x14ac:dyDescent="0.2">
      <c r="B53" s="632"/>
    </row>
    <row r="54" spans="2:2" x14ac:dyDescent="0.2">
      <c r="B54" s="632"/>
    </row>
    <row r="55" spans="2:2" x14ac:dyDescent="0.2">
      <c r="B55" s="632"/>
    </row>
    <row r="56" spans="2:2" x14ac:dyDescent="0.2">
      <c r="B56" s="632"/>
    </row>
    <row r="57" spans="2:2" x14ac:dyDescent="0.2">
      <c r="B57" s="632"/>
    </row>
    <row r="58" spans="2:2" x14ac:dyDescent="0.2">
      <c r="B58" s="632"/>
    </row>
    <row r="59" spans="2:2" x14ac:dyDescent="0.2">
      <c r="B59" s="632"/>
    </row>
    <row r="60" spans="2:2" x14ac:dyDescent="0.2">
      <c r="B60" s="632"/>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enableFormatConditionsCalculation="0"/>
  <dimension ref="A1:AB40"/>
  <sheetViews>
    <sheetView workbookViewId="0">
      <pane xSplit="1" ySplit="1" topLeftCell="E2" activePane="bottomRight" state="frozen"/>
      <selection activeCell="C4" sqref="C4"/>
      <selection pane="topRight" activeCell="C4" sqref="C4"/>
      <selection pane="bottomLeft" activeCell="C4" sqref="C4"/>
      <selection pane="bottomRight" activeCell="C4" sqref="C4"/>
    </sheetView>
  </sheetViews>
  <sheetFormatPr baseColWidth="10" defaultColWidth="8.83203125" defaultRowHeight="15" x14ac:dyDescent="0.2"/>
  <cols>
    <col min="1" max="1" width="3.83203125" customWidth="1"/>
    <col min="2" max="2" width="52" customWidth="1"/>
    <col min="3" max="3" width="10.6640625" style="313" customWidth="1"/>
    <col min="4" max="4" width="9.5" customWidth="1"/>
    <col min="5" max="5" width="23" style="541" customWidth="1"/>
    <col min="6" max="6" width="8.83203125" customWidth="1"/>
    <col min="7" max="7" width="38.83203125" customWidth="1"/>
    <col min="8" max="18" width="9.6640625" customWidth="1"/>
    <col min="19" max="19" width="8.83203125" customWidth="1"/>
    <col min="26" max="26" width="27.83203125" customWidth="1"/>
    <col min="27" max="28" width="10.1640625" customWidth="1"/>
  </cols>
  <sheetData>
    <row r="1" spans="1:28" ht="52.25" customHeight="1" x14ac:dyDescent="0.2">
      <c r="B1" s="525" t="s">
        <v>923</v>
      </c>
      <c r="C1" s="526" t="s">
        <v>834</v>
      </c>
      <c r="D1" s="527" t="s">
        <v>835</v>
      </c>
      <c r="E1" s="528" t="s">
        <v>836</v>
      </c>
      <c r="F1" s="529" t="s">
        <v>965</v>
      </c>
      <c r="G1" s="529" t="s">
        <v>837</v>
      </c>
      <c r="H1" s="358" t="s">
        <v>306</v>
      </c>
      <c r="I1" s="358" t="s">
        <v>838</v>
      </c>
      <c r="J1" s="358" t="s">
        <v>839</v>
      </c>
      <c r="K1" s="358" t="s">
        <v>840</v>
      </c>
      <c r="L1" s="358" t="s">
        <v>841</v>
      </c>
      <c r="M1" s="358" t="s">
        <v>311</v>
      </c>
      <c r="N1" s="358" t="s">
        <v>842</v>
      </c>
      <c r="O1" s="358" t="s">
        <v>843</v>
      </c>
      <c r="P1" s="358" t="s">
        <v>844</v>
      </c>
      <c r="Q1" s="358" t="s">
        <v>845</v>
      </c>
      <c r="R1" s="358" t="s">
        <v>846</v>
      </c>
      <c r="S1" s="358" t="s">
        <v>847</v>
      </c>
      <c r="T1" s="358"/>
      <c r="U1" s="530" t="s">
        <v>848</v>
      </c>
      <c r="V1" s="530"/>
      <c r="W1" s="530"/>
      <c r="X1" s="530"/>
      <c r="Z1" t="s">
        <v>837</v>
      </c>
      <c r="AA1" s="313" t="s">
        <v>847</v>
      </c>
      <c r="AB1" s="358" t="s">
        <v>849</v>
      </c>
    </row>
    <row r="2" spans="1:28" ht="15.5" customHeight="1" x14ac:dyDescent="0.2">
      <c r="A2" s="531">
        <v>1</v>
      </c>
      <c r="B2" s="532" t="s">
        <v>1134</v>
      </c>
      <c r="C2" s="533">
        <f t="shared" ref="C2:C32" si="0">$M2</f>
        <v>2000</v>
      </c>
      <c r="D2" s="534">
        <f t="shared" ref="D2:D32" si="1">$P2</f>
        <v>3000</v>
      </c>
      <c r="E2" s="535" t="str">
        <f t="shared" ref="E2:E32" si="2">IF(OR($O2="",$O2=0),"N/A",TEXT($N2,"$#,##")&amp;" for "&amp;$O2&amp;" pay periods")</f>
        <v>$150 for 20 pay periods</v>
      </c>
      <c r="F2" s="28">
        <f t="shared" ref="F2:F23" si="3">IFERROR(MIN(I2/100000,1)^(1-cost_share_target),"")</f>
        <v>0.74116648803890339</v>
      </c>
      <c r="G2" t="s">
        <v>678</v>
      </c>
      <c r="H2" s="373">
        <v>0.12642705330110243</v>
      </c>
      <c r="I2" s="29">
        <v>13576</v>
      </c>
      <c r="J2" s="29">
        <f t="shared" ref="J2:J23" si="4">IFERROR(MIN(MROUND(MIN($F2*(copay_max-copay_min)+copay_min,copay_max),copay_unit),$I2),"")</f>
        <v>2000</v>
      </c>
      <c r="K2" s="29">
        <f t="shared" ref="K2:K23" si="5">IFERROR(MROUND(MAX(MIN($F2*payroll_max,payroll_max),payroll_min),payroll_unit),"")</f>
        <v>150</v>
      </c>
      <c r="L2" s="536">
        <f t="shared" ref="L2:L23" si="6">IFERROR(MAX(MIN(ROUND($F2*(period_max-period_min)+period_min,0),period_max),0),"")</f>
        <v>20</v>
      </c>
      <c r="M2" s="29">
        <f t="shared" ref="M2:M23" si="7">IFERROR(IF(AND($L2&lt;period_min,$J2&gt;copay_min+period_min*payroll_min),$J2-(period_min-$L2)*payroll_min,IF($L2&lt;period_min,$J2+$K2*$L2,$J2)),"")</f>
        <v>2000</v>
      </c>
      <c r="N2" s="29">
        <f t="shared" ref="N2:N23" si="8">IFERROR(MROUND(MAX(MIN(($J2+$K2*$L2-$M2)/$O2,payroll_max),payroll_min),payroll_unit),"")</f>
        <v>150</v>
      </c>
      <c r="O2" s="536">
        <f t="shared" ref="O2:O21" si="9">IFERROR(IF($L2="","",IF($J2+$K2*$L2&gt;$I2,MAX(ROUNDDOWN(($I2*0.8-$M2)/payroll_max,0),0),MAX(MIN($L2,period_max),period_min))),"")</f>
        <v>20</v>
      </c>
      <c r="P2" s="29">
        <f>IFERROR($N2*$O2,"")</f>
        <v>3000</v>
      </c>
      <c r="Q2" s="29">
        <f>IF(SUM(M2,P2)=0,"",SUM(M2,P2))</f>
        <v>5000</v>
      </c>
      <c r="R2" s="455">
        <f t="shared" ref="R2:R32" si="10">IFERROR(Q2/I2,"")</f>
        <v>0.36829699469652327</v>
      </c>
      <c r="S2" s="455">
        <f t="shared" ref="S2:S32" si="11">IFERROR($H2*$I2/$I$34/SUM($H$2:$H$32),"")</f>
        <v>2.7257877724248428E-3</v>
      </c>
      <c r="T2" s="455">
        <f>IF($R2="","",IF($R2&lt;=0.4,-1.0204*$R2^2+0.9161*$R2+0.0018,0.205)*2)</f>
        <v>0.40157417988484662</v>
      </c>
      <c r="U2" s="530" t="s">
        <v>850</v>
      </c>
      <c r="V2" s="530"/>
      <c r="W2" s="530"/>
      <c r="X2" s="530"/>
      <c r="Z2" t="s">
        <v>632</v>
      </c>
      <c r="AA2" s="455">
        <f t="shared" ref="AA2:AA34" si="12">VLOOKUP($Z2,$G$2:$S$32,13,0)</f>
        <v>5.8251757932673363E-2</v>
      </c>
      <c r="AB2" s="455">
        <f>SUM($AA$2:$AA2)</f>
        <v>5.8251757932673363E-2</v>
      </c>
    </row>
    <row r="3" spans="1:28" x14ac:dyDescent="0.2">
      <c r="A3" s="531">
        <v>2</v>
      </c>
      <c r="B3" s="537" t="s">
        <v>953</v>
      </c>
      <c r="C3" s="538">
        <f t="shared" si="0"/>
        <v>2300</v>
      </c>
      <c r="D3" s="539">
        <f t="shared" si="1"/>
        <v>4600</v>
      </c>
      <c r="E3" s="540" t="str">
        <f t="shared" si="2"/>
        <v>$200 for 23 pay periods</v>
      </c>
      <c r="F3" s="28">
        <f t="shared" si="3"/>
        <v>0.88160243308948172</v>
      </c>
      <c r="G3" t="s">
        <v>633</v>
      </c>
      <c r="H3" s="373">
        <v>0.57019165445285147</v>
      </c>
      <c r="I3" s="29">
        <v>43167</v>
      </c>
      <c r="J3" s="29">
        <f t="shared" si="4"/>
        <v>2300</v>
      </c>
      <c r="K3" s="29">
        <f t="shared" si="5"/>
        <v>200</v>
      </c>
      <c r="L3" s="536">
        <f t="shared" si="6"/>
        <v>23</v>
      </c>
      <c r="M3" s="29">
        <f t="shared" si="7"/>
        <v>2300</v>
      </c>
      <c r="N3" s="29">
        <f t="shared" si="8"/>
        <v>200</v>
      </c>
      <c r="O3" s="536">
        <f t="shared" si="9"/>
        <v>23</v>
      </c>
      <c r="P3" s="29">
        <f t="shared" ref="P3:P32" si="13">IFERROR($N3*$O3,"")</f>
        <v>4600</v>
      </c>
      <c r="Q3" s="29">
        <f t="shared" ref="Q3:Q32" si="14">IF(SUM(M3,P3)=0,"",SUM(M3,P3))</f>
        <v>6900</v>
      </c>
      <c r="R3" s="455">
        <f t="shared" si="10"/>
        <v>0.15984432552644381</v>
      </c>
      <c r="S3" s="455">
        <f t="shared" si="11"/>
        <v>3.9088852176167921E-2</v>
      </c>
      <c r="T3" s="455">
        <f t="shared" ref="T3:T32" si="15">IF($R3="","",IF($R3&lt;=0.4,-1.0204*$R3^2+0.9161*$R3+0.0018,0.205)*2)</f>
        <v>0.2443239079207003</v>
      </c>
      <c r="Z3" t="s">
        <v>633</v>
      </c>
      <c r="AA3" s="455">
        <f t="shared" si="12"/>
        <v>3.9088852176167921E-2</v>
      </c>
      <c r="AB3" s="455">
        <f>SUM($AA$2:$AA3)</f>
        <v>9.7340610108841291E-2</v>
      </c>
    </row>
    <row r="4" spans="1:28" x14ac:dyDescent="0.2">
      <c r="A4" s="531">
        <v>3</v>
      </c>
      <c r="B4" s="537" t="s">
        <v>954</v>
      </c>
      <c r="C4" s="538">
        <f t="shared" si="0"/>
        <v>2400</v>
      </c>
      <c r="D4" s="539">
        <f t="shared" si="1"/>
        <v>5000</v>
      </c>
      <c r="E4" s="540" t="str">
        <f t="shared" si="2"/>
        <v>$200 for 25 pay periods</v>
      </c>
      <c r="F4" s="28">
        <f>IFERROR(MIN(I4/100000,1)^(1-cost_share_target),"")</f>
        <v>0.97131969839328702</v>
      </c>
      <c r="G4" t="s">
        <v>633</v>
      </c>
      <c r="H4" s="373">
        <v>0.51516202187759474</v>
      </c>
      <c r="I4" s="29">
        <v>82366</v>
      </c>
      <c r="J4" s="29">
        <f t="shared" si="4"/>
        <v>2400</v>
      </c>
      <c r="K4" s="29">
        <f t="shared" si="5"/>
        <v>200</v>
      </c>
      <c r="L4" s="536">
        <f t="shared" si="6"/>
        <v>25</v>
      </c>
      <c r="M4" s="29">
        <f t="shared" si="7"/>
        <v>2400</v>
      </c>
      <c r="N4" s="29">
        <f t="shared" si="8"/>
        <v>200</v>
      </c>
      <c r="O4" s="536">
        <f t="shared" si="9"/>
        <v>25</v>
      </c>
      <c r="P4" s="29">
        <f t="shared" si="13"/>
        <v>5000</v>
      </c>
      <c r="Q4" s="29">
        <f>IF(SUM(M4,P4)=0,"",SUM(M4,P4))</f>
        <v>7400</v>
      </c>
      <c r="R4" s="455">
        <f>IFERROR(Q4/I4,"")</f>
        <v>8.9842896340723108E-2</v>
      </c>
      <c r="S4" s="455">
        <f t="shared" si="11"/>
        <v>6.7386361666958328E-2</v>
      </c>
      <c r="T4" s="455">
        <f t="shared" si="15"/>
        <v>0.15173733539195913</v>
      </c>
      <c r="Z4" t="s">
        <v>634</v>
      </c>
      <c r="AA4" s="455" t="e">
        <f t="shared" si="12"/>
        <v>#N/A</v>
      </c>
      <c r="AB4" s="455" t="e">
        <f>SUM($AA$2:$AA4)</f>
        <v>#N/A</v>
      </c>
    </row>
    <row r="5" spans="1:28" x14ac:dyDescent="0.2">
      <c r="A5" s="531">
        <v>4</v>
      </c>
      <c r="B5" s="537" t="s">
        <v>952</v>
      </c>
      <c r="C5" s="538">
        <f t="shared" si="0"/>
        <v>2200</v>
      </c>
      <c r="D5" s="539">
        <f t="shared" si="1"/>
        <v>3300</v>
      </c>
      <c r="E5" s="540" t="str">
        <f t="shared" si="2"/>
        <v>$150 for 22 pay periods</v>
      </c>
      <c r="F5" s="28">
        <f>IFERROR(MIN(I5/100000,1)^(1-cost_share_target),"")</f>
        <v>0.83833545066647019</v>
      </c>
      <c r="G5" t="s">
        <v>633</v>
      </c>
      <c r="H5" s="373">
        <v>1.6876459497855307</v>
      </c>
      <c r="I5" s="29">
        <v>30864</v>
      </c>
      <c r="J5" s="29">
        <f t="shared" si="4"/>
        <v>2200</v>
      </c>
      <c r="K5" s="29">
        <f t="shared" si="5"/>
        <v>150</v>
      </c>
      <c r="L5" s="536">
        <f t="shared" si="6"/>
        <v>22</v>
      </c>
      <c r="M5" s="29">
        <f t="shared" si="7"/>
        <v>2200</v>
      </c>
      <c r="N5" s="29">
        <f t="shared" si="8"/>
        <v>150</v>
      </c>
      <c r="O5" s="536">
        <f t="shared" si="9"/>
        <v>22</v>
      </c>
      <c r="P5" s="29">
        <f t="shared" si="13"/>
        <v>3300</v>
      </c>
      <c r="Q5" s="29">
        <f>IF(SUM(M5,P5)=0,"",SUM(M5,P5))</f>
        <v>5500</v>
      </c>
      <c r="R5" s="455">
        <f>IFERROR(Q5/I5,"")</f>
        <v>0.17820114048729913</v>
      </c>
      <c r="S5" s="455">
        <f t="shared" si="11"/>
        <v>8.2720613311669314E-2</v>
      </c>
      <c r="T5" s="455">
        <f t="shared" si="15"/>
        <v>0.26529320628286551</v>
      </c>
      <c r="Z5" t="s">
        <v>635</v>
      </c>
      <c r="AA5" s="455">
        <f t="shared" si="12"/>
        <v>8.1246080093039293E-3</v>
      </c>
      <c r="AB5" s="455" t="e">
        <f>SUM($AA$2:$AA5)</f>
        <v>#N/A</v>
      </c>
    </row>
    <row r="6" spans="1:28" x14ac:dyDescent="0.2">
      <c r="A6" s="531">
        <v>5</v>
      </c>
      <c r="B6" s="537" t="s">
        <v>1135</v>
      </c>
      <c r="C6" s="538">
        <f t="shared" si="0"/>
        <v>2200</v>
      </c>
      <c r="D6" s="539">
        <f t="shared" si="1"/>
        <v>3300</v>
      </c>
      <c r="E6" s="540" t="str">
        <f t="shared" si="2"/>
        <v>$150 for 22 pay periods</v>
      </c>
      <c r="F6" s="28">
        <f t="shared" si="3"/>
        <v>0.83935459211208874</v>
      </c>
      <c r="G6" t="s">
        <v>689</v>
      </c>
      <c r="H6" s="373">
        <v>0.68360208312557591</v>
      </c>
      <c r="I6" s="29">
        <v>31115</v>
      </c>
      <c r="J6" s="29">
        <f t="shared" si="4"/>
        <v>2200</v>
      </c>
      <c r="K6" s="29">
        <f t="shared" si="5"/>
        <v>150</v>
      </c>
      <c r="L6" s="536">
        <f t="shared" si="6"/>
        <v>22</v>
      </c>
      <c r="M6" s="29">
        <f t="shared" si="7"/>
        <v>2200</v>
      </c>
      <c r="N6" s="29">
        <f t="shared" si="8"/>
        <v>150</v>
      </c>
      <c r="O6" s="536">
        <f t="shared" si="9"/>
        <v>22</v>
      </c>
      <c r="P6" s="29">
        <f t="shared" si="13"/>
        <v>3300</v>
      </c>
      <c r="Q6" s="29">
        <f t="shared" si="14"/>
        <v>5500</v>
      </c>
      <c r="R6" s="455">
        <f t="shared" si="10"/>
        <v>0.17676361883336011</v>
      </c>
      <c r="S6" s="455">
        <f t="shared" si="11"/>
        <v>3.3779512432310241E-2</v>
      </c>
      <c r="T6" s="455">
        <f t="shared" si="15"/>
        <v>0.26370073716107451</v>
      </c>
      <c r="Z6" t="s">
        <v>636</v>
      </c>
      <c r="AA6" s="455">
        <f t="shared" si="12"/>
        <v>5.8174826126690345E-2</v>
      </c>
      <c r="AB6" s="455" t="e">
        <f>SUM($AA$2:$AA6)</f>
        <v>#N/A</v>
      </c>
    </row>
    <row r="7" spans="1:28" x14ac:dyDescent="0.2">
      <c r="A7" s="531">
        <v>6</v>
      </c>
      <c r="B7" s="537" t="s">
        <v>823</v>
      </c>
      <c r="C7" s="538">
        <f t="shared" si="0"/>
        <v>2000</v>
      </c>
      <c r="D7" s="539">
        <f t="shared" si="1"/>
        <v>3150</v>
      </c>
      <c r="E7" s="540" t="str">
        <f t="shared" si="2"/>
        <v>$150 for 21 pay periods</v>
      </c>
      <c r="F7" s="28">
        <f t="shared" si="3"/>
        <v>0.75654527536218985</v>
      </c>
      <c r="G7" t="s">
        <v>668</v>
      </c>
      <c r="H7" s="373">
        <v>0.2522897001142535</v>
      </c>
      <c r="I7" s="29">
        <v>15568</v>
      </c>
      <c r="J7" s="29">
        <f t="shared" si="4"/>
        <v>2000</v>
      </c>
      <c r="K7" s="29">
        <f t="shared" si="5"/>
        <v>150</v>
      </c>
      <c r="L7" s="536">
        <f t="shared" si="6"/>
        <v>21</v>
      </c>
      <c r="M7" s="29">
        <f t="shared" si="7"/>
        <v>2000</v>
      </c>
      <c r="N7" s="29">
        <f t="shared" si="8"/>
        <v>150</v>
      </c>
      <c r="O7" s="536">
        <f t="shared" si="9"/>
        <v>21</v>
      </c>
      <c r="P7" s="29">
        <f t="shared" si="13"/>
        <v>3150</v>
      </c>
      <c r="Q7" s="29">
        <f t="shared" si="14"/>
        <v>5150</v>
      </c>
      <c r="R7" s="455">
        <f t="shared" si="10"/>
        <v>0.33080678314491263</v>
      </c>
      <c r="S7" s="455">
        <f t="shared" si="11"/>
        <v>6.2375284201558901E-3</v>
      </c>
      <c r="T7" s="455">
        <f t="shared" si="15"/>
        <v>0.38637306091553131</v>
      </c>
      <c r="Z7" t="s">
        <v>639</v>
      </c>
      <c r="AA7" s="455">
        <f t="shared" si="12"/>
        <v>7.9522316064418674E-2</v>
      </c>
      <c r="AB7" s="455" t="e">
        <f>SUM($AA$2:$AA7)</f>
        <v>#N/A</v>
      </c>
    </row>
    <row r="8" spans="1:28" x14ac:dyDescent="0.2">
      <c r="A8" s="531">
        <v>7</v>
      </c>
      <c r="B8" s="532" t="s">
        <v>824</v>
      </c>
      <c r="C8" s="533">
        <f t="shared" si="0"/>
        <v>1900</v>
      </c>
      <c r="D8" s="534">
        <f t="shared" si="1"/>
        <v>3000</v>
      </c>
      <c r="E8" s="535" t="str">
        <f t="shared" si="2"/>
        <v>$150 for 20 pay periods</v>
      </c>
      <c r="F8" s="28">
        <f t="shared" si="3"/>
        <v>0.7059440299557852</v>
      </c>
      <c r="G8" t="s">
        <v>654</v>
      </c>
      <c r="H8" s="373">
        <v>0.59357924829733555</v>
      </c>
      <c r="I8" s="29">
        <v>9813</v>
      </c>
      <c r="J8" s="29">
        <f t="shared" si="4"/>
        <v>1900</v>
      </c>
      <c r="K8" s="29">
        <f t="shared" si="5"/>
        <v>150</v>
      </c>
      <c r="L8" s="536">
        <f t="shared" si="6"/>
        <v>20</v>
      </c>
      <c r="M8" s="29">
        <f t="shared" si="7"/>
        <v>1900</v>
      </c>
      <c r="N8" s="29">
        <f t="shared" si="8"/>
        <v>150</v>
      </c>
      <c r="O8" s="536">
        <f t="shared" si="9"/>
        <v>20</v>
      </c>
      <c r="P8" s="29">
        <f t="shared" si="13"/>
        <v>3000</v>
      </c>
      <c r="Q8" s="29">
        <f t="shared" si="14"/>
        <v>4900</v>
      </c>
      <c r="R8" s="455">
        <f t="shared" si="10"/>
        <v>0.49933761337001936</v>
      </c>
      <c r="S8" s="455">
        <f t="shared" si="11"/>
        <v>9.2504040394291408E-3</v>
      </c>
      <c r="T8" s="455">
        <f t="shared" si="15"/>
        <v>0.41</v>
      </c>
      <c r="Z8" t="s">
        <v>640</v>
      </c>
      <c r="AA8" s="455">
        <f t="shared" si="12"/>
        <v>5.4084112187910351E-2</v>
      </c>
      <c r="AB8" s="455" t="e">
        <f>SUM($AA$2:$AA8)</f>
        <v>#N/A</v>
      </c>
    </row>
    <row r="9" spans="1:28" x14ac:dyDescent="0.2">
      <c r="A9" s="531">
        <v>8</v>
      </c>
      <c r="B9" s="537" t="s">
        <v>955</v>
      </c>
      <c r="C9" s="538">
        <f t="shared" si="0"/>
        <v>2200</v>
      </c>
      <c r="D9" s="539">
        <f t="shared" si="1"/>
        <v>3450</v>
      </c>
      <c r="E9" s="540" t="str">
        <f t="shared" si="2"/>
        <v>$150 for 23 pay periods</v>
      </c>
      <c r="F9" s="28">
        <f t="shared" si="3"/>
        <v>0.84305105481635356</v>
      </c>
      <c r="G9" t="s">
        <v>956</v>
      </c>
      <c r="H9" s="373">
        <v>2.63874143279455</v>
      </c>
      <c r="I9" s="29">
        <v>32040</v>
      </c>
      <c r="J9" s="29">
        <f t="shared" si="4"/>
        <v>2200</v>
      </c>
      <c r="K9" s="29">
        <f t="shared" si="5"/>
        <v>150</v>
      </c>
      <c r="L9" s="536">
        <f t="shared" si="6"/>
        <v>23</v>
      </c>
      <c r="M9" s="29">
        <f t="shared" si="7"/>
        <v>2200</v>
      </c>
      <c r="N9" s="29">
        <f t="shared" si="8"/>
        <v>150</v>
      </c>
      <c r="O9" s="536">
        <f t="shared" si="9"/>
        <v>23</v>
      </c>
      <c r="P9" s="29">
        <f t="shared" si="13"/>
        <v>3450</v>
      </c>
      <c r="Q9" s="29">
        <f t="shared" si="14"/>
        <v>5650</v>
      </c>
      <c r="R9" s="455">
        <f t="shared" si="10"/>
        <v>0.17634207240948813</v>
      </c>
      <c r="S9" s="455">
        <f t="shared" si="11"/>
        <v>0.13426707800670337</v>
      </c>
      <c r="T9" s="455">
        <f t="shared" si="15"/>
        <v>0.26323215378404957</v>
      </c>
      <c r="Z9" t="s">
        <v>641</v>
      </c>
      <c r="AA9" s="455" t="e">
        <f t="shared" si="12"/>
        <v>#N/A</v>
      </c>
      <c r="AB9" s="455" t="e">
        <f>SUM($AA$2:$AA9)</f>
        <v>#N/A</v>
      </c>
    </row>
    <row r="10" spans="1:28" x14ac:dyDescent="0.2">
      <c r="A10" s="531">
        <v>9</v>
      </c>
      <c r="B10" s="532" t="s">
        <v>825</v>
      </c>
      <c r="C10" s="533">
        <f t="shared" si="0"/>
        <v>2300</v>
      </c>
      <c r="D10" s="534">
        <f t="shared" si="1"/>
        <v>4600</v>
      </c>
      <c r="E10" s="535" t="str">
        <f t="shared" si="2"/>
        <v>$200 for 23 pay periods</v>
      </c>
      <c r="F10" s="28">
        <f t="shared" si="3"/>
        <v>0.88247612552759547</v>
      </c>
      <c r="G10" t="s">
        <v>663</v>
      </c>
      <c r="H10" s="373">
        <v>7.9016908313189013E-2</v>
      </c>
      <c r="I10" s="29">
        <v>43453</v>
      </c>
      <c r="J10" s="29">
        <f t="shared" si="4"/>
        <v>2300</v>
      </c>
      <c r="K10" s="29">
        <f t="shared" si="5"/>
        <v>200</v>
      </c>
      <c r="L10" s="536">
        <f t="shared" si="6"/>
        <v>23</v>
      </c>
      <c r="M10" s="29">
        <f t="shared" si="7"/>
        <v>2300</v>
      </c>
      <c r="N10" s="29">
        <f t="shared" si="8"/>
        <v>200</v>
      </c>
      <c r="O10" s="536">
        <f t="shared" si="9"/>
        <v>23</v>
      </c>
      <c r="P10" s="29">
        <f t="shared" si="13"/>
        <v>4600</v>
      </c>
      <c r="Q10" s="29">
        <f t="shared" si="14"/>
        <v>6900</v>
      </c>
      <c r="R10" s="455">
        <f t="shared" si="10"/>
        <v>0.1587922583020735</v>
      </c>
      <c r="S10" s="455">
        <f t="shared" si="11"/>
        <v>5.4528053216695216E-3</v>
      </c>
      <c r="T10" s="455">
        <f t="shared" si="15"/>
        <v>0.24308044183080998</v>
      </c>
      <c r="Z10" t="s">
        <v>656</v>
      </c>
      <c r="AA10" s="455">
        <f t="shared" si="12"/>
        <v>1.8472419572829451E-2</v>
      </c>
      <c r="AB10" s="455" t="e">
        <f>SUM($AA$2:$AA10)</f>
        <v>#N/A</v>
      </c>
    </row>
    <row r="11" spans="1:28" x14ac:dyDescent="0.2">
      <c r="A11" s="531">
        <v>10</v>
      </c>
      <c r="B11" s="537" t="s">
        <v>826</v>
      </c>
      <c r="C11" s="538">
        <f t="shared" si="0"/>
        <v>1800</v>
      </c>
      <c r="D11" s="539">
        <f t="shared" si="1"/>
        <v>2850</v>
      </c>
      <c r="E11" s="540" t="str">
        <f t="shared" si="2"/>
        <v>$150 for 19 pay periods</v>
      </c>
      <c r="F11" s="28">
        <f t="shared" si="3"/>
        <v>0.66632668534749773</v>
      </c>
      <c r="G11" t="s">
        <v>657</v>
      </c>
      <c r="H11" s="373">
        <v>0.99212077960198253</v>
      </c>
      <c r="I11" s="29">
        <v>6677</v>
      </c>
      <c r="J11" s="29">
        <f t="shared" si="4"/>
        <v>1800</v>
      </c>
      <c r="K11" s="29">
        <f t="shared" si="5"/>
        <v>150</v>
      </c>
      <c r="L11" s="536">
        <f t="shared" si="6"/>
        <v>19</v>
      </c>
      <c r="M11" s="29">
        <f t="shared" si="7"/>
        <v>1800</v>
      </c>
      <c r="N11" s="29">
        <f t="shared" si="8"/>
        <v>150</v>
      </c>
      <c r="O11" s="536">
        <f t="shared" si="9"/>
        <v>19</v>
      </c>
      <c r="P11" s="29">
        <f t="shared" si="13"/>
        <v>2850</v>
      </c>
      <c r="Q11" s="29">
        <f t="shared" si="14"/>
        <v>4650</v>
      </c>
      <c r="R11" s="455">
        <f t="shared" si="10"/>
        <v>0.69642054815036691</v>
      </c>
      <c r="S11" s="455">
        <f t="shared" si="11"/>
        <v>1.0520251348744266E-2</v>
      </c>
      <c r="T11" s="455">
        <f t="shared" si="15"/>
        <v>0.41</v>
      </c>
      <c r="Z11" t="s">
        <v>643</v>
      </c>
      <c r="AA11" s="455">
        <f t="shared" si="12"/>
        <v>3.2798993032522011E-2</v>
      </c>
      <c r="AB11" s="455" t="e">
        <f>SUM($AA$2:$AA11)</f>
        <v>#N/A</v>
      </c>
    </row>
    <row r="12" spans="1:28" x14ac:dyDescent="0.2">
      <c r="A12" s="531">
        <v>11</v>
      </c>
      <c r="B12" s="537" t="s">
        <v>1136</v>
      </c>
      <c r="C12" s="538">
        <f t="shared" si="0"/>
        <v>2300</v>
      </c>
      <c r="D12" s="539">
        <f t="shared" si="1"/>
        <v>4600</v>
      </c>
      <c r="E12" s="540" t="str">
        <f t="shared" si="2"/>
        <v>$200 for 23 pay periods</v>
      </c>
      <c r="F12" s="28">
        <f t="shared" si="3"/>
        <v>0.88520595092057919</v>
      </c>
      <c r="G12" t="s">
        <v>632</v>
      </c>
      <c r="H12" s="373">
        <v>0.82692605565972188</v>
      </c>
      <c r="I12" s="29">
        <v>44357</v>
      </c>
      <c r="J12" s="29">
        <f t="shared" si="4"/>
        <v>2300</v>
      </c>
      <c r="K12" s="29">
        <f t="shared" si="5"/>
        <v>200</v>
      </c>
      <c r="L12" s="536">
        <f t="shared" si="6"/>
        <v>23</v>
      </c>
      <c r="M12" s="29">
        <f t="shared" si="7"/>
        <v>2300</v>
      </c>
      <c r="N12" s="29">
        <f t="shared" si="8"/>
        <v>200</v>
      </c>
      <c r="O12" s="536">
        <f t="shared" si="9"/>
        <v>23</v>
      </c>
      <c r="P12" s="29">
        <f t="shared" si="13"/>
        <v>4600</v>
      </c>
      <c r="Q12" s="29">
        <f t="shared" si="14"/>
        <v>6900</v>
      </c>
      <c r="R12" s="455">
        <f t="shared" si="10"/>
        <v>0.15555605654124491</v>
      </c>
      <c r="S12" s="455">
        <f t="shared" si="11"/>
        <v>5.8251757932673363E-2</v>
      </c>
      <c r="T12" s="455">
        <f t="shared" si="15"/>
        <v>0.2392271677230951</v>
      </c>
      <c r="Z12" t="s">
        <v>644</v>
      </c>
      <c r="AA12" s="455">
        <f t="shared" si="12"/>
        <v>4.3960380728140624E-2</v>
      </c>
      <c r="AB12" s="455" t="e">
        <f>SUM($AA$2:$AA12)</f>
        <v>#N/A</v>
      </c>
    </row>
    <row r="13" spans="1:28" x14ac:dyDescent="0.2">
      <c r="A13" s="531">
        <v>12</v>
      </c>
      <c r="B13" s="537" t="s">
        <v>1137</v>
      </c>
      <c r="C13" s="538">
        <f t="shared" si="0"/>
        <v>2500</v>
      </c>
      <c r="D13" s="539">
        <f t="shared" si="1"/>
        <v>5200</v>
      </c>
      <c r="E13" s="540" t="str">
        <f t="shared" si="2"/>
        <v>$200 for 26 pay periods</v>
      </c>
      <c r="F13" s="28">
        <f t="shared" si="3"/>
        <v>0.99466090056619771</v>
      </c>
      <c r="G13" t="s">
        <v>651</v>
      </c>
      <c r="H13" s="373">
        <v>0.21264014433567116</v>
      </c>
      <c r="I13" s="29">
        <v>96494</v>
      </c>
      <c r="J13" s="29">
        <f t="shared" si="4"/>
        <v>2500</v>
      </c>
      <c r="K13" s="29">
        <f t="shared" si="5"/>
        <v>200</v>
      </c>
      <c r="L13" s="536">
        <f t="shared" si="6"/>
        <v>26</v>
      </c>
      <c r="M13" s="29">
        <f t="shared" si="7"/>
        <v>2500</v>
      </c>
      <c r="N13" s="29">
        <f t="shared" si="8"/>
        <v>200</v>
      </c>
      <c r="O13" s="536">
        <f t="shared" si="9"/>
        <v>26</v>
      </c>
      <c r="P13" s="29">
        <f t="shared" si="13"/>
        <v>5200</v>
      </c>
      <c r="Q13" s="29">
        <f t="shared" si="14"/>
        <v>7700</v>
      </c>
      <c r="R13" s="455">
        <f t="shared" si="10"/>
        <v>7.9797707629489914E-2</v>
      </c>
      <c r="S13" s="455">
        <f t="shared" si="11"/>
        <v>3.2585603001302414E-2</v>
      </c>
      <c r="T13" s="455">
        <f t="shared" si="15"/>
        <v>0.13681021052787709</v>
      </c>
      <c r="Z13" t="s">
        <v>646</v>
      </c>
      <c r="AA13" s="455">
        <f t="shared" si="12"/>
        <v>1.913611755134375E-2</v>
      </c>
      <c r="AB13" s="455" t="e">
        <f>SUM($AA$2:$AA13)</f>
        <v>#N/A</v>
      </c>
    </row>
    <row r="14" spans="1:28" x14ac:dyDescent="0.2">
      <c r="A14" s="531">
        <v>13</v>
      </c>
      <c r="B14" s="532" t="s">
        <v>827</v>
      </c>
      <c r="C14" s="533">
        <f t="shared" si="0"/>
        <v>1900</v>
      </c>
      <c r="D14" s="534">
        <f t="shared" si="1"/>
        <v>2850</v>
      </c>
      <c r="E14" s="535" t="str">
        <f t="shared" si="2"/>
        <v>$150 for 19 pay periods</v>
      </c>
      <c r="F14" s="28">
        <f t="shared" si="3"/>
        <v>0.68672909760581058</v>
      </c>
      <c r="G14" t="s">
        <v>682</v>
      </c>
      <c r="H14" s="373">
        <v>0.76332449954870407</v>
      </c>
      <c r="I14" s="29">
        <v>8164</v>
      </c>
      <c r="J14" s="29">
        <f t="shared" si="4"/>
        <v>1900</v>
      </c>
      <c r="K14" s="29">
        <f t="shared" si="5"/>
        <v>150</v>
      </c>
      <c r="L14" s="536">
        <f t="shared" si="6"/>
        <v>19</v>
      </c>
      <c r="M14" s="29">
        <f t="shared" si="7"/>
        <v>1900</v>
      </c>
      <c r="N14" s="29">
        <f t="shared" si="8"/>
        <v>150</v>
      </c>
      <c r="O14" s="536">
        <f t="shared" si="9"/>
        <v>19</v>
      </c>
      <c r="P14" s="29">
        <f t="shared" si="13"/>
        <v>2850</v>
      </c>
      <c r="Q14" s="29">
        <f t="shared" si="14"/>
        <v>4750</v>
      </c>
      <c r="R14" s="455">
        <f t="shared" si="10"/>
        <v>0.5818226359627634</v>
      </c>
      <c r="S14" s="455">
        <f t="shared" si="11"/>
        <v>9.8967452575933201E-3</v>
      </c>
      <c r="T14" s="455">
        <f t="shared" si="15"/>
        <v>0.41</v>
      </c>
      <c r="Z14" t="s">
        <v>689</v>
      </c>
      <c r="AA14" s="455">
        <f t="shared" si="12"/>
        <v>3.3779512432310241E-2</v>
      </c>
      <c r="AB14" s="455" t="e">
        <f>SUM($AA$2:$AA14)</f>
        <v>#N/A</v>
      </c>
    </row>
    <row r="15" spans="1:28" x14ac:dyDescent="0.2">
      <c r="A15" s="531">
        <v>14</v>
      </c>
      <c r="B15" s="537" t="s">
        <v>960</v>
      </c>
      <c r="C15" s="538">
        <f t="shared" si="0"/>
        <v>2100</v>
      </c>
      <c r="D15" s="539">
        <f t="shared" si="1"/>
        <v>3150</v>
      </c>
      <c r="E15" s="540" t="str">
        <f t="shared" si="2"/>
        <v>$150 for 21 pay periods</v>
      </c>
      <c r="F15" s="28">
        <f>IFERROR(MIN(I15/100000,1)^(1-cost_share_target),"")</f>
        <v>0.78699759357465227</v>
      </c>
      <c r="G15" t="s">
        <v>961</v>
      </c>
      <c r="H15" s="373">
        <v>0.12695618438355682</v>
      </c>
      <c r="I15" s="29">
        <v>20253</v>
      </c>
      <c r="J15" s="29">
        <f t="shared" si="4"/>
        <v>2100</v>
      </c>
      <c r="K15" s="29">
        <f t="shared" si="5"/>
        <v>150</v>
      </c>
      <c r="L15" s="536">
        <f t="shared" si="6"/>
        <v>21</v>
      </c>
      <c r="M15" s="29">
        <f t="shared" si="7"/>
        <v>2100</v>
      </c>
      <c r="N15" s="29">
        <f t="shared" si="8"/>
        <v>150</v>
      </c>
      <c r="O15" s="536">
        <f t="shared" si="9"/>
        <v>21</v>
      </c>
      <c r="P15" s="29">
        <f t="shared" si="13"/>
        <v>3150</v>
      </c>
      <c r="Q15" s="29">
        <f>IF(SUM(M15,P15)=0,"",SUM(M15,P15))</f>
        <v>5250</v>
      </c>
      <c r="R15" s="455">
        <f>IFERROR(Q15/I15,"")</f>
        <v>0.25922085616945639</v>
      </c>
      <c r="S15" s="455">
        <f t="shared" si="11"/>
        <v>4.0834140436321427E-3</v>
      </c>
      <c r="T15" s="455">
        <f t="shared" si="15"/>
        <v>0.3414119736744784</v>
      </c>
      <c r="Z15" t="s">
        <v>650</v>
      </c>
      <c r="AA15" s="455">
        <f t="shared" si="12"/>
        <v>0.14367765599522225</v>
      </c>
      <c r="AB15" s="455" t="e">
        <f>SUM($AA$2:$AA15)</f>
        <v>#N/A</v>
      </c>
    </row>
    <row r="16" spans="1:28" x14ac:dyDescent="0.2">
      <c r="A16" s="531">
        <v>15</v>
      </c>
      <c r="B16" s="537" t="s">
        <v>1138</v>
      </c>
      <c r="C16" s="538">
        <f t="shared" si="0"/>
        <v>2000</v>
      </c>
      <c r="D16" s="539">
        <f t="shared" si="1"/>
        <v>3000</v>
      </c>
      <c r="E16" s="540" t="str">
        <f t="shared" si="2"/>
        <v>$150 for 20 pay periods</v>
      </c>
      <c r="F16" s="28">
        <f t="shared" si="3"/>
        <v>0.72910190617956838</v>
      </c>
      <c r="G16" t="s">
        <v>643</v>
      </c>
      <c r="H16" s="373">
        <v>1.6971703092697099</v>
      </c>
      <c r="I16" s="29">
        <v>12169</v>
      </c>
      <c r="J16" s="29">
        <f t="shared" si="4"/>
        <v>2000</v>
      </c>
      <c r="K16" s="29">
        <f t="shared" si="5"/>
        <v>150</v>
      </c>
      <c r="L16" s="536">
        <f t="shared" si="6"/>
        <v>20</v>
      </c>
      <c r="M16" s="29">
        <f t="shared" si="7"/>
        <v>2000</v>
      </c>
      <c r="N16" s="29">
        <f t="shared" si="8"/>
        <v>150</v>
      </c>
      <c r="O16" s="536">
        <f t="shared" si="9"/>
        <v>20</v>
      </c>
      <c r="P16" s="29">
        <f t="shared" si="13"/>
        <v>3000</v>
      </c>
      <c r="Q16" s="29">
        <f t="shared" si="14"/>
        <v>5000</v>
      </c>
      <c r="R16" s="455">
        <f t="shared" si="10"/>
        <v>0.41088010518530693</v>
      </c>
      <c r="S16" s="455">
        <f t="shared" si="11"/>
        <v>3.2798993032522011E-2</v>
      </c>
      <c r="T16" s="455">
        <f t="shared" si="15"/>
        <v>0.41</v>
      </c>
      <c r="Z16" t="s">
        <v>651</v>
      </c>
      <c r="AA16" s="455">
        <f t="shared" si="12"/>
        <v>3.2585603001302414E-2</v>
      </c>
      <c r="AB16" s="455" t="e">
        <f>SUM($AA$2:$AA16)</f>
        <v>#N/A</v>
      </c>
    </row>
    <row r="17" spans="1:28" x14ac:dyDescent="0.2">
      <c r="A17" s="531">
        <v>16</v>
      </c>
      <c r="B17" s="537" t="s">
        <v>828</v>
      </c>
      <c r="C17" s="538">
        <f t="shared" si="0"/>
        <v>1800</v>
      </c>
      <c r="D17" s="539">
        <f t="shared" si="1"/>
        <v>2700</v>
      </c>
      <c r="E17" s="540" t="str">
        <f t="shared" si="2"/>
        <v>$150 for 18 pay periods</v>
      </c>
      <c r="F17" s="28">
        <f t="shared" si="3"/>
        <v>0.64540887344321574</v>
      </c>
      <c r="G17" t="s">
        <v>686</v>
      </c>
      <c r="H17" s="373">
        <v>0.1870654753503756</v>
      </c>
      <c r="I17" s="29">
        <v>5398</v>
      </c>
      <c r="J17" s="29">
        <f t="shared" si="4"/>
        <v>1800</v>
      </c>
      <c r="K17" s="29">
        <f t="shared" si="5"/>
        <v>150</v>
      </c>
      <c r="L17" s="536">
        <f t="shared" si="6"/>
        <v>18</v>
      </c>
      <c r="M17" s="29">
        <f t="shared" si="7"/>
        <v>1800</v>
      </c>
      <c r="N17" s="29">
        <f t="shared" si="8"/>
        <v>150</v>
      </c>
      <c r="O17" s="536">
        <f t="shared" si="9"/>
        <v>18</v>
      </c>
      <c r="P17" s="29">
        <f t="shared" si="13"/>
        <v>2700</v>
      </c>
      <c r="Q17" s="29">
        <f t="shared" si="14"/>
        <v>4500</v>
      </c>
      <c r="R17" s="455">
        <f t="shared" si="10"/>
        <v>0.83364208966283804</v>
      </c>
      <c r="S17" s="455">
        <f t="shared" si="11"/>
        <v>1.6036393930054058E-3</v>
      </c>
      <c r="T17" s="455">
        <f t="shared" si="15"/>
        <v>0.41</v>
      </c>
      <c r="Z17" t="s">
        <v>654</v>
      </c>
      <c r="AA17" s="455">
        <f t="shared" si="12"/>
        <v>9.2504040394291408E-3</v>
      </c>
      <c r="AB17" s="455" t="e">
        <f>SUM($AA$2:$AA17)</f>
        <v>#N/A</v>
      </c>
    </row>
    <row r="18" spans="1:28" x14ac:dyDescent="0.2">
      <c r="A18" s="531">
        <v>17</v>
      </c>
      <c r="B18" s="532" t="s">
        <v>829</v>
      </c>
      <c r="C18" s="533">
        <f t="shared" si="0"/>
        <v>1900</v>
      </c>
      <c r="D18" s="534">
        <f t="shared" si="1"/>
        <v>2850</v>
      </c>
      <c r="E18" s="535" t="str">
        <f t="shared" si="2"/>
        <v>$150 for 19 pay periods</v>
      </c>
      <c r="F18" s="28">
        <f t="shared" si="3"/>
        <v>0.70429290330672467</v>
      </c>
      <c r="G18" t="s">
        <v>676</v>
      </c>
      <c r="H18" s="373">
        <v>0.35642269714127761</v>
      </c>
      <c r="I18" s="29">
        <v>9661</v>
      </c>
      <c r="J18" s="29">
        <f t="shared" si="4"/>
        <v>1900</v>
      </c>
      <c r="K18" s="29">
        <f t="shared" si="5"/>
        <v>150</v>
      </c>
      <c r="L18" s="536">
        <f t="shared" si="6"/>
        <v>19</v>
      </c>
      <c r="M18" s="29">
        <f t="shared" si="7"/>
        <v>1900</v>
      </c>
      <c r="N18" s="29">
        <f t="shared" si="8"/>
        <v>150</v>
      </c>
      <c r="O18" s="536">
        <f t="shared" si="9"/>
        <v>19</v>
      </c>
      <c r="P18" s="29">
        <f t="shared" si="13"/>
        <v>2850</v>
      </c>
      <c r="Q18" s="29">
        <f t="shared" si="14"/>
        <v>4750</v>
      </c>
      <c r="R18" s="455">
        <f t="shared" si="10"/>
        <v>0.49166752924127938</v>
      </c>
      <c r="S18" s="455">
        <f t="shared" si="11"/>
        <v>5.4684925950021545E-3</v>
      </c>
      <c r="T18" s="455">
        <f t="shared" si="15"/>
        <v>0.41</v>
      </c>
      <c r="Z18" t="s">
        <v>657</v>
      </c>
      <c r="AA18" s="455">
        <f t="shared" si="12"/>
        <v>1.0520251348744266E-2</v>
      </c>
      <c r="AB18" s="455" t="e">
        <f>SUM($AA$2:$AA18)</f>
        <v>#N/A</v>
      </c>
    </row>
    <row r="19" spans="1:28" x14ac:dyDescent="0.2">
      <c r="A19" s="531">
        <v>18</v>
      </c>
      <c r="B19" s="537" t="s">
        <v>957</v>
      </c>
      <c r="C19" s="538">
        <f t="shared" si="0"/>
        <v>2000</v>
      </c>
      <c r="D19" s="539">
        <f t="shared" si="1"/>
        <v>3150</v>
      </c>
      <c r="E19" s="540" t="str">
        <f t="shared" si="2"/>
        <v>$150 for 21 pay periods</v>
      </c>
      <c r="F19" s="28">
        <f t="shared" si="3"/>
        <v>0.76453217473585322</v>
      </c>
      <c r="G19" t="s">
        <v>646</v>
      </c>
      <c r="H19" s="373">
        <v>0.72166424565679499</v>
      </c>
      <c r="I19" s="29">
        <v>16697</v>
      </c>
      <c r="J19" s="29">
        <f t="shared" si="4"/>
        <v>2000</v>
      </c>
      <c r="K19" s="29">
        <f t="shared" si="5"/>
        <v>150</v>
      </c>
      <c r="L19" s="536">
        <f t="shared" si="6"/>
        <v>21</v>
      </c>
      <c r="M19" s="29">
        <f t="shared" si="7"/>
        <v>2000</v>
      </c>
      <c r="N19" s="29">
        <f t="shared" si="8"/>
        <v>150</v>
      </c>
      <c r="O19" s="536">
        <f t="shared" si="9"/>
        <v>21</v>
      </c>
      <c r="P19" s="29">
        <f t="shared" si="13"/>
        <v>3150</v>
      </c>
      <c r="Q19" s="29">
        <f t="shared" si="14"/>
        <v>5150</v>
      </c>
      <c r="R19" s="455">
        <f t="shared" si="10"/>
        <v>0.30843864167215668</v>
      </c>
      <c r="S19" s="455">
        <f t="shared" si="11"/>
        <v>1.913611755134375E-2</v>
      </c>
      <c r="T19" s="455">
        <f t="shared" si="15"/>
        <v>0.37457100457499154</v>
      </c>
      <c r="Z19" t="s">
        <v>661</v>
      </c>
      <c r="AA19" s="455" t="e">
        <f t="shared" si="12"/>
        <v>#N/A</v>
      </c>
      <c r="AB19" s="455" t="e">
        <f>SUM($AA$2:$AA19)</f>
        <v>#N/A</v>
      </c>
    </row>
    <row r="20" spans="1:28" x14ac:dyDescent="0.2">
      <c r="A20" s="531">
        <v>19</v>
      </c>
      <c r="B20" s="532" t="s">
        <v>830</v>
      </c>
      <c r="C20" s="533">
        <f t="shared" si="0"/>
        <v>2100</v>
      </c>
      <c r="D20" s="534">
        <f t="shared" si="1"/>
        <v>3150</v>
      </c>
      <c r="E20" s="535" t="str">
        <f t="shared" si="2"/>
        <v>$150 for 21 pay periods</v>
      </c>
      <c r="F20" s="28">
        <f t="shared" si="3"/>
        <v>0.78417119438224403</v>
      </c>
      <c r="G20" t="s">
        <v>664</v>
      </c>
      <c r="H20" s="373">
        <v>0.14692206389483584</v>
      </c>
      <c r="I20" s="29">
        <v>19773</v>
      </c>
      <c r="J20" s="29">
        <f t="shared" si="4"/>
        <v>2100</v>
      </c>
      <c r="K20" s="29">
        <f t="shared" si="5"/>
        <v>150</v>
      </c>
      <c r="L20" s="536">
        <f t="shared" si="6"/>
        <v>21</v>
      </c>
      <c r="M20" s="29">
        <f t="shared" si="7"/>
        <v>2100</v>
      </c>
      <c r="N20" s="29">
        <f t="shared" si="8"/>
        <v>150</v>
      </c>
      <c r="O20" s="536">
        <f t="shared" si="9"/>
        <v>21</v>
      </c>
      <c r="P20" s="29">
        <f t="shared" si="13"/>
        <v>3150</v>
      </c>
      <c r="Q20" s="29">
        <f t="shared" si="14"/>
        <v>5250</v>
      </c>
      <c r="R20" s="455">
        <f t="shared" si="10"/>
        <v>0.26551357912304657</v>
      </c>
      <c r="S20" s="455">
        <f t="shared" si="11"/>
        <v>4.6135983258560991E-3</v>
      </c>
      <c r="T20" s="455">
        <f t="shared" si="15"/>
        <v>0.34620276187527715</v>
      </c>
      <c r="Z20" t="s">
        <v>663</v>
      </c>
      <c r="AA20" s="455">
        <f t="shared" si="12"/>
        <v>5.4528053216695216E-3</v>
      </c>
      <c r="AB20" s="455" t="e">
        <f>SUM($AA$2:$AA20)</f>
        <v>#N/A</v>
      </c>
    </row>
    <row r="21" spans="1:28" x14ac:dyDescent="0.2">
      <c r="A21" s="531">
        <v>20</v>
      </c>
      <c r="B21" s="537" t="s">
        <v>1141</v>
      </c>
      <c r="C21" s="538">
        <f t="shared" si="0"/>
        <v>2300</v>
      </c>
      <c r="D21" s="539">
        <f t="shared" si="1"/>
        <v>4600</v>
      </c>
      <c r="E21" s="540" t="str">
        <f t="shared" si="2"/>
        <v>$200 for 23 pay periods</v>
      </c>
      <c r="F21" s="28">
        <f t="shared" si="3"/>
        <v>0.87538319557516475</v>
      </c>
      <c r="G21" t="s">
        <v>644</v>
      </c>
      <c r="H21" s="373">
        <v>0.67224340255555493</v>
      </c>
      <c r="I21" s="29">
        <v>41177</v>
      </c>
      <c r="J21" s="29">
        <f t="shared" si="4"/>
        <v>2300</v>
      </c>
      <c r="K21" s="29">
        <f t="shared" si="5"/>
        <v>200</v>
      </c>
      <c r="L21" s="536">
        <f t="shared" si="6"/>
        <v>23</v>
      </c>
      <c r="M21" s="29">
        <f t="shared" si="7"/>
        <v>2300</v>
      </c>
      <c r="N21" s="29">
        <f t="shared" si="8"/>
        <v>200</v>
      </c>
      <c r="O21" s="536">
        <f t="shared" si="9"/>
        <v>23</v>
      </c>
      <c r="P21" s="29">
        <f t="shared" si="13"/>
        <v>4600</v>
      </c>
      <c r="Q21" s="29">
        <f t="shared" si="14"/>
        <v>6900</v>
      </c>
      <c r="R21" s="455">
        <f t="shared" si="10"/>
        <v>0.16756927410933287</v>
      </c>
      <c r="S21" s="455">
        <f t="shared" si="11"/>
        <v>4.3960380728140624E-2</v>
      </c>
      <c r="T21" s="455">
        <f t="shared" si="15"/>
        <v>0.25331585873774065</v>
      </c>
      <c r="Z21" t="s">
        <v>664</v>
      </c>
      <c r="AA21" s="455">
        <f t="shared" si="12"/>
        <v>4.6135983258560991E-3</v>
      </c>
      <c r="AB21" s="455" t="e">
        <f>SUM($AA$2:$AA21)</f>
        <v>#N/A</v>
      </c>
    </row>
    <row r="22" spans="1:28" x14ac:dyDescent="0.2">
      <c r="A22" s="531">
        <v>21</v>
      </c>
      <c r="B22" s="537" t="s">
        <v>1142</v>
      </c>
      <c r="C22" s="538">
        <f t="shared" si="0"/>
        <v>2100</v>
      </c>
      <c r="D22" s="539">
        <f t="shared" si="1"/>
        <v>3150</v>
      </c>
      <c r="E22" s="540" t="str">
        <f t="shared" si="2"/>
        <v>$150 for 21 pay periods</v>
      </c>
      <c r="F22" s="28">
        <f t="shared" si="3"/>
        <v>0.78122510339977858</v>
      </c>
      <c r="G22" t="s">
        <v>640</v>
      </c>
      <c r="H22" s="373">
        <v>1.7660984516107685</v>
      </c>
      <c r="I22" s="29">
        <v>19283</v>
      </c>
      <c r="J22" s="29">
        <f t="shared" si="4"/>
        <v>2100</v>
      </c>
      <c r="K22" s="29">
        <f t="shared" si="5"/>
        <v>150</v>
      </c>
      <c r="L22" s="536">
        <f t="shared" si="6"/>
        <v>21</v>
      </c>
      <c r="M22" s="29">
        <f t="shared" si="7"/>
        <v>2100</v>
      </c>
      <c r="N22" s="29">
        <f t="shared" si="8"/>
        <v>150</v>
      </c>
      <c r="O22" s="536">
        <f t="shared" ref="O22:O32" si="16">IFERROR(IF($L22="","",IF($J22+$K22*$L22&gt;$I22,MAX(ROUNDDOWN(($I22*0.8-$M22)/payroll_max,0),0),MAX(MIN($L22,period_max),period_min))),"")</f>
        <v>21</v>
      </c>
      <c r="P22" s="29">
        <f t="shared" si="13"/>
        <v>3150</v>
      </c>
      <c r="Q22" s="29">
        <f t="shared" si="14"/>
        <v>5250</v>
      </c>
      <c r="R22" s="455">
        <f t="shared" si="10"/>
        <v>0.2722605403723487</v>
      </c>
      <c r="S22" s="455">
        <f t="shared" si="11"/>
        <v>5.4084112187910351E-2</v>
      </c>
      <c r="T22" s="455">
        <f t="shared" si="15"/>
        <v>0.35115982566730181</v>
      </c>
      <c r="Z22" t="s">
        <v>665</v>
      </c>
      <c r="AA22" s="455" t="e">
        <f t="shared" si="12"/>
        <v>#N/A</v>
      </c>
      <c r="AB22" s="455" t="e">
        <f>SUM($AA$2:$AA22)</f>
        <v>#N/A</v>
      </c>
    </row>
    <row r="23" spans="1:28" ht="15" customHeight="1" x14ac:dyDescent="0.2">
      <c r="A23" s="531">
        <v>22</v>
      </c>
      <c r="B23" s="532" t="s">
        <v>1144</v>
      </c>
      <c r="C23" s="533">
        <f t="shared" si="0"/>
        <v>1900</v>
      </c>
      <c r="D23" s="534">
        <f t="shared" si="1"/>
        <v>3000</v>
      </c>
      <c r="E23" s="535" t="str">
        <f t="shared" si="2"/>
        <v>$150 for 20 pay periods</v>
      </c>
      <c r="F23" s="28">
        <f t="shared" si="3"/>
        <v>0.72291573831402034</v>
      </c>
      <c r="G23" t="s">
        <v>636</v>
      </c>
      <c r="H23" s="373">
        <v>3.1861804507018623</v>
      </c>
      <c r="I23" s="29">
        <v>11497</v>
      </c>
      <c r="J23" s="29">
        <f t="shared" si="4"/>
        <v>1900</v>
      </c>
      <c r="K23" s="29">
        <f t="shared" si="5"/>
        <v>150</v>
      </c>
      <c r="L23" s="536">
        <f t="shared" si="6"/>
        <v>20</v>
      </c>
      <c r="M23" s="29">
        <f t="shared" si="7"/>
        <v>1900</v>
      </c>
      <c r="N23" s="29">
        <f t="shared" si="8"/>
        <v>150</v>
      </c>
      <c r="O23" s="536">
        <f t="shared" si="16"/>
        <v>20</v>
      </c>
      <c r="P23" s="29">
        <f t="shared" si="13"/>
        <v>3000</v>
      </c>
      <c r="Q23" s="29">
        <f t="shared" si="14"/>
        <v>4900</v>
      </c>
      <c r="R23" s="455">
        <f t="shared" si="10"/>
        <v>0.42619813864486389</v>
      </c>
      <c r="S23" s="455">
        <f t="shared" si="11"/>
        <v>5.8174826126690345E-2</v>
      </c>
      <c r="T23" s="455">
        <f t="shared" si="15"/>
        <v>0.41</v>
      </c>
      <c r="Z23" t="s">
        <v>1024</v>
      </c>
      <c r="AA23" s="455">
        <f t="shared" si="12"/>
        <v>1.3426897936536156E-2</v>
      </c>
      <c r="AB23" s="455" t="e">
        <f>SUM($AA$2:$AA23)</f>
        <v>#N/A</v>
      </c>
    </row>
    <row r="24" spans="1:28" ht="15" customHeight="1" x14ac:dyDescent="0.2">
      <c r="A24" s="531">
        <v>23</v>
      </c>
      <c r="B24" s="537" t="s">
        <v>1143</v>
      </c>
      <c r="C24" s="538">
        <f t="shared" si="0"/>
        <v>2300</v>
      </c>
      <c r="D24" s="539">
        <f t="shared" si="1"/>
        <v>4600</v>
      </c>
      <c r="E24" s="540" t="str">
        <f t="shared" si="2"/>
        <v>$200 for 23 pay periods</v>
      </c>
      <c r="F24" s="28">
        <f t="shared" ref="F24:F32" si="17">IFERROR(MIN(I24/100000,1)^(1-cost_share_target),"")</f>
        <v>0.87932499736384639</v>
      </c>
      <c r="G24" t="s">
        <v>639</v>
      </c>
      <c r="H24" s="373">
        <v>1.1801739663062731</v>
      </c>
      <c r="I24" s="29">
        <v>42429</v>
      </c>
      <c r="J24" s="29">
        <f t="shared" ref="J24:J32" si="18">IFERROR(MIN(MROUND(MIN($F24*(copay_max-copay_min)+copay_min,copay_max),copay_unit),$I24),"")</f>
        <v>2300</v>
      </c>
      <c r="K24" s="29">
        <f t="shared" ref="K24:K32" si="19">IFERROR(MROUND(MAX(MIN($F24*payroll_max,payroll_max),payroll_min),payroll_unit),"")</f>
        <v>200</v>
      </c>
      <c r="L24" s="536">
        <f t="shared" ref="L24:L32" si="20">IFERROR(MAX(MIN(ROUND($F24*(period_max-period_min)+period_min,0),period_max),0),"")</f>
        <v>23</v>
      </c>
      <c r="M24" s="29">
        <f t="shared" ref="M24:M32" si="21">IFERROR(IF(AND($L24&lt;period_min,$J24&gt;copay_min+period_min*payroll_min),$J24-(period_min-$L24)*payroll_min,IF($L24&lt;period_min,$J24+$K24*$L24,$J24)),"")</f>
        <v>2300</v>
      </c>
      <c r="N24" s="29">
        <f t="shared" ref="N24:N32" si="22">IFERROR(MROUND(MAX(MIN(($J24+$K24*$L24-$M24)/$O24,payroll_max),payroll_min),payroll_unit),"")</f>
        <v>200</v>
      </c>
      <c r="O24" s="536">
        <f t="shared" si="16"/>
        <v>23</v>
      </c>
      <c r="P24" s="29">
        <f t="shared" si="13"/>
        <v>4600</v>
      </c>
      <c r="Q24" s="29">
        <f t="shared" si="14"/>
        <v>6900</v>
      </c>
      <c r="R24" s="455">
        <f t="shared" si="10"/>
        <v>0.1626246199533338</v>
      </c>
      <c r="S24" s="455">
        <f t="shared" si="11"/>
        <v>7.9522316064418674E-2</v>
      </c>
      <c r="T24" s="455">
        <f t="shared" si="15"/>
        <v>0.24758826655435506</v>
      </c>
      <c r="Z24" t="s">
        <v>668</v>
      </c>
      <c r="AA24" s="455">
        <f t="shared" si="12"/>
        <v>6.2375284201558901E-3</v>
      </c>
      <c r="AB24" s="455" t="e">
        <f>SUM($AA$2:$AA24)</f>
        <v>#N/A</v>
      </c>
    </row>
    <row r="25" spans="1:28" x14ac:dyDescent="0.2">
      <c r="A25" s="531">
        <v>24</v>
      </c>
      <c r="B25" s="532" t="s">
        <v>959</v>
      </c>
      <c r="C25" s="533">
        <f t="shared" si="0"/>
        <v>1800</v>
      </c>
      <c r="D25" s="534">
        <f t="shared" si="1"/>
        <v>2850</v>
      </c>
      <c r="E25" s="535" t="str">
        <f t="shared" si="2"/>
        <v>$150 for 19 pay periods</v>
      </c>
      <c r="F25" s="28">
        <f t="shared" si="17"/>
        <v>0.66661075580333407</v>
      </c>
      <c r="G25" t="s">
        <v>680</v>
      </c>
      <c r="H25" s="373">
        <v>0.10441520027099978</v>
      </c>
      <c r="I25" s="29">
        <v>6696</v>
      </c>
      <c r="J25" s="29">
        <f t="shared" si="18"/>
        <v>1800</v>
      </c>
      <c r="K25" s="29">
        <f t="shared" si="19"/>
        <v>150</v>
      </c>
      <c r="L25" s="536">
        <f t="shared" si="20"/>
        <v>19</v>
      </c>
      <c r="M25" s="29">
        <f t="shared" si="21"/>
        <v>1800</v>
      </c>
      <c r="N25" s="29">
        <f t="shared" si="22"/>
        <v>150</v>
      </c>
      <c r="O25" s="536">
        <f t="shared" si="16"/>
        <v>19</v>
      </c>
      <c r="P25" s="29">
        <f t="shared" si="13"/>
        <v>2850</v>
      </c>
      <c r="Q25" s="29">
        <f t="shared" si="14"/>
        <v>4650</v>
      </c>
      <c r="R25" s="455">
        <f t="shared" si="10"/>
        <v>0.69444444444444442</v>
      </c>
      <c r="S25" s="455">
        <f t="shared" si="11"/>
        <v>1.1103486394612467E-3</v>
      </c>
      <c r="T25" s="455">
        <f t="shared" si="15"/>
        <v>0.41</v>
      </c>
      <c r="Z25" t="s">
        <v>675</v>
      </c>
      <c r="AA25" s="455" t="e">
        <f t="shared" si="12"/>
        <v>#N/A</v>
      </c>
      <c r="AB25" s="455" t="e">
        <f>SUM($AA$2:$AA25)</f>
        <v>#N/A</v>
      </c>
    </row>
    <row r="26" spans="1:28" x14ac:dyDescent="0.2">
      <c r="A26" s="531">
        <v>25</v>
      </c>
      <c r="B26" s="537" t="s">
        <v>1140</v>
      </c>
      <c r="C26" s="538">
        <f t="shared" si="0"/>
        <v>1800</v>
      </c>
      <c r="D26" s="539">
        <f t="shared" si="1"/>
        <v>2700</v>
      </c>
      <c r="E26" s="540" t="str">
        <f t="shared" si="2"/>
        <v>$150 for 18 pay periods</v>
      </c>
      <c r="F26" s="28">
        <f t="shared" si="17"/>
        <v>0.63125080614383444</v>
      </c>
      <c r="G26" t="s">
        <v>687</v>
      </c>
      <c r="H26" s="373">
        <v>1.7526937975219239</v>
      </c>
      <c r="I26" s="29">
        <v>4656</v>
      </c>
      <c r="J26" s="29">
        <f t="shared" si="18"/>
        <v>1800</v>
      </c>
      <c r="K26" s="29">
        <f t="shared" si="19"/>
        <v>150</v>
      </c>
      <c r="L26" s="536">
        <f t="shared" si="20"/>
        <v>18</v>
      </c>
      <c r="M26" s="29">
        <f t="shared" si="21"/>
        <v>1800</v>
      </c>
      <c r="N26" s="29">
        <f t="shared" si="22"/>
        <v>150</v>
      </c>
      <c r="O26" s="536">
        <f t="shared" si="16"/>
        <v>18</v>
      </c>
      <c r="P26" s="29">
        <f t="shared" si="13"/>
        <v>2700</v>
      </c>
      <c r="Q26" s="29">
        <f t="shared" si="14"/>
        <v>4500</v>
      </c>
      <c r="R26" s="455">
        <f t="shared" si="10"/>
        <v>0.96649484536082475</v>
      </c>
      <c r="S26" s="455">
        <f t="shared" si="11"/>
        <v>1.2959827333445549E-2</v>
      </c>
      <c r="T26" s="455">
        <f t="shared" si="15"/>
        <v>0.41</v>
      </c>
      <c r="Z26" t="s">
        <v>675</v>
      </c>
      <c r="AA26" s="455" t="e">
        <f t="shared" si="12"/>
        <v>#N/A</v>
      </c>
      <c r="AB26" s="455" t="e">
        <f>SUM($AA$2:$AA26)</f>
        <v>#N/A</v>
      </c>
    </row>
    <row r="27" spans="1:28" x14ac:dyDescent="0.2">
      <c r="A27" s="531">
        <v>26</v>
      </c>
      <c r="B27" s="532" t="s">
        <v>1020</v>
      </c>
      <c r="C27" s="533">
        <f t="shared" si="0"/>
        <v>2200</v>
      </c>
      <c r="D27" s="534">
        <f t="shared" si="1"/>
        <v>3300</v>
      </c>
      <c r="E27" s="535" t="str">
        <f t="shared" si="2"/>
        <v>$150 for 22 pay periods</v>
      </c>
      <c r="F27" s="28">
        <f t="shared" si="17"/>
        <v>0.83205128085286595</v>
      </c>
      <c r="G27" t="s">
        <v>1024</v>
      </c>
      <c r="H27" s="373">
        <v>0.28802368588267335</v>
      </c>
      <c r="I27" s="29">
        <v>29354</v>
      </c>
      <c r="J27" s="29">
        <f t="shared" si="18"/>
        <v>2200</v>
      </c>
      <c r="K27" s="29">
        <f t="shared" si="19"/>
        <v>150</v>
      </c>
      <c r="L27" s="536">
        <f t="shared" si="20"/>
        <v>22</v>
      </c>
      <c r="M27" s="29">
        <f t="shared" si="21"/>
        <v>2200</v>
      </c>
      <c r="N27" s="29">
        <f t="shared" si="22"/>
        <v>150</v>
      </c>
      <c r="O27" s="536">
        <f t="shared" si="16"/>
        <v>22</v>
      </c>
      <c r="P27" s="29">
        <f t="shared" si="13"/>
        <v>3300</v>
      </c>
      <c r="Q27" s="29">
        <f t="shared" si="14"/>
        <v>5500</v>
      </c>
      <c r="R27" s="455">
        <f t="shared" si="10"/>
        <v>0.1873679907338012</v>
      </c>
      <c r="S27" s="455">
        <f t="shared" si="11"/>
        <v>1.3426897936536156E-2</v>
      </c>
      <c r="T27" s="455">
        <f t="shared" si="15"/>
        <v>0.2752497487500008</v>
      </c>
      <c r="Z27" t="s">
        <v>676</v>
      </c>
      <c r="AA27" s="455">
        <f t="shared" si="12"/>
        <v>5.4684925950021545E-3</v>
      </c>
      <c r="AB27" s="455" t="e">
        <f>SUM($AA$2:$AA27)</f>
        <v>#N/A</v>
      </c>
    </row>
    <row r="28" spans="1:28" x14ac:dyDescent="0.2">
      <c r="A28" s="531">
        <v>27</v>
      </c>
      <c r="B28" s="537" t="s">
        <v>831</v>
      </c>
      <c r="C28" s="538">
        <f t="shared" si="0"/>
        <v>1800</v>
      </c>
      <c r="D28" s="539">
        <f t="shared" si="1"/>
        <v>2850</v>
      </c>
      <c r="E28" s="540" t="str">
        <f t="shared" si="2"/>
        <v>$150 for 19 pay periods</v>
      </c>
      <c r="F28" s="28">
        <f t="shared" si="17"/>
        <v>0.66489594096656568</v>
      </c>
      <c r="G28" t="s">
        <v>684</v>
      </c>
      <c r="H28" s="373">
        <v>5.5347111224729274E-2</v>
      </c>
      <c r="I28" s="29">
        <v>6582</v>
      </c>
      <c r="J28" s="29">
        <f t="shared" si="18"/>
        <v>1800</v>
      </c>
      <c r="K28" s="29">
        <f t="shared" si="19"/>
        <v>150</v>
      </c>
      <c r="L28" s="536">
        <f t="shared" si="20"/>
        <v>19</v>
      </c>
      <c r="M28" s="29">
        <f t="shared" si="21"/>
        <v>1800</v>
      </c>
      <c r="N28" s="29">
        <f t="shared" si="22"/>
        <v>150</v>
      </c>
      <c r="O28" s="536">
        <f t="shared" si="16"/>
        <v>19</v>
      </c>
      <c r="P28" s="29">
        <f t="shared" si="13"/>
        <v>2850</v>
      </c>
      <c r="Q28" s="29">
        <f t="shared" si="14"/>
        <v>4650</v>
      </c>
      <c r="R28" s="455">
        <f t="shared" si="10"/>
        <v>0.70647219690063812</v>
      </c>
      <c r="S28" s="455">
        <f t="shared" si="11"/>
        <v>5.7853951909577579E-4</v>
      </c>
      <c r="T28" s="455">
        <f t="shared" si="15"/>
        <v>0.41</v>
      </c>
      <c r="Z28" t="s">
        <v>678</v>
      </c>
      <c r="AA28" s="455">
        <f t="shared" si="12"/>
        <v>2.7257877724248428E-3</v>
      </c>
      <c r="AB28" s="455" t="e">
        <f>SUM($AA$2:$AA28)</f>
        <v>#N/A</v>
      </c>
    </row>
    <row r="29" spans="1:28" x14ac:dyDescent="0.2">
      <c r="A29" s="531">
        <v>28</v>
      </c>
      <c r="B29" s="537" t="s">
        <v>832</v>
      </c>
      <c r="C29" s="538">
        <f t="shared" si="0"/>
        <v>2200</v>
      </c>
      <c r="D29" s="539">
        <f t="shared" si="1"/>
        <v>3450</v>
      </c>
      <c r="E29" s="540" t="str">
        <f t="shared" si="2"/>
        <v>$150 for 23 pay periods</v>
      </c>
      <c r="F29" s="28">
        <f t="shared" si="17"/>
        <v>0.87431442790164338</v>
      </c>
      <c r="G29" t="s">
        <v>670</v>
      </c>
      <c r="H29" s="373">
        <v>9.3127070511972776E-2</v>
      </c>
      <c r="I29" s="29">
        <v>40843</v>
      </c>
      <c r="J29" s="29">
        <f t="shared" si="18"/>
        <v>2200</v>
      </c>
      <c r="K29" s="29">
        <f t="shared" si="19"/>
        <v>150</v>
      </c>
      <c r="L29" s="536">
        <f t="shared" si="20"/>
        <v>23</v>
      </c>
      <c r="M29" s="29">
        <f t="shared" si="21"/>
        <v>2200</v>
      </c>
      <c r="N29" s="29">
        <f t="shared" si="22"/>
        <v>150</v>
      </c>
      <c r="O29" s="536">
        <f t="shared" si="16"/>
        <v>23</v>
      </c>
      <c r="P29" s="29">
        <f t="shared" si="13"/>
        <v>3450</v>
      </c>
      <c r="Q29" s="29">
        <f t="shared" si="14"/>
        <v>5650</v>
      </c>
      <c r="R29" s="455">
        <f t="shared" si="10"/>
        <v>0.13833459833998482</v>
      </c>
      <c r="S29" s="455">
        <f t="shared" si="11"/>
        <v>6.0405122577820488E-3</v>
      </c>
      <c r="T29" s="455">
        <f t="shared" si="15"/>
        <v>0.21800296126995666</v>
      </c>
      <c r="Z29" t="s">
        <v>680</v>
      </c>
      <c r="AA29" s="455">
        <f t="shared" si="12"/>
        <v>1.1103486394612467E-3</v>
      </c>
      <c r="AB29" s="455" t="e">
        <f>SUM($AA$2:$AA29)</f>
        <v>#N/A</v>
      </c>
    </row>
    <row r="30" spans="1:28" x14ac:dyDescent="0.2">
      <c r="A30" s="531">
        <v>29</v>
      </c>
      <c r="B30" s="532" t="s">
        <v>833</v>
      </c>
      <c r="C30" s="533">
        <f t="shared" si="0"/>
        <v>1800</v>
      </c>
      <c r="D30" s="534">
        <f t="shared" si="1"/>
        <v>2700</v>
      </c>
      <c r="E30" s="535" t="str">
        <f t="shared" si="2"/>
        <v>$150 for 18 pay periods</v>
      </c>
      <c r="F30" s="28">
        <f t="shared" si="17"/>
        <v>0.65876807709569107</v>
      </c>
      <c r="G30" t="s">
        <v>656</v>
      </c>
      <c r="H30" s="373">
        <v>1.8797205327164748</v>
      </c>
      <c r="I30" s="29">
        <v>6188</v>
      </c>
      <c r="J30" s="29">
        <f t="shared" si="18"/>
        <v>1800</v>
      </c>
      <c r="K30" s="29">
        <f t="shared" si="19"/>
        <v>150</v>
      </c>
      <c r="L30" s="536">
        <f t="shared" si="20"/>
        <v>18</v>
      </c>
      <c r="M30" s="29">
        <f t="shared" si="21"/>
        <v>1800</v>
      </c>
      <c r="N30" s="29">
        <f t="shared" si="22"/>
        <v>150</v>
      </c>
      <c r="O30" s="536">
        <f t="shared" si="16"/>
        <v>18</v>
      </c>
      <c r="P30" s="29">
        <f t="shared" si="13"/>
        <v>2700</v>
      </c>
      <c r="Q30" s="29">
        <f t="shared" si="14"/>
        <v>4500</v>
      </c>
      <c r="R30" s="455">
        <f t="shared" si="10"/>
        <v>0.72721396250808013</v>
      </c>
      <c r="S30" s="455">
        <f t="shared" si="11"/>
        <v>1.8472419572829451E-2</v>
      </c>
      <c r="T30" s="455">
        <f t="shared" si="15"/>
        <v>0.41</v>
      </c>
      <c r="Z30" t="s">
        <v>682</v>
      </c>
      <c r="AA30" s="455">
        <f t="shared" si="12"/>
        <v>9.8967452575933201E-3</v>
      </c>
      <c r="AB30" s="455" t="e">
        <f>SUM($AA$2:$AA30)</f>
        <v>#N/A</v>
      </c>
    </row>
    <row r="31" spans="1:28" x14ac:dyDescent="0.2">
      <c r="A31" s="531">
        <v>30</v>
      </c>
      <c r="B31" s="532" t="s">
        <v>958</v>
      </c>
      <c r="C31" s="533">
        <f t="shared" si="0"/>
        <v>1800</v>
      </c>
      <c r="D31" s="534">
        <f t="shared" si="1"/>
        <v>2850</v>
      </c>
      <c r="E31" s="535" t="str">
        <f t="shared" si="2"/>
        <v>$150 for 19 pay periods</v>
      </c>
      <c r="F31" s="28">
        <f t="shared" si="17"/>
        <v>0.67053192377201809</v>
      </c>
      <c r="G31" t="s">
        <v>650</v>
      </c>
      <c r="H31" s="373">
        <v>12.99309593291154</v>
      </c>
      <c r="I31" s="29">
        <v>6963</v>
      </c>
      <c r="J31" s="29">
        <f t="shared" si="18"/>
        <v>1800</v>
      </c>
      <c r="K31" s="29">
        <f t="shared" si="19"/>
        <v>150</v>
      </c>
      <c r="L31" s="536">
        <f t="shared" si="20"/>
        <v>19</v>
      </c>
      <c r="M31" s="29">
        <f t="shared" si="21"/>
        <v>1800</v>
      </c>
      <c r="N31" s="29">
        <f t="shared" si="22"/>
        <v>150</v>
      </c>
      <c r="O31" s="536">
        <f t="shared" si="16"/>
        <v>19</v>
      </c>
      <c r="P31" s="29">
        <f t="shared" si="13"/>
        <v>2850</v>
      </c>
      <c r="Q31" s="29">
        <f t="shared" si="14"/>
        <v>4650</v>
      </c>
      <c r="R31" s="455">
        <f t="shared" si="10"/>
        <v>0.66781559672554935</v>
      </c>
      <c r="S31" s="455">
        <f t="shared" si="11"/>
        <v>0.14367765599522225</v>
      </c>
      <c r="T31" s="455">
        <f t="shared" si="15"/>
        <v>0.41</v>
      </c>
      <c r="Z31" t="s">
        <v>683</v>
      </c>
      <c r="AA31" s="455" t="e">
        <f t="shared" si="12"/>
        <v>#N/A</v>
      </c>
      <c r="AB31" s="455" t="e">
        <f>SUM($AA$2:$AA31)</f>
        <v>#N/A</v>
      </c>
    </row>
    <row r="32" spans="1:28" x14ac:dyDescent="0.2">
      <c r="A32" s="531">
        <v>31</v>
      </c>
      <c r="B32" s="537" t="s">
        <v>1139</v>
      </c>
      <c r="C32" s="538">
        <f t="shared" si="0"/>
        <v>2000</v>
      </c>
      <c r="D32" s="539">
        <f t="shared" si="1"/>
        <v>3150</v>
      </c>
      <c r="E32" s="540" t="str">
        <f t="shared" si="2"/>
        <v>$150 for 21 pay periods</v>
      </c>
      <c r="F32" s="28">
        <f t="shared" si="17"/>
        <v>0.75517514184799683</v>
      </c>
      <c r="G32" t="s">
        <v>635</v>
      </c>
      <c r="H32" s="373">
        <v>0.33261179843083005</v>
      </c>
      <c r="I32" s="29">
        <v>15381</v>
      </c>
      <c r="J32" s="29">
        <f t="shared" si="18"/>
        <v>2000</v>
      </c>
      <c r="K32" s="29">
        <f t="shared" si="19"/>
        <v>150</v>
      </c>
      <c r="L32" s="536">
        <f t="shared" si="20"/>
        <v>21</v>
      </c>
      <c r="M32" s="29">
        <f t="shared" si="21"/>
        <v>2000</v>
      </c>
      <c r="N32" s="29">
        <f t="shared" si="22"/>
        <v>150</v>
      </c>
      <c r="O32" s="536">
        <f t="shared" si="16"/>
        <v>21</v>
      </c>
      <c r="P32" s="29">
        <f t="shared" si="13"/>
        <v>3150</v>
      </c>
      <c r="Q32" s="29">
        <f t="shared" si="14"/>
        <v>5150</v>
      </c>
      <c r="R32" s="455">
        <f t="shared" si="10"/>
        <v>0.3348286847409141</v>
      </c>
      <c r="S32" s="455">
        <f t="shared" si="11"/>
        <v>8.1246080093039293E-3</v>
      </c>
      <c r="T32" s="455">
        <f t="shared" si="15"/>
        <v>0.38827852180812844</v>
      </c>
      <c r="Z32" t="s">
        <v>684</v>
      </c>
      <c r="AA32" s="455">
        <f t="shared" si="12"/>
        <v>5.7853951909577579E-4</v>
      </c>
      <c r="AB32" s="455" t="e">
        <f>SUM($AA$2:$AA32)</f>
        <v>#N/A</v>
      </c>
    </row>
    <row r="33" spans="7:28" x14ac:dyDescent="0.2">
      <c r="R33" s="455"/>
      <c r="Z33" t="s">
        <v>686</v>
      </c>
      <c r="AA33" s="455">
        <f t="shared" si="12"/>
        <v>1.6036393930054058E-3</v>
      </c>
      <c r="AB33" s="455" t="e">
        <f>SUM($AA$2:$AA33)</f>
        <v>#N/A</v>
      </c>
    </row>
    <row r="34" spans="7:28" x14ac:dyDescent="0.2">
      <c r="G34" t="s">
        <v>403</v>
      </c>
      <c r="I34" s="29">
        <f t="shared" ref="I34:Q34" si="23">SUMPRODUCT(I$2:I$32,$H$2:$H$32)/SUM($H$2:$H$32)</f>
        <v>16799.706154674353</v>
      </c>
      <c r="J34" s="29">
        <f t="shared" si="23"/>
        <v>1960.2560651720114</v>
      </c>
      <c r="K34" s="29">
        <f t="shared" si="23"/>
        <v>155.41112727779227</v>
      </c>
      <c r="L34" s="536">
        <f t="shared" si="23"/>
        <v>20.207950368079562</v>
      </c>
      <c r="M34" s="29">
        <f t="shared" si="23"/>
        <v>1960.2560651720114</v>
      </c>
      <c r="N34" s="29">
        <f t="shared" si="23"/>
        <v>155.41112727779227</v>
      </c>
      <c r="O34" s="536">
        <f t="shared" si="23"/>
        <v>20.207950368079562</v>
      </c>
      <c r="P34" s="29">
        <f t="shared" si="23"/>
        <v>3157.8739005140496</v>
      </c>
      <c r="Q34" s="29">
        <f t="shared" si="23"/>
        <v>5118.129965686061</v>
      </c>
      <c r="R34" s="455">
        <f>Q35</f>
        <v>0.30465592186932339</v>
      </c>
      <c r="S34" s="455">
        <f>SUM(S$2:S$32)</f>
        <v>0.99999999999999989</v>
      </c>
      <c r="Z34" t="s">
        <v>687</v>
      </c>
      <c r="AA34" s="455">
        <f t="shared" si="12"/>
        <v>1.2959827333445549E-2</v>
      </c>
      <c r="AB34" s="455" t="e">
        <f>SUM($AA$2:$AA34)</f>
        <v>#N/A</v>
      </c>
    </row>
    <row r="35" spans="7:28" x14ac:dyDescent="0.2">
      <c r="G35" t="s">
        <v>851</v>
      </c>
      <c r="J35" s="28">
        <f>J34/$I34</f>
        <v>0.11668394953602146</v>
      </c>
      <c r="M35" s="28">
        <f>M34/$I34</f>
        <v>0.11668394953602146</v>
      </c>
      <c r="P35" s="28">
        <f>P34/$I34</f>
        <v>0.18797197233330193</v>
      </c>
      <c r="Q35" s="28">
        <f>Q34/$I34</f>
        <v>0.30465592186932339</v>
      </c>
      <c r="R35" s="28"/>
    </row>
    <row r="36" spans="7:28" x14ac:dyDescent="0.2">
      <c r="G36" t="s">
        <v>1046</v>
      </c>
      <c r="Q36" s="542">
        <f>add_in_subsidy/100</f>
        <v>0.85</v>
      </c>
    </row>
    <row r="37" spans="7:28" x14ac:dyDescent="0.2">
      <c r="J37" s="29">
        <f>copay_min</f>
        <v>500</v>
      </c>
      <c r="K37" s="29">
        <v>0</v>
      </c>
      <c r="L37" s="29">
        <f>SUM(J37:K37)</f>
        <v>500</v>
      </c>
    </row>
    <row r="38" spans="7:28" x14ac:dyDescent="0.2">
      <c r="I38" s="29"/>
      <c r="J38" s="29">
        <f>copay_max</f>
        <v>2500</v>
      </c>
      <c r="K38" s="29">
        <f>payroll_max*period_max</f>
        <v>5200</v>
      </c>
      <c r="L38" s="29">
        <f>SUM(J38:K38)</f>
        <v>7700</v>
      </c>
    </row>
    <row r="39" spans="7:28" x14ac:dyDescent="0.2">
      <c r="J39" s="28">
        <f>J38/$L38</f>
        <v>0.32467532467532467</v>
      </c>
      <c r="K39" s="28">
        <f>K38/$L38</f>
        <v>0.67532467532467533</v>
      </c>
    </row>
    <row r="40" spans="7:28" x14ac:dyDescent="0.2">
      <c r="J40" s="29"/>
      <c r="K40" s="29"/>
    </row>
  </sheetData>
  <autoFilter ref="F1:S32"/>
  <pageMargins left="0.5" right="0.25"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enableFormatConditionsCalculation="0"/>
  <dimension ref="A1:AB40"/>
  <sheetViews>
    <sheetView workbookViewId="0">
      <pane xSplit="1" ySplit="1" topLeftCell="C2" activePane="bottomRight" state="frozen"/>
      <selection activeCell="C4" sqref="C4"/>
      <selection pane="topRight" activeCell="C4" sqref="C4"/>
      <selection pane="bottomLeft" activeCell="C4" sqref="C4"/>
      <selection pane="bottomRight" activeCell="C4" sqref="C4"/>
    </sheetView>
  </sheetViews>
  <sheetFormatPr baseColWidth="10" defaultColWidth="8.83203125" defaultRowHeight="15" x14ac:dyDescent="0.2"/>
  <cols>
    <col min="1" max="1" width="3.83203125" customWidth="1"/>
    <col min="2" max="2" width="52" customWidth="1"/>
    <col min="3" max="3" width="10.6640625" style="625" customWidth="1"/>
    <col min="4" max="4" width="9.5" customWidth="1"/>
    <col min="5" max="5" width="23" style="541" customWidth="1"/>
    <col min="6" max="6" width="8.83203125" customWidth="1"/>
    <col min="7" max="7" width="38.83203125" customWidth="1"/>
    <col min="8" max="18" width="9.6640625" customWidth="1"/>
    <col min="19" max="19" width="9.5" customWidth="1"/>
    <col min="26" max="26" width="27.83203125" customWidth="1"/>
    <col min="27" max="28" width="10.1640625" customWidth="1"/>
  </cols>
  <sheetData>
    <row r="1" spans="1:28" ht="52.25" customHeight="1" x14ac:dyDescent="0.2">
      <c r="B1" s="525" t="s">
        <v>923</v>
      </c>
      <c r="C1" s="526" t="s">
        <v>834</v>
      </c>
      <c r="D1" s="527" t="s">
        <v>835</v>
      </c>
      <c r="E1" s="528" t="s">
        <v>836</v>
      </c>
      <c r="F1" s="529" t="s">
        <v>965</v>
      </c>
      <c r="G1" s="529" t="s">
        <v>837</v>
      </c>
      <c r="H1" s="358" t="s">
        <v>306</v>
      </c>
      <c r="I1" s="358" t="s">
        <v>838</v>
      </c>
      <c r="J1" s="358" t="s">
        <v>839</v>
      </c>
      <c r="K1" s="358" t="s">
        <v>840</v>
      </c>
      <c r="L1" s="358" t="s">
        <v>841</v>
      </c>
      <c r="M1" s="358" t="s">
        <v>311</v>
      </c>
      <c r="N1" s="358" t="s">
        <v>842</v>
      </c>
      <c r="O1" s="358" t="s">
        <v>843</v>
      </c>
      <c r="P1" s="358" t="s">
        <v>844</v>
      </c>
      <c r="Q1" s="358" t="s">
        <v>845</v>
      </c>
      <c r="R1" s="358" t="s">
        <v>846</v>
      </c>
      <c r="S1" s="358" t="s">
        <v>847</v>
      </c>
      <c r="T1" s="358"/>
      <c r="U1" s="530" t="s">
        <v>848</v>
      </c>
      <c r="V1" s="530"/>
      <c r="W1" s="530"/>
      <c r="X1" s="530"/>
      <c r="Z1" t="s">
        <v>837</v>
      </c>
      <c r="AA1" s="625" t="s">
        <v>847</v>
      </c>
      <c r="AB1" s="358" t="s">
        <v>849</v>
      </c>
    </row>
    <row r="2" spans="1:28" ht="15.5" customHeight="1" x14ac:dyDescent="0.2">
      <c r="A2" s="531">
        <v>1</v>
      </c>
      <c r="B2" s="532" t="s">
        <v>1134</v>
      </c>
      <c r="C2" s="533">
        <f>IF(VLOOKUP($B2,POS_Cost!$B$3:$AK$33,34,0)="x","",$M2)</f>
        <v>2000</v>
      </c>
      <c r="D2" s="534">
        <f>IF(VLOOKUP($B2,POS_Cost!$B$3:$AK$33,34,0)="x","",$P2)</f>
        <v>3000</v>
      </c>
      <c r="E2" s="535" t="str">
        <f>IF(VLOOKUP($B2,POS_Cost!$B$3:$AK$33,34,0)="x","",IF(OR($O2="",$O2=0),"N/A",TEXT($N2,"$#,##")&amp;" for "&amp;$O2&amp;" pay periods"))</f>
        <v>$150 for 20 pay periods</v>
      </c>
      <c r="F2" s="28">
        <f t="shared" ref="F2:F23" si="0">IFERROR(MIN(I2/100000,1)^(1-cost_share_target),"")</f>
        <v>0.74569928977856625</v>
      </c>
      <c r="G2" t="s">
        <v>678</v>
      </c>
      <c r="H2" s="373">
        <v>0.12642705330110243</v>
      </c>
      <c r="I2" s="29">
        <f>IFERROR(VLOOKUP(B2,POS_Cost!$B$3:$L$33,3,FALSE),"")</f>
        <v>14139.200827205883</v>
      </c>
      <c r="J2" s="29">
        <f t="shared" ref="J2:J32" si="1">IFERROR(MIN(MROUND(MIN($F2*(copay_max-copay_min)+copay_min,copay_max),copay_unit),$I2),"")</f>
        <v>2000</v>
      </c>
      <c r="K2" s="29">
        <f t="shared" ref="K2:K32" si="2">IFERROR(MROUND(MAX(MIN($F2*payroll_max,payroll_max),payroll_min),payroll_unit),"")</f>
        <v>150</v>
      </c>
      <c r="L2" s="536">
        <f t="shared" ref="L2:L32" si="3">IFERROR(MAX(MIN(ROUND($F2*(period_max-period_min)+period_min,0),period_max),0),"")</f>
        <v>20</v>
      </c>
      <c r="M2" s="29">
        <f t="shared" ref="M2:M32" si="4">IFERROR(IF(AND($L2&lt;period_min,$J2&gt;copay_min+period_min*payroll_min),$J2-(period_min-$L2)*payroll_min,IF($L2&lt;period_min,$J2+$K2*$L2,$J2)),"")</f>
        <v>2000</v>
      </c>
      <c r="N2" s="29">
        <f t="shared" ref="N2:N32" si="5">IFERROR(MROUND(MAX(MIN(($J2+$K2*$L2-$M2)/$O2,payroll_max),payroll_min),payroll_unit),"")</f>
        <v>150</v>
      </c>
      <c r="O2" s="536">
        <f t="shared" ref="O2:O32" si="6">IFERROR(IF($L2="","",IF($J2+$K2*$L2&gt;$I2,MAX(ROUNDDOWN(($I2*0.8-$M2)/payroll_max,0),0),MAX(MIN($L2,period_max),period_min))),"")</f>
        <v>20</v>
      </c>
      <c r="P2" s="29">
        <f>IFERROR($N2*$O2,"")</f>
        <v>3000</v>
      </c>
      <c r="Q2" s="29">
        <f>IF(SUM(M2,P2)=0,"",SUM(M2,P2))</f>
        <v>5000</v>
      </c>
      <c r="R2" s="455">
        <f t="shared" ref="R2:R32" si="7">IFERROR(Q2/I2,"")</f>
        <v>0.35362677573539175</v>
      </c>
      <c r="S2" s="455">
        <f t="shared" ref="S2:S32" si="8">IFERROR($H2*$I2/$I$34/SUM($H$2:$H$32),"")</f>
        <v>2.80311546400377E-3</v>
      </c>
      <c r="T2" s="455">
        <f>IF($R2="","",IF($R2&lt;=0.4,-1.0204*$R2^2+0.9161*$R2+0.0018,0.205)*2)</f>
        <v>0.39630906809047273</v>
      </c>
      <c r="U2" s="530" t="s">
        <v>850</v>
      </c>
      <c r="V2" s="530"/>
      <c r="W2" s="530"/>
      <c r="X2" s="530"/>
      <c r="Z2" t="s">
        <v>632</v>
      </c>
      <c r="AA2" s="455">
        <f t="shared" ref="AA2:AA34" si="9">VLOOKUP($Z2,$G$2:$S$32,13,0)</f>
        <v>5.3514593325699036E-2</v>
      </c>
      <c r="AB2" s="455">
        <f>SUM($AA$2:$AA2)</f>
        <v>5.3514593325699036E-2</v>
      </c>
    </row>
    <row r="3" spans="1:28" x14ac:dyDescent="0.2">
      <c r="A3" s="531">
        <v>2</v>
      </c>
      <c r="B3" s="537" t="s">
        <v>953</v>
      </c>
      <c r="C3" s="538">
        <f>IF(VLOOKUP($B3,POS_Cost!$B$3:$AK$33,34,0)="x","",$M3)</f>
        <v>2300</v>
      </c>
      <c r="D3" s="539">
        <f>IF(VLOOKUP($B3,POS_Cost!$B$3:$AK$33,34,0)="x","",$P3)</f>
        <v>4600</v>
      </c>
      <c r="E3" s="540" t="str">
        <f>IF(VLOOKUP($B3,POS_Cost!$B$3:$AK$33,34,0)="x","",IF(OR($O3="",$O3=0),"N/A",TEXT($N3,"$#,##")&amp;" for "&amp;$O3&amp;" pay periods"))</f>
        <v>$200 for 23 pay periods</v>
      </c>
      <c r="F3" s="28">
        <f t="shared" si="0"/>
        <v>0.87509475470453679</v>
      </c>
      <c r="G3" t="s">
        <v>633</v>
      </c>
      <c r="H3" s="373">
        <v>0.57019165445285147</v>
      </c>
      <c r="I3" s="29">
        <f>IFERROR(VLOOKUP(B3,POS_Cost!$B$3:$L$33,3,FALSE),"")</f>
        <v>41086.631598289983</v>
      </c>
      <c r="J3" s="29">
        <f t="shared" si="1"/>
        <v>2300</v>
      </c>
      <c r="K3" s="29">
        <f t="shared" si="2"/>
        <v>200</v>
      </c>
      <c r="L3" s="536">
        <f t="shared" si="3"/>
        <v>23</v>
      </c>
      <c r="M3" s="29">
        <f t="shared" si="4"/>
        <v>2300</v>
      </c>
      <c r="N3" s="29">
        <f t="shared" si="5"/>
        <v>200</v>
      </c>
      <c r="O3" s="536">
        <f t="shared" si="6"/>
        <v>23</v>
      </c>
      <c r="P3" s="29">
        <f t="shared" ref="P3:P32" si="10">IFERROR($N3*$O3,"")</f>
        <v>4600</v>
      </c>
      <c r="Q3" s="29">
        <f t="shared" ref="Q3:Q32" si="11">IF(SUM(M3,P3)=0,"",SUM(M3,P3))</f>
        <v>6900</v>
      </c>
      <c r="R3" s="455">
        <f t="shared" si="7"/>
        <v>0.16793783602078435</v>
      </c>
      <c r="S3" s="455">
        <f t="shared" si="8"/>
        <v>3.6736476792549606E-2</v>
      </c>
      <c r="T3" s="455">
        <f t="shared" ref="T3:T32" si="12">IF($R3="","",IF($R3&lt;=0.4,-1.0204*$R3^2+0.9161*$R3+0.0018,0.205)*2)</f>
        <v>0.25373878245848575</v>
      </c>
      <c r="Z3" t="s">
        <v>633</v>
      </c>
      <c r="AA3" s="455">
        <f t="shared" si="9"/>
        <v>3.6736476792549606E-2</v>
      </c>
      <c r="AB3" s="455">
        <f>SUM($AA$2:$AA3)</f>
        <v>9.025107011824865E-2</v>
      </c>
    </row>
    <row r="4" spans="1:28" x14ac:dyDescent="0.2">
      <c r="A4" s="531">
        <v>3</v>
      </c>
      <c r="B4" s="537" t="s">
        <v>954</v>
      </c>
      <c r="C4" s="538">
        <f>IF(VLOOKUP($B4,POS_Cost!$B$3:$AK$33,34,0)="x","",$M4)</f>
        <v>2400</v>
      </c>
      <c r="D4" s="539">
        <f>IF(VLOOKUP($B4,POS_Cost!$B$3:$AK$33,34,0)="x","",$P4)</f>
        <v>5000</v>
      </c>
      <c r="E4" s="540" t="str">
        <f>IF(VLOOKUP($B4,POS_Cost!$B$3:$AK$33,34,0)="x","",IF(OR($O4="",$O4=0),"N/A",TEXT($N4,"$#,##")&amp;" for "&amp;$O4&amp;" pay periods"))</f>
        <v>$200 for 25 pay periods</v>
      </c>
      <c r="F4" s="28">
        <f>IFERROR(MIN(I4/100000,1)^(1-cost_share_target),"")</f>
        <v>0.96373557108531882</v>
      </c>
      <c r="G4" t="s">
        <v>633</v>
      </c>
      <c r="H4" s="373">
        <v>0.51516202187759474</v>
      </c>
      <c r="I4" s="29">
        <f>IFERROR(VLOOKUP(B4,POS_Cost!$B$3:$L$33,3,FALSE),"")</f>
        <v>78172.246487055003</v>
      </c>
      <c r="J4" s="29">
        <f t="shared" si="1"/>
        <v>2400</v>
      </c>
      <c r="K4" s="29">
        <f t="shared" si="2"/>
        <v>200</v>
      </c>
      <c r="L4" s="536">
        <f t="shared" si="3"/>
        <v>25</v>
      </c>
      <c r="M4" s="29">
        <f t="shared" si="4"/>
        <v>2400</v>
      </c>
      <c r="N4" s="29">
        <f t="shared" si="5"/>
        <v>200</v>
      </c>
      <c r="O4" s="536">
        <f t="shared" si="6"/>
        <v>25</v>
      </c>
      <c r="P4" s="29">
        <f t="shared" si="10"/>
        <v>5000</v>
      </c>
      <c r="Q4" s="29">
        <f>IF(SUM(M4,P4)=0,"",SUM(M4,P4))</f>
        <v>7400</v>
      </c>
      <c r="R4" s="455">
        <f>IFERROR(Q4/I4,"")</f>
        <v>9.4662752224031435E-2</v>
      </c>
      <c r="S4" s="455">
        <f t="shared" si="8"/>
        <v>6.314988154596099E-2</v>
      </c>
      <c r="T4" s="455">
        <f t="shared" si="12"/>
        <v>0.15875341101194163</v>
      </c>
      <c r="Z4" t="s">
        <v>634</v>
      </c>
      <c r="AA4" s="455" t="e">
        <f t="shared" si="9"/>
        <v>#N/A</v>
      </c>
      <c r="AB4" s="455" t="e">
        <f>SUM($AA$2:$AA4)</f>
        <v>#N/A</v>
      </c>
    </row>
    <row r="5" spans="1:28" x14ac:dyDescent="0.2">
      <c r="A5" s="531">
        <v>4</v>
      </c>
      <c r="B5" s="537" t="s">
        <v>952</v>
      </c>
      <c r="C5" s="538">
        <f>IF(VLOOKUP($B5,POS_Cost!$B$3:$AK$33,34,0)="x","",$M5)</f>
        <v>2300</v>
      </c>
      <c r="D5" s="539">
        <f>IF(VLOOKUP($B5,POS_Cost!$B$3:$AK$33,34,0)="x","",$P5)</f>
        <v>4800</v>
      </c>
      <c r="E5" s="540" t="str">
        <f>IF(VLOOKUP($B5,POS_Cost!$B$3:$AK$33,34,0)="x","",IF(OR($O5="",$O5=0),"N/A",TEXT($N5,"$#,##")&amp;" for "&amp;$O5&amp;" pay periods"))</f>
        <v>$200 for 24 pay periods</v>
      </c>
      <c r="F5" s="28">
        <f>IFERROR(MIN(I5/100000,1)^(1-cost_share_target),"")</f>
        <v>0.9057941484261921</v>
      </c>
      <c r="G5" t="s">
        <v>633</v>
      </c>
      <c r="H5" s="373">
        <v>1.6876459497855307</v>
      </c>
      <c r="I5" s="29">
        <f>IFERROR(VLOOKUP(B5,POS_Cost!$B$3:$L$33,3,FALSE),"")</f>
        <v>51704.705835570385</v>
      </c>
      <c r="J5" s="29">
        <f t="shared" si="1"/>
        <v>2300</v>
      </c>
      <c r="K5" s="29">
        <f t="shared" si="2"/>
        <v>200</v>
      </c>
      <c r="L5" s="536">
        <f t="shared" si="3"/>
        <v>24</v>
      </c>
      <c r="M5" s="29">
        <f t="shared" si="4"/>
        <v>2300</v>
      </c>
      <c r="N5" s="29">
        <f t="shared" si="5"/>
        <v>200</v>
      </c>
      <c r="O5" s="536">
        <f t="shared" si="6"/>
        <v>24</v>
      </c>
      <c r="P5" s="29">
        <f t="shared" si="10"/>
        <v>4800</v>
      </c>
      <c r="Q5" s="29">
        <f>IF(SUM(M5,P5)=0,"",SUM(M5,P5))</f>
        <v>7100</v>
      </c>
      <c r="R5" s="455">
        <f>IFERROR(Q5/I5,"")</f>
        <v>0.13731825537464981</v>
      </c>
      <c r="S5" s="455">
        <f t="shared" si="8"/>
        <v>0.13683195171297793</v>
      </c>
      <c r="T5" s="455">
        <f t="shared" si="12"/>
        <v>0.21671256380618548</v>
      </c>
      <c r="Z5" t="s">
        <v>635</v>
      </c>
      <c r="AA5" s="455">
        <f t="shared" si="9"/>
        <v>7.6232561745930658E-3</v>
      </c>
      <c r="AB5" s="455" t="e">
        <f>SUM($AA$2:$AA5)</f>
        <v>#N/A</v>
      </c>
    </row>
    <row r="6" spans="1:28" x14ac:dyDescent="0.2">
      <c r="A6" s="531">
        <v>5</v>
      </c>
      <c r="B6" s="537" t="s">
        <v>1135</v>
      </c>
      <c r="C6" s="538">
        <f>IF(VLOOKUP($B6,POS_Cost!$B$3:$AK$33,34,0)="x","",$M6)</f>
        <v>2200</v>
      </c>
      <c r="D6" s="539">
        <f>IF(VLOOKUP($B6,POS_Cost!$B$3:$AK$33,34,0)="x","",$P6)</f>
        <v>3300</v>
      </c>
      <c r="E6" s="540" t="str">
        <f>IF(VLOOKUP($B6,POS_Cost!$B$3:$AK$33,34,0)="x","",IF(OR($O6="",$O6=0),"N/A",TEXT($N6,"$#,##")&amp;" for "&amp;$O6&amp;" pay periods"))</f>
        <v>$150 for 22 pay periods</v>
      </c>
      <c r="F6" s="28">
        <f>IFERROR(MIN(I6/100000,1)^(1-cost_share_target),"")</f>
        <v>0.83247951841618151</v>
      </c>
      <c r="G6" t="s">
        <v>689</v>
      </c>
      <c r="H6" s="373">
        <v>0.68360208312557591</v>
      </c>
      <c r="I6" s="29">
        <f>IFERROR(VLOOKUP(B6,POS_Cost!$B$3:$L$33,3,FALSE),"")</f>
        <v>29454.865826672838</v>
      </c>
      <c r="J6" s="29">
        <f t="shared" si="1"/>
        <v>2200</v>
      </c>
      <c r="K6" s="29">
        <f t="shared" si="2"/>
        <v>150</v>
      </c>
      <c r="L6" s="536">
        <f t="shared" si="3"/>
        <v>22</v>
      </c>
      <c r="M6" s="29">
        <f t="shared" si="4"/>
        <v>2200</v>
      </c>
      <c r="N6" s="29">
        <f t="shared" si="5"/>
        <v>150</v>
      </c>
      <c r="O6" s="536">
        <f t="shared" si="6"/>
        <v>22</v>
      </c>
      <c r="P6" s="29">
        <f t="shared" si="10"/>
        <v>3300</v>
      </c>
      <c r="Q6" s="29">
        <f t="shared" si="11"/>
        <v>5500</v>
      </c>
      <c r="R6" s="455">
        <f t="shared" si="7"/>
        <v>0.18672636407053256</v>
      </c>
      <c r="S6" s="455">
        <f t="shared" si="8"/>
        <v>3.1574503834923363E-2</v>
      </c>
      <c r="T6" s="455">
        <f t="shared" si="12"/>
        <v>0.27456401138243641</v>
      </c>
      <c r="Z6" t="s">
        <v>636</v>
      </c>
      <c r="AA6" s="455">
        <f t="shared" si="9"/>
        <v>4.8013190995648151E-2</v>
      </c>
      <c r="AB6" s="455" t="e">
        <f>SUM($AA$2:$AA6)</f>
        <v>#N/A</v>
      </c>
    </row>
    <row r="7" spans="1:28" x14ac:dyDescent="0.2">
      <c r="A7" s="531">
        <v>6</v>
      </c>
      <c r="B7" s="537" t="s">
        <v>823</v>
      </c>
      <c r="C7" s="538">
        <f>IF(VLOOKUP($B7,POS_Cost!$B$3:$AK$33,34,0)="x","",$M7)</f>
        <v>2000</v>
      </c>
      <c r="D7" s="539">
        <f>IF(VLOOKUP($B7,POS_Cost!$B$3:$AK$33,34,0)="x","",$P7)</f>
        <v>3000</v>
      </c>
      <c r="E7" s="540" t="str">
        <f>IF(VLOOKUP($B7,POS_Cost!$B$3:$AK$33,34,0)="x","",IF(OR($O7="",$O7=0),"N/A",TEXT($N7,"$#,##")&amp;" for "&amp;$O7&amp;" pay periods"))</f>
        <v>$150 for 20 pay periods</v>
      </c>
      <c r="F7" s="28">
        <f t="shared" si="0"/>
        <v>0.74498005609705154</v>
      </c>
      <c r="G7" t="s">
        <v>668</v>
      </c>
      <c r="H7" s="373">
        <v>0.2522897001142535</v>
      </c>
      <c r="I7" s="29">
        <f>IFERROR(VLOOKUP(B7,POS_Cost!$B$3:$L$33,3,FALSE),"")</f>
        <v>14048.532997211896</v>
      </c>
      <c r="J7" s="29">
        <f t="shared" si="1"/>
        <v>2000</v>
      </c>
      <c r="K7" s="29">
        <f t="shared" si="2"/>
        <v>150</v>
      </c>
      <c r="L7" s="536">
        <f t="shared" si="3"/>
        <v>20</v>
      </c>
      <c r="M7" s="29">
        <f t="shared" si="4"/>
        <v>2000</v>
      </c>
      <c r="N7" s="29">
        <f t="shared" si="5"/>
        <v>150</v>
      </c>
      <c r="O7" s="536">
        <f t="shared" si="6"/>
        <v>20</v>
      </c>
      <c r="P7" s="29">
        <f t="shared" si="10"/>
        <v>3000</v>
      </c>
      <c r="Q7" s="29">
        <f t="shared" si="11"/>
        <v>5000</v>
      </c>
      <c r="R7" s="455">
        <f t="shared" si="7"/>
        <v>0.35590904765588771</v>
      </c>
      <c r="S7" s="455">
        <f t="shared" si="8"/>
        <v>5.5578472283185727E-3</v>
      </c>
      <c r="T7" s="455">
        <f t="shared" si="12"/>
        <v>0.39718586970018011</v>
      </c>
      <c r="Z7" t="s">
        <v>639</v>
      </c>
      <c r="AA7" s="455">
        <f t="shared" si="9"/>
        <v>7.3422170376599899E-2</v>
      </c>
      <c r="AB7" s="455" t="e">
        <f>SUM($AA$2:$AA7)</f>
        <v>#N/A</v>
      </c>
    </row>
    <row r="8" spans="1:28" x14ac:dyDescent="0.2">
      <c r="A8" s="531">
        <v>7</v>
      </c>
      <c r="B8" s="532" t="s">
        <v>824</v>
      </c>
      <c r="C8" s="533" t="str">
        <f>IF(VLOOKUP($B8,POS_Cost!$B$3:$AK$33,34,0)="x","",$M8)</f>
        <v/>
      </c>
      <c r="D8" s="534" t="str">
        <f>IF(VLOOKUP($B8,POS_Cost!$B$3:$AK$33,34,0)="x","",$P8)</f>
        <v/>
      </c>
      <c r="E8" s="535" t="str">
        <f>IF(VLOOKUP($B8,POS_Cost!$B$3:$AK$33,34,0)="x","",IF(OR($O8="",$O8=0),"N/A",TEXT($N8,"$#,##")&amp;" for "&amp;$O8&amp;" pay periods"))</f>
        <v/>
      </c>
      <c r="F8" s="28">
        <f t="shared" si="0"/>
        <v>0.70303507345425953</v>
      </c>
      <c r="G8" t="s">
        <v>654</v>
      </c>
      <c r="H8" s="373">
        <v>0.59357924829733555</v>
      </c>
      <c r="I8" s="29">
        <f>IFERROR(VLOOKUP(B8,POS_Cost!$B$3:$L$33,3,FALSE),"")</f>
        <v>9546.5535446932445</v>
      </c>
      <c r="J8" s="29">
        <f t="shared" si="1"/>
        <v>1900</v>
      </c>
      <c r="K8" s="29">
        <f t="shared" si="2"/>
        <v>150</v>
      </c>
      <c r="L8" s="536">
        <f t="shared" si="3"/>
        <v>19</v>
      </c>
      <c r="M8" s="29">
        <f t="shared" si="4"/>
        <v>1900</v>
      </c>
      <c r="N8" s="29">
        <f t="shared" si="5"/>
        <v>150</v>
      </c>
      <c r="O8" s="536">
        <f t="shared" si="6"/>
        <v>19</v>
      </c>
      <c r="P8" s="29">
        <f t="shared" si="10"/>
        <v>2850</v>
      </c>
      <c r="Q8" s="29">
        <f t="shared" si="11"/>
        <v>4750</v>
      </c>
      <c r="R8" s="455">
        <f t="shared" si="7"/>
        <v>0.4975617617145654</v>
      </c>
      <c r="S8" s="455">
        <f t="shared" si="8"/>
        <v>8.8859001895462159E-3</v>
      </c>
      <c r="T8" s="455">
        <f t="shared" si="12"/>
        <v>0.41</v>
      </c>
      <c r="Z8" t="s">
        <v>640</v>
      </c>
      <c r="AA8" s="455">
        <f t="shared" si="9"/>
        <v>4.7015784446805188E-2</v>
      </c>
      <c r="AB8" s="455" t="e">
        <f>SUM($AA$2:$AA8)</f>
        <v>#N/A</v>
      </c>
    </row>
    <row r="9" spans="1:28" x14ac:dyDescent="0.2">
      <c r="A9" s="531">
        <v>8</v>
      </c>
      <c r="B9" s="537" t="s">
        <v>955</v>
      </c>
      <c r="C9" s="538">
        <f>IF(VLOOKUP($B9,POS_Cost!$B$3:$AK$33,34,0)="x","",$M9)</f>
        <v>2200</v>
      </c>
      <c r="D9" s="539">
        <f>IF(VLOOKUP($B9,POS_Cost!$B$3:$AK$33,34,0)="x","",$P9)</f>
        <v>3300</v>
      </c>
      <c r="E9" s="540" t="str">
        <f>IF(VLOOKUP($B9,POS_Cost!$B$3:$AK$33,34,0)="x","",IF(OR($O9="",$O9=0),"N/A",TEXT($N9,"$#,##")&amp;" for "&amp;$O9&amp;" pay periods"))</f>
        <v>$150 for 22 pay periods</v>
      </c>
      <c r="F9" s="28">
        <f t="shared" si="0"/>
        <v>0.83081104823595109</v>
      </c>
      <c r="G9" t="s">
        <v>956</v>
      </c>
      <c r="H9" s="373">
        <v>2.63874143279455</v>
      </c>
      <c r="I9" s="29">
        <f>IFERROR(VLOOKUP(B9,POS_Cost!$B$3:$L$33,3,FALSE),"")</f>
        <v>29063.533991905028</v>
      </c>
      <c r="J9" s="29">
        <f t="shared" si="1"/>
        <v>2200</v>
      </c>
      <c r="K9" s="29">
        <f t="shared" si="2"/>
        <v>150</v>
      </c>
      <c r="L9" s="536">
        <f t="shared" si="3"/>
        <v>22</v>
      </c>
      <c r="M9" s="29">
        <f t="shared" si="4"/>
        <v>2200</v>
      </c>
      <c r="N9" s="29">
        <f t="shared" si="5"/>
        <v>150</v>
      </c>
      <c r="O9" s="536">
        <f t="shared" si="6"/>
        <v>22</v>
      </c>
      <c r="P9" s="29">
        <f t="shared" si="10"/>
        <v>3300</v>
      </c>
      <c r="Q9" s="29">
        <f t="shared" si="11"/>
        <v>5500</v>
      </c>
      <c r="R9" s="455">
        <f t="shared" si="7"/>
        <v>0.18924057898574542</v>
      </c>
      <c r="S9" s="455">
        <f t="shared" si="8"/>
        <v>0.12026004614980602</v>
      </c>
      <c r="T9" s="455">
        <f t="shared" si="12"/>
        <v>0.27724146588118015</v>
      </c>
      <c r="Z9" t="s">
        <v>641</v>
      </c>
      <c r="AA9" s="455" t="e">
        <f t="shared" si="9"/>
        <v>#N/A</v>
      </c>
      <c r="AB9" s="455" t="e">
        <f>SUM($AA$2:$AA9)</f>
        <v>#N/A</v>
      </c>
    </row>
    <row r="10" spans="1:28" x14ac:dyDescent="0.2">
      <c r="A10" s="531">
        <v>9</v>
      </c>
      <c r="B10" s="532" t="s">
        <v>825</v>
      </c>
      <c r="C10" s="533">
        <f>IF(VLOOKUP($B10,POS_Cost!$B$3:$AK$33,34,0)="x","",$M10)</f>
        <v>2300</v>
      </c>
      <c r="D10" s="534">
        <f>IF(VLOOKUP($B10,POS_Cost!$B$3:$AK$33,34,0)="x","",$P10)</f>
        <v>4600</v>
      </c>
      <c r="E10" s="535" t="str">
        <f>IF(VLOOKUP($B10,POS_Cost!$B$3:$AK$33,34,0)="x","",IF(OR($O10="",$O10=0),"N/A",TEXT($N10,"$#,##")&amp;" for "&amp;$O10&amp;" pay periods"))</f>
        <v>$200 for 23 pay periods</v>
      </c>
      <c r="F10" s="28">
        <f>IFERROR(MIN(I10/100000,1)^(1-cost_share_target),"")</f>
        <v>0.882986467659721</v>
      </c>
      <c r="G10" t="s">
        <v>663</v>
      </c>
      <c r="H10" s="373">
        <v>7.9016908313189013E-2</v>
      </c>
      <c r="I10" s="29">
        <f>IFERROR(VLOOKUP(B10,POS_Cost!$B$3:$L$33,3,FALSE),"")</f>
        <v>43620.802578422488</v>
      </c>
      <c r="J10" s="29">
        <f t="shared" si="1"/>
        <v>2300</v>
      </c>
      <c r="K10" s="29">
        <f t="shared" si="2"/>
        <v>200</v>
      </c>
      <c r="L10" s="536">
        <f t="shared" si="3"/>
        <v>23</v>
      </c>
      <c r="M10" s="29">
        <f t="shared" si="4"/>
        <v>2300</v>
      </c>
      <c r="N10" s="29">
        <f t="shared" si="5"/>
        <v>200</v>
      </c>
      <c r="O10" s="536">
        <f t="shared" si="6"/>
        <v>23</v>
      </c>
      <c r="P10" s="29">
        <f t="shared" si="10"/>
        <v>4600</v>
      </c>
      <c r="Q10" s="29">
        <f t="shared" si="11"/>
        <v>6900</v>
      </c>
      <c r="R10" s="455">
        <f t="shared" si="7"/>
        <v>0.15818140868900843</v>
      </c>
      <c r="S10" s="455">
        <f t="shared" si="8"/>
        <v>5.4049265122077441E-3</v>
      </c>
      <c r="T10" s="455">
        <f t="shared" si="12"/>
        <v>0.24235638948168556</v>
      </c>
      <c r="Z10" t="s">
        <v>656</v>
      </c>
      <c r="AA10" s="455">
        <f t="shared" si="9"/>
        <v>1.7294881323823237E-2</v>
      </c>
      <c r="AB10" s="455" t="e">
        <f>SUM($AA$2:$AA10)</f>
        <v>#N/A</v>
      </c>
    </row>
    <row r="11" spans="1:28" x14ac:dyDescent="0.2">
      <c r="A11" s="531">
        <v>10</v>
      </c>
      <c r="B11" s="537" t="s">
        <v>826</v>
      </c>
      <c r="C11" s="538" t="str">
        <f>IF(VLOOKUP($B11,POS_Cost!$B$3:$AK$33,34,0)="x","",$M11)</f>
        <v/>
      </c>
      <c r="D11" s="539" t="str">
        <f>IF(VLOOKUP($B11,POS_Cost!$B$3:$AK$33,34,0)="x","",$P11)</f>
        <v/>
      </c>
      <c r="E11" s="540" t="str">
        <f>IF(VLOOKUP($B11,POS_Cost!$B$3:$AK$33,34,0)="x","",IF(OR($O11="",$O11=0),"N/A",TEXT($N11,"$#,##")&amp;" for "&amp;$O11&amp;" pay periods"))</f>
        <v/>
      </c>
      <c r="F11" s="28">
        <f t="shared" si="0"/>
        <v>0.66841222156499802</v>
      </c>
      <c r="G11" t="s">
        <v>657</v>
      </c>
      <c r="H11" s="373">
        <v>0.99212077960198253</v>
      </c>
      <c r="I11" s="29">
        <f>IFERROR(VLOOKUP(B11,POS_Cost!$B$3:$L$33,3,FALSE),"")</f>
        <v>6817.5638537543291</v>
      </c>
      <c r="J11" s="29">
        <f t="shared" si="1"/>
        <v>1800</v>
      </c>
      <c r="K11" s="29">
        <f t="shared" si="2"/>
        <v>150</v>
      </c>
      <c r="L11" s="536">
        <f t="shared" si="3"/>
        <v>19</v>
      </c>
      <c r="M11" s="29">
        <f t="shared" si="4"/>
        <v>1800</v>
      </c>
      <c r="N11" s="29">
        <f t="shared" si="5"/>
        <v>150</v>
      </c>
      <c r="O11" s="536">
        <f t="shared" si="6"/>
        <v>19</v>
      </c>
      <c r="P11" s="29">
        <f t="shared" si="10"/>
        <v>2850</v>
      </c>
      <c r="Q11" s="29">
        <f t="shared" si="11"/>
        <v>4650</v>
      </c>
      <c r="R11" s="455">
        <f t="shared" si="7"/>
        <v>0.68206181852470882</v>
      </c>
      <c r="S11" s="455">
        <f t="shared" si="8"/>
        <v>1.0606445595013529E-2</v>
      </c>
      <c r="T11" s="455">
        <f t="shared" si="12"/>
        <v>0.41</v>
      </c>
      <c r="Z11" t="s">
        <v>643</v>
      </c>
      <c r="AA11" s="455">
        <f t="shared" si="9"/>
        <v>4.2470194063604846E-2</v>
      </c>
      <c r="AB11" s="455" t="e">
        <f>SUM($AA$2:$AA11)</f>
        <v>#N/A</v>
      </c>
    </row>
    <row r="12" spans="1:28" x14ac:dyDescent="0.2">
      <c r="A12" s="531">
        <v>11</v>
      </c>
      <c r="B12" s="537" t="s">
        <v>1136</v>
      </c>
      <c r="C12" s="538">
        <f>IF(VLOOKUP($B12,POS_Cost!$B$3:$AK$33,34,0)="x","",$M12)</f>
        <v>2300</v>
      </c>
      <c r="D12" s="539">
        <f>IF(VLOOKUP($B12,POS_Cost!$B$3:$AK$33,34,0)="x","",$P12)</f>
        <v>4600</v>
      </c>
      <c r="E12" s="540" t="str">
        <f>IF(VLOOKUP($B12,POS_Cost!$B$3:$AK$33,34,0)="x","",IF(OR($O12="",$O12=0),"N/A",TEXT($N12,"$#,##")&amp;" for "&amp;$O12&amp;" pay periods"))</f>
        <v>$200 for 23 pay periods</v>
      </c>
      <c r="F12" s="28">
        <f t="shared" si="0"/>
        <v>0.87567795522295433</v>
      </c>
      <c r="G12" t="s">
        <v>632</v>
      </c>
      <c r="H12" s="373">
        <v>0.82692605565972188</v>
      </c>
      <c r="I12" s="29">
        <f>IFERROR(VLOOKUP(B12,POS_Cost!$B$3:$L$33,3,FALSE),"")</f>
        <v>41269.522555887037</v>
      </c>
      <c r="J12" s="29">
        <f t="shared" si="1"/>
        <v>2300</v>
      </c>
      <c r="K12" s="29">
        <f t="shared" si="2"/>
        <v>200</v>
      </c>
      <c r="L12" s="536">
        <f t="shared" si="3"/>
        <v>23</v>
      </c>
      <c r="M12" s="29">
        <f t="shared" si="4"/>
        <v>2300</v>
      </c>
      <c r="N12" s="29">
        <f t="shared" si="5"/>
        <v>200</v>
      </c>
      <c r="O12" s="536">
        <f t="shared" si="6"/>
        <v>23</v>
      </c>
      <c r="P12" s="29">
        <f t="shared" si="10"/>
        <v>4600</v>
      </c>
      <c r="Q12" s="29">
        <f t="shared" si="11"/>
        <v>6900</v>
      </c>
      <c r="R12" s="455">
        <f t="shared" si="7"/>
        <v>0.16719359887568472</v>
      </c>
      <c r="S12" s="455">
        <f t="shared" si="8"/>
        <v>5.3514593325699036E-2</v>
      </c>
      <c r="T12" s="455">
        <f t="shared" si="12"/>
        <v>0.25288420191021871</v>
      </c>
      <c r="Z12" t="s">
        <v>644</v>
      </c>
      <c r="AA12" s="455">
        <f t="shared" si="9"/>
        <v>4.1068902586997948E-2</v>
      </c>
      <c r="AB12" s="455" t="e">
        <f>SUM($AA$2:$AA12)</f>
        <v>#N/A</v>
      </c>
    </row>
    <row r="13" spans="1:28" x14ac:dyDescent="0.2">
      <c r="A13" s="531">
        <v>12</v>
      </c>
      <c r="B13" s="537" t="s">
        <v>1137</v>
      </c>
      <c r="C13" s="538">
        <f>IF(VLOOKUP($B13,POS_Cost!$B$3:$AK$33,34,0)="x","",$M13)</f>
        <v>2500</v>
      </c>
      <c r="D13" s="539">
        <f>IF(VLOOKUP($B13,POS_Cost!$B$3:$AK$33,34,0)="x","",$P13)</f>
        <v>5200</v>
      </c>
      <c r="E13" s="540" t="str">
        <f>IF(VLOOKUP($B13,POS_Cost!$B$3:$AK$33,34,0)="x","",IF(OR($O13="",$O13=0),"N/A",TEXT($N13,"$#,##")&amp;" for "&amp;$O13&amp;" pay periods"))</f>
        <v>$200 for 26 pay periods</v>
      </c>
      <c r="F13" s="28">
        <f t="shared" si="0"/>
        <v>0.98828793956668415</v>
      </c>
      <c r="G13" t="s">
        <v>651</v>
      </c>
      <c r="H13" s="373">
        <v>0.21264014433567116</v>
      </c>
      <c r="I13" s="29">
        <f>IFERROR(VLOOKUP(B13,POS_Cost!$B$3:$L$33,3,FALSE),"")</f>
        <v>92446.392879631472</v>
      </c>
      <c r="J13" s="29">
        <f t="shared" si="1"/>
        <v>2500</v>
      </c>
      <c r="K13" s="29">
        <f t="shared" si="2"/>
        <v>200</v>
      </c>
      <c r="L13" s="536">
        <f t="shared" si="3"/>
        <v>26</v>
      </c>
      <c r="M13" s="29">
        <f t="shared" si="4"/>
        <v>2500</v>
      </c>
      <c r="N13" s="29">
        <f t="shared" si="5"/>
        <v>200</v>
      </c>
      <c r="O13" s="536">
        <f t="shared" si="6"/>
        <v>26</v>
      </c>
      <c r="P13" s="29">
        <f t="shared" si="10"/>
        <v>5200</v>
      </c>
      <c r="Q13" s="29">
        <f t="shared" si="11"/>
        <v>7700</v>
      </c>
      <c r="R13" s="455">
        <f t="shared" si="7"/>
        <v>8.3291513710282636E-2</v>
      </c>
      <c r="S13" s="455">
        <f t="shared" si="8"/>
        <v>3.0825585703498637E-2</v>
      </c>
      <c r="T13" s="455">
        <f t="shared" si="12"/>
        <v>0.14204870987642854</v>
      </c>
      <c r="Z13" t="s">
        <v>646</v>
      </c>
      <c r="AA13" s="455">
        <f t="shared" si="9"/>
        <v>1.9941836615380997E-2</v>
      </c>
      <c r="AB13" s="455" t="e">
        <f>SUM($AA$2:$AA13)</f>
        <v>#N/A</v>
      </c>
    </row>
    <row r="14" spans="1:28" x14ac:dyDescent="0.2">
      <c r="A14" s="531">
        <v>13</v>
      </c>
      <c r="B14" s="532" t="s">
        <v>827</v>
      </c>
      <c r="C14" s="533" t="str">
        <f>IF(VLOOKUP($B14,POS_Cost!$B$3:$AK$33,34,0)="x","",$M14)</f>
        <v/>
      </c>
      <c r="D14" s="534" t="str">
        <f>IF(VLOOKUP($B14,POS_Cost!$B$3:$AK$33,34,0)="x","",$P14)</f>
        <v/>
      </c>
      <c r="E14" s="535" t="str">
        <f>IF(VLOOKUP($B14,POS_Cost!$B$3:$AK$33,34,0)="x","",IF(OR($O14="",$O14=0),"N/A",TEXT($N14,"$#,##")&amp;" for "&amp;$O14&amp;" pay periods"))</f>
        <v/>
      </c>
      <c r="F14" s="28">
        <f t="shared" si="0"/>
        <v>0.6826968706242319</v>
      </c>
      <c r="G14" t="s">
        <v>682</v>
      </c>
      <c r="H14" s="373">
        <v>0.76332449954870407</v>
      </c>
      <c r="I14" s="29">
        <f>IFERROR(VLOOKUP(B14,POS_Cost!$B$3:$L$33,3,FALSE),"")</f>
        <v>7849.6943655689611</v>
      </c>
      <c r="J14" s="29">
        <f t="shared" si="1"/>
        <v>1900</v>
      </c>
      <c r="K14" s="29">
        <f t="shared" si="2"/>
        <v>150</v>
      </c>
      <c r="L14" s="536">
        <f t="shared" si="3"/>
        <v>19</v>
      </c>
      <c r="M14" s="29">
        <f t="shared" si="4"/>
        <v>1900</v>
      </c>
      <c r="N14" s="29">
        <f t="shared" si="5"/>
        <v>150</v>
      </c>
      <c r="O14" s="536">
        <f t="shared" si="6"/>
        <v>19</v>
      </c>
      <c r="P14" s="29">
        <f t="shared" si="10"/>
        <v>2850</v>
      </c>
      <c r="Q14" s="29">
        <f t="shared" si="11"/>
        <v>4750</v>
      </c>
      <c r="R14" s="455">
        <f t="shared" si="7"/>
        <v>0.6051191013034698</v>
      </c>
      <c r="S14" s="455">
        <f t="shared" si="8"/>
        <v>9.3958928960881805E-3</v>
      </c>
      <c r="T14" s="455">
        <f t="shared" si="12"/>
        <v>0.41</v>
      </c>
      <c r="Z14" t="s">
        <v>689</v>
      </c>
      <c r="AA14" s="455">
        <f t="shared" si="9"/>
        <v>3.1574503834923363E-2</v>
      </c>
      <c r="AB14" s="455" t="e">
        <f>SUM($AA$2:$AA14)</f>
        <v>#N/A</v>
      </c>
    </row>
    <row r="15" spans="1:28" x14ac:dyDescent="0.2">
      <c r="A15" s="531">
        <v>14</v>
      </c>
      <c r="B15" s="537" t="s">
        <v>960</v>
      </c>
      <c r="C15" s="538">
        <f>IF(VLOOKUP($B15,POS_Cost!$B$3:$AK$33,34,0)="x","",$M15)</f>
        <v>2100</v>
      </c>
      <c r="D15" s="539">
        <f>IF(VLOOKUP($B15,POS_Cost!$B$3:$AK$33,34,0)="x","",$P15)</f>
        <v>3150</v>
      </c>
      <c r="E15" s="540" t="str">
        <f>IF(VLOOKUP($B15,POS_Cost!$B$3:$AK$33,34,0)="x","",IF(OR($O15="",$O15=0),"N/A",TEXT($N15,"$#,##")&amp;" for "&amp;$O15&amp;" pay periods"))</f>
        <v>$150 for 21 pay periods</v>
      </c>
      <c r="F15" s="28">
        <f>IFERROR(MIN(I15/100000,1)^(1-cost_share_target),"")</f>
        <v>0.7898251448579714</v>
      </c>
      <c r="G15" t="s">
        <v>961</v>
      </c>
      <c r="H15" s="373">
        <v>0.12695618438355682</v>
      </c>
      <c r="I15" s="29">
        <f>IFERROR(VLOOKUP(B15,POS_Cost!$B$3:$L$33,3,FALSE),"")</f>
        <v>20743.070277593557</v>
      </c>
      <c r="J15" s="29">
        <f t="shared" si="1"/>
        <v>2100</v>
      </c>
      <c r="K15" s="29">
        <f t="shared" si="2"/>
        <v>150</v>
      </c>
      <c r="L15" s="536">
        <f t="shared" si="3"/>
        <v>21</v>
      </c>
      <c r="M15" s="29">
        <f t="shared" si="4"/>
        <v>2100</v>
      </c>
      <c r="N15" s="29">
        <f t="shared" si="5"/>
        <v>150</v>
      </c>
      <c r="O15" s="536">
        <f t="shared" si="6"/>
        <v>21</v>
      </c>
      <c r="P15" s="29">
        <f t="shared" si="10"/>
        <v>3150</v>
      </c>
      <c r="Q15" s="29">
        <f>IF(SUM(M15,P15)=0,"",SUM(M15,P15))</f>
        <v>5250</v>
      </c>
      <c r="R15" s="455">
        <f>IFERROR(Q15/I15,"")</f>
        <v>0.25309657296350163</v>
      </c>
      <c r="S15" s="455">
        <f t="shared" si="8"/>
        <v>4.1295526603218977E-3</v>
      </c>
      <c r="T15" s="455">
        <f t="shared" si="12"/>
        <v>0.33659422918195803</v>
      </c>
      <c r="Z15" t="s">
        <v>650</v>
      </c>
      <c r="AA15" s="455">
        <f t="shared" si="9"/>
        <v>0.13956792196111037</v>
      </c>
      <c r="AB15" s="455" t="e">
        <f>SUM($AA$2:$AA15)</f>
        <v>#N/A</v>
      </c>
    </row>
    <row r="16" spans="1:28" x14ac:dyDescent="0.2">
      <c r="A16" s="531">
        <v>15</v>
      </c>
      <c r="B16" s="537" t="s">
        <v>1138</v>
      </c>
      <c r="C16" s="538">
        <f>IF(VLOOKUP($B16,POS_Cost!$B$3:$AK$33,34,0)="x","",$M16)</f>
        <v>2000</v>
      </c>
      <c r="D16" s="539">
        <f>IF(VLOOKUP($B16,POS_Cost!$B$3:$AK$33,34,0)="x","",$P16)</f>
        <v>3150</v>
      </c>
      <c r="E16" s="540" t="str">
        <f>IF(VLOOKUP($B16,POS_Cost!$B$3:$AK$33,34,0)="x","",IF(OR($O16="",$O16=0),"N/A",TEXT($N16,"$#,##")&amp;" for "&amp;$O16&amp;" pay periods"))</f>
        <v>$150 for 21 pay periods</v>
      </c>
      <c r="F16" s="28">
        <f t="shared" si="0"/>
        <v>0.75935945828746076</v>
      </c>
      <c r="G16" t="s">
        <v>643</v>
      </c>
      <c r="H16" s="373">
        <v>1.6971703092697099</v>
      </c>
      <c r="I16" s="29">
        <f>IFERROR(VLOOKUP(B16,POS_Cost!$B$3:$L$33,3,FALSE),"")</f>
        <v>15958.156192339397</v>
      </c>
      <c r="J16" s="29">
        <f t="shared" si="1"/>
        <v>2000</v>
      </c>
      <c r="K16" s="29">
        <f t="shared" si="2"/>
        <v>150</v>
      </c>
      <c r="L16" s="536">
        <f t="shared" si="3"/>
        <v>21</v>
      </c>
      <c r="M16" s="29">
        <f t="shared" si="4"/>
        <v>2000</v>
      </c>
      <c r="N16" s="29">
        <f t="shared" si="5"/>
        <v>150</v>
      </c>
      <c r="O16" s="536">
        <f t="shared" si="6"/>
        <v>21</v>
      </c>
      <c r="P16" s="29">
        <f t="shared" si="10"/>
        <v>3150</v>
      </c>
      <c r="Q16" s="29">
        <f t="shared" si="11"/>
        <v>5150</v>
      </c>
      <c r="R16" s="455">
        <f t="shared" si="7"/>
        <v>0.32271898695115053</v>
      </c>
      <c r="S16" s="455">
        <f t="shared" si="8"/>
        <v>4.2470194063604846E-2</v>
      </c>
      <c r="T16" s="455">
        <f t="shared" si="12"/>
        <v>0.38234141899716217</v>
      </c>
      <c r="Z16" t="s">
        <v>651</v>
      </c>
      <c r="AA16" s="455">
        <f t="shared" si="9"/>
        <v>3.0825585703498637E-2</v>
      </c>
      <c r="AB16" s="455" t="e">
        <f>SUM($AA$2:$AA16)</f>
        <v>#N/A</v>
      </c>
    </row>
    <row r="17" spans="1:28" x14ac:dyDescent="0.2">
      <c r="A17" s="531">
        <v>16</v>
      </c>
      <c r="B17" s="537" t="s">
        <v>828</v>
      </c>
      <c r="C17" s="538" t="str">
        <f>IF(VLOOKUP($B17,POS_Cost!$B$3:$AK$33,34,0)="x","",$M17)</f>
        <v/>
      </c>
      <c r="D17" s="539" t="str">
        <f>IF(VLOOKUP($B17,POS_Cost!$B$3:$AK$33,34,0)="x","",$P17)</f>
        <v/>
      </c>
      <c r="E17" s="540" t="str">
        <f>IF(VLOOKUP($B17,POS_Cost!$B$3:$AK$33,34,0)="x","",IF(OR($O17="",$O17=0),"N/A",TEXT($N17,"$#,##")&amp;" for "&amp;$O17&amp;" pay periods"))</f>
        <v/>
      </c>
      <c r="F17" s="28">
        <f t="shared" si="0"/>
        <v>0.6432703201301968</v>
      </c>
      <c r="G17" t="s">
        <v>686</v>
      </c>
      <c r="H17" s="373">
        <v>0.1870654753503756</v>
      </c>
      <c r="I17" s="29">
        <f>IFERROR(VLOOKUP(B17,POS_Cost!$B$3:$L$33,3,FALSE),"")</f>
        <v>5279.8723912568321</v>
      </c>
      <c r="J17" s="29">
        <f t="shared" si="1"/>
        <v>1800</v>
      </c>
      <c r="K17" s="29">
        <f t="shared" si="2"/>
        <v>150</v>
      </c>
      <c r="L17" s="536">
        <f t="shared" si="3"/>
        <v>18</v>
      </c>
      <c r="M17" s="29">
        <f t="shared" si="4"/>
        <v>1800</v>
      </c>
      <c r="N17" s="29">
        <f t="shared" si="5"/>
        <v>150</v>
      </c>
      <c r="O17" s="536">
        <f t="shared" si="6"/>
        <v>18</v>
      </c>
      <c r="P17" s="29">
        <f t="shared" si="10"/>
        <v>2700</v>
      </c>
      <c r="Q17" s="29">
        <f t="shared" si="11"/>
        <v>4500</v>
      </c>
      <c r="R17" s="455">
        <f t="shared" si="7"/>
        <v>0.85229332577274852</v>
      </c>
      <c r="S17" s="455">
        <f t="shared" si="8"/>
        <v>1.5487922849240366E-3</v>
      </c>
      <c r="T17" s="455">
        <f t="shared" si="12"/>
        <v>0.41</v>
      </c>
      <c r="Z17" t="s">
        <v>654</v>
      </c>
      <c r="AA17" s="455">
        <f t="shared" si="9"/>
        <v>8.8859001895462159E-3</v>
      </c>
      <c r="AB17" s="455" t="e">
        <f>SUM($AA$2:$AA17)</f>
        <v>#N/A</v>
      </c>
    </row>
    <row r="18" spans="1:28" x14ac:dyDescent="0.2">
      <c r="A18" s="531">
        <v>17</v>
      </c>
      <c r="B18" s="532" t="s">
        <v>829</v>
      </c>
      <c r="C18" s="533" t="str">
        <f>IF(VLOOKUP($B18,POS_Cost!$B$3:$AK$33,34,0)="x","",$M18)</f>
        <v/>
      </c>
      <c r="D18" s="534" t="str">
        <f>IF(VLOOKUP($B18,POS_Cost!$B$3:$AK$33,34,0)="x","",$P18)</f>
        <v/>
      </c>
      <c r="E18" s="535" t="str">
        <f>IF(VLOOKUP($B18,POS_Cost!$B$3:$AK$33,34,0)="x","",IF(OR($O18="",$O18=0),"N/A",TEXT($N18,"$#,##")&amp;" for "&amp;$O18&amp;" pay periods"))</f>
        <v/>
      </c>
      <c r="F18" s="28">
        <f t="shared" si="0"/>
        <v>0.70370503864977685</v>
      </c>
      <c r="G18" t="s">
        <v>676</v>
      </c>
      <c r="H18" s="373">
        <v>0.35642269714127761</v>
      </c>
      <c r="I18" s="29">
        <f>IFERROR(VLOOKUP(B18,POS_Cost!$B$3:$L$33,3,FALSE),"")</f>
        <v>9607.3675178839803</v>
      </c>
      <c r="J18" s="29">
        <f t="shared" si="1"/>
        <v>1900</v>
      </c>
      <c r="K18" s="29">
        <f t="shared" si="2"/>
        <v>150</v>
      </c>
      <c r="L18" s="536">
        <f t="shared" si="3"/>
        <v>19</v>
      </c>
      <c r="M18" s="29">
        <f t="shared" si="4"/>
        <v>1900</v>
      </c>
      <c r="N18" s="29">
        <f t="shared" si="5"/>
        <v>150</v>
      </c>
      <c r="O18" s="536">
        <f t="shared" si="6"/>
        <v>19</v>
      </c>
      <c r="P18" s="29">
        <f t="shared" si="10"/>
        <v>2850</v>
      </c>
      <c r="Q18" s="29">
        <f t="shared" si="11"/>
        <v>4750</v>
      </c>
      <c r="R18" s="455">
        <f t="shared" si="7"/>
        <v>0.49441223010964674</v>
      </c>
      <c r="S18" s="455">
        <f t="shared" si="8"/>
        <v>5.3696485954018245E-3</v>
      </c>
      <c r="T18" s="455">
        <f t="shared" si="12"/>
        <v>0.41</v>
      </c>
      <c r="Z18" t="s">
        <v>657</v>
      </c>
      <c r="AA18" s="455">
        <f t="shared" si="9"/>
        <v>1.0606445595013529E-2</v>
      </c>
      <c r="AB18" s="455" t="e">
        <f>SUM($AA$2:$AA18)</f>
        <v>#N/A</v>
      </c>
    </row>
    <row r="19" spans="1:28" x14ac:dyDescent="0.2">
      <c r="A19" s="531">
        <v>18</v>
      </c>
      <c r="B19" s="537" t="s">
        <v>957</v>
      </c>
      <c r="C19" s="538">
        <f>IF(VLOOKUP($B19,POS_Cost!$B$3:$AK$33,34,0)="x","",$M19)</f>
        <v>2000</v>
      </c>
      <c r="D19" s="539">
        <f>IF(VLOOKUP($B19,POS_Cost!$B$3:$AK$33,34,0)="x","",$P19)</f>
        <v>3150</v>
      </c>
      <c r="E19" s="540" t="str">
        <f>IF(VLOOKUP($B19,POS_Cost!$B$3:$AK$33,34,0)="x","",IF(OR($O19="",$O19=0),"N/A",TEXT($N19,"$#,##")&amp;" for "&amp;$O19&amp;" pay periods"))</f>
        <v>$150 for 21 pay periods</v>
      </c>
      <c r="F19" s="28">
        <f t="shared" si="0"/>
        <v>0.77074031903858276</v>
      </c>
      <c r="G19" t="s">
        <v>646</v>
      </c>
      <c r="H19" s="373">
        <v>0.72166424565679499</v>
      </c>
      <c r="I19" s="29">
        <f>IFERROR(VLOOKUP(B19,POS_Cost!$B$3:$L$33,3,FALSE),"")</f>
        <v>17621.945600242194</v>
      </c>
      <c r="J19" s="29">
        <f t="shared" si="1"/>
        <v>2000</v>
      </c>
      <c r="K19" s="29">
        <f t="shared" si="2"/>
        <v>150</v>
      </c>
      <c r="L19" s="536">
        <f t="shared" si="3"/>
        <v>21</v>
      </c>
      <c r="M19" s="29">
        <f t="shared" si="4"/>
        <v>2000</v>
      </c>
      <c r="N19" s="29">
        <f t="shared" si="5"/>
        <v>150</v>
      </c>
      <c r="O19" s="536">
        <f t="shared" si="6"/>
        <v>21</v>
      </c>
      <c r="P19" s="29">
        <f t="shared" si="10"/>
        <v>3150</v>
      </c>
      <c r="Q19" s="29">
        <f t="shared" si="11"/>
        <v>5150</v>
      </c>
      <c r="R19" s="455">
        <f t="shared" si="7"/>
        <v>0.29224922814023552</v>
      </c>
      <c r="S19" s="455">
        <f t="shared" si="8"/>
        <v>1.9941836615380997E-2</v>
      </c>
      <c r="T19" s="455">
        <f t="shared" si="12"/>
        <v>0.36475510095839125</v>
      </c>
      <c r="Z19" t="s">
        <v>661</v>
      </c>
      <c r="AA19" s="455" t="e">
        <f t="shared" si="9"/>
        <v>#N/A</v>
      </c>
      <c r="AB19" s="455" t="e">
        <f>SUM($AA$2:$AA19)</f>
        <v>#N/A</v>
      </c>
    </row>
    <row r="20" spans="1:28" x14ac:dyDescent="0.2">
      <c r="A20" s="531">
        <v>19</v>
      </c>
      <c r="B20" s="532" t="s">
        <v>830</v>
      </c>
      <c r="C20" s="533">
        <f>IF(VLOOKUP($B20,POS_Cost!$B$3:$AK$33,34,0)="x","",$M20)</f>
        <v>2100</v>
      </c>
      <c r="D20" s="534">
        <f>IF(VLOOKUP($B20,POS_Cost!$B$3:$AK$33,34,0)="x","",$P20)</f>
        <v>3150</v>
      </c>
      <c r="E20" s="535" t="str">
        <f>IF(VLOOKUP($B20,POS_Cost!$B$3:$AK$33,34,0)="x","",IF(OR($O20="",$O20=0),"N/A",TEXT($N20,"$#,##")&amp;" for "&amp;$O20&amp;" pay periods"))</f>
        <v>$150 for 21 pay periods</v>
      </c>
      <c r="F20" s="28">
        <f t="shared" si="0"/>
        <v>0.77809375900523481</v>
      </c>
      <c r="G20" t="s">
        <v>664</v>
      </c>
      <c r="H20" s="373">
        <v>0.14692206389483584</v>
      </c>
      <c r="I20" s="29">
        <f>IFERROR(VLOOKUP(B20,POS_Cost!$B$3:$L$33,3,FALSE),"")</f>
        <v>18773.541745564362</v>
      </c>
      <c r="J20" s="29">
        <f t="shared" si="1"/>
        <v>2100</v>
      </c>
      <c r="K20" s="29">
        <f t="shared" si="2"/>
        <v>150</v>
      </c>
      <c r="L20" s="536">
        <f t="shared" si="3"/>
        <v>21</v>
      </c>
      <c r="M20" s="29">
        <f t="shared" si="4"/>
        <v>2100</v>
      </c>
      <c r="N20" s="29">
        <f t="shared" si="5"/>
        <v>150</v>
      </c>
      <c r="O20" s="536">
        <f t="shared" si="6"/>
        <v>21</v>
      </c>
      <c r="P20" s="29">
        <f t="shared" si="10"/>
        <v>3150</v>
      </c>
      <c r="Q20" s="29">
        <f t="shared" si="11"/>
        <v>5250</v>
      </c>
      <c r="R20" s="455">
        <f t="shared" si="7"/>
        <v>0.27964888411321859</v>
      </c>
      <c r="S20" s="455">
        <f t="shared" si="8"/>
        <v>4.3252313452608196E-3</v>
      </c>
      <c r="T20" s="455">
        <f t="shared" si="12"/>
        <v>0.35637498596656308</v>
      </c>
      <c r="Z20" t="s">
        <v>663</v>
      </c>
      <c r="AA20" s="455">
        <f t="shared" si="9"/>
        <v>5.4049265122077441E-3</v>
      </c>
      <c r="AB20" s="455" t="e">
        <f>SUM($AA$2:$AA20)</f>
        <v>#N/A</v>
      </c>
    </row>
    <row r="21" spans="1:28" x14ac:dyDescent="0.2">
      <c r="A21" s="531">
        <v>20</v>
      </c>
      <c r="B21" s="537" t="s">
        <v>1141</v>
      </c>
      <c r="C21" s="538">
        <f>IF(VLOOKUP($B21,POS_Cost!$B$3:$AK$33,34,0)="x","",$M21)</f>
        <v>2200</v>
      </c>
      <c r="D21" s="539">
        <f>IF(VLOOKUP($B21,POS_Cost!$B$3:$AK$33,34,0)="x","",$P21)</f>
        <v>3450</v>
      </c>
      <c r="E21" s="540" t="str">
        <f>IF(VLOOKUP($B21,POS_Cost!$B$3:$AK$33,34,0)="x","",IF(OR($O21="",$O21=0),"N/A",TEXT($N21,"$#,##")&amp;" for "&amp;$O21&amp;" pay periods"))</f>
        <v>$150 for 23 pay periods</v>
      </c>
      <c r="F21" s="28">
        <f t="shared" si="0"/>
        <v>0.86814359636634764</v>
      </c>
      <c r="G21" t="s">
        <v>644</v>
      </c>
      <c r="H21" s="373">
        <v>0.67224340255555493</v>
      </c>
      <c r="I21" s="29">
        <f>IFERROR(VLOOKUP(B21,POS_Cost!$B$3:$L$33,3,FALSE),"")</f>
        <v>38959.236827678898</v>
      </c>
      <c r="J21" s="29">
        <f t="shared" si="1"/>
        <v>2200</v>
      </c>
      <c r="K21" s="29">
        <f t="shared" si="2"/>
        <v>150</v>
      </c>
      <c r="L21" s="536">
        <f t="shared" si="3"/>
        <v>23</v>
      </c>
      <c r="M21" s="29">
        <f t="shared" si="4"/>
        <v>2200</v>
      </c>
      <c r="N21" s="29">
        <f t="shared" si="5"/>
        <v>150</v>
      </c>
      <c r="O21" s="536">
        <f t="shared" si="6"/>
        <v>23</v>
      </c>
      <c r="P21" s="29">
        <f t="shared" si="10"/>
        <v>3450</v>
      </c>
      <c r="Q21" s="29">
        <f t="shared" si="11"/>
        <v>5650</v>
      </c>
      <c r="R21" s="455">
        <f t="shared" si="7"/>
        <v>0.14502337468751217</v>
      </c>
      <c r="S21" s="455">
        <f t="shared" si="8"/>
        <v>4.1068902586997948E-2</v>
      </c>
      <c r="T21" s="455">
        <f t="shared" si="12"/>
        <v>0.22639017209935594</v>
      </c>
      <c r="Z21" t="s">
        <v>664</v>
      </c>
      <c r="AA21" s="455">
        <f t="shared" si="9"/>
        <v>4.3252313452608196E-3</v>
      </c>
      <c r="AB21" s="455" t="e">
        <f>SUM($AA$2:$AA21)</f>
        <v>#N/A</v>
      </c>
    </row>
    <row r="22" spans="1:28" x14ac:dyDescent="0.2">
      <c r="A22" s="531">
        <v>21</v>
      </c>
      <c r="B22" s="537" t="s">
        <v>1142</v>
      </c>
      <c r="C22" s="538">
        <f>IF(VLOOKUP($B22,POS_Cost!$B$3:$AK$33,34,0)="x","",$M22)</f>
        <v>2000</v>
      </c>
      <c r="D22" s="539">
        <f>IF(VLOOKUP($B22,POS_Cost!$B$3:$AK$33,34,0)="x","",$P22)</f>
        <v>3150</v>
      </c>
      <c r="E22" s="540" t="str">
        <f>IF(VLOOKUP($B22,POS_Cost!$B$3:$AK$33,34,0)="x","",IF(OR($O22="",$O22=0),"N/A",TEXT($N22,"$#,##")&amp;" for "&amp;$O22&amp;" pay periods"))</f>
        <v>$150 for 21 pay periods</v>
      </c>
      <c r="F22" s="28">
        <f t="shared" si="0"/>
        <v>0.76643953770271045</v>
      </c>
      <c r="G22" t="s">
        <v>640</v>
      </c>
      <c r="H22" s="373">
        <v>1.7660984516107685</v>
      </c>
      <c r="I22" s="29">
        <f>IFERROR(VLOOKUP(B22,POS_Cost!$B$3:$L$33,3,FALSE),"")</f>
        <v>16976.676317150392</v>
      </c>
      <c r="J22" s="29">
        <f t="shared" si="1"/>
        <v>2000</v>
      </c>
      <c r="K22" s="29">
        <f t="shared" si="2"/>
        <v>150</v>
      </c>
      <c r="L22" s="536">
        <f t="shared" si="3"/>
        <v>21</v>
      </c>
      <c r="M22" s="29">
        <f t="shared" si="4"/>
        <v>2000</v>
      </c>
      <c r="N22" s="29">
        <f t="shared" si="5"/>
        <v>150</v>
      </c>
      <c r="O22" s="536">
        <f t="shared" si="6"/>
        <v>21</v>
      </c>
      <c r="P22" s="29">
        <f t="shared" si="10"/>
        <v>3150</v>
      </c>
      <c r="Q22" s="29">
        <f t="shared" si="11"/>
        <v>5150</v>
      </c>
      <c r="R22" s="455">
        <f t="shared" si="7"/>
        <v>0.30335737713260763</v>
      </c>
      <c r="S22" s="455">
        <f t="shared" si="8"/>
        <v>4.7015784446805188E-2</v>
      </c>
      <c r="T22" s="455">
        <f t="shared" si="12"/>
        <v>0.37160534137177381</v>
      </c>
      <c r="Z22" t="s">
        <v>665</v>
      </c>
      <c r="AA22" s="455" t="e">
        <f t="shared" si="9"/>
        <v>#N/A</v>
      </c>
      <c r="AB22" s="455" t="e">
        <f>SUM($AA$2:$AA22)</f>
        <v>#N/A</v>
      </c>
    </row>
    <row r="23" spans="1:28" ht="15" customHeight="1" x14ac:dyDescent="0.2">
      <c r="A23" s="531">
        <v>22</v>
      </c>
      <c r="B23" s="532" t="s">
        <v>1144</v>
      </c>
      <c r="C23" s="533">
        <f>IF(VLOOKUP($B23,POS_Cost!$B$3:$AK$33,34,0)="x","",$M23)</f>
        <v>1900</v>
      </c>
      <c r="D23" s="534">
        <f>IF(VLOOKUP($B23,POS_Cost!$B$3:$AK$33,34,0)="x","",$P23)</f>
        <v>2850</v>
      </c>
      <c r="E23" s="535" t="str">
        <f>IF(VLOOKUP($B23,POS_Cost!$B$3:$AK$33,34,0)="x","",IF(OR($O23="",$O23=0),"N/A",TEXT($N23,"$#,##")&amp;" for "&amp;$O23&amp;" pay periods"))</f>
        <v>$150 for 19 pay periods</v>
      </c>
      <c r="F23" s="28">
        <f t="shared" si="0"/>
        <v>0.7037316991799204</v>
      </c>
      <c r="G23" t="s">
        <v>636</v>
      </c>
      <c r="H23" s="373">
        <v>3.1861804507018623</v>
      </c>
      <c r="I23" s="29">
        <f>IFERROR(VLOOKUP(B23,POS_Cost!$B$3:$L$33,3,FALSE),"")</f>
        <v>9609.7943396683113</v>
      </c>
      <c r="J23" s="29">
        <f t="shared" si="1"/>
        <v>1900</v>
      </c>
      <c r="K23" s="29">
        <f t="shared" si="2"/>
        <v>150</v>
      </c>
      <c r="L23" s="536">
        <f t="shared" si="3"/>
        <v>19</v>
      </c>
      <c r="M23" s="29">
        <f t="shared" si="4"/>
        <v>1900</v>
      </c>
      <c r="N23" s="29">
        <f t="shared" si="5"/>
        <v>150</v>
      </c>
      <c r="O23" s="536">
        <f t="shared" si="6"/>
        <v>19</v>
      </c>
      <c r="P23" s="29">
        <f t="shared" si="10"/>
        <v>2850</v>
      </c>
      <c r="Q23" s="29">
        <f t="shared" si="11"/>
        <v>4750</v>
      </c>
      <c r="R23" s="455">
        <f t="shared" si="7"/>
        <v>0.49428737308065529</v>
      </c>
      <c r="S23" s="455">
        <f t="shared" si="8"/>
        <v>4.8013190995648151E-2</v>
      </c>
      <c r="T23" s="455">
        <f t="shared" si="12"/>
        <v>0.41</v>
      </c>
      <c r="Z23" t="s">
        <v>1024</v>
      </c>
      <c r="AA23" s="455">
        <f t="shared" si="9"/>
        <v>1.2630972959190691E-2</v>
      </c>
      <c r="AB23" s="455" t="e">
        <f>SUM($AA$2:$AA23)</f>
        <v>#N/A</v>
      </c>
    </row>
    <row r="24" spans="1:28" ht="15" customHeight="1" x14ac:dyDescent="0.2">
      <c r="A24" s="531">
        <v>23</v>
      </c>
      <c r="B24" s="537" t="s">
        <v>1143</v>
      </c>
      <c r="C24" s="538">
        <f>IF(VLOOKUP($B24,POS_Cost!$B$3:$AK$33,34,0)="x","",$M24)</f>
        <v>2200</v>
      </c>
      <c r="D24" s="539">
        <f>IF(VLOOKUP($B24,POS_Cost!$B$3:$AK$33,34,0)="x","",$P24)</f>
        <v>3450</v>
      </c>
      <c r="E24" s="540" t="str">
        <f>IF(VLOOKUP($B24,POS_Cost!$B$3:$AK$33,34,0)="x","",IF(OR($O24="",$O24=0),"N/A",TEXT($N24,"$#,##")&amp;" for "&amp;$O24&amp;" pay periods"))</f>
        <v>$150 for 23 pay periods</v>
      </c>
      <c r="F24" s="28">
        <f t="shared" ref="F24:F32" si="13">IFERROR(MIN(I24/100000,1)^(1-cost_share_target),"")</f>
        <v>0.87051400379578225</v>
      </c>
      <c r="G24" t="s">
        <v>639</v>
      </c>
      <c r="H24" s="373">
        <v>1.1801739663062731</v>
      </c>
      <c r="I24" s="29">
        <f>IFERROR(VLOOKUP(B24,POS_Cost!$B$3:$L$33,3,FALSE),"")</f>
        <v>39673.916914950925</v>
      </c>
      <c r="J24" s="29">
        <f t="shared" si="1"/>
        <v>2200</v>
      </c>
      <c r="K24" s="29">
        <f t="shared" si="2"/>
        <v>150</v>
      </c>
      <c r="L24" s="536">
        <f t="shared" si="3"/>
        <v>23</v>
      </c>
      <c r="M24" s="29">
        <f t="shared" si="4"/>
        <v>2200</v>
      </c>
      <c r="N24" s="29">
        <f t="shared" si="5"/>
        <v>150</v>
      </c>
      <c r="O24" s="536">
        <f t="shared" si="6"/>
        <v>23</v>
      </c>
      <c r="P24" s="29">
        <f t="shared" si="10"/>
        <v>3450</v>
      </c>
      <c r="Q24" s="29">
        <f t="shared" si="11"/>
        <v>5650</v>
      </c>
      <c r="R24" s="455">
        <f t="shared" si="7"/>
        <v>0.14241094500731852</v>
      </c>
      <c r="S24" s="455">
        <f t="shared" si="8"/>
        <v>7.3422170376599899E-2</v>
      </c>
      <c r="T24" s="455">
        <f t="shared" si="12"/>
        <v>0.22313611913453257</v>
      </c>
      <c r="Z24" t="s">
        <v>668</v>
      </c>
      <c r="AA24" s="455">
        <f t="shared" si="9"/>
        <v>5.5578472283185727E-3</v>
      </c>
      <c r="AB24" s="455" t="e">
        <f>SUM($AA$2:$AA24)</f>
        <v>#N/A</v>
      </c>
    </row>
    <row r="25" spans="1:28" x14ac:dyDescent="0.2">
      <c r="A25" s="531">
        <v>24</v>
      </c>
      <c r="B25" s="532" t="s">
        <v>959</v>
      </c>
      <c r="C25" s="533" t="str">
        <f>IF(VLOOKUP($B25,POS_Cost!$B$3:$AK$33,34,0)="x","",$M25)</f>
        <v/>
      </c>
      <c r="D25" s="534" t="str">
        <f>IF(VLOOKUP($B25,POS_Cost!$B$3:$AK$33,34,0)="x","",$P25)</f>
        <v/>
      </c>
      <c r="E25" s="535" t="str">
        <f>IF(VLOOKUP($B25,POS_Cost!$B$3:$AK$33,34,0)="x","",IF(OR($O25="",$O25=0),"N/A",TEXT($N25,"$#,##")&amp;" for "&amp;$O25&amp;" pay periods"))</f>
        <v/>
      </c>
      <c r="F25" s="28">
        <f t="shared" si="13"/>
        <v>0.66619820612505709</v>
      </c>
      <c r="G25" t="s">
        <v>680</v>
      </c>
      <c r="H25" s="373">
        <v>0.10441520027099978</v>
      </c>
      <c r="I25" s="29">
        <f>IFERROR(VLOOKUP(B25,POS_Cost!$B$3:$L$33,3,FALSE),"")</f>
        <v>6668.4217528438458</v>
      </c>
      <c r="J25" s="29">
        <f t="shared" si="1"/>
        <v>1800</v>
      </c>
      <c r="K25" s="29">
        <f t="shared" si="2"/>
        <v>150</v>
      </c>
      <c r="L25" s="536">
        <f t="shared" si="3"/>
        <v>19</v>
      </c>
      <c r="M25" s="29">
        <f t="shared" si="4"/>
        <v>1800</v>
      </c>
      <c r="N25" s="29">
        <f t="shared" si="5"/>
        <v>150</v>
      </c>
      <c r="O25" s="536">
        <f t="shared" si="6"/>
        <v>19</v>
      </c>
      <c r="P25" s="29">
        <f t="shared" si="10"/>
        <v>2850</v>
      </c>
      <c r="Q25" s="29">
        <f t="shared" si="11"/>
        <v>4650</v>
      </c>
      <c r="R25" s="455">
        <f t="shared" si="7"/>
        <v>0.69731642243787895</v>
      </c>
      <c r="S25" s="455">
        <f t="shared" si="8"/>
        <v>1.0918497873021217E-3</v>
      </c>
      <c r="T25" s="455">
        <f t="shared" si="12"/>
        <v>0.41</v>
      </c>
      <c r="Z25" t="s">
        <v>675</v>
      </c>
      <c r="AA25" s="455" t="e">
        <f t="shared" si="9"/>
        <v>#N/A</v>
      </c>
      <c r="AB25" s="455" t="e">
        <f>SUM($AA$2:$AA25)</f>
        <v>#N/A</v>
      </c>
    </row>
    <row r="26" spans="1:28" x14ac:dyDescent="0.2">
      <c r="A26" s="531">
        <v>25</v>
      </c>
      <c r="B26" s="537" t="s">
        <v>1140</v>
      </c>
      <c r="C26" s="538">
        <f>IF(VLOOKUP($B26,POS_Cost!$B$3:$AK$33,34,0)="x","",$M26)</f>
        <v>1800</v>
      </c>
      <c r="D26" s="539">
        <f>IF(VLOOKUP($B26,POS_Cost!$B$3:$AK$33,34,0)="x","",$P26)</f>
        <v>2700</v>
      </c>
      <c r="E26" s="540" t="str">
        <f>IF(VLOOKUP($B26,POS_Cost!$B$3:$AK$33,34,0)="x","",IF(OR($O26="",$O26=0),"N/A",TEXT($N26,"$#,##")&amp;" for "&amp;$O26&amp;" pay periods"))</f>
        <v>$150 for 18 pay periods</v>
      </c>
      <c r="F26" s="28">
        <f t="shared" si="13"/>
        <v>0.63054385065995666</v>
      </c>
      <c r="G26" t="s">
        <v>687</v>
      </c>
      <c r="H26" s="373">
        <v>1.7526937975219239</v>
      </c>
      <c r="I26" s="29">
        <f>IFERROR(VLOOKUP(B26,POS_Cost!$B$3:$L$33,3,FALSE),"")</f>
        <v>4621.347547509471</v>
      </c>
      <c r="J26" s="29">
        <f t="shared" si="1"/>
        <v>1800</v>
      </c>
      <c r="K26" s="29">
        <f t="shared" si="2"/>
        <v>150</v>
      </c>
      <c r="L26" s="536">
        <f t="shared" si="3"/>
        <v>18</v>
      </c>
      <c r="M26" s="29">
        <f t="shared" si="4"/>
        <v>1800</v>
      </c>
      <c r="N26" s="29">
        <f t="shared" si="5"/>
        <v>150</v>
      </c>
      <c r="O26" s="536">
        <f t="shared" si="6"/>
        <v>18</v>
      </c>
      <c r="P26" s="29">
        <f t="shared" si="10"/>
        <v>2700</v>
      </c>
      <c r="Q26" s="29">
        <f t="shared" si="11"/>
        <v>4500</v>
      </c>
      <c r="R26" s="455">
        <f t="shared" si="7"/>
        <v>0.97374195594207857</v>
      </c>
      <c r="S26" s="455">
        <f t="shared" si="8"/>
        <v>1.2701376478665228E-2</v>
      </c>
      <c r="T26" s="455">
        <f t="shared" si="12"/>
        <v>0.41</v>
      </c>
      <c r="Z26" t="s">
        <v>675</v>
      </c>
      <c r="AA26" s="455" t="e">
        <f t="shared" si="9"/>
        <v>#N/A</v>
      </c>
      <c r="AB26" s="455" t="e">
        <f>SUM($AA$2:$AA26)</f>
        <v>#N/A</v>
      </c>
    </row>
    <row r="27" spans="1:28" x14ac:dyDescent="0.2">
      <c r="A27" s="531">
        <v>26</v>
      </c>
      <c r="B27" s="532" t="s">
        <v>1020</v>
      </c>
      <c r="C27" s="533">
        <f>IF(VLOOKUP($B27,POS_Cost!$B$3:$AK$33,34,0)="x","",$M27)</f>
        <v>2200</v>
      </c>
      <c r="D27" s="534">
        <f>IF(VLOOKUP($B27,POS_Cost!$B$3:$AK$33,34,0)="x","",$P27)</f>
        <v>3300</v>
      </c>
      <c r="E27" s="535" t="str">
        <f>IF(VLOOKUP($B27,POS_Cost!$B$3:$AK$33,34,0)="x","",IF(OR($O27="",$O27=0),"N/A",TEXT($N27,"$#,##")&amp;" for "&amp;$O27&amp;" pay periods"))</f>
        <v>$150 for 22 pay periods</v>
      </c>
      <c r="F27" s="28">
        <f t="shared" si="13"/>
        <v>0.82602819979263897</v>
      </c>
      <c r="G27" t="s">
        <v>1024</v>
      </c>
      <c r="H27" s="373">
        <v>0.28802368588267335</v>
      </c>
      <c r="I27" s="29">
        <f>IFERROR(VLOOKUP(B27,POS_Cost!$B$3:$L$33,3,FALSE),"")</f>
        <v>27966.137788129003</v>
      </c>
      <c r="J27" s="29">
        <f t="shared" si="1"/>
        <v>2200</v>
      </c>
      <c r="K27" s="29">
        <f t="shared" si="2"/>
        <v>150</v>
      </c>
      <c r="L27" s="536">
        <f t="shared" si="3"/>
        <v>22</v>
      </c>
      <c r="M27" s="29">
        <f t="shared" si="4"/>
        <v>2200</v>
      </c>
      <c r="N27" s="29">
        <f t="shared" si="5"/>
        <v>150</v>
      </c>
      <c r="O27" s="536">
        <f t="shared" si="6"/>
        <v>22</v>
      </c>
      <c r="P27" s="29">
        <f t="shared" si="10"/>
        <v>3300</v>
      </c>
      <c r="Q27" s="29">
        <f t="shared" si="11"/>
        <v>5500</v>
      </c>
      <c r="R27" s="455">
        <f t="shared" si="7"/>
        <v>0.19666641284784867</v>
      </c>
      <c r="S27" s="455">
        <f t="shared" si="8"/>
        <v>1.2630972959190691E-2</v>
      </c>
      <c r="T27" s="455">
        <f t="shared" si="12"/>
        <v>0.28499879647489584</v>
      </c>
      <c r="Z27" t="s">
        <v>676</v>
      </c>
      <c r="AA27" s="455">
        <f t="shared" si="9"/>
        <v>5.3696485954018245E-3</v>
      </c>
      <c r="AB27" s="455" t="e">
        <f>SUM($AA$2:$AA27)</f>
        <v>#N/A</v>
      </c>
    </row>
    <row r="28" spans="1:28" x14ac:dyDescent="0.2">
      <c r="A28" s="531">
        <v>27</v>
      </c>
      <c r="B28" s="537" t="s">
        <v>831</v>
      </c>
      <c r="C28" s="538" t="str">
        <f>IF(VLOOKUP($B28,POS_Cost!$B$3:$AK$33,34,0)="x","",$M28)</f>
        <v/>
      </c>
      <c r="D28" s="539" t="str">
        <f>IF(VLOOKUP($B28,POS_Cost!$B$3:$AK$33,34,0)="x","",$P28)</f>
        <v/>
      </c>
      <c r="E28" s="540" t="str">
        <f>IF(VLOOKUP($B28,POS_Cost!$B$3:$AK$33,34,0)="x","",IF(OR($O28="",$O28=0),"N/A",TEXT($N28,"$#,##")&amp;" for "&amp;$O28&amp;" pay periods"))</f>
        <v/>
      </c>
      <c r="F28" s="28">
        <f t="shared" si="13"/>
        <v>0.66414923560447481</v>
      </c>
      <c r="G28" t="s">
        <v>684</v>
      </c>
      <c r="H28" s="373">
        <v>5.5347111224729274E-2</v>
      </c>
      <c r="I28" s="29">
        <f>IFERROR(VLOOKUP(B28,POS_Cost!$B$3:$L$33,3,FALSE),"")</f>
        <v>6532.8774933333325</v>
      </c>
      <c r="J28" s="29">
        <f t="shared" si="1"/>
        <v>1800</v>
      </c>
      <c r="K28" s="29">
        <f t="shared" si="2"/>
        <v>150</v>
      </c>
      <c r="L28" s="536">
        <f t="shared" si="3"/>
        <v>19</v>
      </c>
      <c r="M28" s="29">
        <f t="shared" si="4"/>
        <v>1800</v>
      </c>
      <c r="N28" s="29">
        <f t="shared" si="5"/>
        <v>150</v>
      </c>
      <c r="O28" s="536">
        <f t="shared" si="6"/>
        <v>19</v>
      </c>
      <c r="P28" s="29">
        <f t="shared" si="10"/>
        <v>2850</v>
      </c>
      <c r="Q28" s="29">
        <f t="shared" si="11"/>
        <v>4650</v>
      </c>
      <c r="R28" s="455">
        <f t="shared" si="7"/>
        <v>0.71178435608891022</v>
      </c>
      <c r="S28" s="455">
        <f t="shared" si="8"/>
        <v>5.669902372826E-4</v>
      </c>
      <c r="T28" s="455">
        <f t="shared" si="12"/>
        <v>0.41</v>
      </c>
      <c r="Z28" t="s">
        <v>678</v>
      </c>
      <c r="AA28" s="455">
        <f t="shared" si="9"/>
        <v>2.80311546400377E-3</v>
      </c>
      <c r="AB28" s="455" t="e">
        <f>SUM($AA$2:$AA28)</f>
        <v>#N/A</v>
      </c>
    </row>
    <row r="29" spans="1:28" x14ac:dyDescent="0.2">
      <c r="A29" s="531">
        <v>28</v>
      </c>
      <c r="B29" s="537" t="s">
        <v>832</v>
      </c>
      <c r="C29" s="538">
        <f>IF(VLOOKUP($B29,POS_Cost!$B$3:$AK$33,34,0)="x","",$M29)</f>
        <v>2200</v>
      </c>
      <c r="D29" s="539">
        <f>IF(VLOOKUP($B29,POS_Cost!$B$3:$AK$33,34,0)="x","",$P29)</f>
        <v>3450</v>
      </c>
      <c r="E29" s="540" t="str">
        <f>IF(VLOOKUP($B29,POS_Cost!$B$3:$AK$33,34,0)="x","",IF(OR($O29="",$O29=0),"N/A",TEXT($N29,"$#,##")&amp;" for "&amp;$O29&amp;" pay periods"))</f>
        <v>$150 for 23 pay periods</v>
      </c>
      <c r="F29" s="28">
        <f t="shared" si="13"/>
        <v>0.86770653848634682</v>
      </c>
      <c r="G29" t="s">
        <v>670</v>
      </c>
      <c r="H29" s="373">
        <v>9.3127070511972776E-2</v>
      </c>
      <c r="I29" s="29">
        <f>IFERROR(VLOOKUP(B29,POS_Cost!$B$3:$L$33,3,FALSE),"")</f>
        <v>38828.665707214328</v>
      </c>
      <c r="J29" s="29">
        <f t="shared" si="1"/>
        <v>2200</v>
      </c>
      <c r="K29" s="29">
        <f t="shared" si="2"/>
        <v>150</v>
      </c>
      <c r="L29" s="536">
        <f t="shared" si="3"/>
        <v>23</v>
      </c>
      <c r="M29" s="29">
        <f t="shared" si="4"/>
        <v>2200</v>
      </c>
      <c r="N29" s="29">
        <f t="shared" si="5"/>
        <v>150</v>
      </c>
      <c r="O29" s="536">
        <f t="shared" si="6"/>
        <v>23</v>
      </c>
      <c r="P29" s="29">
        <f t="shared" si="10"/>
        <v>3450</v>
      </c>
      <c r="Q29" s="29">
        <f t="shared" si="11"/>
        <v>5650</v>
      </c>
      <c r="R29" s="455">
        <f t="shared" si="7"/>
        <v>0.14551105213358478</v>
      </c>
      <c r="S29" s="455">
        <f t="shared" si="8"/>
        <v>5.6702801564934742E-3</v>
      </c>
      <c r="T29" s="455">
        <f t="shared" si="12"/>
        <v>0.22699453970835307</v>
      </c>
      <c r="Z29" t="s">
        <v>680</v>
      </c>
      <c r="AA29" s="455">
        <f t="shared" si="9"/>
        <v>1.0918497873021217E-3</v>
      </c>
      <c r="AB29" s="455" t="e">
        <f>SUM($AA$2:$AA29)</f>
        <v>#N/A</v>
      </c>
    </row>
    <row r="30" spans="1:28" x14ac:dyDescent="0.2">
      <c r="A30" s="531">
        <v>29</v>
      </c>
      <c r="B30" s="532" t="s">
        <v>833</v>
      </c>
      <c r="C30" s="533">
        <f>IF(VLOOKUP($B30,POS_Cost!$B$3:$AK$33,34,0)="x","",$M30)</f>
        <v>1800</v>
      </c>
      <c r="D30" s="534">
        <f>IF(VLOOKUP($B30,POS_Cost!$B$3:$AK$33,34,0)="x","",$P30)</f>
        <v>2700</v>
      </c>
      <c r="E30" s="535" t="str">
        <f>IF(VLOOKUP($B30,POS_Cost!$B$3:$AK$33,34,0)="x","",IF(OR($O30="",$O30=0),"N/A",TEXT($N30,"$#,##")&amp;" for "&amp;$O30&amp;" pay periods"))</f>
        <v>$150 for 18 pay periods</v>
      </c>
      <c r="F30" s="28">
        <f t="shared" si="13"/>
        <v>0.65353255877154859</v>
      </c>
      <c r="G30" t="s">
        <v>656</v>
      </c>
      <c r="H30" s="373">
        <v>1.8797205327164748</v>
      </c>
      <c r="I30" s="29">
        <f>IFERROR(VLOOKUP(B30,POS_Cost!$B$3:$L$33,3,FALSE),"")</f>
        <v>5867.4337200184746</v>
      </c>
      <c r="J30" s="29">
        <f t="shared" si="1"/>
        <v>1800</v>
      </c>
      <c r="K30" s="29">
        <f t="shared" si="2"/>
        <v>150</v>
      </c>
      <c r="L30" s="536">
        <f t="shared" si="3"/>
        <v>18</v>
      </c>
      <c r="M30" s="29">
        <f t="shared" si="4"/>
        <v>1800</v>
      </c>
      <c r="N30" s="29">
        <f t="shared" si="5"/>
        <v>150</v>
      </c>
      <c r="O30" s="536">
        <f t="shared" si="6"/>
        <v>18</v>
      </c>
      <c r="P30" s="29">
        <f t="shared" si="10"/>
        <v>2700</v>
      </c>
      <c r="Q30" s="29">
        <f t="shared" si="11"/>
        <v>4500</v>
      </c>
      <c r="R30" s="455">
        <f t="shared" si="7"/>
        <v>0.7669451782040464</v>
      </c>
      <c r="S30" s="455">
        <f t="shared" si="8"/>
        <v>1.7294881323823237E-2</v>
      </c>
      <c r="T30" s="455">
        <f t="shared" si="12"/>
        <v>0.41</v>
      </c>
      <c r="Z30" t="s">
        <v>682</v>
      </c>
      <c r="AA30" s="455">
        <f t="shared" si="9"/>
        <v>9.3958928960881805E-3</v>
      </c>
      <c r="AB30" s="455" t="e">
        <f>SUM($AA$2:$AA30)</f>
        <v>#N/A</v>
      </c>
    </row>
    <row r="31" spans="1:28" x14ac:dyDescent="0.2">
      <c r="A31" s="531">
        <v>30</v>
      </c>
      <c r="B31" s="532" t="s">
        <v>958</v>
      </c>
      <c r="C31" s="533">
        <f>IF(VLOOKUP($B31,POS_Cost!$B$3:$AK$33,34,0)="x","",$M31)</f>
        <v>1800</v>
      </c>
      <c r="D31" s="534">
        <f>IF(VLOOKUP($B31,POS_Cost!$B$3:$AK$33,34,0)="x","",$P31)</f>
        <v>2850</v>
      </c>
      <c r="E31" s="535" t="str">
        <f>IF(VLOOKUP($B31,POS_Cost!$B$3:$AK$33,34,0)="x","",IF(OR($O31="",$O31=0),"N/A",TEXT($N31,"$#,##")&amp;" for "&amp;$O31&amp;" pay periods"))</f>
        <v>$150 for 19 pay periods</v>
      </c>
      <c r="F31" s="28">
        <f t="shared" si="13"/>
        <v>0.66888973136262264</v>
      </c>
      <c r="G31" t="s">
        <v>650</v>
      </c>
      <c r="H31" s="373">
        <v>12.99309593291154</v>
      </c>
      <c r="I31" s="29">
        <f>IFERROR(VLOOKUP(B31,POS_Cost!$B$3:$L$33,3,FALSE),"")</f>
        <v>6850.0991683065276</v>
      </c>
      <c r="J31" s="29">
        <f t="shared" si="1"/>
        <v>1800</v>
      </c>
      <c r="K31" s="29">
        <f t="shared" si="2"/>
        <v>150</v>
      </c>
      <c r="L31" s="536">
        <f t="shared" si="3"/>
        <v>19</v>
      </c>
      <c r="M31" s="29">
        <f t="shared" si="4"/>
        <v>1800</v>
      </c>
      <c r="N31" s="29">
        <f t="shared" si="5"/>
        <v>150</v>
      </c>
      <c r="O31" s="536">
        <f t="shared" si="6"/>
        <v>19</v>
      </c>
      <c r="P31" s="29">
        <f t="shared" si="10"/>
        <v>2850</v>
      </c>
      <c r="Q31" s="29">
        <f t="shared" si="11"/>
        <v>4650</v>
      </c>
      <c r="R31" s="455">
        <f t="shared" si="7"/>
        <v>0.67882228939315736</v>
      </c>
      <c r="S31" s="455">
        <f t="shared" si="8"/>
        <v>0.13956792196111037</v>
      </c>
      <c r="T31" s="455">
        <f t="shared" si="12"/>
        <v>0.41</v>
      </c>
      <c r="Z31" t="s">
        <v>683</v>
      </c>
      <c r="AA31" s="455" t="e">
        <f t="shared" si="9"/>
        <v>#N/A</v>
      </c>
      <c r="AB31" s="455" t="e">
        <f>SUM($AA$2:$AA31)</f>
        <v>#N/A</v>
      </c>
    </row>
    <row r="32" spans="1:28" x14ac:dyDescent="0.2">
      <c r="A32" s="531">
        <v>31</v>
      </c>
      <c r="B32" s="537" t="s">
        <v>1139</v>
      </c>
      <c r="C32" s="538">
        <f>IF(VLOOKUP($B32,POS_Cost!$B$3:$AK$33,34,0)="x","",$M32)</f>
        <v>2000</v>
      </c>
      <c r="D32" s="539">
        <f>IF(VLOOKUP($B32,POS_Cost!$B$3:$AK$33,34,0)="x","",$P32)</f>
        <v>3000</v>
      </c>
      <c r="E32" s="540" t="str">
        <f>IF(VLOOKUP($B32,POS_Cost!$B$3:$AK$33,34,0)="x","",IF(OR($O32="",$O32=0),"N/A",TEXT($N32,"$#,##")&amp;" for "&amp;$O32&amp;" pay periods"))</f>
        <v>$150 for 20 pay periods</v>
      </c>
      <c r="F32" s="28">
        <f t="shared" si="13"/>
        <v>0.7494178157719692</v>
      </c>
      <c r="G32" t="s">
        <v>635</v>
      </c>
      <c r="H32" s="373">
        <v>0.33261179843083005</v>
      </c>
      <c r="I32" s="29">
        <f>IFERROR(VLOOKUP(B32,POS_Cost!$B$3:$L$33,3,FALSE),"")</f>
        <v>14615.940124514827</v>
      </c>
      <c r="J32" s="29">
        <f t="shared" si="1"/>
        <v>2000</v>
      </c>
      <c r="K32" s="29">
        <f t="shared" si="2"/>
        <v>150</v>
      </c>
      <c r="L32" s="536">
        <f t="shared" si="3"/>
        <v>20</v>
      </c>
      <c r="M32" s="29">
        <f t="shared" si="4"/>
        <v>2000</v>
      </c>
      <c r="N32" s="29">
        <f t="shared" si="5"/>
        <v>150</v>
      </c>
      <c r="O32" s="536">
        <f t="shared" si="6"/>
        <v>20</v>
      </c>
      <c r="P32" s="29">
        <f t="shared" si="10"/>
        <v>3000</v>
      </c>
      <c r="Q32" s="29">
        <f t="shared" si="11"/>
        <v>5000</v>
      </c>
      <c r="R32" s="455">
        <f t="shared" si="7"/>
        <v>0.34209226073755372</v>
      </c>
      <c r="S32" s="455">
        <f t="shared" si="8"/>
        <v>7.6232561745930658E-3</v>
      </c>
      <c r="T32" s="455">
        <f t="shared" si="12"/>
        <v>0.39155250412413861</v>
      </c>
      <c r="Z32" t="s">
        <v>684</v>
      </c>
      <c r="AA32" s="455">
        <f t="shared" si="9"/>
        <v>5.669902372826E-4</v>
      </c>
      <c r="AB32" s="455" t="e">
        <f>SUM($AA$2:$AA32)</f>
        <v>#N/A</v>
      </c>
    </row>
    <row r="33" spans="7:28" x14ac:dyDescent="0.2">
      <c r="R33" s="455"/>
      <c r="Z33" t="s">
        <v>686</v>
      </c>
      <c r="AA33" s="455">
        <f t="shared" si="9"/>
        <v>1.5487922849240366E-3</v>
      </c>
      <c r="AB33" s="455" t="e">
        <f>SUM($AA$2:$AA33)</f>
        <v>#N/A</v>
      </c>
    </row>
    <row r="34" spans="7:28" x14ac:dyDescent="0.2">
      <c r="G34" t="s">
        <v>403</v>
      </c>
      <c r="I34" s="29">
        <f t="shared" ref="I34:Q34" si="14">SUMPRODUCT(I$2:I$32,$H$2:$H$32)/SUM($H$2:$H$32)</f>
        <v>17013.974241759493</v>
      </c>
      <c r="J34" s="29">
        <f t="shared" si="14"/>
        <v>1955.1045511612713</v>
      </c>
      <c r="K34" s="29">
        <f t="shared" si="14"/>
        <v>155.19132420177272</v>
      </c>
      <c r="L34" s="536">
        <f t="shared" si="14"/>
        <v>20.156433345693625</v>
      </c>
      <c r="M34" s="29">
        <f t="shared" si="14"/>
        <v>1955.1045511612713</v>
      </c>
      <c r="N34" s="29">
        <f t="shared" si="14"/>
        <v>155.19132420177272</v>
      </c>
      <c r="O34" s="536">
        <f t="shared" si="14"/>
        <v>20.156433345693625</v>
      </c>
      <c r="P34" s="29">
        <f t="shared" si="14"/>
        <v>3147.3421756504677</v>
      </c>
      <c r="Q34" s="29">
        <f t="shared" si="14"/>
        <v>5102.4467268117387</v>
      </c>
      <c r="R34" s="455">
        <f>Q35</f>
        <v>0.29989740517463431</v>
      </c>
      <c r="S34" s="455">
        <f>SUM(S$2:S$32)</f>
        <v>0.99999999999999989</v>
      </c>
      <c r="Z34" t="s">
        <v>687</v>
      </c>
      <c r="AA34" s="455">
        <f t="shared" si="9"/>
        <v>1.2701376478665228E-2</v>
      </c>
      <c r="AB34" s="455" t="e">
        <f>SUM($AA$2:$AA34)</f>
        <v>#N/A</v>
      </c>
    </row>
    <row r="35" spans="7:28" x14ac:dyDescent="0.2">
      <c r="G35" t="s">
        <v>851</v>
      </c>
      <c r="J35" s="28">
        <f>J34/$I34</f>
        <v>0.11491169102411224</v>
      </c>
      <c r="M35" s="28">
        <f>M34/$I34</f>
        <v>0.11491169102411224</v>
      </c>
      <c r="P35" s="28">
        <f>P34/$I34</f>
        <v>0.18498571415052209</v>
      </c>
      <c r="Q35" s="28">
        <f>Q34/$I34</f>
        <v>0.29989740517463431</v>
      </c>
      <c r="R35" s="28"/>
    </row>
    <row r="36" spans="7:28" x14ac:dyDescent="0.2">
      <c r="G36" t="s">
        <v>1046</v>
      </c>
      <c r="Q36" s="542">
        <f>add_in_subsidy/100</f>
        <v>0.85</v>
      </c>
    </row>
    <row r="37" spans="7:28" x14ac:dyDescent="0.2">
      <c r="J37" s="29">
        <f>copay_min</f>
        <v>500</v>
      </c>
      <c r="K37" s="29">
        <v>0</v>
      </c>
      <c r="L37" s="29">
        <f>SUM(J37:K37)</f>
        <v>500</v>
      </c>
    </row>
    <row r="38" spans="7:28" x14ac:dyDescent="0.2">
      <c r="I38" s="29"/>
      <c r="J38" s="29">
        <f>copay_max</f>
        <v>2500</v>
      </c>
      <c r="K38" s="29">
        <f>payroll_max*period_max</f>
        <v>5200</v>
      </c>
      <c r="L38" s="29">
        <f>SUM(J38:K38)</f>
        <v>7700</v>
      </c>
    </row>
    <row r="39" spans="7:28" x14ac:dyDescent="0.2">
      <c r="J39" s="28">
        <f>J38/$L38</f>
        <v>0.32467532467532467</v>
      </c>
      <c r="K39" s="28">
        <f>K38/$L38</f>
        <v>0.67532467532467533</v>
      </c>
    </row>
    <row r="40" spans="7:28" x14ac:dyDescent="0.2">
      <c r="J40" s="29"/>
      <c r="K40" s="2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enableFormatConditionsCalculation="0"/>
  <dimension ref="A1:AB40"/>
  <sheetViews>
    <sheetView workbookViewId="0">
      <pane xSplit="1" ySplit="1" topLeftCell="C2" activePane="bottomRight" state="frozen"/>
      <selection activeCell="C4" sqref="C4"/>
      <selection pane="topRight" activeCell="C4" sqref="C4"/>
      <selection pane="bottomLeft" activeCell="C4" sqref="C4"/>
      <selection pane="bottomRight" activeCell="C4" sqref="C4"/>
    </sheetView>
  </sheetViews>
  <sheetFormatPr baseColWidth="10" defaultColWidth="8.83203125" defaultRowHeight="15" x14ac:dyDescent="0.2"/>
  <cols>
    <col min="1" max="1" width="3.83203125" customWidth="1"/>
    <col min="2" max="2" width="52" customWidth="1"/>
    <col min="3" max="3" width="10.6640625" style="625" customWidth="1"/>
    <col min="4" max="4" width="9.5" customWidth="1"/>
    <col min="5" max="5" width="23" style="541" customWidth="1"/>
    <col min="6" max="6" width="8.83203125" customWidth="1"/>
    <col min="7" max="7" width="38.83203125" customWidth="1"/>
    <col min="8" max="18" width="9.6640625" customWidth="1"/>
    <col min="19" max="19" width="9.5" customWidth="1"/>
    <col min="26" max="26" width="27.83203125" customWidth="1"/>
    <col min="27" max="28" width="10.1640625" customWidth="1"/>
  </cols>
  <sheetData>
    <row r="1" spans="1:28" ht="52.25" customHeight="1" x14ac:dyDescent="0.2">
      <c r="B1" s="525" t="s">
        <v>923</v>
      </c>
      <c r="C1" s="526" t="s">
        <v>834</v>
      </c>
      <c r="D1" s="527" t="s">
        <v>835</v>
      </c>
      <c r="E1" s="528" t="s">
        <v>836</v>
      </c>
      <c r="F1" s="529" t="s">
        <v>965</v>
      </c>
      <c r="G1" s="529" t="s">
        <v>837</v>
      </c>
      <c r="H1" s="358" t="s">
        <v>306</v>
      </c>
      <c r="I1" s="358" t="s">
        <v>838</v>
      </c>
      <c r="J1" s="358" t="s">
        <v>839</v>
      </c>
      <c r="K1" s="358" t="s">
        <v>840</v>
      </c>
      <c r="L1" s="358" t="s">
        <v>841</v>
      </c>
      <c r="M1" s="358" t="s">
        <v>311</v>
      </c>
      <c r="N1" s="358" t="s">
        <v>842</v>
      </c>
      <c r="O1" s="358" t="s">
        <v>843</v>
      </c>
      <c r="P1" s="358" t="s">
        <v>844</v>
      </c>
      <c r="Q1" s="358" t="s">
        <v>845</v>
      </c>
      <c r="R1" s="358" t="s">
        <v>846</v>
      </c>
      <c r="S1" s="358" t="s">
        <v>847</v>
      </c>
      <c r="T1" s="358"/>
      <c r="U1" s="530" t="s">
        <v>848</v>
      </c>
      <c r="V1" s="530"/>
      <c r="W1" s="530"/>
      <c r="X1" s="530"/>
      <c r="Z1" t="s">
        <v>837</v>
      </c>
      <c r="AA1" s="625" t="s">
        <v>847</v>
      </c>
      <c r="AB1" s="358" t="s">
        <v>849</v>
      </c>
    </row>
    <row r="2" spans="1:28" ht="15.5" customHeight="1" x14ac:dyDescent="0.2">
      <c r="A2" s="531">
        <v>1</v>
      </c>
      <c r="B2" s="532" t="s">
        <v>1134</v>
      </c>
      <c r="C2" s="533">
        <f>IF(VLOOKUP($B2,POS_Cost!$B$3:$AK$33,33,0)="x","",$M2)</f>
        <v>1400</v>
      </c>
      <c r="D2" s="534">
        <f>IF(VLOOKUP($B2,POS_Cost!$B$3:$AK$33,33,0)="x","",$P2)</f>
        <v>1400</v>
      </c>
      <c r="E2" s="535" t="str">
        <f>IF(VLOOKUP($B2,POS_Cost!$B$3:$AK$33,33,0)="x","",IF(OR($O2="",$O2=0),"N/A",TEXT($N2,"$#,##")&amp;" for "&amp;$O2&amp;" pay periods"))</f>
        <v>$100 for 14 pay periods</v>
      </c>
      <c r="F2" s="28">
        <f>IFERROR(IF(VLOOKUP(B2,POS_Ratios!$B$3:$AC$33,28,FALSE)="x",MIN(I2/100000,POS_Ratios!$X$40)^((1-cost_share_target*POS_Ratios!$X$40)),IF(VLOOKUP(B2,POS_Ratios!$B$3:$AC$33,27,FALSE)="x",MIN(I2/100000,POS_Ratios!$X$38)^((1-cost_share_target*POS_Ratios!$X$38)),MIN(I2/100000,POS_Ratios!$X$39)^((1-cost_share_target*POS_Ratios!$X$39)))),"")</f>
        <v>0.45281631856480575</v>
      </c>
      <c r="G2" t="s">
        <v>678</v>
      </c>
      <c r="H2" s="373">
        <v>0.12642705330110243</v>
      </c>
      <c r="I2" s="29">
        <f>IFERROR(VLOOKUP(B2,POS_Cost!$B$3:$L$33,3,FALSE),"")</f>
        <v>14139.200827205883</v>
      </c>
      <c r="J2" s="29">
        <f t="shared" ref="J2:J32" si="0">IFERROR(MIN(MROUND(MIN($F2*(copay_max-copay_min)+copay_min,copay_max),copay_unit),$I2),"")</f>
        <v>1400</v>
      </c>
      <c r="K2" s="29">
        <f t="shared" ref="K2:K32" si="1">IFERROR(MROUND(MAX(MIN($F2*payroll_max,payroll_max),payroll_min),payroll_unit),"")</f>
        <v>100</v>
      </c>
      <c r="L2" s="536">
        <f t="shared" ref="L2:L32" si="2">IFERROR(MAX(MIN(ROUND($F2*(period_max-period_min)+period_min,0),period_max),0),"")</f>
        <v>14</v>
      </c>
      <c r="M2" s="29">
        <f t="shared" ref="M2:M32" si="3">IFERROR(IF(AND($L2&lt;period_min,$J2&gt;copay_min+period_min*payroll_min),$J2-(period_min-$L2)*payroll_min,IF($L2&lt;period_min,$J2+$K2*$L2,$J2)),"")</f>
        <v>1400</v>
      </c>
      <c r="N2" s="29">
        <f t="shared" ref="N2:N32" si="4">IFERROR(MROUND(MAX(MIN(($J2+$K2*$L2-$M2)/$O2,payroll_max),payroll_min),payroll_unit),"")</f>
        <v>100</v>
      </c>
      <c r="O2" s="536">
        <f t="shared" ref="O2:O32" si="5">IFERROR(IF($L2="","",IF($J2+$K2*$L2&gt;$I2,MAX(ROUNDDOWN(($I2*0.8-$M2)/payroll_max,0),0),MAX(MIN($L2,period_max),period_min))),"")</f>
        <v>14</v>
      </c>
      <c r="P2" s="29">
        <f>IFERROR($N2*$O2,"")</f>
        <v>1400</v>
      </c>
      <c r="Q2" s="29">
        <f>IF(SUM(M2,P2)=0,"",SUM(M2,P2))</f>
        <v>2800</v>
      </c>
      <c r="R2" s="455">
        <f t="shared" ref="R2:R32" si="6">IFERROR(Q2/I2,"")</f>
        <v>0.19803099441181937</v>
      </c>
      <c r="S2" s="455">
        <f t="shared" ref="S2:S32" si="7">IFERROR($H2*$I2/$I$34/SUM($H$2:$H$32),"")</f>
        <v>2.80311546400377E-3</v>
      </c>
      <c r="T2" s="455">
        <f>IF($R2="","",IF($R2&lt;=0.4,-1.0204*$R2^2+0.9161*$R2+0.0018,0.205)*2)</f>
        <v>0.28639981445615986</v>
      </c>
      <c r="U2" s="530" t="s">
        <v>850</v>
      </c>
      <c r="V2" s="530"/>
      <c r="W2" s="530"/>
      <c r="X2" s="530"/>
      <c r="Z2" t="s">
        <v>632</v>
      </c>
      <c r="AA2" s="455">
        <f t="shared" ref="AA2:AA34" si="8">VLOOKUP($Z2,$G$2:$S$32,13,0)</f>
        <v>5.3514593325699036E-2</v>
      </c>
      <c r="AB2" s="455">
        <f>SUM($AA$2:$AA2)</f>
        <v>5.3514593325699036E-2</v>
      </c>
    </row>
    <row r="3" spans="1:28" x14ac:dyDescent="0.2">
      <c r="A3" s="531">
        <v>2</v>
      </c>
      <c r="B3" s="537" t="s">
        <v>953</v>
      </c>
      <c r="C3" s="538">
        <f>IF(VLOOKUP($B3,POS_Cost!$B$3:$AK$33,33,0)="x","",$M3)</f>
        <v>1800</v>
      </c>
      <c r="D3" s="539">
        <f>IF(VLOOKUP($B3,POS_Cost!$B$3:$AK$33,33,0)="x","",$P3)</f>
        <v>2700</v>
      </c>
      <c r="E3" s="540" t="str">
        <f>IF(VLOOKUP($B3,POS_Cost!$B$3:$AK$33,33,0)="x","",IF(OR($O3="",$O3=0),"N/A",TEXT($N3,"$#,##")&amp;" for "&amp;$O3&amp;" pay periods"))</f>
        <v>$150 for 18 pay periods</v>
      </c>
      <c r="F3" s="28">
        <f>IFERROR(IF(VLOOKUP(B3,POS_Ratios!$B$3:$AC$33,28,FALSE)="x",MIN(I3/100000,POS_Ratios!$X$40)^((1-cost_share_target*POS_Ratios!$X$40)),IF(VLOOKUP(B3,POS_Ratios!$B$3:$AC$33,27,FALSE)="x",MIN(I3/100000,POS_Ratios!$X$38)^((1-cost_share_target*POS_Ratios!$X$38)),MIN(I3/100000,POS_Ratios!$X$39)^((1-cost_share_target*POS_Ratios!$X$39)))),"")</f>
        <v>0.64671549061246025</v>
      </c>
      <c r="G3" t="s">
        <v>633</v>
      </c>
      <c r="H3" s="373">
        <v>0.57019165445285147</v>
      </c>
      <c r="I3" s="29">
        <f>IFERROR(VLOOKUP(B3,POS_Cost!$B$3:$L$33,3,FALSE),"")</f>
        <v>41086.631598289983</v>
      </c>
      <c r="J3" s="29">
        <f t="shared" si="0"/>
        <v>1800</v>
      </c>
      <c r="K3" s="29">
        <f t="shared" si="1"/>
        <v>150</v>
      </c>
      <c r="L3" s="536">
        <f t="shared" si="2"/>
        <v>18</v>
      </c>
      <c r="M3" s="29">
        <f t="shared" si="3"/>
        <v>1800</v>
      </c>
      <c r="N3" s="29">
        <f t="shared" si="4"/>
        <v>150</v>
      </c>
      <c r="O3" s="536">
        <f t="shared" si="5"/>
        <v>18</v>
      </c>
      <c r="P3" s="29">
        <f t="shared" ref="P3:P32" si="9">IFERROR($N3*$O3,"")</f>
        <v>2700</v>
      </c>
      <c r="Q3" s="29">
        <f t="shared" ref="Q3:Q32" si="10">IF(SUM(M3,P3)=0,"",SUM(M3,P3))</f>
        <v>4500</v>
      </c>
      <c r="R3" s="455">
        <f t="shared" si="6"/>
        <v>0.10952467566572892</v>
      </c>
      <c r="S3" s="455">
        <f t="shared" si="7"/>
        <v>3.6736476792549606E-2</v>
      </c>
      <c r="T3" s="455">
        <f t="shared" ref="T3:T32" si="11">IF($R3="","",IF($R3&lt;=0.4,-1.0204*$R3^2+0.9161*$R3+0.0018,0.205)*2)</f>
        <v>0.17979037888853122</v>
      </c>
      <c r="Z3" t="s">
        <v>633</v>
      </c>
      <c r="AA3" s="455">
        <f t="shared" si="8"/>
        <v>3.6736476792549606E-2</v>
      </c>
      <c r="AB3" s="455">
        <f>SUM($AA$2:$AA3)</f>
        <v>9.025107011824865E-2</v>
      </c>
    </row>
    <row r="4" spans="1:28" x14ac:dyDescent="0.2">
      <c r="A4" s="531">
        <v>3</v>
      </c>
      <c r="B4" s="537" t="s">
        <v>954</v>
      </c>
      <c r="C4" s="538">
        <f>IF(VLOOKUP($B4,POS_Cost!$B$3:$AK$33,33,0)="x","",$M4)</f>
        <v>2100</v>
      </c>
      <c r="D4" s="539">
        <f>IF(VLOOKUP($B4,POS_Cost!$B$3:$AK$33,33,0)="x","",$P4)</f>
        <v>3150</v>
      </c>
      <c r="E4" s="540" t="str">
        <f>IF(VLOOKUP($B4,POS_Cost!$B$3:$AK$33,33,0)="x","",IF(OR($O4="",$O4=0),"N/A",TEXT($N4,"$#,##")&amp;" for "&amp;$O4&amp;" pay periods"))</f>
        <v>$150 for 21 pay periods</v>
      </c>
      <c r="F4" s="28">
        <f>IFERROR(IF(VLOOKUP(B4,POS_Ratios!$B$3:$AC$33,28,FALSE)="x",MIN(I4/100000,POS_Ratios!$X$40)^((1-cost_share_target*POS_Ratios!$X$40)),IF(VLOOKUP(B4,POS_Ratios!$B$3:$AC$33,27,FALSE)="x",MIN(I4/100000,POS_Ratios!$X$38)^((1-cost_share_target*POS_Ratios!$X$38)),MIN(I4/100000,POS_Ratios!$X$39)^((1-cost_share_target*POS_Ratios!$X$39)))),"")</f>
        <v>0.77856363101116122</v>
      </c>
      <c r="G4" t="s">
        <v>633</v>
      </c>
      <c r="H4" s="373">
        <v>0.51516202187759474</v>
      </c>
      <c r="I4" s="29">
        <f>IFERROR(VLOOKUP(B4,POS_Cost!$B$3:$L$33,3,FALSE),"")</f>
        <v>78172.246487055003</v>
      </c>
      <c r="J4" s="29">
        <f t="shared" si="0"/>
        <v>2100</v>
      </c>
      <c r="K4" s="29">
        <f t="shared" si="1"/>
        <v>150</v>
      </c>
      <c r="L4" s="536">
        <f t="shared" si="2"/>
        <v>21</v>
      </c>
      <c r="M4" s="29">
        <f t="shared" si="3"/>
        <v>2100</v>
      </c>
      <c r="N4" s="29">
        <f t="shared" si="4"/>
        <v>150</v>
      </c>
      <c r="O4" s="536">
        <f t="shared" si="5"/>
        <v>21</v>
      </c>
      <c r="P4" s="29">
        <f t="shared" si="9"/>
        <v>3150</v>
      </c>
      <c r="Q4" s="29">
        <f>IF(SUM(M4,P4)=0,"",SUM(M4,P4))</f>
        <v>5250</v>
      </c>
      <c r="R4" s="455">
        <f>IFERROR(Q4/I4,"")</f>
        <v>6.7159385023806084E-2</v>
      </c>
      <c r="S4" s="455">
        <f t="shared" si="7"/>
        <v>6.314988154596099E-2</v>
      </c>
      <c r="T4" s="455">
        <f t="shared" si="11"/>
        <v>0.11744463562079741</v>
      </c>
      <c r="Z4" t="s">
        <v>634</v>
      </c>
      <c r="AA4" s="455" t="e">
        <f t="shared" si="8"/>
        <v>#N/A</v>
      </c>
      <c r="AB4" s="455" t="e">
        <f>SUM($AA$2:$AA4)</f>
        <v>#N/A</v>
      </c>
    </row>
    <row r="5" spans="1:28" x14ac:dyDescent="0.2">
      <c r="A5" s="531">
        <v>4</v>
      </c>
      <c r="B5" s="537" t="s">
        <v>952</v>
      </c>
      <c r="C5" s="538">
        <f>IF(VLOOKUP($B5,POS_Cost!$B$3:$AK$33,33,0)="x","",$M5)</f>
        <v>1900</v>
      </c>
      <c r="D5" s="539">
        <f>IF(VLOOKUP($B5,POS_Cost!$B$3:$AK$33,33,0)="x","",$P5)</f>
        <v>3000</v>
      </c>
      <c r="E5" s="540" t="str">
        <f>IF(VLOOKUP($B5,POS_Cost!$B$3:$AK$33,33,0)="x","",IF(OR($O5="",$O5=0),"N/A",TEXT($N5,"$#,##")&amp;" for "&amp;$O5&amp;" pay periods"))</f>
        <v>$150 for 20 pay periods</v>
      </c>
      <c r="F5" s="28">
        <f>IFERROR(IF(VLOOKUP(B5,POS_Ratios!$B$3:$AC$33,28,FALSE)="x",MIN(I5/100000,POS_Ratios!$X$40)^((1-cost_share_target*POS_Ratios!$X$40)),IF(VLOOKUP(B5,POS_Ratios!$B$3:$AC$33,27,FALSE)="x",MIN(I5/100000,POS_Ratios!$X$38)^((1-cost_share_target*POS_Ratios!$X$38)),MIN(I5/100000,POS_Ratios!$X$39)^((1-cost_share_target*POS_Ratios!$X$39)))),"")</f>
        <v>0.72381859349791422</v>
      </c>
      <c r="G5" t="s">
        <v>633</v>
      </c>
      <c r="H5" s="373">
        <v>1.6876459497855307</v>
      </c>
      <c r="I5" s="29">
        <f>IFERROR(VLOOKUP(B5,POS_Cost!$B$3:$L$33,3,FALSE),"")</f>
        <v>51704.705835570385</v>
      </c>
      <c r="J5" s="29">
        <f t="shared" si="0"/>
        <v>1900</v>
      </c>
      <c r="K5" s="29">
        <f t="shared" si="1"/>
        <v>150</v>
      </c>
      <c r="L5" s="536">
        <f t="shared" si="2"/>
        <v>20</v>
      </c>
      <c r="M5" s="29">
        <f t="shared" si="3"/>
        <v>1900</v>
      </c>
      <c r="N5" s="29">
        <f t="shared" si="4"/>
        <v>150</v>
      </c>
      <c r="O5" s="536">
        <f t="shared" si="5"/>
        <v>20</v>
      </c>
      <c r="P5" s="29">
        <f t="shared" si="9"/>
        <v>3000</v>
      </c>
      <c r="Q5" s="29">
        <f>IF(SUM(M5,P5)=0,"",SUM(M5,P5))</f>
        <v>4900</v>
      </c>
      <c r="R5" s="455">
        <f>IFERROR(Q5/I5,"")</f>
        <v>9.4768936807856904E-2</v>
      </c>
      <c r="S5" s="455">
        <f t="shared" si="7"/>
        <v>0.13683195171297793</v>
      </c>
      <c r="T5" s="455">
        <f t="shared" si="11"/>
        <v>0.15890691227551768</v>
      </c>
      <c r="Z5" t="s">
        <v>635</v>
      </c>
      <c r="AA5" s="455">
        <f t="shared" si="8"/>
        <v>7.6232561745930658E-3</v>
      </c>
      <c r="AB5" s="455" t="e">
        <f>SUM($AA$2:$AA5)</f>
        <v>#N/A</v>
      </c>
    </row>
    <row r="6" spans="1:28" x14ac:dyDescent="0.2">
      <c r="A6" s="531">
        <v>5</v>
      </c>
      <c r="B6" s="537" t="s">
        <v>1135</v>
      </c>
      <c r="C6" s="538">
        <f>IF(VLOOKUP($B6,POS_Cost!$B$3:$AK$33,33,0)="x","",$M6)</f>
        <v>1600</v>
      </c>
      <c r="D6" s="539">
        <f>IF(VLOOKUP($B6,POS_Cost!$B$3:$AK$33,33,0)="x","",$P6)</f>
        <v>1600</v>
      </c>
      <c r="E6" s="540" t="str">
        <f>IF(VLOOKUP($B6,POS_Cost!$B$3:$AK$33,33,0)="x","",IF(OR($O6="",$O6=0),"N/A",TEXT($N6,"$#,##")&amp;" for "&amp;$O6&amp;" pay periods"))</f>
        <v>$100 for 16 pay periods</v>
      </c>
      <c r="F6" s="28">
        <f>IFERROR(IF(VLOOKUP(B6,POS_Ratios!$B$3:$AC$33,28,FALSE)="x",MIN(I6/100000,POS_Ratios!$X$40)^((1-cost_share_target*POS_Ratios!$X$40)),IF(VLOOKUP(B6,POS_Ratios!$B$3:$AC$33,27,FALSE)="x",MIN(I6/100000,POS_Ratios!$X$38)^((1-cost_share_target*POS_Ratios!$X$38)),MIN(I6/100000,POS_Ratios!$X$39)^((1-cost_share_target*POS_Ratios!$X$39)))),"")</f>
        <v>0.54939784793424662</v>
      </c>
      <c r="G6" t="s">
        <v>689</v>
      </c>
      <c r="H6" s="373">
        <v>0.68360208312557591</v>
      </c>
      <c r="I6" s="29">
        <f>IFERROR(VLOOKUP(B6,POS_Cost!$B$3:$L$33,3,FALSE),"")</f>
        <v>29454.865826672838</v>
      </c>
      <c r="J6" s="29">
        <f t="shared" si="0"/>
        <v>1600</v>
      </c>
      <c r="K6" s="29">
        <f t="shared" si="1"/>
        <v>100</v>
      </c>
      <c r="L6" s="536">
        <f t="shared" si="2"/>
        <v>16</v>
      </c>
      <c r="M6" s="29">
        <f t="shared" si="3"/>
        <v>1600</v>
      </c>
      <c r="N6" s="29">
        <f t="shared" si="4"/>
        <v>100</v>
      </c>
      <c r="O6" s="536">
        <f t="shared" si="5"/>
        <v>16</v>
      </c>
      <c r="P6" s="29">
        <f t="shared" si="9"/>
        <v>1600</v>
      </c>
      <c r="Q6" s="29">
        <f t="shared" si="10"/>
        <v>3200</v>
      </c>
      <c r="R6" s="455">
        <f t="shared" si="6"/>
        <v>0.10864079364103713</v>
      </c>
      <c r="S6" s="455">
        <f t="shared" si="7"/>
        <v>3.1574503834923363E-2</v>
      </c>
      <c r="T6" s="455">
        <f t="shared" si="11"/>
        <v>0.17856446288384686</v>
      </c>
      <c r="Z6" t="s">
        <v>636</v>
      </c>
      <c r="AA6" s="455">
        <f t="shared" si="8"/>
        <v>4.8013190995648151E-2</v>
      </c>
      <c r="AB6" s="455" t="e">
        <f>SUM($AA$2:$AA6)</f>
        <v>#N/A</v>
      </c>
    </row>
    <row r="7" spans="1:28" x14ac:dyDescent="0.2">
      <c r="A7" s="531">
        <v>6</v>
      </c>
      <c r="B7" s="537" t="s">
        <v>823</v>
      </c>
      <c r="C7" s="538">
        <f>IF(VLOOKUP($B7,POS_Cost!$B$3:$AK$33,33,0)="x","",$M7)</f>
        <v>1400</v>
      </c>
      <c r="D7" s="539">
        <f>IF(VLOOKUP($B7,POS_Cost!$B$3:$AK$33,33,0)="x","",$P7)</f>
        <v>1400</v>
      </c>
      <c r="E7" s="540" t="str">
        <f>IF(VLOOKUP($B7,POS_Cost!$B$3:$AK$33,33,0)="x","",IF(OR($O7="",$O7=0),"N/A",TEXT($N7,"$#,##")&amp;" for "&amp;$O7&amp;" pay periods"))</f>
        <v>$100 for 14 pay periods</v>
      </c>
      <c r="F7" s="28">
        <f>IFERROR(IF(VLOOKUP(B7,POS_Ratios!$B$3:$AC$33,28,FALSE)="x",MIN(I7/100000,POS_Ratios!$X$40)^((1-cost_share_target*POS_Ratios!$X$40)),IF(VLOOKUP(B7,POS_Ratios!$B$3:$AC$33,27,FALSE)="x",MIN(I7/100000,POS_Ratios!$X$38)^((1-cost_share_target*POS_Ratios!$X$38)),MIN(I7/100000,POS_Ratios!$X$39)^((1-cost_share_target*POS_Ratios!$X$39)))),"")</f>
        <v>0.45163807247623866</v>
      </c>
      <c r="G7" t="s">
        <v>668</v>
      </c>
      <c r="H7" s="373">
        <v>0.2522897001142535</v>
      </c>
      <c r="I7" s="29">
        <f>IFERROR(VLOOKUP(B7,POS_Cost!$B$3:$L$33,3,FALSE),"")</f>
        <v>14048.532997211896</v>
      </c>
      <c r="J7" s="29">
        <f t="shared" si="0"/>
        <v>1400</v>
      </c>
      <c r="K7" s="29">
        <f t="shared" si="1"/>
        <v>100</v>
      </c>
      <c r="L7" s="536">
        <f t="shared" si="2"/>
        <v>14</v>
      </c>
      <c r="M7" s="29">
        <f t="shared" si="3"/>
        <v>1400</v>
      </c>
      <c r="N7" s="29">
        <f t="shared" si="4"/>
        <v>100</v>
      </c>
      <c r="O7" s="536">
        <f t="shared" si="5"/>
        <v>14</v>
      </c>
      <c r="P7" s="29">
        <f t="shared" si="9"/>
        <v>1400</v>
      </c>
      <c r="Q7" s="29">
        <f t="shared" si="10"/>
        <v>2800</v>
      </c>
      <c r="R7" s="455">
        <f t="shared" si="6"/>
        <v>0.19930906668729712</v>
      </c>
      <c r="S7" s="455">
        <f t="shared" si="7"/>
        <v>5.5578472283185727E-3</v>
      </c>
      <c r="T7" s="455">
        <f t="shared" si="11"/>
        <v>0.28770512041114144</v>
      </c>
      <c r="Z7" t="s">
        <v>639</v>
      </c>
      <c r="AA7" s="455">
        <f t="shared" si="8"/>
        <v>7.3422170376599899E-2</v>
      </c>
      <c r="AB7" s="455" t="e">
        <f>SUM($AA$2:$AA7)</f>
        <v>#N/A</v>
      </c>
    </row>
    <row r="8" spans="1:28" x14ac:dyDescent="0.2">
      <c r="A8" s="531">
        <v>7</v>
      </c>
      <c r="B8" s="532" t="s">
        <v>824</v>
      </c>
      <c r="C8" s="533">
        <f>IF(VLOOKUP($B8,POS_Cost!$B$3:$AK$33,33,0)="x","",$M8)</f>
        <v>1400</v>
      </c>
      <c r="D8" s="534">
        <f>IF(VLOOKUP($B8,POS_Cost!$B$3:$AK$33,33,0)="x","",$P8)</f>
        <v>1400</v>
      </c>
      <c r="E8" s="535" t="str">
        <f>IF(VLOOKUP($B8,POS_Cost!$B$3:$AK$33,33,0)="x","",IF(OR($O8="",$O8=0),"N/A",TEXT($N8,"$#,##")&amp;" for "&amp;$O8&amp;" pay periods"))</f>
        <v>$100 for 14 pay periods</v>
      </c>
      <c r="F8" s="28">
        <f>IFERROR(IF(VLOOKUP(B8,POS_Ratios!$B$3:$AC$33,28,FALSE)="x",MIN(I8/100000,POS_Ratios!$X$40)^((1-cost_share_target*POS_Ratios!$X$40)),IF(VLOOKUP(B8,POS_Ratios!$B$3:$AC$33,27,FALSE)="x",MIN(I8/100000,POS_Ratios!$X$38)^((1-cost_share_target*POS_Ratios!$X$38)),MIN(I8/100000,POS_Ratios!$X$39)^((1-cost_share_target*POS_Ratios!$X$39)))),"")</f>
        <v>0.47157515491688806</v>
      </c>
      <c r="G8" t="s">
        <v>654</v>
      </c>
      <c r="H8" s="373">
        <v>0.59357924829733555</v>
      </c>
      <c r="I8" s="29">
        <f>IFERROR(VLOOKUP(B8,POS_Cost!$B$3:$L$33,3,FALSE),"")</f>
        <v>9546.5535446932445</v>
      </c>
      <c r="J8" s="29">
        <f t="shared" si="0"/>
        <v>1400</v>
      </c>
      <c r="K8" s="29">
        <f t="shared" si="1"/>
        <v>100</v>
      </c>
      <c r="L8" s="536">
        <f t="shared" si="2"/>
        <v>14</v>
      </c>
      <c r="M8" s="29">
        <f t="shared" si="3"/>
        <v>1400</v>
      </c>
      <c r="N8" s="29">
        <f t="shared" si="4"/>
        <v>100</v>
      </c>
      <c r="O8" s="536">
        <f t="shared" si="5"/>
        <v>14</v>
      </c>
      <c r="P8" s="29">
        <f t="shared" si="9"/>
        <v>1400</v>
      </c>
      <c r="Q8" s="29">
        <f t="shared" si="10"/>
        <v>2800</v>
      </c>
      <c r="R8" s="455">
        <f t="shared" si="6"/>
        <v>0.29329956480016489</v>
      </c>
      <c r="S8" s="455">
        <f t="shared" si="7"/>
        <v>8.8859001895462159E-3</v>
      </c>
      <c r="T8" s="455">
        <f t="shared" si="11"/>
        <v>0.3654243881066816</v>
      </c>
      <c r="Z8" t="s">
        <v>640</v>
      </c>
      <c r="AA8" s="455">
        <f t="shared" si="8"/>
        <v>4.7015784446805188E-2</v>
      </c>
      <c r="AB8" s="455" t="e">
        <f>SUM($AA$2:$AA8)</f>
        <v>#N/A</v>
      </c>
    </row>
    <row r="9" spans="1:28" x14ac:dyDescent="0.2">
      <c r="A9" s="531">
        <v>8</v>
      </c>
      <c r="B9" s="537" t="s">
        <v>955</v>
      </c>
      <c r="C9" s="538">
        <f>IF(VLOOKUP($B9,POS_Cost!$B$3:$AK$33,33,0)="x","",$M9)</f>
        <v>1600</v>
      </c>
      <c r="D9" s="539">
        <f>IF(VLOOKUP($B9,POS_Cost!$B$3:$AK$33,33,0)="x","",$P9)</f>
        <v>1600</v>
      </c>
      <c r="E9" s="540" t="str">
        <f>IF(VLOOKUP($B9,POS_Cost!$B$3:$AK$33,33,0)="x","",IF(OR($O9="",$O9=0),"N/A",TEXT($N9,"$#,##")&amp;" for "&amp;$O9&amp;" pay periods"))</f>
        <v>$100 for 16 pay periods</v>
      </c>
      <c r="F9" s="28">
        <f>IFERROR(IF(VLOOKUP(B9,POS_Ratios!$B$3:$AC$33,28,FALSE)="x",MIN(I9/100000,POS_Ratios!$X$40)^((1-cost_share_target*POS_Ratios!$X$40)),IF(VLOOKUP(B9,POS_Ratios!$B$3:$AC$33,27,FALSE)="x",MIN(I9/100000,POS_Ratios!$X$38)^((1-cost_share_target*POS_Ratios!$X$38)),MIN(I9/100000,POS_Ratios!$X$39)^((1-cost_share_target*POS_Ratios!$X$39)))),"")</f>
        <v>0.54580904257809759</v>
      </c>
      <c r="G9" t="s">
        <v>956</v>
      </c>
      <c r="H9" s="373">
        <v>2.63874143279455</v>
      </c>
      <c r="I9" s="29">
        <f>IFERROR(VLOOKUP(B9,POS_Cost!$B$3:$L$33,3,FALSE),"")</f>
        <v>29063.533991905028</v>
      </c>
      <c r="J9" s="29">
        <f t="shared" si="0"/>
        <v>1600</v>
      </c>
      <c r="K9" s="29">
        <f t="shared" si="1"/>
        <v>100</v>
      </c>
      <c r="L9" s="536">
        <f t="shared" si="2"/>
        <v>16</v>
      </c>
      <c r="M9" s="29">
        <f t="shared" si="3"/>
        <v>1600</v>
      </c>
      <c r="N9" s="29">
        <f t="shared" si="4"/>
        <v>100</v>
      </c>
      <c r="O9" s="536">
        <f t="shared" si="5"/>
        <v>16</v>
      </c>
      <c r="P9" s="29">
        <f t="shared" si="9"/>
        <v>1600</v>
      </c>
      <c r="Q9" s="29">
        <f t="shared" si="10"/>
        <v>3200</v>
      </c>
      <c r="R9" s="455">
        <f t="shared" si="6"/>
        <v>0.11010360959170643</v>
      </c>
      <c r="S9" s="455">
        <f t="shared" si="7"/>
        <v>0.12026004614980602</v>
      </c>
      <c r="T9" s="455">
        <f t="shared" si="11"/>
        <v>0.18059161336599769</v>
      </c>
      <c r="Z9" t="s">
        <v>641</v>
      </c>
      <c r="AA9" s="455" t="e">
        <f t="shared" si="8"/>
        <v>#N/A</v>
      </c>
      <c r="AB9" s="455" t="e">
        <f>SUM($AA$2:$AA9)</f>
        <v>#N/A</v>
      </c>
    </row>
    <row r="10" spans="1:28" x14ac:dyDescent="0.2">
      <c r="A10" s="531">
        <v>9</v>
      </c>
      <c r="B10" s="532" t="s">
        <v>825</v>
      </c>
      <c r="C10" s="533" t="str">
        <f>IF(VLOOKUP($B10,POS_Cost!$B$3:$AK$33,33,0)="x","",$M10)</f>
        <v/>
      </c>
      <c r="D10" s="534" t="str">
        <f>IF(VLOOKUP($B10,POS_Cost!$B$3:$AK$33,33,0)="x","",$P10)</f>
        <v/>
      </c>
      <c r="E10" s="535" t="str">
        <f>IF(VLOOKUP($B10,POS_Cost!$B$3:$AK$33,33,0)="x","",IF(OR($O10="",$O10=0),"N/A",TEXT($N10,"$#,##")&amp;" for "&amp;$O10&amp;" pay periods"))</f>
        <v/>
      </c>
      <c r="F10" s="28">
        <f>IFERROR(IF(VLOOKUP(B10,POS_Ratios!$B$3:$AC$33,28,FALSE)="x",MIN(I10/100000,POS_Ratios!$X$40)^((1-cost_share_target*POS_Ratios!$X$40)),IF(VLOOKUP(B10,POS_Ratios!$B$3:$AC$33,27,FALSE)="x",MIN(I10/100000,POS_Ratios!$X$38)^((1-cost_share_target*POS_Ratios!$X$38)),MIN(I10/100000,POS_Ratios!$X$39)^((1-cost_share_target*POS_Ratios!$X$39)))),"")</f>
        <v>0.66596267552307109</v>
      </c>
      <c r="G10" t="s">
        <v>663</v>
      </c>
      <c r="H10" s="373">
        <v>7.9016908313189013E-2</v>
      </c>
      <c r="I10" s="29">
        <f>IFERROR(VLOOKUP(B10,POS_Cost!$B$3:$L$33,3,FALSE),"")</f>
        <v>43620.802578422488</v>
      </c>
      <c r="J10" s="29">
        <f t="shared" si="0"/>
        <v>1800</v>
      </c>
      <c r="K10" s="29">
        <f t="shared" si="1"/>
        <v>150</v>
      </c>
      <c r="L10" s="536">
        <f t="shared" si="2"/>
        <v>19</v>
      </c>
      <c r="M10" s="29">
        <f t="shared" si="3"/>
        <v>1800</v>
      </c>
      <c r="N10" s="29">
        <f t="shared" si="4"/>
        <v>150</v>
      </c>
      <c r="O10" s="536">
        <f t="shared" si="5"/>
        <v>19</v>
      </c>
      <c r="P10" s="29">
        <f t="shared" si="9"/>
        <v>2850</v>
      </c>
      <c r="Q10" s="29">
        <f t="shared" si="10"/>
        <v>4650</v>
      </c>
      <c r="R10" s="455">
        <f t="shared" si="6"/>
        <v>0.10660051455128829</v>
      </c>
      <c r="S10" s="455">
        <f t="shared" si="7"/>
        <v>5.4049265122077441E-3</v>
      </c>
      <c r="T10" s="455">
        <f t="shared" si="11"/>
        <v>0.17572248563180551</v>
      </c>
      <c r="Z10" t="s">
        <v>656</v>
      </c>
      <c r="AA10" s="455">
        <f t="shared" si="8"/>
        <v>1.7294881323823237E-2</v>
      </c>
      <c r="AB10" s="455" t="e">
        <f>SUM($AA$2:$AA10)</f>
        <v>#N/A</v>
      </c>
    </row>
    <row r="11" spans="1:28" x14ac:dyDescent="0.2">
      <c r="A11" s="531">
        <v>10</v>
      </c>
      <c r="B11" s="537" t="s">
        <v>826</v>
      </c>
      <c r="C11" s="538">
        <f>IF(VLOOKUP($B11,POS_Cost!$B$3:$AK$33,33,0)="x","",$M11)</f>
        <v>1300</v>
      </c>
      <c r="D11" s="539">
        <f>IF(VLOOKUP($B11,POS_Cost!$B$3:$AK$33,33,0)="x","",$P11)</f>
        <v>1300</v>
      </c>
      <c r="E11" s="540" t="str">
        <f>IF(VLOOKUP($B11,POS_Cost!$B$3:$AK$33,33,0)="x","",IF(OR($O11="",$O11=0),"N/A",TEXT($N11,"$#,##")&amp;" for "&amp;$O11&amp;" pay periods"))</f>
        <v>$100 for 13 pay periods</v>
      </c>
      <c r="F11" s="28">
        <f>IFERROR(IF(VLOOKUP(B11,POS_Ratios!$B$3:$AC$33,28,FALSE)="x",MIN(I11/100000,POS_Ratios!$X$40)^((1-cost_share_target*POS_Ratios!$X$40)),IF(VLOOKUP(B11,POS_Ratios!$B$3:$AC$33,27,FALSE)="x",MIN(I11/100000,POS_Ratios!$X$38)^((1-cost_share_target*POS_Ratios!$X$38)),MIN(I11/100000,POS_Ratios!$X$39)^((1-cost_share_target*POS_Ratios!$X$39)))),"")</f>
        <v>0.42341023173554077</v>
      </c>
      <c r="G11" t="s">
        <v>657</v>
      </c>
      <c r="H11" s="373">
        <v>0.99212077960198253</v>
      </c>
      <c r="I11" s="29">
        <f>IFERROR(VLOOKUP(B11,POS_Cost!$B$3:$L$33,3,FALSE),"")</f>
        <v>6817.5638537543291</v>
      </c>
      <c r="J11" s="29">
        <f t="shared" si="0"/>
        <v>1300</v>
      </c>
      <c r="K11" s="29">
        <f t="shared" si="1"/>
        <v>100</v>
      </c>
      <c r="L11" s="536">
        <f t="shared" si="2"/>
        <v>13</v>
      </c>
      <c r="M11" s="29">
        <f t="shared" si="3"/>
        <v>1300</v>
      </c>
      <c r="N11" s="29">
        <f t="shared" si="4"/>
        <v>100</v>
      </c>
      <c r="O11" s="536">
        <f t="shared" si="5"/>
        <v>13</v>
      </c>
      <c r="P11" s="29">
        <f t="shared" si="9"/>
        <v>1300</v>
      </c>
      <c r="Q11" s="29">
        <f t="shared" si="10"/>
        <v>2600</v>
      </c>
      <c r="R11" s="455">
        <f t="shared" si="6"/>
        <v>0.38136789852994474</v>
      </c>
      <c r="S11" s="455">
        <f t="shared" si="7"/>
        <v>1.0606445595013529E-2</v>
      </c>
      <c r="T11" s="455">
        <f t="shared" si="11"/>
        <v>0.40552530348788318</v>
      </c>
      <c r="Z11" t="s">
        <v>643</v>
      </c>
      <c r="AA11" s="455">
        <f t="shared" si="8"/>
        <v>4.2470194063604846E-2</v>
      </c>
      <c r="AB11" s="455" t="e">
        <f>SUM($AA$2:$AA11)</f>
        <v>#N/A</v>
      </c>
    </row>
    <row r="12" spans="1:28" x14ac:dyDescent="0.2">
      <c r="A12" s="531">
        <v>11</v>
      </c>
      <c r="B12" s="537" t="s">
        <v>1136</v>
      </c>
      <c r="C12" s="538">
        <f>IF(VLOOKUP($B12,POS_Cost!$B$3:$AK$33,33,0)="x","",$M12)</f>
        <v>1800</v>
      </c>
      <c r="D12" s="539">
        <f>IF(VLOOKUP($B12,POS_Cost!$B$3:$AK$33,33,0)="x","",$P12)</f>
        <v>2700</v>
      </c>
      <c r="E12" s="540" t="str">
        <f>IF(VLOOKUP($B12,POS_Cost!$B$3:$AK$33,33,0)="x","",IF(OR($O12="",$O12=0),"N/A",TEXT($N12,"$#,##")&amp;" for "&amp;$O12&amp;" pay periods"))</f>
        <v>$150 for 18 pay periods</v>
      </c>
      <c r="F12" s="28">
        <f>IFERROR(IF(VLOOKUP(B12,POS_Ratios!$B$3:$AC$33,28,FALSE)="x",MIN(I12/100000,POS_Ratios!$X$40)^((1-cost_share_target*POS_Ratios!$X$40)),IF(VLOOKUP(B12,POS_Ratios!$B$3:$AC$33,27,FALSE)="x",MIN(I12/100000,POS_Ratios!$X$38)^((1-cost_share_target*POS_Ratios!$X$38)),MIN(I12/100000,POS_Ratios!$X$39)^((1-cost_share_target*POS_Ratios!$X$39)))),"")</f>
        <v>0.64812448381214105</v>
      </c>
      <c r="G12" t="s">
        <v>632</v>
      </c>
      <c r="H12" s="373">
        <v>0.82692605565972188</v>
      </c>
      <c r="I12" s="29">
        <f>IFERROR(VLOOKUP(B12,POS_Cost!$B$3:$L$33,3,FALSE),"")</f>
        <v>41269.522555887037</v>
      </c>
      <c r="J12" s="29">
        <f t="shared" si="0"/>
        <v>1800</v>
      </c>
      <c r="K12" s="29">
        <f t="shared" si="1"/>
        <v>150</v>
      </c>
      <c r="L12" s="536">
        <f t="shared" si="2"/>
        <v>18</v>
      </c>
      <c r="M12" s="29">
        <f t="shared" si="3"/>
        <v>1800</v>
      </c>
      <c r="N12" s="29">
        <f t="shared" si="4"/>
        <v>150</v>
      </c>
      <c r="O12" s="536">
        <f t="shared" si="5"/>
        <v>18</v>
      </c>
      <c r="P12" s="29">
        <f t="shared" si="9"/>
        <v>2700</v>
      </c>
      <c r="Q12" s="29">
        <f t="shared" si="10"/>
        <v>4500</v>
      </c>
      <c r="R12" s="455">
        <f t="shared" si="6"/>
        <v>0.10903930361457699</v>
      </c>
      <c r="S12" s="455">
        <f t="shared" si="7"/>
        <v>5.3514593325699036E-2</v>
      </c>
      <c r="T12" s="455">
        <f t="shared" si="11"/>
        <v>0.17911757817202786</v>
      </c>
      <c r="Z12" t="s">
        <v>644</v>
      </c>
      <c r="AA12" s="455">
        <f t="shared" si="8"/>
        <v>4.1068902586997948E-2</v>
      </c>
      <c r="AB12" s="455" t="e">
        <f>SUM($AA$2:$AA12)</f>
        <v>#N/A</v>
      </c>
    </row>
    <row r="13" spans="1:28" x14ac:dyDescent="0.2">
      <c r="A13" s="531">
        <v>12</v>
      </c>
      <c r="B13" s="537" t="s">
        <v>1137</v>
      </c>
      <c r="C13" s="538" t="str">
        <f>IF(VLOOKUP($B13,POS_Cost!$B$3:$AK$33,33,0)="x","",$M13)</f>
        <v/>
      </c>
      <c r="D13" s="539" t="str">
        <f>IF(VLOOKUP($B13,POS_Cost!$B$3:$AK$33,33,0)="x","",$P13)</f>
        <v/>
      </c>
      <c r="E13" s="540" t="str">
        <f>IF(VLOOKUP($B13,POS_Cost!$B$3:$AK$33,33,0)="x","",IF(OR($O13="",$O13=0),"N/A",TEXT($N13,"$#,##")&amp;" for "&amp;$O13&amp;" pay periods"))</f>
        <v/>
      </c>
      <c r="F13" s="28">
        <f>IFERROR(IF(VLOOKUP(B13,POS_Ratios!$B$3:$AC$33,28,FALSE)="x",MIN(I13/100000,POS_Ratios!$X$40)^((1-cost_share_target*POS_Ratios!$X$40)),IF(VLOOKUP(B13,POS_Ratios!$B$3:$AC$33,27,FALSE)="x",MIN(I13/100000,POS_Ratios!$X$38)^((1-cost_share_target*POS_Ratios!$X$38)),MIN(I13/100000,POS_Ratios!$X$39)^((1-cost_share_target*POS_Ratios!$X$39)))),"")</f>
        <v>0.77856363101116122</v>
      </c>
      <c r="G13" t="s">
        <v>651</v>
      </c>
      <c r="H13" s="373">
        <v>0.21264014433567116</v>
      </c>
      <c r="I13" s="29">
        <f>IFERROR(VLOOKUP(B13,POS_Cost!$B$3:$L$33,3,FALSE),"")</f>
        <v>92446.392879631472</v>
      </c>
      <c r="J13" s="29">
        <f t="shared" si="0"/>
        <v>2100</v>
      </c>
      <c r="K13" s="29">
        <f t="shared" si="1"/>
        <v>150</v>
      </c>
      <c r="L13" s="536">
        <f t="shared" si="2"/>
        <v>21</v>
      </c>
      <c r="M13" s="29">
        <f t="shared" si="3"/>
        <v>2100</v>
      </c>
      <c r="N13" s="29">
        <f t="shared" si="4"/>
        <v>150</v>
      </c>
      <c r="O13" s="536">
        <f t="shared" si="5"/>
        <v>21</v>
      </c>
      <c r="P13" s="29">
        <f t="shared" si="9"/>
        <v>3150</v>
      </c>
      <c r="Q13" s="29">
        <f t="shared" si="10"/>
        <v>5250</v>
      </c>
      <c r="R13" s="455">
        <f t="shared" si="6"/>
        <v>5.6789668438829072E-2</v>
      </c>
      <c r="S13" s="455">
        <f t="shared" si="7"/>
        <v>3.0825585703498637E-2</v>
      </c>
      <c r="T13" s="455">
        <f t="shared" si="11"/>
        <v>0.10106831492002956</v>
      </c>
      <c r="Z13" t="s">
        <v>646</v>
      </c>
      <c r="AA13" s="455">
        <f t="shared" si="8"/>
        <v>1.9941836615380997E-2</v>
      </c>
      <c r="AB13" s="455" t="e">
        <f>SUM($AA$2:$AA13)</f>
        <v>#N/A</v>
      </c>
    </row>
    <row r="14" spans="1:28" x14ac:dyDescent="0.2">
      <c r="A14" s="531">
        <v>13</v>
      </c>
      <c r="B14" s="532" t="s">
        <v>827</v>
      </c>
      <c r="C14" s="533">
        <f>IF(VLOOKUP($B14,POS_Cost!$B$3:$AK$33,33,0)="x","",$M14)</f>
        <v>1400</v>
      </c>
      <c r="D14" s="534">
        <f>IF(VLOOKUP($B14,POS_Cost!$B$3:$AK$33,33,0)="x","",$P14)</f>
        <v>1400</v>
      </c>
      <c r="E14" s="535" t="str">
        <f>IF(VLOOKUP($B14,POS_Cost!$B$3:$AK$33,33,0)="x","",IF(OR($O14="",$O14=0),"N/A",TEXT($N14,"$#,##")&amp;" for "&amp;$O14&amp;" pay periods"))</f>
        <v>$100 for 14 pay periods</v>
      </c>
      <c r="F14" s="28">
        <f>IFERROR(IF(VLOOKUP(B14,POS_Ratios!$B$3:$AC$33,28,FALSE)="x",MIN(I14/100000,POS_Ratios!$X$40)^((1-cost_share_target*POS_Ratios!$X$40)),IF(VLOOKUP(B14,POS_Ratios!$B$3:$AC$33,27,FALSE)="x",MIN(I14/100000,POS_Ratios!$X$38)^((1-cost_share_target*POS_Ratios!$X$38)),MIN(I14/100000,POS_Ratios!$X$39)^((1-cost_share_target*POS_Ratios!$X$39)))),"")</f>
        <v>0.44294813675971051</v>
      </c>
      <c r="G14" t="s">
        <v>682</v>
      </c>
      <c r="H14" s="373">
        <v>0.76332449954870407</v>
      </c>
      <c r="I14" s="29">
        <f>IFERROR(VLOOKUP(B14,POS_Cost!$B$3:$L$33,3,FALSE),"")</f>
        <v>7849.6943655689611</v>
      </c>
      <c r="J14" s="29">
        <f t="shared" si="0"/>
        <v>1400</v>
      </c>
      <c r="K14" s="29">
        <f t="shared" si="1"/>
        <v>100</v>
      </c>
      <c r="L14" s="536">
        <f t="shared" si="2"/>
        <v>14</v>
      </c>
      <c r="M14" s="29">
        <f t="shared" si="3"/>
        <v>1400</v>
      </c>
      <c r="N14" s="29">
        <f t="shared" si="4"/>
        <v>100</v>
      </c>
      <c r="O14" s="536">
        <f t="shared" si="5"/>
        <v>14</v>
      </c>
      <c r="P14" s="29">
        <f t="shared" si="9"/>
        <v>1400</v>
      </c>
      <c r="Q14" s="29">
        <f t="shared" si="10"/>
        <v>2800</v>
      </c>
      <c r="R14" s="455">
        <f t="shared" si="6"/>
        <v>0.35670178603151903</v>
      </c>
      <c r="S14" s="455">
        <f t="shared" si="7"/>
        <v>9.3958928960881805E-3</v>
      </c>
      <c r="T14" s="455">
        <f t="shared" si="11"/>
        <v>0.39748544855314849</v>
      </c>
      <c r="Z14" t="s">
        <v>689</v>
      </c>
      <c r="AA14" s="455">
        <f t="shared" si="8"/>
        <v>3.1574503834923363E-2</v>
      </c>
      <c r="AB14" s="455" t="e">
        <f>SUM($AA$2:$AA14)</f>
        <v>#N/A</v>
      </c>
    </row>
    <row r="15" spans="1:28" x14ac:dyDescent="0.2">
      <c r="A15" s="531">
        <v>14</v>
      </c>
      <c r="B15" s="537" t="s">
        <v>960</v>
      </c>
      <c r="C15" s="538">
        <f>IF(VLOOKUP($B15,POS_Cost!$B$3:$AK$33,33,0)="x","",$M15)</f>
        <v>1600</v>
      </c>
      <c r="D15" s="539">
        <f>IF(VLOOKUP($B15,POS_Cost!$B$3:$AK$33,33,0)="x","",$P15)</f>
        <v>1600</v>
      </c>
      <c r="E15" s="540" t="str">
        <f>IF(VLOOKUP($B15,POS_Cost!$B$3:$AK$33,33,0)="x","",IF(OR($O15="",$O15=0),"N/A",TEXT($N15,"$#,##")&amp;" for "&amp;$O15&amp;" pay periods"))</f>
        <v>$100 for 16 pay periods</v>
      </c>
      <c r="F15" s="28">
        <f>IFERROR(IF(VLOOKUP(B15,POS_Ratios!$B$3:$AC$33,28,FALSE)="x",MIN(I15/100000,POS_Ratios!$X$40)^((1-cost_share_target*POS_Ratios!$X$40)),IF(VLOOKUP(B15,POS_Ratios!$B$3:$AC$33,27,FALSE)="x",MIN(I15/100000,POS_Ratios!$X$38)^((1-cost_share_target*POS_Ratios!$X$38)),MIN(I15/100000,POS_Ratios!$X$39)^((1-cost_share_target*POS_Ratios!$X$39)))),"")</f>
        <v>0.52885130540122272</v>
      </c>
      <c r="G15" t="s">
        <v>961</v>
      </c>
      <c r="H15" s="373">
        <v>0.12695618438355682</v>
      </c>
      <c r="I15" s="29">
        <f>IFERROR(VLOOKUP(B15,POS_Cost!$B$3:$L$33,3,FALSE),"")</f>
        <v>20743.070277593557</v>
      </c>
      <c r="J15" s="29">
        <f t="shared" si="0"/>
        <v>1600</v>
      </c>
      <c r="K15" s="29">
        <f t="shared" si="1"/>
        <v>100</v>
      </c>
      <c r="L15" s="536">
        <f t="shared" si="2"/>
        <v>16</v>
      </c>
      <c r="M15" s="29">
        <f t="shared" si="3"/>
        <v>1600</v>
      </c>
      <c r="N15" s="29">
        <f t="shared" si="4"/>
        <v>100</v>
      </c>
      <c r="O15" s="536">
        <f t="shared" si="5"/>
        <v>16</v>
      </c>
      <c r="P15" s="29">
        <f t="shared" si="9"/>
        <v>1600</v>
      </c>
      <c r="Q15" s="29">
        <f>IF(SUM(M15,P15)=0,"",SUM(M15,P15))</f>
        <v>3200</v>
      </c>
      <c r="R15" s="455">
        <f>IFERROR(Q15/I15,"")</f>
        <v>0.15426838733013434</v>
      </c>
      <c r="S15" s="455">
        <f t="shared" si="7"/>
        <v>4.1295526603218977E-3</v>
      </c>
      <c r="T15" s="455">
        <f t="shared" si="11"/>
        <v>0.23768208020595027</v>
      </c>
      <c r="Z15" t="s">
        <v>650</v>
      </c>
      <c r="AA15" s="455">
        <f t="shared" si="8"/>
        <v>0.13956792196111037</v>
      </c>
      <c r="AB15" s="455" t="e">
        <f>SUM($AA$2:$AA15)</f>
        <v>#N/A</v>
      </c>
    </row>
    <row r="16" spans="1:28" x14ac:dyDescent="0.2">
      <c r="A16" s="531">
        <v>15</v>
      </c>
      <c r="B16" s="537" t="s">
        <v>1138</v>
      </c>
      <c r="C16" s="538">
        <f>IF(VLOOKUP($B16,POS_Cost!$B$3:$AK$33,33,0)="x","",$M16)</f>
        <v>1500</v>
      </c>
      <c r="D16" s="539">
        <f>IF(VLOOKUP($B16,POS_Cost!$B$3:$AK$33,33,0)="x","",$P16)</f>
        <v>1400</v>
      </c>
      <c r="E16" s="540" t="str">
        <f>IF(VLOOKUP($B16,POS_Cost!$B$3:$AK$33,33,0)="x","",IF(OR($O16="",$O16=0),"N/A",TEXT($N16,"$#,##")&amp;" for "&amp;$O16&amp;" pay periods"))</f>
        <v>$100 for 14 pay periods</v>
      </c>
      <c r="F16" s="28">
        <f>IFERROR(IF(VLOOKUP(B16,POS_Ratios!$B$3:$AC$33,28,FALSE)="x",MIN(I16/100000,POS_Ratios!$X$40)^((1-cost_share_target*POS_Ratios!$X$40)),IF(VLOOKUP(B16,POS_Ratios!$B$3:$AC$33,27,FALSE)="x",MIN(I16/100000,POS_Ratios!$X$38)^((1-cost_share_target*POS_Ratios!$X$38)),MIN(I16/100000,POS_Ratios!$X$39)^((1-cost_share_target*POS_Ratios!$X$39)))),"")</f>
        <v>0.4755629343950788</v>
      </c>
      <c r="G16" t="s">
        <v>643</v>
      </c>
      <c r="H16" s="373">
        <v>1.6971703092697099</v>
      </c>
      <c r="I16" s="29">
        <f>IFERROR(VLOOKUP(B16,POS_Cost!$B$3:$L$33,3,FALSE),"")</f>
        <v>15958.156192339397</v>
      </c>
      <c r="J16" s="29">
        <f t="shared" si="0"/>
        <v>1500</v>
      </c>
      <c r="K16" s="29">
        <f t="shared" si="1"/>
        <v>100</v>
      </c>
      <c r="L16" s="536">
        <f t="shared" si="2"/>
        <v>14</v>
      </c>
      <c r="M16" s="29">
        <f t="shared" si="3"/>
        <v>1500</v>
      </c>
      <c r="N16" s="29">
        <f t="shared" si="4"/>
        <v>100</v>
      </c>
      <c r="O16" s="536">
        <f t="shared" si="5"/>
        <v>14</v>
      </c>
      <c r="P16" s="29">
        <f t="shared" si="9"/>
        <v>1400</v>
      </c>
      <c r="Q16" s="29">
        <f t="shared" si="10"/>
        <v>2900</v>
      </c>
      <c r="R16" s="455">
        <f t="shared" si="6"/>
        <v>0.18172525478802651</v>
      </c>
      <c r="S16" s="455">
        <f t="shared" si="7"/>
        <v>4.2470194063604846E-2</v>
      </c>
      <c r="T16" s="455">
        <f t="shared" si="11"/>
        <v>0.26916149338338269</v>
      </c>
      <c r="Z16" t="s">
        <v>651</v>
      </c>
      <c r="AA16" s="455">
        <f t="shared" si="8"/>
        <v>3.0825585703498637E-2</v>
      </c>
      <c r="AB16" s="455" t="e">
        <f>SUM($AA$2:$AA16)</f>
        <v>#N/A</v>
      </c>
    </row>
    <row r="17" spans="1:28" x14ac:dyDescent="0.2">
      <c r="A17" s="531">
        <v>16</v>
      </c>
      <c r="B17" s="537" t="s">
        <v>828</v>
      </c>
      <c r="C17" s="538">
        <f>IF(VLOOKUP($B17,POS_Cost!$B$3:$AK$33,33,0)="x","",$M17)</f>
        <v>1300</v>
      </c>
      <c r="D17" s="539">
        <f>IF(VLOOKUP($B17,POS_Cost!$B$3:$AK$33,33,0)="x","",$P17)</f>
        <v>1300</v>
      </c>
      <c r="E17" s="540" t="str">
        <f>IF(VLOOKUP($B17,POS_Cost!$B$3:$AK$33,33,0)="x","",IF(OR($O17="",$O17=0),"N/A",TEXT($N17,"$#,##")&amp;" for "&amp;$O17&amp;" pay periods"))</f>
        <v>$100 for 13 pay periods</v>
      </c>
      <c r="F17" s="28">
        <f>IFERROR(IF(VLOOKUP(B17,POS_Ratios!$B$3:$AC$33,28,FALSE)="x",MIN(I17/100000,POS_Ratios!$X$40)^((1-cost_share_target*POS_Ratios!$X$40)),IF(VLOOKUP(B17,POS_Ratios!$B$3:$AC$33,27,FALSE)="x",MIN(I17/100000,POS_Ratios!$X$38)^((1-cost_share_target*POS_Ratios!$X$38)),MIN(I17/100000,POS_Ratios!$X$39)^((1-cost_share_target*POS_Ratios!$X$39)))),"")</f>
        <v>0.39015708371210028</v>
      </c>
      <c r="G17" t="s">
        <v>686</v>
      </c>
      <c r="H17" s="373">
        <v>0.1870654753503756</v>
      </c>
      <c r="I17" s="29">
        <f>IFERROR(VLOOKUP(B17,POS_Cost!$B$3:$L$33,3,FALSE),"")</f>
        <v>5279.8723912568321</v>
      </c>
      <c r="J17" s="29">
        <f t="shared" si="0"/>
        <v>1300</v>
      </c>
      <c r="K17" s="29">
        <f t="shared" si="1"/>
        <v>100</v>
      </c>
      <c r="L17" s="536">
        <f t="shared" si="2"/>
        <v>13</v>
      </c>
      <c r="M17" s="29">
        <f t="shared" si="3"/>
        <v>1300</v>
      </c>
      <c r="N17" s="29">
        <f t="shared" si="4"/>
        <v>100</v>
      </c>
      <c r="O17" s="536">
        <f t="shared" si="5"/>
        <v>13</v>
      </c>
      <c r="P17" s="29">
        <f t="shared" si="9"/>
        <v>1300</v>
      </c>
      <c r="Q17" s="29">
        <f t="shared" si="10"/>
        <v>2600</v>
      </c>
      <c r="R17" s="455">
        <f t="shared" si="6"/>
        <v>0.49243614377981026</v>
      </c>
      <c r="S17" s="455">
        <f t="shared" si="7"/>
        <v>1.5487922849240366E-3</v>
      </c>
      <c r="T17" s="455">
        <f t="shared" si="11"/>
        <v>0.41</v>
      </c>
      <c r="Z17" t="s">
        <v>654</v>
      </c>
      <c r="AA17" s="455">
        <f t="shared" si="8"/>
        <v>8.8859001895462159E-3</v>
      </c>
      <c r="AB17" s="455" t="e">
        <f>SUM($AA$2:$AA17)</f>
        <v>#N/A</v>
      </c>
    </row>
    <row r="18" spans="1:28" x14ac:dyDescent="0.2">
      <c r="A18" s="531">
        <v>17</v>
      </c>
      <c r="B18" s="532" t="s">
        <v>829</v>
      </c>
      <c r="C18" s="533">
        <f>IF(VLOOKUP($B18,POS_Cost!$B$3:$AK$33,33,0)="x","",$M18)</f>
        <v>1400</v>
      </c>
      <c r="D18" s="534">
        <f>IF(VLOOKUP($B18,POS_Cost!$B$3:$AK$33,33,0)="x","",$P18)</f>
        <v>1400</v>
      </c>
      <c r="E18" s="535" t="str">
        <f>IF(VLOOKUP($B18,POS_Cost!$B$3:$AK$33,33,0)="x","",IF(OR($O18="",$O18=0),"N/A",TEXT($N18,"$#,##")&amp;" for "&amp;$O18&amp;" pay periods"))</f>
        <v>$100 for 14 pay periods</v>
      </c>
      <c r="F18" s="28">
        <f>IFERROR(IF(VLOOKUP(B18,POS_Ratios!$B$3:$AC$33,28,FALSE)="x",MIN(I18/100000,POS_Ratios!$X$40)^((1-cost_share_target*POS_Ratios!$X$40)),IF(VLOOKUP(B18,POS_Ratios!$B$3:$AC$33,27,FALSE)="x",MIN(I18/100000,POS_Ratios!$X$38)^((1-cost_share_target*POS_Ratios!$X$38)),MIN(I18/100000,POS_Ratios!$X$39)^((1-cost_share_target*POS_Ratios!$X$39)))),"")</f>
        <v>0.47253437741382276</v>
      </c>
      <c r="G18" t="s">
        <v>676</v>
      </c>
      <c r="H18" s="373">
        <v>0.35642269714127761</v>
      </c>
      <c r="I18" s="29">
        <f>IFERROR(VLOOKUP(B18,POS_Cost!$B$3:$L$33,3,FALSE),"")</f>
        <v>9607.3675178839803</v>
      </c>
      <c r="J18" s="29">
        <f t="shared" si="0"/>
        <v>1400</v>
      </c>
      <c r="K18" s="29">
        <f t="shared" si="1"/>
        <v>100</v>
      </c>
      <c r="L18" s="536">
        <f t="shared" si="2"/>
        <v>14</v>
      </c>
      <c r="M18" s="29">
        <f t="shared" si="3"/>
        <v>1400</v>
      </c>
      <c r="N18" s="29">
        <f t="shared" si="4"/>
        <v>100</v>
      </c>
      <c r="O18" s="536">
        <f t="shared" si="5"/>
        <v>14</v>
      </c>
      <c r="P18" s="29">
        <f t="shared" si="9"/>
        <v>1400</v>
      </c>
      <c r="Q18" s="29">
        <f t="shared" si="10"/>
        <v>2800</v>
      </c>
      <c r="R18" s="455">
        <f t="shared" si="6"/>
        <v>0.29144299880147595</v>
      </c>
      <c r="S18" s="455">
        <f t="shared" si="7"/>
        <v>5.3696485954018245E-3</v>
      </c>
      <c r="T18" s="455">
        <f t="shared" si="11"/>
        <v>0.36423830722401379</v>
      </c>
      <c r="Z18" t="s">
        <v>657</v>
      </c>
      <c r="AA18" s="455">
        <f t="shared" si="8"/>
        <v>1.0606445595013529E-2</v>
      </c>
      <c r="AB18" s="455" t="e">
        <f>SUM($AA$2:$AA18)</f>
        <v>#N/A</v>
      </c>
    </row>
    <row r="19" spans="1:28" x14ac:dyDescent="0.2">
      <c r="A19" s="531">
        <v>18</v>
      </c>
      <c r="B19" s="537" t="s">
        <v>957</v>
      </c>
      <c r="C19" s="538">
        <f>IF(VLOOKUP($B19,POS_Cost!$B$3:$AK$33,33,0)="x","",$M19)</f>
        <v>1400</v>
      </c>
      <c r="D19" s="539">
        <f>IF(VLOOKUP($B19,POS_Cost!$B$3:$AK$33,33,0)="x","",$P19)</f>
        <v>1300</v>
      </c>
      <c r="E19" s="540" t="str">
        <f>IF(VLOOKUP($B19,POS_Cost!$B$3:$AK$33,33,0)="x","",IF(OR($O19="",$O19=0),"N/A",TEXT($N19,"$#,##")&amp;" for "&amp;$O19&amp;" pay periods"))</f>
        <v>$100 for 13 pay periods</v>
      </c>
      <c r="F19" s="28">
        <f>IFERROR(IF(VLOOKUP(B19,POS_Ratios!$B$3:$AC$33,28,FALSE)="x",MIN(I19/100000,POS_Ratios!$X$40)^((1-cost_share_target*POS_Ratios!$X$40)),IF(VLOOKUP(B19,POS_Ratios!$B$3:$AC$33,27,FALSE)="x",MIN(I19/100000,POS_Ratios!$X$38)^((1-cost_share_target*POS_Ratios!$X$38)),MIN(I19/100000,POS_Ratios!$X$39)^((1-cost_share_target*POS_Ratios!$X$39)))),"")</f>
        <v>0.42713620973096289</v>
      </c>
      <c r="G19" t="s">
        <v>646</v>
      </c>
      <c r="H19" s="373">
        <v>0.72166424565679499</v>
      </c>
      <c r="I19" s="29">
        <f>IFERROR(VLOOKUP(B19,POS_Cost!$B$3:$L$33,3,FALSE),"")</f>
        <v>17621.945600242194</v>
      </c>
      <c r="J19" s="29">
        <f t="shared" si="0"/>
        <v>1400</v>
      </c>
      <c r="K19" s="29">
        <f t="shared" si="1"/>
        <v>100</v>
      </c>
      <c r="L19" s="536">
        <f t="shared" si="2"/>
        <v>13</v>
      </c>
      <c r="M19" s="29">
        <f t="shared" si="3"/>
        <v>1400</v>
      </c>
      <c r="N19" s="29">
        <f t="shared" si="4"/>
        <v>100</v>
      </c>
      <c r="O19" s="536">
        <f t="shared" si="5"/>
        <v>13</v>
      </c>
      <c r="P19" s="29">
        <f t="shared" si="9"/>
        <v>1300</v>
      </c>
      <c r="Q19" s="29">
        <f t="shared" si="10"/>
        <v>2700</v>
      </c>
      <c r="R19" s="455">
        <f t="shared" si="6"/>
        <v>0.15321804193759919</v>
      </c>
      <c r="S19" s="455">
        <f t="shared" si="7"/>
        <v>1.9941836615380997E-2</v>
      </c>
      <c r="T19" s="455">
        <f t="shared" si="11"/>
        <v>0.23641674833797757</v>
      </c>
      <c r="Z19" t="s">
        <v>661</v>
      </c>
      <c r="AA19" s="455" t="e">
        <f t="shared" si="8"/>
        <v>#N/A</v>
      </c>
      <c r="AB19" s="455" t="e">
        <f>SUM($AA$2:$AA19)</f>
        <v>#N/A</v>
      </c>
    </row>
    <row r="20" spans="1:28" x14ac:dyDescent="0.2">
      <c r="A20" s="531">
        <v>19</v>
      </c>
      <c r="B20" s="532" t="s">
        <v>830</v>
      </c>
      <c r="C20" s="533">
        <f>IF(VLOOKUP($B20,POS_Cost!$B$3:$AK$33,33,0)="x","",$M20)</f>
        <v>1500</v>
      </c>
      <c r="D20" s="534">
        <f>IF(VLOOKUP($B20,POS_Cost!$B$3:$AK$33,33,0)="x","",$P20)</f>
        <v>1500</v>
      </c>
      <c r="E20" s="535" t="str">
        <f>IF(VLOOKUP($B20,POS_Cost!$B$3:$AK$33,33,0)="x","",IF(OR($O20="",$O20=0),"N/A",TEXT($N20,"$#,##")&amp;" for "&amp;$O20&amp;" pay periods"))</f>
        <v>$100 for 15 pay periods</v>
      </c>
      <c r="F20" s="28">
        <f>IFERROR(IF(VLOOKUP(B20,POS_Ratios!$B$3:$AC$33,28,FALSE)="x",MIN(I20/100000,POS_Ratios!$X$40)^((1-cost_share_target*POS_Ratios!$X$40)),IF(VLOOKUP(B20,POS_Ratios!$B$3:$AC$33,27,FALSE)="x",MIN(I20/100000,POS_Ratios!$X$38)^((1-cost_share_target*POS_Ratios!$X$38)),MIN(I20/100000,POS_Ratios!$X$39)^((1-cost_share_target*POS_Ratios!$X$39)))),"")</f>
        <v>0.50790935983119767</v>
      </c>
      <c r="G20" t="s">
        <v>664</v>
      </c>
      <c r="H20" s="373">
        <v>0.14692206389483584</v>
      </c>
      <c r="I20" s="29">
        <f>IFERROR(VLOOKUP(B20,POS_Cost!$B$3:$L$33,3,FALSE),"")</f>
        <v>18773.541745564362</v>
      </c>
      <c r="J20" s="29">
        <f t="shared" si="0"/>
        <v>1500</v>
      </c>
      <c r="K20" s="29">
        <f t="shared" si="1"/>
        <v>100</v>
      </c>
      <c r="L20" s="536">
        <f t="shared" si="2"/>
        <v>15</v>
      </c>
      <c r="M20" s="29">
        <f t="shared" si="3"/>
        <v>1500</v>
      </c>
      <c r="N20" s="29">
        <f t="shared" si="4"/>
        <v>100</v>
      </c>
      <c r="O20" s="536">
        <f t="shared" si="5"/>
        <v>15</v>
      </c>
      <c r="P20" s="29">
        <f t="shared" si="9"/>
        <v>1500</v>
      </c>
      <c r="Q20" s="29">
        <f t="shared" si="10"/>
        <v>3000</v>
      </c>
      <c r="R20" s="455">
        <f t="shared" si="6"/>
        <v>0.15979936235041065</v>
      </c>
      <c r="S20" s="455">
        <f t="shared" si="7"/>
        <v>4.3252313452608196E-3</v>
      </c>
      <c r="T20" s="455">
        <f t="shared" si="11"/>
        <v>0.24427085716595673</v>
      </c>
      <c r="Z20" t="s">
        <v>663</v>
      </c>
      <c r="AA20" s="455">
        <f t="shared" si="8"/>
        <v>5.4049265122077441E-3</v>
      </c>
      <c r="AB20" s="455" t="e">
        <f>SUM($AA$2:$AA20)</f>
        <v>#N/A</v>
      </c>
    </row>
    <row r="21" spans="1:28" x14ac:dyDescent="0.2">
      <c r="A21" s="531">
        <v>20</v>
      </c>
      <c r="B21" s="537" t="s">
        <v>1141</v>
      </c>
      <c r="C21" s="538" t="str">
        <f>IF(VLOOKUP($B21,POS_Cost!$B$3:$AK$33,33,0)="x","",$M21)</f>
        <v/>
      </c>
      <c r="D21" s="539" t="str">
        <f>IF(VLOOKUP($B21,POS_Cost!$B$3:$AK$33,33,0)="x","",$P21)</f>
        <v/>
      </c>
      <c r="E21" s="540" t="str">
        <f>IF(VLOOKUP($B21,POS_Cost!$B$3:$AK$33,33,0)="x","",IF(OR($O21="",$O21=0),"N/A",TEXT($N21,"$#,##")&amp;" for "&amp;$O21&amp;" pay periods"))</f>
        <v/>
      </c>
      <c r="F21" s="28">
        <f>IFERROR(IF(VLOOKUP(B21,POS_Ratios!$B$3:$AC$33,28,FALSE)="x",MIN(I21/100000,POS_Ratios!$X$40)^((1-cost_share_target*POS_Ratios!$X$40)),IF(VLOOKUP(B21,POS_Ratios!$B$3:$AC$33,27,FALSE)="x",MIN(I21/100000,POS_Ratios!$X$38)^((1-cost_share_target*POS_Ratios!$X$38)),MIN(I21/100000,POS_Ratios!$X$39)^((1-cost_share_target*POS_Ratios!$X$39)))),"")</f>
        <v>0.6300849640939814</v>
      </c>
      <c r="G21" t="s">
        <v>644</v>
      </c>
      <c r="H21" s="373">
        <v>0.67224340255555493</v>
      </c>
      <c r="I21" s="29">
        <f>IFERROR(VLOOKUP(B21,POS_Cost!$B$3:$L$33,3,FALSE),"")</f>
        <v>38959.236827678898</v>
      </c>
      <c r="J21" s="29">
        <f t="shared" si="0"/>
        <v>1800</v>
      </c>
      <c r="K21" s="29">
        <f t="shared" si="1"/>
        <v>150</v>
      </c>
      <c r="L21" s="536">
        <f t="shared" si="2"/>
        <v>18</v>
      </c>
      <c r="M21" s="29">
        <f t="shared" si="3"/>
        <v>1800</v>
      </c>
      <c r="N21" s="29">
        <f t="shared" si="4"/>
        <v>150</v>
      </c>
      <c r="O21" s="536">
        <f t="shared" si="5"/>
        <v>18</v>
      </c>
      <c r="P21" s="29">
        <f t="shared" si="9"/>
        <v>2700</v>
      </c>
      <c r="Q21" s="29">
        <f t="shared" si="10"/>
        <v>4500</v>
      </c>
      <c r="R21" s="455">
        <f t="shared" si="6"/>
        <v>0.11550534267146988</v>
      </c>
      <c r="S21" s="455">
        <f t="shared" si="7"/>
        <v>4.1068902586997948E-2</v>
      </c>
      <c r="T21" s="455">
        <f t="shared" si="11"/>
        <v>0.18800158791658508</v>
      </c>
      <c r="Z21" t="s">
        <v>664</v>
      </c>
      <c r="AA21" s="455">
        <f t="shared" si="8"/>
        <v>4.3252313452608196E-3</v>
      </c>
      <c r="AB21" s="455" t="e">
        <f>SUM($AA$2:$AA21)</f>
        <v>#N/A</v>
      </c>
    </row>
    <row r="22" spans="1:28" x14ac:dyDescent="0.2">
      <c r="A22" s="531">
        <v>21</v>
      </c>
      <c r="B22" s="537" t="s">
        <v>1142</v>
      </c>
      <c r="C22" s="538">
        <f>IF(VLOOKUP($B22,POS_Cost!$B$3:$AK$33,33,0)="x","",$M22)</f>
        <v>1300</v>
      </c>
      <c r="D22" s="539">
        <f>IF(VLOOKUP($B22,POS_Cost!$B$3:$AK$33,33,0)="x","",$P22)</f>
        <v>1300</v>
      </c>
      <c r="E22" s="540" t="str">
        <f>IF(VLOOKUP($B22,POS_Cost!$B$3:$AK$33,33,0)="x","",IF(OR($O22="",$O22=0),"N/A",TEXT($N22,"$#,##")&amp;" for "&amp;$O22&amp;" pay periods"))</f>
        <v>$100 for 13 pay periods</v>
      </c>
      <c r="F22" s="28">
        <f>IFERROR(IF(VLOOKUP(B22,POS_Ratios!$B$3:$AC$33,28,FALSE)="x",MIN(I22/100000,POS_Ratios!$X$40)^((1-cost_share_target*POS_Ratios!$X$40)),IF(VLOOKUP(B22,POS_Ratios!$B$3:$AC$33,27,FALSE)="x",MIN(I22/100000,POS_Ratios!$X$38)^((1-cost_share_target*POS_Ratios!$X$38)),MIN(I22/100000,POS_Ratios!$X$39)^((1-cost_share_target*POS_Ratios!$X$39)))),"")</f>
        <v>0.41939940257154529</v>
      </c>
      <c r="G22" t="s">
        <v>640</v>
      </c>
      <c r="H22" s="373">
        <v>1.7660984516107685</v>
      </c>
      <c r="I22" s="29">
        <f>IFERROR(VLOOKUP(B22,POS_Cost!$B$3:$L$33,3,FALSE),"")</f>
        <v>16976.676317150392</v>
      </c>
      <c r="J22" s="29">
        <f t="shared" si="0"/>
        <v>1300</v>
      </c>
      <c r="K22" s="29">
        <f t="shared" si="1"/>
        <v>100</v>
      </c>
      <c r="L22" s="536">
        <f t="shared" si="2"/>
        <v>13</v>
      </c>
      <c r="M22" s="29">
        <f t="shared" si="3"/>
        <v>1300</v>
      </c>
      <c r="N22" s="29">
        <f t="shared" si="4"/>
        <v>100</v>
      </c>
      <c r="O22" s="536">
        <f t="shared" si="5"/>
        <v>13</v>
      </c>
      <c r="P22" s="29">
        <f t="shared" si="9"/>
        <v>1300</v>
      </c>
      <c r="Q22" s="29">
        <f t="shared" si="10"/>
        <v>2600</v>
      </c>
      <c r="R22" s="455">
        <f t="shared" si="6"/>
        <v>0.15315129719316115</v>
      </c>
      <c r="S22" s="455">
        <f t="shared" si="7"/>
        <v>4.7015784446805188E-2</v>
      </c>
      <c r="T22" s="455">
        <f t="shared" si="11"/>
        <v>0.23633619000427042</v>
      </c>
      <c r="Z22" t="s">
        <v>665</v>
      </c>
      <c r="AA22" s="455" t="e">
        <f t="shared" si="8"/>
        <v>#N/A</v>
      </c>
      <c r="AB22" s="455" t="e">
        <f>SUM($AA$2:$AA22)</f>
        <v>#N/A</v>
      </c>
    </row>
    <row r="23" spans="1:28" ht="15" customHeight="1" x14ac:dyDescent="0.2">
      <c r="A23" s="531">
        <v>22</v>
      </c>
      <c r="B23" s="532" t="s">
        <v>1144</v>
      </c>
      <c r="C23" s="533">
        <f>IF(VLOOKUP($B23,POS_Cost!$B$3:$AK$33,33,0)="x","",$M23)</f>
        <v>1300</v>
      </c>
      <c r="D23" s="534">
        <f>IF(VLOOKUP($B23,POS_Cost!$B$3:$AK$33,33,0)="x","",$P23)</f>
        <v>1300</v>
      </c>
      <c r="E23" s="535" t="str">
        <f>IF(VLOOKUP($B23,POS_Cost!$B$3:$AK$33,33,0)="x","",IF(OR($O23="",$O23=0),"N/A",TEXT($N23,"$#,##")&amp;" for "&amp;$O23&amp;" pay periods"))</f>
        <v>$100 for 13 pay periods</v>
      </c>
      <c r="F23" s="28">
        <f>IFERROR(IF(VLOOKUP(B23,POS_Ratios!$B$3:$AC$33,28,FALSE)="x",MIN(I23/100000,POS_Ratios!$X$40)^((1-cost_share_target*POS_Ratios!$X$40)),IF(VLOOKUP(B23,POS_Ratios!$B$3:$AC$33,27,FALSE)="x",MIN(I23/100000,POS_Ratios!$X$38)^((1-cost_share_target*POS_Ratios!$X$38)),MIN(I23/100000,POS_Ratios!$X$39)^((1-cost_share_target*POS_Ratios!$X$39)))),"")</f>
        <v>0.38725693853975607</v>
      </c>
      <c r="G23" t="s">
        <v>636</v>
      </c>
      <c r="H23" s="373">
        <v>3.1861804507018623</v>
      </c>
      <c r="I23" s="29">
        <f>IFERROR(VLOOKUP(B23,POS_Cost!$B$3:$L$33,3,FALSE),"")</f>
        <v>9609.7943396683113</v>
      </c>
      <c r="J23" s="29">
        <f t="shared" si="0"/>
        <v>1300</v>
      </c>
      <c r="K23" s="29">
        <f t="shared" si="1"/>
        <v>100</v>
      </c>
      <c r="L23" s="536">
        <f t="shared" si="2"/>
        <v>13</v>
      </c>
      <c r="M23" s="29">
        <f t="shared" si="3"/>
        <v>1300</v>
      </c>
      <c r="N23" s="29">
        <f t="shared" si="4"/>
        <v>100</v>
      </c>
      <c r="O23" s="536">
        <f t="shared" si="5"/>
        <v>13</v>
      </c>
      <c r="P23" s="29">
        <f t="shared" si="9"/>
        <v>1300</v>
      </c>
      <c r="Q23" s="29">
        <f t="shared" si="10"/>
        <v>2600</v>
      </c>
      <c r="R23" s="455">
        <f t="shared" si="6"/>
        <v>0.27055729894941133</v>
      </c>
      <c r="S23" s="455">
        <f t="shared" si="7"/>
        <v>4.8013190995648151E-2</v>
      </c>
      <c r="T23" s="455">
        <f t="shared" si="11"/>
        <v>0.34992596802330533</v>
      </c>
      <c r="Z23" t="s">
        <v>1024</v>
      </c>
      <c r="AA23" s="455">
        <f t="shared" si="8"/>
        <v>1.2630972959190691E-2</v>
      </c>
      <c r="AB23" s="455" t="e">
        <f>SUM($AA$2:$AA23)</f>
        <v>#N/A</v>
      </c>
    </row>
    <row r="24" spans="1:28" ht="15" customHeight="1" x14ac:dyDescent="0.2">
      <c r="A24" s="531">
        <v>23</v>
      </c>
      <c r="B24" s="537" t="s">
        <v>1143</v>
      </c>
      <c r="C24" s="538">
        <f>IF(VLOOKUP($B24,POS_Cost!$B$3:$AK$33,33,0)="x","",$M24)</f>
        <v>1800</v>
      </c>
      <c r="D24" s="539">
        <f>IF(VLOOKUP($B24,POS_Cost!$B$3:$AK$33,33,0)="x","",$P24)</f>
        <v>2700</v>
      </c>
      <c r="E24" s="540" t="str">
        <f>IF(VLOOKUP($B24,POS_Cost!$B$3:$AK$33,33,0)="x","",IF(OR($O24="",$O24=0),"N/A",TEXT($N24,"$#,##")&amp;" for "&amp;$O24&amp;" pay periods"))</f>
        <v>$150 for 18 pay periods</v>
      </c>
      <c r="F24" s="28">
        <f>IFERROR(IF(VLOOKUP(B24,POS_Ratios!$B$3:$AC$33,28,FALSE)="x",MIN(I24/100000,POS_Ratios!$X$40)^((1-cost_share_target*POS_Ratios!$X$40)),IF(VLOOKUP(B24,POS_Ratios!$B$3:$AC$33,27,FALSE)="x",MIN(I24/100000,POS_Ratios!$X$38)^((1-cost_share_target*POS_Ratios!$X$38)),MIN(I24/100000,POS_Ratios!$X$39)^((1-cost_share_target*POS_Ratios!$X$39)))),"")</f>
        <v>0.63572236291407058</v>
      </c>
      <c r="G24" t="s">
        <v>639</v>
      </c>
      <c r="H24" s="373">
        <v>1.1801739663062731</v>
      </c>
      <c r="I24" s="29">
        <f>IFERROR(VLOOKUP(B24,POS_Cost!$B$3:$L$33,3,FALSE),"")</f>
        <v>39673.916914950925</v>
      </c>
      <c r="J24" s="29">
        <f t="shared" si="0"/>
        <v>1800</v>
      </c>
      <c r="K24" s="29">
        <f t="shared" si="1"/>
        <v>150</v>
      </c>
      <c r="L24" s="536">
        <f t="shared" si="2"/>
        <v>18</v>
      </c>
      <c r="M24" s="29">
        <f t="shared" si="3"/>
        <v>1800</v>
      </c>
      <c r="N24" s="29">
        <f t="shared" si="4"/>
        <v>150</v>
      </c>
      <c r="O24" s="536">
        <f t="shared" si="5"/>
        <v>18</v>
      </c>
      <c r="P24" s="29">
        <f t="shared" si="9"/>
        <v>2700</v>
      </c>
      <c r="Q24" s="29">
        <f t="shared" si="10"/>
        <v>4500</v>
      </c>
      <c r="R24" s="455">
        <f t="shared" si="6"/>
        <v>0.11342464646600589</v>
      </c>
      <c r="S24" s="455">
        <f t="shared" si="7"/>
        <v>7.3422170376599899E-2</v>
      </c>
      <c r="T24" s="455">
        <f t="shared" si="11"/>
        <v>0.18516143826576087</v>
      </c>
      <c r="Z24" t="s">
        <v>668</v>
      </c>
      <c r="AA24" s="455">
        <f t="shared" si="8"/>
        <v>5.5578472283185727E-3</v>
      </c>
      <c r="AB24" s="455" t="e">
        <f>SUM($AA$2:$AA24)</f>
        <v>#N/A</v>
      </c>
    </row>
    <row r="25" spans="1:28" x14ac:dyDescent="0.2">
      <c r="A25" s="531">
        <v>24</v>
      </c>
      <c r="B25" s="532" t="s">
        <v>959</v>
      </c>
      <c r="C25" s="533">
        <f>IF(VLOOKUP($B25,POS_Cost!$B$3:$AK$33,33,0)="x","",$M25)</f>
        <v>1300</v>
      </c>
      <c r="D25" s="534">
        <f>IF(VLOOKUP($B25,POS_Cost!$B$3:$AK$33,33,0)="x","",$P25)</f>
        <v>1300</v>
      </c>
      <c r="E25" s="535" t="str">
        <f>IF(VLOOKUP($B25,POS_Cost!$B$3:$AK$33,33,0)="x","",IF(OR($O25="",$O25=0),"N/A",TEXT($N25,"$#,##")&amp;" for "&amp;$O25&amp;" pay periods"))</f>
        <v>$100 for 13 pay periods</v>
      </c>
      <c r="F25" s="28">
        <f>IFERROR(IF(VLOOKUP(B25,POS_Ratios!$B$3:$AC$33,28,FALSE)="x",MIN(I25/100000,POS_Ratios!$X$40)^((1-cost_share_target*POS_Ratios!$X$40)),IF(VLOOKUP(B25,POS_Ratios!$B$3:$AC$33,27,FALSE)="x",MIN(I25/100000,POS_Ratios!$X$38)^((1-cost_share_target*POS_Ratios!$X$38)),MIN(I25/100000,POS_Ratios!$X$39)^((1-cost_share_target*POS_Ratios!$X$39)))),"")</f>
        <v>0.42042388304572631</v>
      </c>
      <c r="G25" t="s">
        <v>680</v>
      </c>
      <c r="H25" s="373">
        <v>0.10441520027099978</v>
      </c>
      <c r="I25" s="29">
        <f>IFERROR(VLOOKUP(B25,POS_Cost!$B$3:$L$33,3,FALSE),"")</f>
        <v>6668.4217528438458</v>
      </c>
      <c r="J25" s="29">
        <f t="shared" si="0"/>
        <v>1300</v>
      </c>
      <c r="K25" s="29">
        <f t="shared" si="1"/>
        <v>100</v>
      </c>
      <c r="L25" s="536">
        <f t="shared" si="2"/>
        <v>13</v>
      </c>
      <c r="M25" s="29">
        <f t="shared" si="3"/>
        <v>1300</v>
      </c>
      <c r="N25" s="29">
        <f t="shared" si="4"/>
        <v>100</v>
      </c>
      <c r="O25" s="536">
        <f t="shared" si="5"/>
        <v>13</v>
      </c>
      <c r="P25" s="29">
        <f t="shared" si="9"/>
        <v>1300</v>
      </c>
      <c r="Q25" s="29">
        <f t="shared" si="10"/>
        <v>2600</v>
      </c>
      <c r="R25" s="455">
        <f t="shared" si="6"/>
        <v>0.38989735448139468</v>
      </c>
      <c r="S25" s="455">
        <f t="shared" si="7"/>
        <v>1.0918497873021217E-3</v>
      </c>
      <c r="T25" s="455">
        <f t="shared" si="11"/>
        <v>0.40772762497874177</v>
      </c>
      <c r="Z25" t="s">
        <v>675</v>
      </c>
      <c r="AA25" s="455" t="e">
        <f t="shared" si="8"/>
        <v>#N/A</v>
      </c>
      <c r="AB25" s="455" t="e">
        <f>SUM($AA$2:$AA25)</f>
        <v>#N/A</v>
      </c>
    </row>
    <row r="26" spans="1:28" x14ac:dyDescent="0.2">
      <c r="A26" s="531">
        <v>25</v>
      </c>
      <c r="B26" s="537" t="s">
        <v>1140</v>
      </c>
      <c r="C26" s="538">
        <f>IF(VLOOKUP($B26,POS_Cost!$B$3:$AK$33,33,0)="x","",$M26)</f>
        <v>1200</v>
      </c>
      <c r="D26" s="539">
        <f>IF(VLOOKUP($B26,POS_Cost!$B$3:$AK$33,33,0)="x","",$P26)</f>
        <v>600</v>
      </c>
      <c r="E26" s="540" t="str">
        <f>IF(VLOOKUP($B26,POS_Cost!$B$3:$AK$33,33,0)="x","",IF(OR($O26="",$O26=0),"N/A",TEXT($N26,"$#,##")&amp;" for "&amp;$O26&amp;" pay periods"))</f>
        <v>$50 for 12 pay periods</v>
      </c>
      <c r="F26" s="28">
        <f>IFERROR(IF(VLOOKUP(B26,POS_Ratios!$B$3:$AC$33,28,FALSE)="x",MIN(I26/100000,POS_Ratios!$X$40)^((1-cost_share_target*POS_Ratios!$X$40)),IF(VLOOKUP(B26,POS_Ratios!$B$3:$AC$33,27,FALSE)="x",MIN(I26/100000,POS_Ratios!$X$38)^((1-cost_share_target*POS_Ratios!$X$38)),MIN(I26/100000,POS_Ratios!$X$39)^((1-cost_share_target*POS_Ratios!$X$39)))),"")</f>
        <v>0.37387460038781223</v>
      </c>
      <c r="G26" t="s">
        <v>687</v>
      </c>
      <c r="H26" s="373">
        <v>1.7526937975219239</v>
      </c>
      <c r="I26" s="29">
        <f>IFERROR(VLOOKUP(B26,POS_Cost!$B$3:$L$33,3,FALSE),"")</f>
        <v>4621.347547509471</v>
      </c>
      <c r="J26" s="29">
        <f t="shared" si="0"/>
        <v>1200</v>
      </c>
      <c r="K26" s="29">
        <f t="shared" si="1"/>
        <v>50</v>
      </c>
      <c r="L26" s="536">
        <f t="shared" si="2"/>
        <v>12</v>
      </c>
      <c r="M26" s="29">
        <f t="shared" si="3"/>
        <v>1200</v>
      </c>
      <c r="N26" s="29">
        <f t="shared" si="4"/>
        <v>50</v>
      </c>
      <c r="O26" s="536">
        <f t="shared" si="5"/>
        <v>12</v>
      </c>
      <c r="P26" s="29">
        <f t="shared" si="9"/>
        <v>600</v>
      </c>
      <c r="Q26" s="29">
        <f t="shared" si="10"/>
        <v>1800</v>
      </c>
      <c r="R26" s="455">
        <f t="shared" si="6"/>
        <v>0.38949678237683139</v>
      </c>
      <c r="S26" s="455">
        <f t="shared" si="7"/>
        <v>1.2701376478665228E-2</v>
      </c>
      <c r="T26" s="455">
        <f t="shared" si="11"/>
        <v>0.40763084177295922</v>
      </c>
      <c r="Z26" t="s">
        <v>675</v>
      </c>
      <c r="AA26" s="455" t="e">
        <f t="shared" si="8"/>
        <v>#N/A</v>
      </c>
      <c r="AB26" s="455" t="e">
        <f>SUM($AA$2:$AA26)</f>
        <v>#N/A</v>
      </c>
    </row>
    <row r="27" spans="1:28" x14ac:dyDescent="0.2">
      <c r="A27" s="531">
        <v>26</v>
      </c>
      <c r="B27" s="532" t="s">
        <v>1020</v>
      </c>
      <c r="C27" s="533">
        <f>IF(VLOOKUP($B27,POS_Cost!$B$3:$AK$33,33,0)="x","",$M27)</f>
        <v>1600</v>
      </c>
      <c r="D27" s="534">
        <f>IF(VLOOKUP($B27,POS_Cost!$B$3:$AK$33,33,0)="x","",$P27)</f>
        <v>1600</v>
      </c>
      <c r="E27" s="535" t="str">
        <f>IF(VLOOKUP($B27,POS_Cost!$B$3:$AK$33,33,0)="x","",IF(OR($O27="",$O27=0),"N/A",TEXT($N27,"$#,##")&amp;" for "&amp;$O27&amp;" pay periods"))</f>
        <v>$100 for 16 pay periods</v>
      </c>
      <c r="F27" s="28">
        <f>IFERROR(IF(VLOOKUP(B27,POS_Ratios!$B$3:$AC$33,28,FALSE)="x",MIN(I27/100000,POS_Ratios!$X$40)^((1-cost_share_target*POS_Ratios!$X$40)),IF(VLOOKUP(B27,POS_Ratios!$B$3:$AC$33,27,FALSE)="x",MIN(I27/100000,POS_Ratios!$X$38)^((1-cost_share_target*POS_Ratios!$X$38)),MIN(I27/100000,POS_Ratios!$X$39)^((1-cost_share_target*POS_Ratios!$X$39)))),"")</f>
        <v>0.5356115351764309</v>
      </c>
      <c r="G27" t="s">
        <v>1024</v>
      </c>
      <c r="H27" s="373">
        <v>0.28802368588267335</v>
      </c>
      <c r="I27" s="29">
        <f>IFERROR(VLOOKUP(B27,POS_Cost!$B$3:$L$33,3,FALSE),"")</f>
        <v>27966.137788129003</v>
      </c>
      <c r="J27" s="29">
        <f t="shared" si="0"/>
        <v>1600</v>
      </c>
      <c r="K27" s="29">
        <f t="shared" si="1"/>
        <v>100</v>
      </c>
      <c r="L27" s="536">
        <f t="shared" si="2"/>
        <v>16</v>
      </c>
      <c r="M27" s="29">
        <f t="shared" si="3"/>
        <v>1600</v>
      </c>
      <c r="N27" s="29">
        <f t="shared" si="4"/>
        <v>100</v>
      </c>
      <c r="O27" s="536">
        <f t="shared" si="5"/>
        <v>16</v>
      </c>
      <c r="P27" s="29">
        <f t="shared" si="9"/>
        <v>1600</v>
      </c>
      <c r="Q27" s="29">
        <f t="shared" si="10"/>
        <v>3200</v>
      </c>
      <c r="R27" s="455">
        <f t="shared" si="6"/>
        <v>0.11442409474783923</v>
      </c>
      <c r="S27" s="455">
        <f t="shared" si="7"/>
        <v>1.2630972959190691E-2</v>
      </c>
      <c r="T27" s="455">
        <f t="shared" si="11"/>
        <v>0.18652789024214447</v>
      </c>
      <c r="Z27" t="s">
        <v>676</v>
      </c>
      <c r="AA27" s="455">
        <f t="shared" si="8"/>
        <v>5.3696485954018245E-3</v>
      </c>
      <c r="AB27" s="455" t="e">
        <f>SUM($AA$2:$AA27)</f>
        <v>#N/A</v>
      </c>
    </row>
    <row r="28" spans="1:28" x14ac:dyDescent="0.2">
      <c r="A28" s="531">
        <v>27</v>
      </c>
      <c r="B28" s="537" t="s">
        <v>831</v>
      </c>
      <c r="C28" s="538">
        <f>IF(VLOOKUP($B28,POS_Cost!$B$3:$AK$33,33,0)="x","",$M28)</f>
        <v>1300</v>
      </c>
      <c r="D28" s="539">
        <f>IF(VLOOKUP($B28,POS_Cost!$B$3:$AK$33,33,0)="x","",$P28)</f>
        <v>1300</v>
      </c>
      <c r="E28" s="540" t="str">
        <f>IF(VLOOKUP($B28,POS_Cost!$B$3:$AK$33,33,0)="x","",IF(OR($O28="",$O28=0),"N/A",TEXT($N28,"$#,##")&amp;" for "&amp;$O28&amp;" pay periods"))</f>
        <v>$100 for 13 pay periods</v>
      </c>
      <c r="F28" s="28">
        <f>IFERROR(IF(VLOOKUP(B28,POS_Ratios!$B$3:$AC$33,28,FALSE)="x",MIN(I28/100000,POS_Ratios!$X$40)^((1-cost_share_target*POS_Ratios!$X$40)),IF(VLOOKUP(B28,POS_Ratios!$B$3:$AC$33,27,FALSE)="x",MIN(I28/100000,POS_Ratios!$X$38)^((1-cost_share_target*POS_Ratios!$X$38)),MIN(I28/100000,POS_Ratios!$X$39)^((1-cost_share_target*POS_Ratios!$X$39)))),"")</f>
        <v>0.41767015604558194</v>
      </c>
      <c r="G28" t="s">
        <v>684</v>
      </c>
      <c r="H28" s="373">
        <v>5.5347111224729274E-2</v>
      </c>
      <c r="I28" s="29">
        <f>IFERROR(VLOOKUP(B28,POS_Cost!$B$3:$L$33,3,FALSE),"")</f>
        <v>6532.8774933333325</v>
      </c>
      <c r="J28" s="29">
        <f t="shared" si="0"/>
        <v>1300</v>
      </c>
      <c r="K28" s="29">
        <f t="shared" si="1"/>
        <v>100</v>
      </c>
      <c r="L28" s="536">
        <f t="shared" si="2"/>
        <v>13</v>
      </c>
      <c r="M28" s="29">
        <f t="shared" si="3"/>
        <v>1300</v>
      </c>
      <c r="N28" s="29">
        <f t="shared" si="4"/>
        <v>100</v>
      </c>
      <c r="O28" s="536">
        <f t="shared" si="5"/>
        <v>13</v>
      </c>
      <c r="P28" s="29">
        <f t="shared" si="9"/>
        <v>1300</v>
      </c>
      <c r="Q28" s="29">
        <f t="shared" si="10"/>
        <v>2600</v>
      </c>
      <c r="R28" s="455">
        <f t="shared" si="6"/>
        <v>0.39798695179164872</v>
      </c>
      <c r="S28" s="455">
        <f t="shared" si="7"/>
        <v>5.669902372826E-4</v>
      </c>
      <c r="T28" s="455">
        <f t="shared" si="11"/>
        <v>0.40954200603694918</v>
      </c>
      <c r="Z28" t="s">
        <v>678</v>
      </c>
      <c r="AA28" s="455">
        <f t="shared" si="8"/>
        <v>2.80311546400377E-3</v>
      </c>
      <c r="AB28" s="455" t="e">
        <f>SUM($AA$2:$AA28)</f>
        <v>#N/A</v>
      </c>
    </row>
    <row r="29" spans="1:28" x14ac:dyDescent="0.2">
      <c r="A29" s="531">
        <v>28</v>
      </c>
      <c r="B29" s="537" t="s">
        <v>832</v>
      </c>
      <c r="C29" s="538">
        <f>IF(VLOOKUP($B29,POS_Cost!$B$3:$AK$33,33,0)="x","",$M29)</f>
        <v>1800</v>
      </c>
      <c r="D29" s="539">
        <f>IF(VLOOKUP($B29,POS_Cost!$B$3:$AK$33,33,0)="x","",$P29)</f>
        <v>2700</v>
      </c>
      <c r="E29" s="540" t="str">
        <f>IF(VLOOKUP($B29,POS_Cost!$B$3:$AK$33,33,0)="x","",IF(OR($O29="",$O29=0),"N/A",TEXT($N29,"$#,##")&amp;" for "&amp;$O29&amp;" pay periods"))</f>
        <v>$150 for 18 pay periods</v>
      </c>
      <c r="F29" s="28">
        <f>IFERROR(IF(VLOOKUP(B29,POS_Ratios!$B$3:$AC$33,28,FALSE)="x",MIN(I29/100000,POS_Ratios!$X$40)^((1-cost_share_target*POS_Ratios!$X$40)),IF(VLOOKUP(B29,POS_Ratios!$B$3:$AC$33,27,FALSE)="x",MIN(I29/100000,POS_Ratios!$X$38)^((1-cost_share_target*POS_Ratios!$X$38)),MIN(I29/100000,POS_Ratios!$X$39)^((1-cost_share_target*POS_Ratios!$X$39)))),"")</f>
        <v>0.62904933673623986</v>
      </c>
      <c r="G29" t="s">
        <v>670</v>
      </c>
      <c r="H29" s="373">
        <v>9.3127070511972776E-2</v>
      </c>
      <c r="I29" s="29">
        <f>IFERROR(VLOOKUP(B29,POS_Cost!$B$3:$L$33,3,FALSE),"")</f>
        <v>38828.665707214328</v>
      </c>
      <c r="J29" s="29">
        <f t="shared" si="0"/>
        <v>1800</v>
      </c>
      <c r="K29" s="29">
        <f t="shared" si="1"/>
        <v>150</v>
      </c>
      <c r="L29" s="536">
        <f t="shared" si="2"/>
        <v>18</v>
      </c>
      <c r="M29" s="29">
        <f t="shared" si="3"/>
        <v>1800</v>
      </c>
      <c r="N29" s="29">
        <f t="shared" si="4"/>
        <v>150</v>
      </c>
      <c r="O29" s="536">
        <f t="shared" si="5"/>
        <v>18</v>
      </c>
      <c r="P29" s="29">
        <f t="shared" si="9"/>
        <v>2700</v>
      </c>
      <c r="Q29" s="29">
        <f t="shared" si="10"/>
        <v>4500</v>
      </c>
      <c r="R29" s="455">
        <f t="shared" si="6"/>
        <v>0.11589375833648347</v>
      </c>
      <c r="S29" s="455">
        <f t="shared" si="7"/>
        <v>5.6702801564934742E-3</v>
      </c>
      <c r="T29" s="455">
        <f t="shared" si="11"/>
        <v>0.18852981796196325</v>
      </c>
      <c r="Z29" t="s">
        <v>680</v>
      </c>
      <c r="AA29" s="455">
        <f t="shared" si="8"/>
        <v>1.0918497873021217E-3</v>
      </c>
      <c r="AB29" s="455" t="e">
        <f>SUM($AA$2:$AA29)</f>
        <v>#N/A</v>
      </c>
    </row>
    <row r="30" spans="1:28" x14ac:dyDescent="0.2">
      <c r="A30" s="531">
        <v>29</v>
      </c>
      <c r="B30" s="532" t="s">
        <v>833</v>
      </c>
      <c r="C30" s="533">
        <f>IF(VLOOKUP($B30,POS_Cost!$B$3:$AK$33,33,0)="x","",$M30)</f>
        <v>1300</v>
      </c>
      <c r="D30" s="534">
        <f>IF(VLOOKUP($B30,POS_Cost!$B$3:$AK$33,33,0)="x","",$P30)</f>
        <v>1300</v>
      </c>
      <c r="E30" s="535" t="str">
        <f>IF(VLOOKUP($B30,POS_Cost!$B$3:$AK$33,33,0)="x","",IF(OR($O30="",$O30=0),"N/A",TEXT($N30,"$#,##")&amp;" for "&amp;$O30&amp;" pay periods"))</f>
        <v>$100 for 13 pay periods</v>
      </c>
      <c r="F30" s="28">
        <f>IFERROR(IF(VLOOKUP(B30,POS_Ratios!$B$3:$AC$33,28,FALSE)="x",MIN(I30/100000,POS_Ratios!$X$40)^((1-cost_share_target*POS_Ratios!$X$40)),IF(VLOOKUP(B30,POS_Ratios!$B$3:$AC$33,27,FALSE)="x",MIN(I30/100000,POS_Ratios!$X$38)^((1-cost_share_target*POS_Ratios!$X$38)),MIN(I30/100000,POS_Ratios!$X$39)^((1-cost_share_target*POS_Ratios!$X$39)))),"")</f>
        <v>0.40355564026190804</v>
      </c>
      <c r="G30" t="s">
        <v>656</v>
      </c>
      <c r="H30" s="373">
        <v>1.8797205327164748</v>
      </c>
      <c r="I30" s="29">
        <f>IFERROR(VLOOKUP(B30,POS_Cost!$B$3:$L$33,3,FALSE),"")</f>
        <v>5867.4337200184746</v>
      </c>
      <c r="J30" s="29">
        <f t="shared" si="0"/>
        <v>1300</v>
      </c>
      <c r="K30" s="29">
        <f t="shared" si="1"/>
        <v>100</v>
      </c>
      <c r="L30" s="536">
        <f t="shared" si="2"/>
        <v>13</v>
      </c>
      <c r="M30" s="29">
        <f t="shared" si="3"/>
        <v>1300</v>
      </c>
      <c r="N30" s="29">
        <f t="shared" si="4"/>
        <v>100</v>
      </c>
      <c r="O30" s="536">
        <f t="shared" si="5"/>
        <v>13</v>
      </c>
      <c r="P30" s="29">
        <f t="shared" si="9"/>
        <v>1300</v>
      </c>
      <c r="Q30" s="29">
        <f t="shared" si="10"/>
        <v>2600</v>
      </c>
      <c r="R30" s="455">
        <f t="shared" si="6"/>
        <v>0.44312388074011572</v>
      </c>
      <c r="S30" s="455">
        <f t="shared" si="7"/>
        <v>1.7294881323823237E-2</v>
      </c>
      <c r="T30" s="455">
        <f t="shared" si="11"/>
        <v>0.41</v>
      </c>
      <c r="Z30" t="s">
        <v>682</v>
      </c>
      <c r="AA30" s="455">
        <f t="shared" si="8"/>
        <v>9.3958928960881805E-3</v>
      </c>
      <c r="AB30" s="455" t="e">
        <f>SUM($AA$2:$AA30)</f>
        <v>#N/A</v>
      </c>
    </row>
    <row r="31" spans="1:28" x14ac:dyDescent="0.2">
      <c r="A31" s="531">
        <v>30</v>
      </c>
      <c r="B31" s="532" t="s">
        <v>958</v>
      </c>
      <c r="C31" s="533">
        <f>IF(VLOOKUP($B31,POS_Cost!$B$3:$AK$33,33,0)="x","",$M31)</f>
        <v>1200</v>
      </c>
      <c r="D31" s="534">
        <f>IF(VLOOKUP($B31,POS_Cost!$B$3:$AK$33,33,0)="x","",$P31)</f>
        <v>550</v>
      </c>
      <c r="E31" s="535" t="str">
        <f>IF(VLOOKUP($B31,POS_Cost!$B$3:$AK$33,33,0)="x","",IF(OR($O31="",$O31=0),"N/A",TEXT($N31,"$#,##")&amp;" for "&amp;$O31&amp;" pay periods"))</f>
        <v>$50 for 11 pay periods</v>
      </c>
      <c r="F31" s="28">
        <f>IFERROR(IF(VLOOKUP(B31,POS_Ratios!$B$3:$AC$33,28,FALSE)="x",MIN(I31/100000,POS_Ratios!$X$40)^((1-cost_share_target*POS_Ratios!$X$40)),IF(VLOOKUP(B31,POS_Ratios!$B$3:$AC$33,27,FALSE)="x",MIN(I31/100000,POS_Ratios!$X$38)^((1-cost_share_target*POS_Ratios!$X$38)),MIN(I31/100000,POS_Ratios!$X$39)^((1-cost_share_target*POS_Ratios!$X$39)))),"")</f>
        <v>0.33764259372859129</v>
      </c>
      <c r="G31" t="s">
        <v>650</v>
      </c>
      <c r="H31" s="373">
        <v>12.99309593291154</v>
      </c>
      <c r="I31" s="29">
        <f>IFERROR(VLOOKUP(B31,POS_Cost!$B$3:$L$33,3,FALSE),"")</f>
        <v>6850.0991683065276</v>
      </c>
      <c r="J31" s="29">
        <f t="shared" si="0"/>
        <v>1200</v>
      </c>
      <c r="K31" s="29">
        <f t="shared" si="1"/>
        <v>50</v>
      </c>
      <c r="L31" s="536">
        <f t="shared" si="2"/>
        <v>11</v>
      </c>
      <c r="M31" s="29">
        <f t="shared" si="3"/>
        <v>1200</v>
      </c>
      <c r="N31" s="29">
        <f t="shared" si="4"/>
        <v>50</v>
      </c>
      <c r="O31" s="536">
        <f t="shared" si="5"/>
        <v>11</v>
      </c>
      <c r="P31" s="29">
        <f t="shared" si="9"/>
        <v>550</v>
      </c>
      <c r="Q31" s="29">
        <f t="shared" si="10"/>
        <v>1750</v>
      </c>
      <c r="R31" s="455">
        <f t="shared" si="6"/>
        <v>0.2554707540726936</v>
      </c>
      <c r="S31" s="455">
        <f t="shared" si="7"/>
        <v>0.13956792196111037</v>
      </c>
      <c r="T31" s="455">
        <f t="shared" si="11"/>
        <v>0.33848007874663982</v>
      </c>
      <c r="Z31" t="s">
        <v>683</v>
      </c>
      <c r="AA31" s="455" t="e">
        <f t="shared" si="8"/>
        <v>#N/A</v>
      </c>
      <c r="AB31" s="455" t="e">
        <f>SUM($AA$2:$AA31)</f>
        <v>#N/A</v>
      </c>
    </row>
    <row r="32" spans="1:28" x14ac:dyDescent="0.2">
      <c r="A32" s="531">
        <v>31</v>
      </c>
      <c r="B32" s="537" t="s">
        <v>1139</v>
      </c>
      <c r="C32" s="538">
        <f>IF(VLOOKUP($B32,POS_Cost!$B$3:$AK$33,33,0)="x","",$M32)</f>
        <v>1400</v>
      </c>
      <c r="D32" s="539">
        <f>IF(VLOOKUP($B32,POS_Cost!$B$3:$AK$33,33,0)="x","",$P32)</f>
        <v>1400</v>
      </c>
      <c r="E32" s="540" t="str">
        <f>IF(VLOOKUP($B32,POS_Cost!$B$3:$AK$33,33,0)="x","",IF(OR($O32="",$O32=0),"N/A",TEXT($N32,"$#,##")&amp;" for "&amp;$O32&amp;" pay periods"))</f>
        <v>$100 for 14 pay periods</v>
      </c>
      <c r="F32" s="28">
        <f>IFERROR(IF(VLOOKUP(B32,POS_Ratios!$B$3:$AC$33,28,FALSE)="x",MIN(I32/100000,POS_Ratios!$X$40)^((1-cost_share_target*POS_Ratios!$X$40)),IF(VLOOKUP(B32,POS_Ratios!$B$3:$AC$33,27,FALSE)="x",MIN(I32/100000,POS_Ratios!$X$38)^((1-cost_share_target*POS_Ratios!$X$38)),MIN(I32/100000,POS_Ratios!$X$39)^((1-cost_share_target*POS_Ratios!$X$39)))),"")</f>
        <v>0.45893886353105828</v>
      </c>
      <c r="G32" t="s">
        <v>635</v>
      </c>
      <c r="H32" s="373">
        <v>0.33261179843083005</v>
      </c>
      <c r="I32" s="29">
        <f>IFERROR(VLOOKUP(B32,POS_Cost!$B$3:$L$33,3,FALSE),"")</f>
        <v>14615.940124514827</v>
      </c>
      <c r="J32" s="29">
        <f t="shared" si="0"/>
        <v>1400</v>
      </c>
      <c r="K32" s="29">
        <f t="shared" si="1"/>
        <v>100</v>
      </c>
      <c r="L32" s="536">
        <f t="shared" si="2"/>
        <v>14</v>
      </c>
      <c r="M32" s="29">
        <f t="shared" si="3"/>
        <v>1400</v>
      </c>
      <c r="N32" s="29">
        <f t="shared" si="4"/>
        <v>100</v>
      </c>
      <c r="O32" s="536">
        <f t="shared" si="5"/>
        <v>14</v>
      </c>
      <c r="P32" s="29">
        <f t="shared" si="9"/>
        <v>1400</v>
      </c>
      <c r="Q32" s="29">
        <f t="shared" si="10"/>
        <v>2800</v>
      </c>
      <c r="R32" s="455">
        <f t="shared" si="6"/>
        <v>0.19157166601303011</v>
      </c>
      <c r="S32" s="455">
        <f t="shared" si="7"/>
        <v>7.6232561745930658E-3</v>
      </c>
      <c r="T32" s="455">
        <f t="shared" si="11"/>
        <v>0.27970085213972234</v>
      </c>
      <c r="Z32" t="s">
        <v>684</v>
      </c>
      <c r="AA32" s="455">
        <f t="shared" si="8"/>
        <v>5.669902372826E-4</v>
      </c>
      <c r="AB32" s="455" t="e">
        <f>SUM($AA$2:$AA32)</f>
        <v>#N/A</v>
      </c>
    </row>
    <row r="33" spans="7:28" x14ac:dyDescent="0.2">
      <c r="R33" s="455"/>
      <c r="Z33" t="s">
        <v>686</v>
      </c>
      <c r="AA33" s="455">
        <f t="shared" si="8"/>
        <v>1.5487922849240366E-3</v>
      </c>
      <c r="AB33" s="455" t="e">
        <f>SUM($AA$2:$AA33)</f>
        <v>#N/A</v>
      </c>
    </row>
    <row r="34" spans="7:28" x14ac:dyDescent="0.2">
      <c r="G34" t="s">
        <v>403</v>
      </c>
      <c r="I34" s="29">
        <f t="shared" ref="I34:Q34" si="12">SUMPRODUCT(I$2:I$32,$H$2:$H$32)/SUM($H$2:$H$32)</f>
        <v>17013.974241759493</v>
      </c>
      <c r="J34" s="29">
        <f t="shared" si="12"/>
        <v>1397.0005891531812</v>
      </c>
      <c r="K34" s="29">
        <f t="shared" si="12"/>
        <v>88.11595212236314</v>
      </c>
      <c r="L34" s="536">
        <f t="shared" si="12"/>
        <v>13.605953458780917</v>
      </c>
      <c r="M34" s="29">
        <f t="shared" si="12"/>
        <v>1397.0005891531812</v>
      </c>
      <c r="N34" s="29">
        <f t="shared" si="12"/>
        <v>88.11595212236314</v>
      </c>
      <c r="O34" s="536">
        <f t="shared" si="12"/>
        <v>13.605953458780917</v>
      </c>
      <c r="P34" s="29">
        <f t="shared" si="12"/>
        <v>1289.559989158075</v>
      </c>
      <c r="Q34" s="29">
        <f t="shared" si="12"/>
        <v>2686.5605783112564</v>
      </c>
      <c r="R34" s="455">
        <f>Q35</f>
        <v>0.15790317653810124</v>
      </c>
      <c r="S34" s="455">
        <f>SUM(S$2:S$32)</f>
        <v>0.99999999999999989</v>
      </c>
      <c r="Z34" t="s">
        <v>687</v>
      </c>
      <c r="AA34" s="455">
        <f t="shared" si="8"/>
        <v>1.2701376478665228E-2</v>
      </c>
      <c r="AB34" s="455" t="e">
        <f>SUM($AA$2:$AA34)</f>
        <v>#N/A</v>
      </c>
    </row>
    <row r="35" spans="7:28" x14ac:dyDescent="0.2">
      <c r="G35" t="s">
        <v>851</v>
      </c>
      <c r="J35" s="28">
        <f>J34/$I34</f>
        <v>8.2109010470014149E-2</v>
      </c>
      <c r="M35" s="28">
        <f>M34/$I34</f>
        <v>8.2109010470014149E-2</v>
      </c>
      <c r="P35" s="28">
        <f>P34/$I34</f>
        <v>7.5794166068087088E-2</v>
      </c>
      <c r="Q35" s="28">
        <f>Q34/$I34</f>
        <v>0.15790317653810124</v>
      </c>
      <c r="R35" s="28"/>
    </row>
    <row r="36" spans="7:28" x14ac:dyDescent="0.2">
      <c r="G36" t="s">
        <v>1046</v>
      </c>
      <c r="Q36" s="542">
        <f>add_in_subsidy/100</f>
        <v>0.85</v>
      </c>
    </row>
    <row r="37" spans="7:28" x14ac:dyDescent="0.2">
      <c r="J37" s="29">
        <f>copay_min</f>
        <v>500</v>
      </c>
      <c r="K37" s="29">
        <v>0</v>
      </c>
      <c r="L37" s="29">
        <f>SUM(J37:K37)</f>
        <v>500</v>
      </c>
    </row>
    <row r="38" spans="7:28" x14ac:dyDescent="0.2">
      <c r="I38" s="29"/>
      <c r="J38" s="29">
        <f>copay_max</f>
        <v>2500</v>
      </c>
      <c r="K38" s="29">
        <f>payroll_max*period_max</f>
        <v>5200</v>
      </c>
      <c r="L38" s="29">
        <f>SUM(J38:K38)</f>
        <v>7700</v>
      </c>
    </row>
    <row r="39" spans="7:28" x14ac:dyDescent="0.2">
      <c r="J39" s="28">
        <f>J38/$L38</f>
        <v>0.32467532467532467</v>
      </c>
      <c r="K39" s="28">
        <f>K38/$L38</f>
        <v>0.67532467532467533</v>
      </c>
    </row>
    <row r="40" spans="7:28" x14ac:dyDescent="0.2">
      <c r="J40" s="29"/>
      <c r="K40" s="29"/>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enableFormatConditionsCalculation="0"/>
  <dimension ref="A1:AB40"/>
  <sheetViews>
    <sheetView workbookViewId="0">
      <pane xSplit="1" ySplit="1" topLeftCell="B6" activePane="bottomRight" state="frozen"/>
      <selection activeCell="S3" sqref="S3:T6"/>
      <selection pane="topRight" activeCell="S3" sqref="S3:T6"/>
      <selection pane="bottomLeft" activeCell="S3" sqref="S3:T6"/>
      <selection pane="bottomRight" activeCell="S3" sqref="S3:T6"/>
    </sheetView>
  </sheetViews>
  <sheetFormatPr baseColWidth="10" defaultColWidth="8.83203125" defaultRowHeight="15" x14ac:dyDescent="0.2"/>
  <cols>
    <col min="1" max="1" width="3.83203125" customWidth="1"/>
    <col min="2" max="2" width="52" customWidth="1"/>
    <col min="3" max="3" width="10.6640625" style="625" customWidth="1"/>
    <col min="4" max="4" width="9.5" customWidth="1"/>
    <col min="5" max="5" width="23" style="541" customWidth="1"/>
    <col min="6" max="6" width="8.83203125" customWidth="1"/>
    <col min="7" max="7" width="38.83203125" customWidth="1"/>
    <col min="8" max="18" width="9.6640625" customWidth="1"/>
    <col min="19" max="19" width="9.5" customWidth="1"/>
    <col min="26" max="26" width="27.83203125" customWidth="1"/>
    <col min="27" max="28" width="10.1640625" customWidth="1"/>
  </cols>
  <sheetData>
    <row r="1" spans="1:28" ht="52.25" customHeight="1" x14ac:dyDescent="0.2">
      <c r="B1" s="525" t="s">
        <v>923</v>
      </c>
      <c r="C1" s="526" t="s">
        <v>834</v>
      </c>
      <c r="D1" s="527" t="s">
        <v>835</v>
      </c>
      <c r="E1" s="528" t="s">
        <v>836</v>
      </c>
      <c r="F1" s="529" t="s">
        <v>965</v>
      </c>
      <c r="G1" s="529" t="s">
        <v>837</v>
      </c>
      <c r="H1" s="358" t="s">
        <v>306</v>
      </c>
      <c r="I1" s="358" t="s">
        <v>838</v>
      </c>
      <c r="J1" s="358" t="s">
        <v>839</v>
      </c>
      <c r="K1" s="358" t="s">
        <v>840</v>
      </c>
      <c r="L1" s="358" t="s">
        <v>841</v>
      </c>
      <c r="M1" s="358" t="s">
        <v>311</v>
      </c>
      <c r="N1" s="358" t="s">
        <v>842</v>
      </c>
      <c r="O1" s="358" t="s">
        <v>843</v>
      </c>
      <c r="P1" s="358" t="s">
        <v>844</v>
      </c>
      <c r="Q1" s="358" t="s">
        <v>845</v>
      </c>
      <c r="R1" s="358" t="s">
        <v>846</v>
      </c>
      <c r="S1" s="358" t="s">
        <v>847</v>
      </c>
      <c r="T1" s="358"/>
      <c r="U1" s="530" t="s">
        <v>848</v>
      </c>
      <c r="V1" s="530"/>
      <c r="W1" s="530"/>
      <c r="X1" s="530"/>
      <c r="Z1" t="s">
        <v>837</v>
      </c>
      <c r="AA1" s="625" t="s">
        <v>847</v>
      </c>
      <c r="AB1" s="358" t="s">
        <v>849</v>
      </c>
    </row>
    <row r="2" spans="1:28" ht="15.5" customHeight="1" x14ac:dyDescent="0.2">
      <c r="A2" s="531">
        <v>1</v>
      </c>
      <c r="B2" s="532" t="s">
        <v>1134</v>
      </c>
      <c r="C2" s="533">
        <f>IF(VLOOKUP($B2,POS_Cost!$B$3:$AK$33,35,0)="x","",$M2)</f>
        <v>1300</v>
      </c>
      <c r="D2" s="534">
        <f>IF(VLOOKUP($B2,POS_Cost!$B$3:$AK$33,35,0)="x","",$P2)</f>
        <v>1200</v>
      </c>
      <c r="E2" s="535" t="str">
        <f>IF(VLOOKUP($B2,POS_Cost!$B$3:$AK$33,35,0)="x","",IF(OR($O2="",$O2=0),"N/A",TEXT($N2,"$#,##")&amp;" for "&amp;$O2&amp;" pay periods"))</f>
        <v>$100 for 12 pay periods</v>
      </c>
      <c r="F2" s="28">
        <f>IFERROR(IF(VLOOKUP(B2,POS_Ratios!$B$3:$AC$33,28,FALSE)="x",MIN(I2/100000,POS_Ratios!$Z$40)^((1-cost_share_target*POS_Ratios!$Z$40)),IF(VLOOKUP(B2,POS_Ratios!$B$3:$AB$33,27,FALSE)="x",MIN(I2/100000,POS_Ratios!$Z$38)^((1-cost_share_target*POS_Ratios!$Z$38)),MIN(I2/100000,POS_Ratios!$Z$39)^((1-cost_share_target*POS_Ratios!$Z$39)))),"")</f>
        <v>0.38344950626137858</v>
      </c>
      <c r="G2" t="s">
        <v>678</v>
      </c>
      <c r="H2" s="373">
        <v>0.12642705330110243</v>
      </c>
      <c r="I2" s="29">
        <f>IFERROR(VLOOKUP(B2,POS_Cost!$B$3:$L$33,3,FALSE),"")</f>
        <v>14139.200827205883</v>
      </c>
      <c r="J2" s="29">
        <f t="shared" ref="J2:J32" si="0">IFERROR(MIN(MROUND(MIN($F2*(copay_max-copay_min)+copay_min,copay_max),copay_unit),$I2),"")</f>
        <v>1300</v>
      </c>
      <c r="K2" s="29">
        <f t="shared" ref="K2:K32" si="1">IFERROR(MROUND(MAX(MIN($F2*payroll_max,payroll_max),payroll_min),payroll_unit),"")</f>
        <v>100</v>
      </c>
      <c r="L2" s="536">
        <f t="shared" ref="L2:L32" si="2">IFERROR(MAX(MIN(ROUND($F2*(period_max-period_min)+period_min,0),period_max),0),"")</f>
        <v>12</v>
      </c>
      <c r="M2" s="29">
        <f t="shared" ref="M2:M32" si="3">IFERROR(IF(AND($L2&lt;period_min,$J2&gt;copay_min+period_min*payroll_min),$J2-(period_min-$L2)*payroll_min,IF($L2&lt;period_min,$J2+$K2*$L2,$J2)),"")</f>
        <v>1300</v>
      </c>
      <c r="N2" s="29">
        <f t="shared" ref="N2:N32" si="4">IFERROR(MROUND(MAX(MIN(($J2+$K2*$L2-$M2)/$O2,payroll_max),payroll_min),payroll_unit),"")</f>
        <v>100</v>
      </c>
      <c r="O2" s="536">
        <f t="shared" ref="O2:O32" si="5">IFERROR(IF($L2="","",IF($J2+$K2*$L2&gt;$I2,MAX(ROUNDDOWN(($I2*0.8-$M2)/payroll_max,0),0),MAX(MIN($L2,period_max),period_min))),"")</f>
        <v>12</v>
      </c>
      <c r="P2" s="29">
        <f>IFERROR($N2*$O2,"")</f>
        <v>1200</v>
      </c>
      <c r="Q2" s="29">
        <f>IF(SUM(M2,P2)=0,"",SUM(M2,P2))</f>
        <v>2500</v>
      </c>
      <c r="R2" s="455">
        <f t="shared" ref="R2:R32" si="6">IFERROR(Q2/I2,"")</f>
        <v>0.17681338786769588</v>
      </c>
      <c r="S2" s="455">
        <f t="shared" ref="S2:S32" si="7">IFERROR($H2*$I2/$I$34/SUM($H$2:$H$32),"")</f>
        <v>2.80311546400377E-3</v>
      </c>
      <c r="T2" s="455">
        <f>IF($R2="","",IF($R2&lt;=0.4,-1.0204*$R2^2+0.9161*$R2+0.0018,0.205)*2)</f>
        <v>0.26375601164821438</v>
      </c>
      <c r="U2" s="530" t="s">
        <v>850</v>
      </c>
      <c r="V2" s="530"/>
      <c r="W2" s="530"/>
      <c r="X2" s="530"/>
      <c r="Z2" t="s">
        <v>632</v>
      </c>
      <c r="AA2" s="455">
        <f t="shared" ref="AA2:AA34" si="8">VLOOKUP($Z2,$G$2:$S$32,13,0)</f>
        <v>5.3514593325699036E-2</v>
      </c>
      <c r="AB2" s="455">
        <f>SUM($AA$2:$AA2)</f>
        <v>5.3514593325699036E-2</v>
      </c>
    </row>
    <row r="3" spans="1:28" x14ac:dyDescent="0.2">
      <c r="A3" s="531">
        <v>2</v>
      </c>
      <c r="B3" s="537" t="s">
        <v>953</v>
      </c>
      <c r="C3" s="538">
        <f>IF(VLOOKUP($B3,POS_Cost!$B$3:$AK$33,35,0)="x","",$M3)</f>
        <v>1700</v>
      </c>
      <c r="D3" s="539">
        <f>IF(VLOOKUP($B3,POS_Cost!$B$3:$AK$33,35,0)="x","",$P3)</f>
        <v>1700</v>
      </c>
      <c r="E3" s="540" t="str">
        <f>IF(VLOOKUP($B3,POS_Cost!$B$3:$AK$33,35,0)="x","",IF(OR($O3="",$O3=0),"N/A",TEXT($N3,"$#,##")&amp;" for "&amp;$O3&amp;" pay periods"))</f>
        <v>$100 for 17 pay periods</v>
      </c>
      <c r="F3" s="28">
        <f>IFERROR(IF(VLOOKUP(B3,POS_Ratios!$B$3:$AC$33,28,FALSE)="x",MIN(I3/100000,POS_Ratios!$Z$40)^((1-cost_share_target*POS_Ratios!$Z$40)),IF(VLOOKUP(B3,POS_Ratios!$B$3:$AB$33,27,FALSE)="x",MIN(I3/100000,POS_Ratios!$Z$38)^((1-cost_share_target*POS_Ratios!$Z$38)),MIN(I3/100000,POS_Ratios!$Z$39)^((1-cost_share_target*POS_Ratios!$Z$39)))),"")</f>
        <v>0.59962234614915122</v>
      </c>
      <c r="G3" t="s">
        <v>633</v>
      </c>
      <c r="H3" s="373">
        <v>0.57019165445285147</v>
      </c>
      <c r="I3" s="29">
        <f>IFERROR(VLOOKUP(B3,POS_Cost!$B$3:$L$33,3,FALSE),"")</f>
        <v>41086.631598289983</v>
      </c>
      <c r="J3" s="29">
        <f t="shared" si="0"/>
        <v>1700</v>
      </c>
      <c r="K3" s="29">
        <f t="shared" si="1"/>
        <v>100</v>
      </c>
      <c r="L3" s="536">
        <f t="shared" si="2"/>
        <v>17</v>
      </c>
      <c r="M3" s="29">
        <f t="shared" si="3"/>
        <v>1700</v>
      </c>
      <c r="N3" s="29">
        <f t="shared" si="4"/>
        <v>100</v>
      </c>
      <c r="O3" s="536">
        <f t="shared" si="5"/>
        <v>17</v>
      </c>
      <c r="P3" s="29">
        <f t="shared" ref="P3:P32" si="9">IFERROR($N3*$O3,"")</f>
        <v>1700</v>
      </c>
      <c r="Q3" s="29">
        <f t="shared" ref="Q3:Q32" si="10">IF(SUM(M3,P3)=0,"",SUM(M3,P3))</f>
        <v>3400</v>
      </c>
      <c r="R3" s="455">
        <f t="shared" si="6"/>
        <v>8.2751977169661858E-2</v>
      </c>
      <c r="S3" s="455">
        <f t="shared" si="7"/>
        <v>3.6736476792549606E-2</v>
      </c>
      <c r="T3" s="455">
        <f t="shared" ref="T3:T32" si="11">IF($R3="","",IF($R3&lt;=0.4,-1.0204*$R3^2+0.9161*$R3+0.0018,0.205)*2)</f>
        <v>0.14124299921847805</v>
      </c>
      <c r="Z3" t="s">
        <v>633</v>
      </c>
      <c r="AA3" s="455">
        <f t="shared" si="8"/>
        <v>3.6736476792549606E-2</v>
      </c>
      <c r="AB3" s="455">
        <f>SUM($AA$2:$AA3)</f>
        <v>9.025107011824865E-2</v>
      </c>
    </row>
    <row r="4" spans="1:28" x14ac:dyDescent="0.2">
      <c r="A4" s="531">
        <v>3</v>
      </c>
      <c r="B4" s="537" t="s">
        <v>954</v>
      </c>
      <c r="C4" s="538">
        <f>IF(VLOOKUP($B4,POS_Cost!$B$3:$AK$33,35,0)="x","",$M4)</f>
        <v>1800</v>
      </c>
      <c r="D4" s="539">
        <f>IF(VLOOKUP($B4,POS_Cost!$B$3:$AK$33,35,0)="x","",$P4)</f>
        <v>2850</v>
      </c>
      <c r="E4" s="540" t="str">
        <f>IF(VLOOKUP($B4,POS_Cost!$B$3:$AK$33,35,0)="x","",IF(OR($O4="",$O4=0),"N/A",TEXT($N4,"$#,##")&amp;" for "&amp;$O4&amp;" pay periods"))</f>
        <v>$150 for 19 pay periods</v>
      </c>
      <c r="F4" s="28">
        <f>IFERROR(IF(VLOOKUP(B4,POS_Ratios!$B$3:$AC$33,28,FALSE)="x",MIN(I4/100000,POS_Ratios!$Z$40)^((1-cost_share_target*POS_Ratios!$Z$40)),IF(VLOOKUP(B4,POS_Ratios!$B$3:$AB$33,27,FALSE)="x",MIN(I4/100000,POS_Ratios!$Z$38)^((1-cost_share_target*POS_Ratios!$Z$38)),MIN(I4/100000,POS_Ratios!$Z$39)^((1-cost_share_target*POS_Ratios!$Z$39)))),"")</f>
        <v>0.67128625139013176</v>
      </c>
      <c r="G4" t="s">
        <v>633</v>
      </c>
      <c r="H4" s="373">
        <v>0.51516202187759474</v>
      </c>
      <c r="I4" s="29">
        <f>IFERROR(VLOOKUP(B4,POS_Cost!$B$3:$L$33,3,FALSE),"")</f>
        <v>78172.246487055003</v>
      </c>
      <c r="J4" s="29">
        <f t="shared" si="0"/>
        <v>1800</v>
      </c>
      <c r="K4" s="29">
        <f t="shared" si="1"/>
        <v>150</v>
      </c>
      <c r="L4" s="536">
        <f t="shared" si="2"/>
        <v>19</v>
      </c>
      <c r="M4" s="29">
        <f t="shared" si="3"/>
        <v>1800</v>
      </c>
      <c r="N4" s="29">
        <f t="shared" si="4"/>
        <v>150</v>
      </c>
      <c r="O4" s="536">
        <f t="shared" si="5"/>
        <v>19</v>
      </c>
      <c r="P4" s="29">
        <f t="shared" si="9"/>
        <v>2850</v>
      </c>
      <c r="Q4" s="29">
        <f>IF(SUM(M4,P4)=0,"",SUM(M4,P4))</f>
        <v>4650</v>
      </c>
      <c r="R4" s="455">
        <f>IFERROR(Q4/I4,"")</f>
        <v>5.9484026735371107E-2</v>
      </c>
      <c r="S4" s="455">
        <f t="shared" si="7"/>
        <v>6.314988154596099E-2</v>
      </c>
      <c r="T4" s="455">
        <f t="shared" si="11"/>
        <v>0.10536557025422276</v>
      </c>
      <c r="Z4" t="s">
        <v>634</v>
      </c>
      <c r="AA4" s="455" t="e">
        <f t="shared" si="8"/>
        <v>#N/A</v>
      </c>
      <c r="AB4" s="455" t="e">
        <f>SUM($AA$2:$AA4)</f>
        <v>#N/A</v>
      </c>
    </row>
    <row r="5" spans="1:28" x14ac:dyDescent="0.2">
      <c r="A5" s="531">
        <v>4</v>
      </c>
      <c r="B5" s="537" t="s">
        <v>952</v>
      </c>
      <c r="C5" s="538">
        <f>IF(VLOOKUP($B5,POS_Cost!$B$3:$AK$33,35,0)="x","",$M5)</f>
        <v>1800</v>
      </c>
      <c r="D5" s="539">
        <f>IF(VLOOKUP($B5,POS_Cost!$B$3:$AK$33,35,0)="x","",$P5)</f>
        <v>2850</v>
      </c>
      <c r="E5" s="540" t="str">
        <f>IF(VLOOKUP($B5,POS_Cost!$B$3:$AK$33,35,0)="x","",IF(OR($O5="",$O5=0),"N/A",TEXT($N5,"$#,##")&amp;" for "&amp;$O5&amp;" pay periods"))</f>
        <v>$150 for 19 pay periods</v>
      </c>
      <c r="F5" s="28">
        <f>IFERROR(IF(VLOOKUP(B5,POS_Ratios!$B$3:$AC$33,28,FALSE)="x",MIN(I5/100000,POS_Ratios!$Z$40)^((1-cost_share_target*POS_Ratios!$Z$40)),IF(VLOOKUP(B5,POS_Ratios!$B$3:$AB$33,27,FALSE)="x",MIN(I5/100000,POS_Ratios!$Z$38)^((1-cost_share_target*POS_Ratios!$Z$38)),MIN(I5/100000,POS_Ratios!$Z$39)^((1-cost_share_target*POS_Ratios!$Z$39)))),"")</f>
        <v>0.67128625139013176</v>
      </c>
      <c r="G5" t="s">
        <v>633</v>
      </c>
      <c r="H5" s="373">
        <v>1.6876459497855307</v>
      </c>
      <c r="I5" s="29">
        <f>IFERROR(VLOOKUP(B5,POS_Cost!$B$3:$L$33,3,FALSE),"")</f>
        <v>51704.705835570385</v>
      </c>
      <c r="J5" s="29">
        <f t="shared" si="0"/>
        <v>1800</v>
      </c>
      <c r="K5" s="29">
        <f t="shared" si="1"/>
        <v>150</v>
      </c>
      <c r="L5" s="536">
        <f t="shared" si="2"/>
        <v>19</v>
      </c>
      <c r="M5" s="29">
        <f t="shared" si="3"/>
        <v>1800</v>
      </c>
      <c r="N5" s="29">
        <f t="shared" si="4"/>
        <v>150</v>
      </c>
      <c r="O5" s="536">
        <f t="shared" si="5"/>
        <v>19</v>
      </c>
      <c r="P5" s="29">
        <f t="shared" si="9"/>
        <v>2850</v>
      </c>
      <c r="Q5" s="29">
        <f>IF(SUM(M5,P5)=0,"",SUM(M5,P5))</f>
        <v>4650</v>
      </c>
      <c r="R5" s="455">
        <f>IFERROR(Q5/I5,"")</f>
        <v>8.9933786970721352E-2</v>
      </c>
      <c r="S5" s="455">
        <f t="shared" si="7"/>
        <v>0.13683195171297793</v>
      </c>
      <c r="T5" s="455">
        <f t="shared" si="11"/>
        <v>0.15187051849957856</v>
      </c>
      <c r="Z5" t="s">
        <v>635</v>
      </c>
      <c r="AA5" s="455">
        <f t="shared" si="8"/>
        <v>7.6232561745930658E-3</v>
      </c>
      <c r="AB5" s="455" t="e">
        <f>SUM($AA$2:$AA5)</f>
        <v>#N/A</v>
      </c>
    </row>
    <row r="6" spans="1:28" x14ac:dyDescent="0.2">
      <c r="A6" s="531">
        <v>5</v>
      </c>
      <c r="B6" s="537" t="s">
        <v>1135</v>
      </c>
      <c r="C6" s="538">
        <f>IF(VLOOKUP($B6,POS_Cost!$B$3:$AK$33,35,0)="x","",$M6)</f>
        <v>1500</v>
      </c>
      <c r="D6" s="539">
        <f>IF(VLOOKUP($B6,POS_Cost!$B$3:$AK$33,35,0)="x","",$P6)</f>
        <v>1500</v>
      </c>
      <c r="E6" s="540" t="str">
        <f>IF(VLOOKUP($B6,POS_Cost!$B$3:$AK$33,35,0)="x","",IF(OR($O6="",$O6=0),"N/A",TEXT($N6,"$#,##")&amp;" for "&amp;$O6&amp;" pay periods"))</f>
        <v>$100 for 15 pay periods</v>
      </c>
      <c r="F6" s="28">
        <f>IFERROR(IF(VLOOKUP(B6,POS_Ratios!$B$3:$AC$33,28,FALSE)="x",MIN(I6/100000,POS_Ratios!$Z$40)^((1-cost_share_target*POS_Ratios!$Z$40)),IF(VLOOKUP(B6,POS_Ratios!$B$3:$AB$33,27,FALSE)="x",MIN(I6/100000,POS_Ratios!$Z$38)^((1-cost_share_target*POS_Ratios!$Z$38)),MIN(I6/100000,POS_Ratios!$Z$39)^((1-cost_share_target*POS_Ratios!$Z$39)))),"")</f>
        <v>0.49518251704196758</v>
      </c>
      <c r="G6" t="s">
        <v>689</v>
      </c>
      <c r="H6" s="373">
        <v>0.68360208312557591</v>
      </c>
      <c r="I6" s="29">
        <f>IFERROR(VLOOKUP(B6,POS_Cost!$B$3:$L$33,3,FALSE),"")</f>
        <v>29454.865826672838</v>
      </c>
      <c r="J6" s="29">
        <f t="shared" si="0"/>
        <v>1500</v>
      </c>
      <c r="K6" s="29">
        <f t="shared" si="1"/>
        <v>100</v>
      </c>
      <c r="L6" s="536">
        <f t="shared" si="2"/>
        <v>15</v>
      </c>
      <c r="M6" s="29">
        <f t="shared" si="3"/>
        <v>1500</v>
      </c>
      <c r="N6" s="29">
        <f t="shared" si="4"/>
        <v>100</v>
      </c>
      <c r="O6" s="536">
        <f t="shared" si="5"/>
        <v>15</v>
      </c>
      <c r="P6" s="29">
        <f t="shared" si="9"/>
        <v>1500</v>
      </c>
      <c r="Q6" s="29">
        <f t="shared" si="10"/>
        <v>3000</v>
      </c>
      <c r="R6" s="455">
        <f t="shared" si="6"/>
        <v>0.1018507440384723</v>
      </c>
      <c r="S6" s="455">
        <f t="shared" si="7"/>
        <v>3.1574503834923363E-2</v>
      </c>
      <c r="T6" s="455">
        <f t="shared" si="11"/>
        <v>0.16904054328321155</v>
      </c>
      <c r="Z6" t="s">
        <v>636</v>
      </c>
      <c r="AA6" s="455">
        <f t="shared" si="8"/>
        <v>4.8013190995648151E-2</v>
      </c>
      <c r="AB6" s="455" t="e">
        <f>SUM($AA$2:$AA6)</f>
        <v>#N/A</v>
      </c>
    </row>
    <row r="7" spans="1:28" x14ac:dyDescent="0.2">
      <c r="A7" s="531">
        <v>6</v>
      </c>
      <c r="B7" s="537" t="s">
        <v>823</v>
      </c>
      <c r="C7" s="538">
        <f>IF(VLOOKUP($B7,POS_Cost!$B$3:$AK$33,35,0)="x","",$M7)</f>
        <v>1300</v>
      </c>
      <c r="D7" s="539">
        <f>IF(VLOOKUP($B7,POS_Cost!$B$3:$AK$33,35,0)="x","",$P7)</f>
        <v>1200</v>
      </c>
      <c r="E7" s="540" t="str">
        <f>IF(VLOOKUP($B7,POS_Cost!$B$3:$AK$33,35,0)="x","",IF(OR($O7="",$O7=0),"N/A",TEXT($N7,"$#,##")&amp;" for "&amp;$O7&amp;" pay periods"))</f>
        <v>$100 for 12 pay periods</v>
      </c>
      <c r="F7" s="28">
        <f>IFERROR(IF(VLOOKUP(B7,POS_Ratios!$B$3:$AC$33,28,FALSE)="x",MIN(I7/100000,POS_Ratios!$Z$40)^((1-cost_share_target*POS_Ratios!$Z$40)),IF(VLOOKUP(B7,POS_Ratios!$B$3:$AB$33,27,FALSE)="x",MIN(I7/100000,POS_Ratios!$Z$38)^((1-cost_share_target*POS_Ratios!$Z$38)),MIN(I7/100000,POS_Ratios!$Z$39)^((1-cost_share_target*POS_Ratios!$Z$39)))),"")</f>
        <v>0.3822426807183566</v>
      </c>
      <c r="G7" t="s">
        <v>668</v>
      </c>
      <c r="H7" s="373">
        <v>0.2522897001142535</v>
      </c>
      <c r="I7" s="29">
        <f>IFERROR(VLOOKUP(B7,POS_Cost!$B$3:$L$33,3,FALSE),"")</f>
        <v>14048.532997211896</v>
      </c>
      <c r="J7" s="29">
        <f t="shared" si="0"/>
        <v>1300</v>
      </c>
      <c r="K7" s="29">
        <f t="shared" si="1"/>
        <v>100</v>
      </c>
      <c r="L7" s="536">
        <f t="shared" si="2"/>
        <v>12</v>
      </c>
      <c r="M7" s="29">
        <f t="shared" si="3"/>
        <v>1300</v>
      </c>
      <c r="N7" s="29">
        <f t="shared" si="4"/>
        <v>100</v>
      </c>
      <c r="O7" s="536">
        <f t="shared" si="5"/>
        <v>12</v>
      </c>
      <c r="P7" s="29">
        <f t="shared" si="9"/>
        <v>1200</v>
      </c>
      <c r="Q7" s="29">
        <f t="shared" si="10"/>
        <v>2500</v>
      </c>
      <c r="R7" s="455">
        <f t="shared" si="6"/>
        <v>0.17795452382794386</v>
      </c>
      <c r="S7" s="455">
        <f t="shared" si="7"/>
        <v>5.5578472283185727E-3</v>
      </c>
      <c r="T7" s="455">
        <f t="shared" si="11"/>
        <v>0.26502060670382438</v>
      </c>
      <c r="Z7" t="s">
        <v>639</v>
      </c>
      <c r="AA7" s="455">
        <f t="shared" si="8"/>
        <v>7.3422170376599899E-2</v>
      </c>
      <c r="AB7" s="455" t="e">
        <f>SUM($AA$2:$AA7)</f>
        <v>#N/A</v>
      </c>
    </row>
    <row r="8" spans="1:28" x14ac:dyDescent="0.2">
      <c r="A8" s="531">
        <v>7</v>
      </c>
      <c r="B8" s="532" t="s">
        <v>824</v>
      </c>
      <c r="C8" s="533">
        <f>IF(VLOOKUP($B8,POS_Cost!$B$3:$AK$33,35,0)="x","",$M8)</f>
        <v>1300</v>
      </c>
      <c r="D8" s="534">
        <f>IF(VLOOKUP($B8,POS_Cost!$B$3:$AK$33,35,0)="x","",$P8)</f>
        <v>1200</v>
      </c>
      <c r="E8" s="535" t="str">
        <f>IF(VLOOKUP($B8,POS_Cost!$B$3:$AK$33,35,0)="x","",IF(OR($O8="",$O8=0),"N/A",TEXT($N8,"$#,##")&amp;" for "&amp;$O8&amp;" pay periods"))</f>
        <v>$100 for 12 pay periods</v>
      </c>
      <c r="F8" s="28">
        <f>IFERROR(IF(VLOOKUP(B8,POS_Ratios!$B$3:$AC$33,28,FALSE)="x",MIN(I8/100000,POS_Ratios!$Z$40)^((1-cost_share_target*POS_Ratios!$Z$40)),IF(VLOOKUP(B8,POS_Ratios!$B$3:$AB$33,27,FALSE)="x",MIN(I8/100000,POS_Ratios!$Z$38)^((1-cost_share_target*POS_Ratios!$Z$38)),MIN(I8/100000,POS_Ratios!$Z$39)^((1-cost_share_target*POS_Ratios!$Z$39)))),"")</f>
        <v>0.38622277344746275</v>
      </c>
      <c r="G8" t="s">
        <v>654</v>
      </c>
      <c r="H8" s="373">
        <v>0.59357924829733555</v>
      </c>
      <c r="I8" s="29">
        <f>IFERROR(VLOOKUP(B8,POS_Cost!$B$3:$L$33,3,FALSE),"")</f>
        <v>9546.5535446932445</v>
      </c>
      <c r="J8" s="29">
        <f t="shared" si="0"/>
        <v>1300</v>
      </c>
      <c r="K8" s="29">
        <f t="shared" si="1"/>
        <v>100</v>
      </c>
      <c r="L8" s="536">
        <f t="shared" si="2"/>
        <v>12</v>
      </c>
      <c r="M8" s="29">
        <f t="shared" si="3"/>
        <v>1300</v>
      </c>
      <c r="N8" s="29">
        <f t="shared" si="4"/>
        <v>100</v>
      </c>
      <c r="O8" s="536">
        <f t="shared" si="5"/>
        <v>12</v>
      </c>
      <c r="P8" s="29">
        <f t="shared" si="9"/>
        <v>1200</v>
      </c>
      <c r="Q8" s="29">
        <f t="shared" si="10"/>
        <v>2500</v>
      </c>
      <c r="R8" s="455">
        <f t="shared" si="6"/>
        <v>0.26187461142871865</v>
      </c>
      <c r="S8" s="455">
        <f t="shared" si="7"/>
        <v>8.8859001895462159E-3</v>
      </c>
      <c r="T8" s="455">
        <f t="shared" si="11"/>
        <v>0.34345204370368709</v>
      </c>
      <c r="Z8" t="s">
        <v>640</v>
      </c>
      <c r="AA8" s="455">
        <f t="shared" si="8"/>
        <v>4.7015784446805188E-2</v>
      </c>
      <c r="AB8" s="455" t="e">
        <f>SUM($AA$2:$AA8)</f>
        <v>#N/A</v>
      </c>
    </row>
    <row r="9" spans="1:28" x14ac:dyDescent="0.2">
      <c r="A9" s="531">
        <v>8</v>
      </c>
      <c r="B9" s="537" t="s">
        <v>955</v>
      </c>
      <c r="C9" s="538">
        <f>IF(VLOOKUP($B9,POS_Cost!$B$3:$AK$33,35,0)="x","",$M9)</f>
        <v>1500</v>
      </c>
      <c r="D9" s="539">
        <f>IF(VLOOKUP($B9,POS_Cost!$B$3:$AK$33,35,0)="x","",$P9)</f>
        <v>1500</v>
      </c>
      <c r="E9" s="540" t="str">
        <f>IF(VLOOKUP($B9,POS_Cost!$B$3:$AK$33,35,0)="x","",IF(OR($O9="",$O9=0),"N/A",TEXT($N9,"$#,##")&amp;" for "&amp;$O9&amp;" pay periods"))</f>
        <v>$100 for 15 pay periods</v>
      </c>
      <c r="F9" s="28">
        <f>IFERROR(IF(VLOOKUP(B9,POS_Ratios!$B$3:$AC$33,28,FALSE)="x",MIN(I9/100000,POS_Ratios!$Z$40)^((1-cost_share_target*POS_Ratios!$Z$40)),IF(VLOOKUP(B9,POS_Ratios!$B$3:$AB$33,27,FALSE)="x",MIN(I9/100000,POS_Ratios!$Z$38)^((1-cost_share_target*POS_Ratios!$Z$38)),MIN(I9/100000,POS_Ratios!$Z$39)^((1-cost_share_target*POS_Ratios!$Z$39)))),"")</f>
        <v>0.49138890037582056</v>
      </c>
      <c r="G9" t="s">
        <v>956</v>
      </c>
      <c r="H9" s="373">
        <v>2.63874143279455</v>
      </c>
      <c r="I9" s="29">
        <f>IFERROR(VLOOKUP(B9,POS_Cost!$B$3:$L$33,3,FALSE),"")</f>
        <v>29063.533991905028</v>
      </c>
      <c r="J9" s="29">
        <f t="shared" si="0"/>
        <v>1500</v>
      </c>
      <c r="K9" s="29">
        <f t="shared" si="1"/>
        <v>100</v>
      </c>
      <c r="L9" s="536">
        <f t="shared" si="2"/>
        <v>15</v>
      </c>
      <c r="M9" s="29">
        <f t="shared" si="3"/>
        <v>1500</v>
      </c>
      <c r="N9" s="29">
        <f t="shared" si="4"/>
        <v>100</v>
      </c>
      <c r="O9" s="536">
        <f t="shared" si="5"/>
        <v>15</v>
      </c>
      <c r="P9" s="29">
        <f t="shared" si="9"/>
        <v>1500</v>
      </c>
      <c r="Q9" s="29">
        <f t="shared" si="10"/>
        <v>3000</v>
      </c>
      <c r="R9" s="455">
        <f t="shared" si="6"/>
        <v>0.10322213399222477</v>
      </c>
      <c r="S9" s="455">
        <f t="shared" si="7"/>
        <v>0.12026004614980602</v>
      </c>
      <c r="T9" s="455">
        <f t="shared" si="11"/>
        <v>0.17097925980374351</v>
      </c>
      <c r="Z9" t="s">
        <v>641</v>
      </c>
      <c r="AA9" s="455" t="e">
        <f t="shared" si="8"/>
        <v>#N/A</v>
      </c>
      <c r="AB9" s="455" t="e">
        <f>SUM($AA$2:$AA9)</f>
        <v>#N/A</v>
      </c>
    </row>
    <row r="10" spans="1:28" x14ac:dyDescent="0.2">
      <c r="A10" s="531">
        <v>9</v>
      </c>
      <c r="B10" s="532" t="s">
        <v>825</v>
      </c>
      <c r="C10" s="533" t="str">
        <f>IF(VLOOKUP($B10,POS_Cost!$B$3:$AK$33,35,0)="x","",$M10)</f>
        <v/>
      </c>
      <c r="D10" s="534" t="str">
        <f>IF(VLOOKUP($B10,POS_Cost!$B$3:$AK$33,35,0)="x","",$P10)</f>
        <v/>
      </c>
      <c r="E10" s="535" t="str">
        <f>IF(VLOOKUP($B10,POS_Cost!$B$3:$AK$33,35,0)="x","",IF(OR($O10="",$O10=0),"N/A",TEXT($N10,"$#,##")&amp;" for "&amp;$O10&amp;" pay periods"))</f>
        <v/>
      </c>
      <c r="F10" s="28">
        <f>IFERROR(IF(VLOOKUP(B10,POS_Ratios!$B$3:$AC$33,28,FALSE)="x",MIN(I10/100000,POS_Ratios!$Z$40)^((1-cost_share_target*POS_Ratios!$Z$40)),IF(VLOOKUP(B10,POS_Ratios!$B$3:$AB$33,27,FALSE)="x",MIN(I10/100000,POS_Ratios!$Z$38)^((1-cost_share_target*POS_Ratios!$Z$38)),MIN(I10/100000,POS_Ratios!$Z$39)^((1-cost_share_target*POS_Ratios!$Z$39)))),"")</f>
        <v>0.62061726035619835</v>
      </c>
      <c r="G10" t="s">
        <v>663</v>
      </c>
      <c r="H10" s="373">
        <v>7.9016908313189013E-2</v>
      </c>
      <c r="I10" s="29">
        <f>IFERROR(VLOOKUP(B10,POS_Cost!$B$3:$L$33,3,FALSE),"")</f>
        <v>43620.802578422488</v>
      </c>
      <c r="J10" s="29">
        <f t="shared" si="0"/>
        <v>1700</v>
      </c>
      <c r="K10" s="29">
        <f t="shared" si="1"/>
        <v>100</v>
      </c>
      <c r="L10" s="536">
        <f t="shared" si="2"/>
        <v>18</v>
      </c>
      <c r="M10" s="29">
        <f t="shared" si="3"/>
        <v>1700</v>
      </c>
      <c r="N10" s="29">
        <f t="shared" si="4"/>
        <v>100</v>
      </c>
      <c r="O10" s="536">
        <f t="shared" si="5"/>
        <v>18</v>
      </c>
      <c r="P10" s="29">
        <f t="shared" si="9"/>
        <v>1800</v>
      </c>
      <c r="Q10" s="29">
        <f t="shared" si="10"/>
        <v>3500</v>
      </c>
      <c r="R10" s="455">
        <f t="shared" si="6"/>
        <v>8.0236946436453543E-2</v>
      </c>
      <c r="S10" s="455">
        <f t="shared" si="7"/>
        <v>5.4049265122077441E-3</v>
      </c>
      <c r="T10" s="455">
        <f t="shared" si="11"/>
        <v>0.13747152903698093</v>
      </c>
      <c r="Z10" t="s">
        <v>656</v>
      </c>
      <c r="AA10" s="455">
        <f t="shared" si="8"/>
        <v>1.7294881323823237E-2</v>
      </c>
      <c r="AB10" s="455" t="e">
        <f>SUM($AA$2:$AA10)</f>
        <v>#N/A</v>
      </c>
    </row>
    <row r="11" spans="1:28" x14ac:dyDescent="0.2">
      <c r="A11" s="531">
        <v>10</v>
      </c>
      <c r="B11" s="537" t="s">
        <v>826</v>
      </c>
      <c r="C11" s="538">
        <f>IF(VLOOKUP($B11,POS_Cost!$B$3:$AK$33,35,0)="x","",$M11)</f>
        <v>1200</v>
      </c>
      <c r="D11" s="539">
        <f>IF(VLOOKUP($B11,POS_Cost!$B$3:$AK$33,35,0)="x","",$P11)</f>
        <v>550</v>
      </c>
      <c r="E11" s="540" t="str">
        <f>IF(VLOOKUP($B11,POS_Cost!$B$3:$AK$33,35,0)="x","",IF(OR($O11="",$O11=0),"N/A",TEXT($N11,"$#,##")&amp;" for "&amp;$O11&amp;" pay periods"))</f>
        <v>$50 for 11 pay periods</v>
      </c>
      <c r="F11" s="28">
        <f>IFERROR(IF(VLOOKUP(B11,POS_Ratios!$B$3:$AC$33,28,FALSE)="x",MIN(I11/100000,POS_Ratios!$Z$40)^((1-cost_share_target*POS_Ratios!$Z$40)),IF(VLOOKUP(B11,POS_Ratios!$B$3:$AB$33,27,FALSE)="x",MIN(I11/100000,POS_Ratios!$Z$38)^((1-cost_share_target*POS_Ratios!$Z$38)),MIN(I11/100000,POS_Ratios!$Z$39)^((1-cost_share_target*POS_Ratios!$Z$39)))),"")</f>
        <v>0.3369921867634027</v>
      </c>
      <c r="G11" t="s">
        <v>657</v>
      </c>
      <c r="H11" s="373">
        <v>0.99212077960198253</v>
      </c>
      <c r="I11" s="29">
        <f>IFERROR(VLOOKUP(B11,POS_Cost!$B$3:$L$33,3,FALSE),"")</f>
        <v>6817.5638537543291</v>
      </c>
      <c r="J11" s="29">
        <f t="shared" si="0"/>
        <v>1200</v>
      </c>
      <c r="K11" s="29">
        <f t="shared" si="1"/>
        <v>50</v>
      </c>
      <c r="L11" s="536">
        <f t="shared" si="2"/>
        <v>11</v>
      </c>
      <c r="M11" s="29">
        <f t="shared" si="3"/>
        <v>1200</v>
      </c>
      <c r="N11" s="29">
        <f t="shared" si="4"/>
        <v>50</v>
      </c>
      <c r="O11" s="536">
        <f t="shared" si="5"/>
        <v>11</v>
      </c>
      <c r="P11" s="29">
        <f t="shared" si="9"/>
        <v>550</v>
      </c>
      <c r="Q11" s="29">
        <f t="shared" si="10"/>
        <v>1750</v>
      </c>
      <c r="R11" s="455">
        <f t="shared" si="6"/>
        <v>0.25668993170284743</v>
      </c>
      <c r="S11" s="455">
        <f t="shared" si="7"/>
        <v>1.0606445595013529E-2</v>
      </c>
      <c r="T11" s="455">
        <f t="shared" si="11"/>
        <v>0.33943955017239752</v>
      </c>
      <c r="Z11" t="s">
        <v>643</v>
      </c>
      <c r="AA11" s="455">
        <f t="shared" si="8"/>
        <v>4.2470194063604846E-2</v>
      </c>
      <c r="AB11" s="455" t="e">
        <f>SUM($AA$2:$AA11)</f>
        <v>#N/A</v>
      </c>
    </row>
    <row r="12" spans="1:28" x14ac:dyDescent="0.2">
      <c r="A12" s="531">
        <v>11</v>
      </c>
      <c r="B12" s="537" t="s">
        <v>1136</v>
      </c>
      <c r="C12" s="538" t="str">
        <f>IF(VLOOKUP($B12,POS_Cost!$B$3:$AK$33,35,0)="x","",$M12)</f>
        <v/>
      </c>
      <c r="D12" s="539" t="str">
        <f>IF(VLOOKUP($B12,POS_Cost!$B$3:$AK$33,35,0)="x","",$P12)</f>
        <v/>
      </c>
      <c r="E12" s="540" t="str">
        <f>IF(VLOOKUP($B12,POS_Cost!$B$3:$AK$33,35,0)="x","",IF(OR($O12="",$O12=0),"N/A",TEXT($N12,"$#,##")&amp;" for "&amp;$O12&amp;" pay periods"))</f>
        <v/>
      </c>
      <c r="F12" s="28">
        <f>IFERROR(IF(VLOOKUP(B12,POS_Ratios!$B$3:$AC$33,28,FALSE)="x",MIN(I12/100000,POS_Ratios!$Z$40)^((1-cost_share_target*POS_Ratios!$Z$40)),IF(VLOOKUP(B12,POS_Ratios!$B$3:$AB$33,27,FALSE)="x",MIN(I12/100000,POS_Ratios!$Z$38)^((1-cost_share_target*POS_Ratios!$Z$38)),MIN(I12/100000,POS_Ratios!$Z$39)^((1-cost_share_target*POS_Ratios!$Z$39)))),"")</f>
        <v>0.60115564644080943</v>
      </c>
      <c r="G12" t="s">
        <v>632</v>
      </c>
      <c r="H12" s="373">
        <v>0.82692605565972188</v>
      </c>
      <c r="I12" s="29">
        <f>IFERROR(VLOOKUP(B12,POS_Cost!$B$3:$L$33,3,FALSE),"")</f>
        <v>41269.522555887037</v>
      </c>
      <c r="J12" s="29">
        <f t="shared" si="0"/>
        <v>1700</v>
      </c>
      <c r="K12" s="29">
        <f t="shared" si="1"/>
        <v>100</v>
      </c>
      <c r="L12" s="536">
        <f t="shared" si="2"/>
        <v>17</v>
      </c>
      <c r="M12" s="29">
        <f t="shared" si="3"/>
        <v>1700</v>
      </c>
      <c r="N12" s="29">
        <f t="shared" si="4"/>
        <v>100</v>
      </c>
      <c r="O12" s="536">
        <f t="shared" si="5"/>
        <v>17</v>
      </c>
      <c r="P12" s="29">
        <f t="shared" si="9"/>
        <v>1700</v>
      </c>
      <c r="Q12" s="29">
        <f t="shared" si="10"/>
        <v>3400</v>
      </c>
      <c r="R12" s="455">
        <f t="shared" si="6"/>
        <v>8.2385251619902608E-2</v>
      </c>
      <c r="S12" s="455">
        <f t="shared" si="7"/>
        <v>5.3514593325699036E-2</v>
      </c>
      <c r="T12" s="455">
        <f t="shared" si="11"/>
        <v>0.14069467559790966</v>
      </c>
      <c r="Z12" t="s">
        <v>644</v>
      </c>
      <c r="AA12" s="455">
        <f t="shared" si="8"/>
        <v>4.1068902586997948E-2</v>
      </c>
      <c r="AB12" s="455" t="e">
        <f>SUM($AA$2:$AA12)</f>
        <v>#N/A</v>
      </c>
    </row>
    <row r="13" spans="1:28" x14ac:dyDescent="0.2">
      <c r="A13" s="531">
        <v>12</v>
      </c>
      <c r="B13" s="537" t="s">
        <v>1137</v>
      </c>
      <c r="C13" s="538" t="str">
        <f>IF(VLOOKUP($B13,POS_Cost!$B$3:$AK$33,35,0)="x","",$M13)</f>
        <v/>
      </c>
      <c r="D13" s="539" t="str">
        <f>IF(VLOOKUP($B13,POS_Cost!$B$3:$AK$33,35,0)="x","",$P13)</f>
        <v/>
      </c>
      <c r="E13" s="540" t="str">
        <f>IF(VLOOKUP($B13,POS_Cost!$B$3:$AK$33,35,0)="x","",IF(OR($O13="",$O13=0),"N/A",TEXT($N13,"$#,##")&amp;" for "&amp;$O13&amp;" pay periods"))</f>
        <v/>
      </c>
      <c r="F13" s="28">
        <f>IFERROR(IF(VLOOKUP(B13,POS_Ratios!$B$3:$AC$33,28,FALSE)="x",MIN(I13/100000,POS_Ratios!$Z$40)^((1-cost_share_target*POS_Ratios!$Z$40)),IF(VLOOKUP(B13,POS_Ratios!$B$3:$AB$33,27,FALSE)="x",MIN(I13/100000,POS_Ratios!$Z$38)^((1-cost_share_target*POS_Ratios!$Z$38)),MIN(I13/100000,POS_Ratios!$Z$39)^((1-cost_share_target*POS_Ratios!$Z$39)))),"")</f>
        <v>0.67128625139013176</v>
      </c>
      <c r="G13" t="s">
        <v>651</v>
      </c>
      <c r="H13" s="373">
        <v>0.21264014433567116</v>
      </c>
      <c r="I13" s="29">
        <f>IFERROR(VLOOKUP(B13,POS_Cost!$B$3:$L$33,3,FALSE),"")</f>
        <v>92446.392879631472</v>
      </c>
      <c r="J13" s="29">
        <f t="shared" si="0"/>
        <v>1800</v>
      </c>
      <c r="K13" s="29">
        <f t="shared" si="1"/>
        <v>150</v>
      </c>
      <c r="L13" s="536">
        <f t="shared" si="2"/>
        <v>19</v>
      </c>
      <c r="M13" s="29">
        <f t="shared" si="3"/>
        <v>1800</v>
      </c>
      <c r="N13" s="29">
        <f t="shared" si="4"/>
        <v>150</v>
      </c>
      <c r="O13" s="536">
        <f t="shared" si="5"/>
        <v>19</v>
      </c>
      <c r="P13" s="29">
        <f t="shared" si="9"/>
        <v>2850</v>
      </c>
      <c r="Q13" s="29">
        <f t="shared" si="10"/>
        <v>4650</v>
      </c>
      <c r="R13" s="455">
        <f t="shared" si="6"/>
        <v>5.0299420617248604E-2</v>
      </c>
      <c r="S13" s="455">
        <f t="shared" si="7"/>
        <v>3.0825585703498637E-2</v>
      </c>
      <c r="T13" s="455">
        <f t="shared" si="11"/>
        <v>9.0595309732112342E-2</v>
      </c>
      <c r="Z13" t="s">
        <v>646</v>
      </c>
      <c r="AA13" s="455">
        <f t="shared" si="8"/>
        <v>1.9941836615380997E-2</v>
      </c>
      <c r="AB13" s="455" t="e">
        <f>SUM($AA$2:$AA13)</f>
        <v>#N/A</v>
      </c>
    </row>
    <row r="14" spans="1:28" x14ac:dyDescent="0.2">
      <c r="A14" s="531">
        <v>13</v>
      </c>
      <c r="B14" s="532" t="s">
        <v>827</v>
      </c>
      <c r="C14" s="533">
        <f>IF(VLOOKUP($B14,POS_Cost!$B$3:$AK$33,35,0)="x","",$M14)</f>
        <v>1200</v>
      </c>
      <c r="D14" s="534">
        <f>IF(VLOOKUP($B14,POS_Cost!$B$3:$AK$33,35,0)="x","",$P14)</f>
        <v>600</v>
      </c>
      <c r="E14" s="535" t="str">
        <f>IF(VLOOKUP($B14,POS_Cost!$B$3:$AK$33,35,0)="x","",IF(OR($O14="",$O14=0),"N/A",TEXT($N14,"$#,##")&amp;" for "&amp;$O14&amp;" pay periods"))</f>
        <v>$50 for 12 pay periods</v>
      </c>
      <c r="F14" s="28">
        <f>IFERROR(IF(VLOOKUP(B14,POS_Ratios!$B$3:$AC$33,28,FALSE)="x",MIN(I14/100000,POS_Ratios!$Z$40)^((1-cost_share_target*POS_Ratios!$Z$40)),IF(VLOOKUP(B14,POS_Ratios!$B$3:$AB$33,27,FALSE)="x",MIN(I14/100000,POS_Ratios!$Z$38)^((1-cost_share_target*POS_Ratios!$Z$38)),MIN(I14/100000,POS_Ratios!$Z$39)^((1-cost_share_target*POS_Ratios!$Z$39)))),"")</f>
        <v>0.35679220922156207</v>
      </c>
      <c r="G14" t="s">
        <v>682</v>
      </c>
      <c r="H14" s="373">
        <v>0.76332449954870407</v>
      </c>
      <c r="I14" s="29">
        <f>IFERROR(VLOOKUP(B14,POS_Cost!$B$3:$L$33,3,FALSE),"")</f>
        <v>7849.6943655689611</v>
      </c>
      <c r="J14" s="29">
        <f t="shared" si="0"/>
        <v>1200</v>
      </c>
      <c r="K14" s="29">
        <f t="shared" si="1"/>
        <v>50</v>
      </c>
      <c r="L14" s="536">
        <f t="shared" si="2"/>
        <v>12</v>
      </c>
      <c r="M14" s="29">
        <f t="shared" si="3"/>
        <v>1200</v>
      </c>
      <c r="N14" s="29">
        <f t="shared" si="4"/>
        <v>50</v>
      </c>
      <c r="O14" s="536">
        <f t="shared" si="5"/>
        <v>12</v>
      </c>
      <c r="P14" s="29">
        <f t="shared" si="9"/>
        <v>600</v>
      </c>
      <c r="Q14" s="29">
        <f t="shared" si="10"/>
        <v>1800</v>
      </c>
      <c r="R14" s="455">
        <f t="shared" si="6"/>
        <v>0.22930829102026223</v>
      </c>
      <c r="S14" s="455">
        <f t="shared" si="7"/>
        <v>9.3958928960881805E-3</v>
      </c>
      <c r="T14" s="455">
        <f t="shared" si="11"/>
        <v>0.3164287086189681</v>
      </c>
      <c r="Z14" t="s">
        <v>689</v>
      </c>
      <c r="AA14" s="455">
        <f t="shared" si="8"/>
        <v>3.1574503834923363E-2</v>
      </c>
      <c r="AB14" s="455" t="e">
        <f>SUM($AA$2:$AA14)</f>
        <v>#N/A</v>
      </c>
    </row>
    <row r="15" spans="1:28" x14ac:dyDescent="0.2">
      <c r="A15" s="531">
        <v>14</v>
      </c>
      <c r="B15" s="537" t="s">
        <v>960</v>
      </c>
      <c r="C15" s="538">
        <f>IF(VLOOKUP($B15,POS_Cost!$B$3:$AK$33,35,0)="x","",$M15)</f>
        <v>1400</v>
      </c>
      <c r="D15" s="539">
        <f>IF(VLOOKUP($B15,POS_Cost!$B$3:$AK$33,35,0)="x","",$P15)</f>
        <v>1400</v>
      </c>
      <c r="E15" s="540" t="str">
        <f>IF(VLOOKUP($B15,POS_Cost!$B$3:$AK$33,35,0)="x","",IF(OR($O15="",$O15=0),"N/A",TEXT($N15,"$#,##")&amp;" for "&amp;$O15&amp;" pay periods"))</f>
        <v>$100 for 14 pay periods</v>
      </c>
      <c r="F15" s="28">
        <f>IFERROR(IF(VLOOKUP(B15,POS_Ratios!$B$3:$AC$33,28,FALSE)="x",MIN(I15/100000,POS_Ratios!$Z$40)^((1-cost_share_target*POS_Ratios!$Z$40)),IF(VLOOKUP(B15,POS_Ratios!$B$3:$AB$33,27,FALSE)="x",MIN(I15/100000,POS_Ratios!$Z$38)^((1-cost_share_target*POS_Ratios!$Z$38)),MIN(I15/100000,POS_Ratios!$Z$39)^((1-cost_share_target*POS_Ratios!$Z$39)))),"")</f>
        <v>0.46266621665516838</v>
      </c>
      <c r="G15" t="s">
        <v>961</v>
      </c>
      <c r="H15" s="373">
        <v>0.12695618438355682</v>
      </c>
      <c r="I15" s="29">
        <f>IFERROR(VLOOKUP(B15,POS_Cost!$B$3:$L$33,3,FALSE),"")</f>
        <v>20743.070277593557</v>
      </c>
      <c r="J15" s="29">
        <f t="shared" si="0"/>
        <v>1400</v>
      </c>
      <c r="K15" s="29">
        <f t="shared" si="1"/>
        <v>100</v>
      </c>
      <c r="L15" s="536">
        <f t="shared" si="2"/>
        <v>14</v>
      </c>
      <c r="M15" s="29">
        <f t="shared" si="3"/>
        <v>1400</v>
      </c>
      <c r="N15" s="29">
        <f t="shared" si="4"/>
        <v>100</v>
      </c>
      <c r="O15" s="536">
        <f t="shared" si="5"/>
        <v>14</v>
      </c>
      <c r="P15" s="29">
        <f t="shared" si="9"/>
        <v>1400</v>
      </c>
      <c r="Q15" s="29">
        <f>IF(SUM(M15,P15)=0,"",SUM(M15,P15))</f>
        <v>2800</v>
      </c>
      <c r="R15" s="455">
        <f>IFERROR(Q15/I15,"")</f>
        <v>0.13498483891386753</v>
      </c>
      <c r="S15" s="455">
        <f t="shared" si="7"/>
        <v>4.1295526603218977E-3</v>
      </c>
      <c r="T15" s="455">
        <f t="shared" si="11"/>
        <v>0.21373399538992915</v>
      </c>
      <c r="Z15" t="s">
        <v>650</v>
      </c>
      <c r="AA15" s="455">
        <f t="shared" si="8"/>
        <v>0.13956792196111037</v>
      </c>
      <c r="AB15" s="455" t="e">
        <f>SUM($AA$2:$AA15)</f>
        <v>#N/A</v>
      </c>
    </row>
    <row r="16" spans="1:28" x14ac:dyDescent="0.2">
      <c r="A16" s="531">
        <v>15</v>
      </c>
      <c r="B16" s="537" t="s">
        <v>1138</v>
      </c>
      <c r="C16" s="538">
        <f>IF(VLOOKUP($B16,POS_Cost!$B$3:$AK$33,35,0)="x","",$M16)</f>
        <v>1300</v>
      </c>
      <c r="D16" s="539">
        <f>IF(VLOOKUP($B16,POS_Cost!$B$3:$AK$33,35,0)="x","",$P16)</f>
        <v>1300</v>
      </c>
      <c r="E16" s="540" t="str">
        <f>IF(VLOOKUP($B16,POS_Cost!$B$3:$AK$33,35,0)="x","",IF(OR($O16="",$O16=0),"N/A",TEXT($N16,"$#,##")&amp;" for "&amp;$O16&amp;" pay periods"))</f>
        <v>$100 for 13 pay periods</v>
      </c>
      <c r="F16" s="28">
        <f>IFERROR(IF(VLOOKUP(B16,POS_Ratios!$B$3:$AC$33,28,FALSE)="x",MIN(I16/100000,POS_Ratios!$Z$40)^((1-cost_share_target*POS_Ratios!$Z$40)),IF(VLOOKUP(B16,POS_Ratios!$B$3:$AB$33,27,FALSE)="x",MIN(I16/100000,POS_Ratios!$Z$38)^((1-cost_share_target*POS_Ratios!$Z$38)),MIN(I16/100000,POS_Ratios!$Z$39)^((1-cost_share_target*POS_Ratios!$Z$39)))),"")</f>
        <v>0.40687548970515469</v>
      </c>
      <c r="G16" t="s">
        <v>643</v>
      </c>
      <c r="H16" s="373">
        <v>1.6971703092697099</v>
      </c>
      <c r="I16" s="29">
        <f>IFERROR(VLOOKUP(B16,POS_Cost!$B$3:$L$33,3,FALSE),"")</f>
        <v>15958.156192339397</v>
      </c>
      <c r="J16" s="29">
        <f t="shared" si="0"/>
        <v>1300</v>
      </c>
      <c r="K16" s="29">
        <f t="shared" si="1"/>
        <v>100</v>
      </c>
      <c r="L16" s="536">
        <f t="shared" si="2"/>
        <v>13</v>
      </c>
      <c r="M16" s="29">
        <f t="shared" si="3"/>
        <v>1300</v>
      </c>
      <c r="N16" s="29">
        <f t="shared" si="4"/>
        <v>100</v>
      </c>
      <c r="O16" s="536">
        <f t="shared" si="5"/>
        <v>13</v>
      </c>
      <c r="P16" s="29">
        <f t="shared" si="9"/>
        <v>1300</v>
      </c>
      <c r="Q16" s="29">
        <f t="shared" si="10"/>
        <v>2600</v>
      </c>
      <c r="R16" s="455">
        <f t="shared" si="6"/>
        <v>0.16292609049960999</v>
      </c>
      <c r="S16" s="455">
        <f t="shared" si="7"/>
        <v>4.2470194063604846E-2</v>
      </c>
      <c r="T16" s="455">
        <f t="shared" si="11"/>
        <v>0.24794032871501934</v>
      </c>
      <c r="Z16" t="s">
        <v>651</v>
      </c>
      <c r="AA16" s="455">
        <f t="shared" si="8"/>
        <v>3.0825585703498637E-2</v>
      </c>
      <c r="AB16" s="455" t="e">
        <f>SUM($AA$2:$AA16)</f>
        <v>#N/A</v>
      </c>
    </row>
    <row r="17" spans="1:28" x14ac:dyDescent="0.2">
      <c r="A17" s="531">
        <v>16</v>
      </c>
      <c r="B17" s="537" t="s">
        <v>828</v>
      </c>
      <c r="C17" s="538">
        <f>IF(VLOOKUP($B17,POS_Cost!$B$3:$AK$33,35,0)="x","",$M17)</f>
        <v>1100</v>
      </c>
      <c r="D17" s="539">
        <f>IF(VLOOKUP($B17,POS_Cost!$B$3:$AK$33,35,0)="x","",$P17)</f>
        <v>550</v>
      </c>
      <c r="E17" s="540" t="str">
        <f>IF(VLOOKUP($B17,POS_Cost!$B$3:$AK$33,35,0)="x","",IF(OR($O17="",$O17=0),"N/A",TEXT($N17,"$#,##")&amp;" for "&amp;$O17&amp;" pay periods"))</f>
        <v>$50 for 11 pay periods</v>
      </c>
      <c r="F17" s="28">
        <f>IFERROR(IF(VLOOKUP(B17,POS_Ratios!$B$3:$AC$33,28,FALSE)="x",MIN(I17/100000,POS_Ratios!$Z$40)^((1-cost_share_target*POS_Ratios!$Z$40)),IF(VLOOKUP(B17,POS_Ratios!$B$3:$AB$33,27,FALSE)="x",MIN(I17/100000,POS_Ratios!$Z$38)^((1-cost_share_target*POS_Ratios!$Z$38)),MIN(I17/100000,POS_Ratios!$Z$39)^((1-cost_share_target*POS_Ratios!$Z$39)))),"")</f>
        <v>0.30385227170124685</v>
      </c>
      <c r="G17" t="s">
        <v>686</v>
      </c>
      <c r="H17" s="373">
        <v>0.1870654753503756</v>
      </c>
      <c r="I17" s="29">
        <f>IFERROR(VLOOKUP(B17,POS_Cost!$B$3:$L$33,3,FALSE),"")</f>
        <v>5279.8723912568321</v>
      </c>
      <c r="J17" s="29">
        <f t="shared" si="0"/>
        <v>1100</v>
      </c>
      <c r="K17" s="29">
        <f t="shared" si="1"/>
        <v>50</v>
      </c>
      <c r="L17" s="536">
        <f t="shared" si="2"/>
        <v>11</v>
      </c>
      <c r="M17" s="29">
        <f t="shared" si="3"/>
        <v>1100</v>
      </c>
      <c r="N17" s="29">
        <f t="shared" si="4"/>
        <v>50</v>
      </c>
      <c r="O17" s="536">
        <f t="shared" si="5"/>
        <v>11</v>
      </c>
      <c r="P17" s="29">
        <f t="shared" si="9"/>
        <v>550</v>
      </c>
      <c r="Q17" s="29">
        <f t="shared" si="10"/>
        <v>1650</v>
      </c>
      <c r="R17" s="455">
        <f t="shared" si="6"/>
        <v>0.31250755278334114</v>
      </c>
      <c r="S17" s="455">
        <f t="shared" si="7"/>
        <v>1.5487922849240366E-3</v>
      </c>
      <c r="T17" s="455">
        <f t="shared" si="11"/>
        <v>0.37686982951806947</v>
      </c>
      <c r="Z17" t="s">
        <v>654</v>
      </c>
      <c r="AA17" s="455">
        <f t="shared" si="8"/>
        <v>8.8859001895462159E-3</v>
      </c>
      <c r="AB17" s="455" t="e">
        <f>SUM($AA$2:$AA17)</f>
        <v>#N/A</v>
      </c>
    </row>
    <row r="18" spans="1:28" x14ac:dyDescent="0.2">
      <c r="A18" s="531">
        <v>17</v>
      </c>
      <c r="B18" s="532" t="s">
        <v>829</v>
      </c>
      <c r="C18" s="533">
        <f>IF(VLOOKUP($B18,POS_Cost!$B$3:$AK$33,35,0)="x","",$M18)</f>
        <v>1300</v>
      </c>
      <c r="D18" s="534">
        <f>IF(VLOOKUP($B18,POS_Cost!$B$3:$AK$33,35,0)="x","",$P18)</f>
        <v>1300</v>
      </c>
      <c r="E18" s="535" t="str">
        <f>IF(VLOOKUP($B18,POS_Cost!$B$3:$AK$33,35,0)="x","",IF(OR($O18="",$O18=0),"N/A",TEXT($N18,"$#,##")&amp;" for "&amp;$O18&amp;" pay periods"))</f>
        <v>$100 for 13 pay periods</v>
      </c>
      <c r="F18" s="28">
        <f>IFERROR(IF(VLOOKUP(B18,POS_Ratios!$B$3:$AC$33,28,FALSE)="x",MIN(I18/100000,POS_Ratios!$Z$40)^((1-cost_share_target*POS_Ratios!$Z$40)),IF(VLOOKUP(B18,POS_Ratios!$B$3:$AB$33,27,FALSE)="x",MIN(I18/100000,POS_Ratios!$Z$38)^((1-cost_share_target*POS_Ratios!$Z$38)),MIN(I18/100000,POS_Ratios!$Z$39)^((1-cost_share_target*POS_Ratios!$Z$39)))),"")</f>
        <v>0.38721732800971437</v>
      </c>
      <c r="G18" t="s">
        <v>676</v>
      </c>
      <c r="H18" s="373">
        <v>0.35642269714127761</v>
      </c>
      <c r="I18" s="29">
        <f>IFERROR(VLOOKUP(B18,POS_Cost!$B$3:$L$33,3,FALSE),"")</f>
        <v>9607.3675178839803</v>
      </c>
      <c r="J18" s="29">
        <f t="shared" si="0"/>
        <v>1300</v>
      </c>
      <c r="K18" s="29">
        <f t="shared" si="1"/>
        <v>100</v>
      </c>
      <c r="L18" s="536">
        <f t="shared" si="2"/>
        <v>13</v>
      </c>
      <c r="M18" s="29">
        <f t="shared" si="3"/>
        <v>1300</v>
      </c>
      <c r="N18" s="29">
        <f t="shared" si="4"/>
        <v>100</v>
      </c>
      <c r="O18" s="536">
        <f t="shared" si="5"/>
        <v>13</v>
      </c>
      <c r="P18" s="29">
        <f t="shared" si="9"/>
        <v>1300</v>
      </c>
      <c r="Q18" s="29">
        <f t="shared" si="10"/>
        <v>2600</v>
      </c>
      <c r="R18" s="455">
        <f t="shared" si="6"/>
        <v>0.27062564174422771</v>
      </c>
      <c r="S18" s="455">
        <f t="shared" si="7"/>
        <v>5.3696485954018245E-3</v>
      </c>
      <c r="T18" s="455">
        <f t="shared" si="11"/>
        <v>0.34997570475566925</v>
      </c>
      <c r="Z18" t="s">
        <v>657</v>
      </c>
      <c r="AA18" s="455">
        <f t="shared" si="8"/>
        <v>1.0606445595013529E-2</v>
      </c>
      <c r="AB18" s="455" t="e">
        <f>SUM($AA$2:$AA18)</f>
        <v>#N/A</v>
      </c>
    </row>
    <row r="19" spans="1:28" x14ac:dyDescent="0.2">
      <c r="A19" s="531">
        <v>18</v>
      </c>
      <c r="B19" s="537" t="s">
        <v>957</v>
      </c>
      <c r="C19" s="538">
        <f>IF(VLOOKUP($B19,POS_Cost!$B$3:$AK$33,35,0)="x","",$M19)</f>
        <v>1200</v>
      </c>
      <c r="D19" s="539">
        <f>IF(VLOOKUP($B19,POS_Cost!$B$3:$AK$33,35,0)="x","",$P19)</f>
        <v>600</v>
      </c>
      <c r="E19" s="540" t="str">
        <f>IF(VLOOKUP($B19,POS_Cost!$B$3:$AK$33,35,0)="x","",IF(OR($O19="",$O19=0),"N/A",TEXT($N19,"$#,##")&amp;" for "&amp;$O19&amp;" pay periods"))</f>
        <v>$50 for 12 pay periods</v>
      </c>
      <c r="F19" s="28">
        <f>IFERROR(IF(VLOOKUP(B19,POS_Ratios!$B$3:$AC$33,28,FALSE)="x",MIN(I19/100000,POS_Ratios!$Z$40)^((1-cost_share_target*POS_Ratios!$Z$40)),IF(VLOOKUP(B19,POS_Ratios!$B$3:$AB$33,27,FALSE)="x",MIN(I19/100000,POS_Ratios!$Z$38)^((1-cost_share_target*POS_Ratios!$Z$38)),MIN(I19/100000,POS_Ratios!$Z$39)^((1-cost_share_target*POS_Ratios!$Z$39)))),"")</f>
        <v>0.36853689060949141</v>
      </c>
      <c r="G19" t="s">
        <v>646</v>
      </c>
      <c r="H19" s="373">
        <v>0.72166424565679499</v>
      </c>
      <c r="I19" s="29">
        <f>IFERROR(VLOOKUP(B19,POS_Cost!$B$3:$L$33,3,FALSE),"")</f>
        <v>17621.945600242194</v>
      </c>
      <c r="J19" s="29">
        <f t="shared" si="0"/>
        <v>1200</v>
      </c>
      <c r="K19" s="29">
        <f t="shared" si="1"/>
        <v>50</v>
      </c>
      <c r="L19" s="536">
        <f t="shared" si="2"/>
        <v>12</v>
      </c>
      <c r="M19" s="29">
        <f t="shared" si="3"/>
        <v>1200</v>
      </c>
      <c r="N19" s="29">
        <f t="shared" si="4"/>
        <v>50</v>
      </c>
      <c r="O19" s="536">
        <f t="shared" si="5"/>
        <v>12</v>
      </c>
      <c r="P19" s="29">
        <f t="shared" si="9"/>
        <v>600</v>
      </c>
      <c r="Q19" s="29">
        <f t="shared" si="10"/>
        <v>1800</v>
      </c>
      <c r="R19" s="455">
        <f t="shared" si="6"/>
        <v>0.10214536129173279</v>
      </c>
      <c r="S19" s="455">
        <f t="shared" si="7"/>
        <v>1.9941836615380997E-2</v>
      </c>
      <c r="T19" s="455">
        <f t="shared" si="11"/>
        <v>0.16945768735867209</v>
      </c>
      <c r="Z19" t="s">
        <v>661</v>
      </c>
      <c r="AA19" s="455" t="e">
        <f t="shared" si="8"/>
        <v>#N/A</v>
      </c>
      <c r="AB19" s="455" t="e">
        <f>SUM($AA$2:$AA19)</f>
        <v>#N/A</v>
      </c>
    </row>
    <row r="20" spans="1:28" x14ac:dyDescent="0.2">
      <c r="A20" s="531">
        <v>19</v>
      </c>
      <c r="B20" s="532" t="s">
        <v>830</v>
      </c>
      <c r="C20" s="533">
        <f>IF(VLOOKUP($B20,POS_Cost!$B$3:$AK$33,35,0)="x","",$M20)</f>
        <v>1400</v>
      </c>
      <c r="D20" s="534">
        <f>IF(VLOOKUP($B20,POS_Cost!$B$3:$AK$33,35,0)="x","",$P20)</f>
        <v>1400</v>
      </c>
      <c r="E20" s="535" t="str">
        <f>IF(VLOOKUP($B20,POS_Cost!$B$3:$AK$33,35,0)="x","",IF(OR($O20="",$O20=0),"N/A",TEXT($N20,"$#,##")&amp;" for "&amp;$O20&amp;" pay periods"))</f>
        <v>$100 for 14 pay periods</v>
      </c>
      <c r="F20" s="28">
        <f>IFERROR(IF(VLOOKUP(B20,POS_Ratios!$B$3:$AC$33,28,FALSE)="x",MIN(I20/100000,POS_Ratios!$Z$40)^((1-cost_share_target*POS_Ratios!$Z$40)),IF(VLOOKUP(B20,POS_Ratios!$B$3:$AB$33,27,FALSE)="x",MIN(I20/100000,POS_Ratios!$Z$38)^((1-cost_share_target*POS_Ratios!$Z$38)),MIN(I20/100000,POS_Ratios!$Z$39)^((1-cost_share_target*POS_Ratios!$Z$39)))),"")</f>
        <v>0.44059305203309101</v>
      </c>
      <c r="G20" t="s">
        <v>664</v>
      </c>
      <c r="H20" s="373">
        <v>0.14692206389483584</v>
      </c>
      <c r="I20" s="29">
        <f>IFERROR(VLOOKUP(B20,POS_Cost!$B$3:$L$33,3,FALSE),"")</f>
        <v>18773.541745564362</v>
      </c>
      <c r="J20" s="29">
        <f t="shared" si="0"/>
        <v>1400</v>
      </c>
      <c r="K20" s="29">
        <f t="shared" si="1"/>
        <v>100</v>
      </c>
      <c r="L20" s="536">
        <f t="shared" si="2"/>
        <v>14</v>
      </c>
      <c r="M20" s="29">
        <f t="shared" si="3"/>
        <v>1400</v>
      </c>
      <c r="N20" s="29">
        <f t="shared" si="4"/>
        <v>100</v>
      </c>
      <c r="O20" s="536">
        <f t="shared" si="5"/>
        <v>14</v>
      </c>
      <c r="P20" s="29">
        <f t="shared" si="9"/>
        <v>1400</v>
      </c>
      <c r="Q20" s="29">
        <f t="shared" si="10"/>
        <v>2800</v>
      </c>
      <c r="R20" s="455">
        <f t="shared" si="6"/>
        <v>0.14914607152704992</v>
      </c>
      <c r="S20" s="455">
        <f t="shared" si="7"/>
        <v>4.3252313452608196E-3</v>
      </c>
      <c r="T20" s="455">
        <f t="shared" si="11"/>
        <v>0.23146875328135746</v>
      </c>
      <c r="Z20" t="s">
        <v>663</v>
      </c>
      <c r="AA20" s="455">
        <f t="shared" si="8"/>
        <v>5.4049265122077441E-3</v>
      </c>
      <c r="AB20" s="455" t="e">
        <f>SUM($AA$2:$AA20)</f>
        <v>#N/A</v>
      </c>
    </row>
    <row r="21" spans="1:28" x14ac:dyDescent="0.2">
      <c r="A21" s="531">
        <v>20</v>
      </c>
      <c r="B21" s="537" t="s">
        <v>1141</v>
      </c>
      <c r="C21" s="538">
        <f>IF(VLOOKUP($B21,POS_Cost!$B$3:$AK$33,35,0)="x","",$M21)</f>
        <v>1700</v>
      </c>
      <c r="D21" s="539">
        <f>IF(VLOOKUP($B21,POS_Cost!$B$3:$AK$33,35,0)="x","",$P21)</f>
        <v>1700</v>
      </c>
      <c r="E21" s="540" t="str">
        <f>IF(VLOOKUP($B21,POS_Cost!$B$3:$AK$33,35,0)="x","",IF(OR($O21="",$O21=0),"N/A",TEXT($N21,"$#,##")&amp;" for "&amp;$O21&amp;" pay periods"))</f>
        <v>$100 for 17 pay periods</v>
      </c>
      <c r="F21" s="28">
        <f>IFERROR(IF(VLOOKUP(B21,POS_Ratios!$B$3:$AC$33,28,FALSE)="x",MIN(I21/100000,POS_Ratios!$Z$40)^((1-cost_share_target*POS_Ratios!$Z$40)),IF(VLOOKUP(B21,POS_Ratios!$B$3:$AB$33,27,FALSE)="x",MIN(I21/100000,POS_Ratios!$Z$38)^((1-cost_share_target*POS_Ratios!$Z$38)),MIN(I21/100000,POS_Ratios!$Z$39)^((1-cost_share_target*POS_Ratios!$Z$39)))),"")</f>
        <v>0.58156867153646974</v>
      </c>
      <c r="G21" t="s">
        <v>644</v>
      </c>
      <c r="H21" s="373">
        <v>0.67224340255555493</v>
      </c>
      <c r="I21" s="29">
        <f>IFERROR(VLOOKUP(B21,POS_Cost!$B$3:$L$33,3,FALSE),"")</f>
        <v>38959.236827678898</v>
      </c>
      <c r="J21" s="29">
        <f t="shared" si="0"/>
        <v>1700</v>
      </c>
      <c r="K21" s="29">
        <f t="shared" si="1"/>
        <v>100</v>
      </c>
      <c r="L21" s="536">
        <f t="shared" si="2"/>
        <v>17</v>
      </c>
      <c r="M21" s="29">
        <f t="shared" si="3"/>
        <v>1700</v>
      </c>
      <c r="N21" s="29">
        <f t="shared" si="4"/>
        <v>100</v>
      </c>
      <c r="O21" s="536">
        <f t="shared" si="5"/>
        <v>17</v>
      </c>
      <c r="P21" s="29">
        <f t="shared" si="9"/>
        <v>1700</v>
      </c>
      <c r="Q21" s="29">
        <f t="shared" si="10"/>
        <v>3400</v>
      </c>
      <c r="R21" s="455">
        <f t="shared" si="6"/>
        <v>8.7270703351777237E-2</v>
      </c>
      <c r="S21" s="455">
        <f t="shared" si="7"/>
        <v>4.1068902586997948E-2</v>
      </c>
      <c r="T21" s="455">
        <f t="shared" si="11"/>
        <v>0.14795429138702709</v>
      </c>
      <c r="Z21" t="s">
        <v>664</v>
      </c>
      <c r="AA21" s="455">
        <f t="shared" si="8"/>
        <v>4.3252313452608196E-3</v>
      </c>
      <c r="AB21" s="455" t="e">
        <f>SUM($AA$2:$AA21)</f>
        <v>#N/A</v>
      </c>
    </row>
    <row r="22" spans="1:28" x14ac:dyDescent="0.2">
      <c r="A22" s="531">
        <v>21</v>
      </c>
      <c r="B22" s="537" t="s">
        <v>1142</v>
      </c>
      <c r="C22" s="538">
        <f>IF(VLOOKUP($B22,POS_Cost!$B$3:$AK$33,35,0)="x","",$M22)</f>
        <v>1200</v>
      </c>
      <c r="D22" s="539">
        <f>IF(VLOOKUP($B22,POS_Cost!$B$3:$AK$33,35,0)="x","",$P22)</f>
        <v>600</v>
      </c>
      <c r="E22" s="540" t="str">
        <f>IF(VLOOKUP($B22,POS_Cost!$B$3:$AK$33,35,0)="x","",IF(OR($O22="",$O22=0),"N/A",TEXT($N22,"$#,##")&amp;" for "&amp;$O22&amp;" pay periods"))</f>
        <v>$50 for 12 pay periods</v>
      </c>
      <c r="F22" s="28">
        <f>IFERROR(IF(VLOOKUP(B22,POS_Ratios!$B$3:$AC$33,28,FALSE)="x",MIN(I22/100000,POS_Ratios!$Z$40)^((1-cost_share_target*POS_Ratios!$Z$40)),IF(VLOOKUP(B22,POS_Ratios!$B$3:$AB$33,27,FALSE)="x",MIN(I22/100000,POS_Ratios!$Z$38)^((1-cost_share_target*POS_Ratios!$Z$38)),MIN(I22/100000,POS_Ratios!$Z$39)^((1-cost_share_target*POS_Ratios!$Z$39)))),"")</f>
        <v>0.36071589857178871</v>
      </c>
      <c r="G22" t="s">
        <v>640</v>
      </c>
      <c r="H22" s="373">
        <v>1.7660984516107685</v>
      </c>
      <c r="I22" s="29">
        <f>IFERROR(VLOOKUP(B22,POS_Cost!$B$3:$L$33,3,FALSE),"")</f>
        <v>16976.676317150392</v>
      </c>
      <c r="J22" s="29">
        <f t="shared" si="0"/>
        <v>1200</v>
      </c>
      <c r="K22" s="29">
        <f t="shared" si="1"/>
        <v>50</v>
      </c>
      <c r="L22" s="536">
        <f t="shared" si="2"/>
        <v>12</v>
      </c>
      <c r="M22" s="29">
        <f t="shared" si="3"/>
        <v>1200</v>
      </c>
      <c r="N22" s="29">
        <f t="shared" si="4"/>
        <v>50</v>
      </c>
      <c r="O22" s="536">
        <f t="shared" si="5"/>
        <v>12</v>
      </c>
      <c r="P22" s="29">
        <f t="shared" si="9"/>
        <v>600</v>
      </c>
      <c r="Q22" s="29">
        <f t="shared" si="10"/>
        <v>1800</v>
      </c>
      <c r="R22" s="455">
        <f t="shared" si="6"/>
        <v>0.10602782113372694</v>
      </c>
      <c r="S22" s="455">
        <f t="shared" si="7"/>
        <v>4.7015784446805188E-2</v>
      </c>
      <c r="T22" s="455">
        <f t="shared" si="11"/>
        <v>0.17492170669922519</v>
      </c>
      <c r="Z22" t="s">
        <v>665</v>
      </c>
      <c r="AA22" s="455" t="e">
        <f t="shared" si="8"/>
        <v>#N/A</v>
      </c>
      <c r="AB22" s="455" t="e">
        <f>SUM($AA$2:$AA22)</f>
        <v>#N/A</v>
      </c>
    </row>
    <row r="23" spans="1:28" ht="15" customHeight="1" x14ac:dyDescent="0.2">
      <c r="A23" s="531">
        <v>22</v>
      </c>
      <c r="B23" s="532" t="s">
        <v>1144</v>
      </c>
      <c r="C23" s="533">
        <f>IF(VLOOKUP($B23,POS_Cost!$B$3:$AK$33,35,0)="x","",$M23)</f>
        <v>1100</v>
      </c>
      <c r="D23" s="534">
        <f>IF(VLOOKUP($B23,POS_Cost!$B$3:$AK$33,35,0)="x","",$P23)</f>
        <v>550</v>
      </c>
      <c r="E23" s="535" t="str">
        <f>IF(VLOOKUP($B23,POS_Cost!$B$3:$AK$33,35,0)="x","",IF(OR($O23="",$O23=0),"N/A",TEXT($N23,"$#,##")&amp;" for "&amp;$O23&amp;" pay periods"))</f>
        <v>$50 for 11 pay periods</v>
      </c>
      <c r="F23" s="28">
        <f>IFERROR(IF(VLOOKUP(B23,POS_Ratios!$B$3:$AC$33,28,FALSE)="x",MIN(I23/100000,POS_Ratios!$Z$40)^((1-cost_share_target*POS_Ratios!$Z$40)),IF(VLOOKUP(B23,POS_Ratios!$B$3:$AB$33,27,FALSE)="x",MIN(I23/100000,POS_Ratios!$Z$38)^((1-cost_share_target*POS_Ratios!$Z$38)),MIN(I23/100000,POS_Ratios!$Z$39)^((1-cost_share_target*POS_Ratios!$Z$39)))),"")</f>
        <v>0.31734371809408324</v>
      </c>
      <c r="G23" t="s">
        <v>636</v>
      </c>
      <c r="H23" s="373">
        <v>3.1861804507018623</v>
      </c>
      <c r="I23" s="29">
        <f>IFERROR(VLOOKUP(B23,POS_Cost!$B$3:$L$33,3,FALSE),"")</f>
        <v>9609.7943396683113</v>
      </c>
      <c r="J23" s="29">
        <f t="shared" si="0"/>
        <v>1100</v>
      </c>
      <c r="K23" s="29">
        <f t="shared" si="1"/>
        <v>50</v>
      </c>
      <c r="L23" s="536">
        <f t="shared" si="2"/>
        <v>11</v>
      </c>
      <c r="M23" s="29">
        <f t="shared" si="3"/>
        <v>1100</v>
      </c>
      <c r="N23" s="29">
        <f t="shared" si="4"/>
        <v>50</v>
      </c>
      <c r="O23" s="536">
        <f t="shared" si="5"/>
        <v>11</v>
      </c>
      <c r="P23" s="29">
        <f t="shared" si="9"/>
        <v>550</v>
      </c>
      <c r="Q23" s="29">
        <f t="shared" si="10"/>
        <v>1650</v>
      </c>
      <c r="R23" s="455">
        <f t="shared" si="6"/>
        <v>0.17169982433328027</v>
      </c>
      <c r="S23" s="455">
        <f t="shared" si="7"/>
        <v>4.8013190995648151E-2</v>
      </c>
      <c r="T23" s="455">
        <f t="shared" si="11"/>
        <v>0.25802394094049347</v>
      </c>
      <c r="Z23" t="s">
        <v>1024</v>
      </c>
      <c r="AA23" s="455">
        <f t="shared" si="8"/>
        <v>1.2630972959190691E-2</v>
      </c>
      <c r="AB23" s="455" t="e">
        <f>SUM($AA$2:$AA23)</f>
        <v>#N/A</v>
      </c>
    </row>
    <row r="24" spans="1:28" ht="15" customHeight="1" x14ac:dyDescent="0.2">
      <c r="A24" s="531">
        <v>23</v>
      </c>
      <c r="B24" s="537" t="s">
        <v>1143</v>
      </c>
      <c r="C24" s="538">
        <f>IF(VLOOKUP($B24,POS_Cost!$B$3:$AK$33,35,0)="x","",$M24)</f>
        <v>1700</v>
      </c>
      <c r="D24" s="539">
        <f>IF(VLOOKUP($B24,POS_Cost!$B$3:$AK$33,35,0)="x","",$P24)</f>
        <v>1700</v>
      </c>
      <c r="E24" s="540" t="str">
        <f>IF(VLOOKUP($B24,POS_Cost!$B$3:$AK$33,35,0)="x","",IF(OR($O24="",$O24=0),"N/A",TEXT($N24,"$#,##")&amp;" for "&amp;$O24&amp;" pay periods"))</f>
        <v>$100 for 17 pay periods</v>
      </c>
      <c r="F24" s="28">
        <f>IFERROR(IF(VLOOKUP(B24,POS_Ratios!$B$3:$AC$33,28,FALSE)="x",MIN(I24/100000,POS_Ratios!$Z$40)^((1-cost_share_target*POS_Ratios!$Z$40)),IF(VLOOKUP(B24,POS_Ratios!$B$3:$AB$33,27,FALSE)="x",MIN(I24/100000,POS_Ratios!$Z$38)^((1-cost_share_target*POS_Ratios!$Z$38)),MIN(I24/100000,POS_Ratios!$Z$39)^((1-cost_share_target*POS_Ratios!$Z$39)))),"")</f>
        <v>0.58767933654243054</v>
      </c>
      <c r="G24" t="s">
        <v>639</v>
      </c>
      <c r="H24" s="373">
        <v>1.1801739663062731</v>
      </c>
      <c r="I24" s="29">
        <f>IFERROR(VLOOKUP(B24,POS_Cost!$B$3:$L$33,3,FALSE),"")</f>
        <v>39673.916914950925</v>
      </c>
      <c r="J24" s="29">
        <f t="shared" si="0"/>
        <v>1700</v>
      </c>
      <c r="K24" s="29">
        <f t="shared" si="1"/>
        <v>100</v>
      </c>
      <c r="L24" s="536">
        <f t="shared" si="2"/>
        <v>17</v>
      </c>
      <c r="M24" s="29">
        <f t="shared" si="3"/>
        <v>1700</v>
      </c>
      <c r="N24" s="29">
        <f t="shared" si="4"/>
        <v>100</v>
      </c>
      <c r="O24" s="536">
        <f t="shared" si="5"/>
        <v>17</v>
      </c>
      <c r="P24" s="29">
        <f t="shared" si="9"/>
        <v>1700</v>
      </c>
      <c r="Q24" s="29">
        <f t="shared" si="10"/>
        <v>3400</v>
      </c>
      <c r="R24" s="455">
        <f t="shared" si="6"/>
        <v>8.5698621774315573E-2</v>
      </c>
      <c r="S24" s="455">
        <f t="shared" si="7"/>
        <v>7.3422170376599899E-2</v>
      </c>
      <c r="T24" s="455">
        <f t="shared" si="11"/>
        <v>0.14562886171288669</v>
      </c>
      <c r="Z24" t="s">
        <v>668</v>
      </c>
      <c r="AA24" s="455">
        <f t="shared" si="8"/>
        <v>5.5578472283185727E-3</v>
      </c>
      <c r="AB24" s="455" t="e">
        <f>SUM($AA$2:$AA24)</f>
        <v>#N/A</v>
      </c>
    </row>
    <row r="25" spans="1:28" x14ac:dyDescent="0.2">
      <c r="A25" s="531">
        <v>24</v>
      </c>
      <c r="B25" s="532" t="s">
        <v>959</v>
      </c>
      <c r="C25" s="533">
        <f>IF(VLOOKUP($B25,POS_Cost!$B$3:$AK$33,35,0)="x","",$M25)</f>
        <v>1200</v>
      </c>
      <c r="D25" s="534">
        <f>IF(VLOOKUP($B25,POS_Cost!$B$3:$AK$33,35,0)="x","",$P25)</f>
        <v>550</v>
      </c>
      <c r="E25" s="535" t="str">
        <f>IF(VLOOKUP($B25,POS_Cost!$B$3:$AK$33,35,0)="x","",IF(OR($O25="",$O25=0),"N/A",TEXT($N25,"$#,##")&amp;" for "&amp;$O25&amp;" pay periods"))</f>
        <v>$50 for 11 pay periods</v>
      </c>
      <c r="F25" s="28">
        <f>IFERROR(IF(VLOOKUP(B25,POS_Ratios!$B$3:$AC$33,28,FALSE)="x",MIN(I25/100000,POS_Ratios!$Z$40)^((1-cost_share_target*POS_Ratios!$Z$40)),IF(VLOOKUP(B25,POS_Ratios!$B$3:$AB$33,27,FALSE)="x",MIN(I25/100000,POS_Ratios!$Z$38)^((1-cost_share_target*POS_Ratios!$Z$38)),MIN(I25/100000,POS_Ratios!$Z$39)^((1-cost_share_target*POS_Ratios!$Z$39)))),"")</f>
        <v>0.33398682797175744</v>
      </c>
      <c r="G25" t="s">
        <v>680</v>
      </c>
      <c r="H25" s="373">
        <v>0.10441520027099978</v>
      </c>
      <c r="I25" s="29">
        <f>IFERROR(VLOOKUP(B25,POS_Cost!$B$3:$L$33,3,FALSE),"")</f>
        <v>6668.4217528438458</v>
      </c>
      <c r="J25" s="29">
        <f t="shared" si="0"/>
        <v>1200</v>
      </c>
      <c r="K25" s="29">
        <f t="shared" si="1"/>
        <v>50</v>
      </c>
      <c r="L25" s="536">
        <f t="shared" si="2"/>
        <v>11</v>
      </c>
      <c r="M25" s="29">
        <f t="shared" si="3"/>
        <v>1200</v>
      </c>
      <c r="N25" s="29">
        <f t="shared" si="4"/>
        <v>50</v>
      </c>
      <c r="O25" s="536">
        <f t="shared" si="5"/>
        <v>11</v>
      </c>
      <c r="P25" s="29">
        <f t="shared" si="9"/>
        <v>550</v>
      </c>
      <c r="Q25" s="29">
        <f t="shared" si="10"/>
        <v>1750</v>
      </c>
      <c r="R25" s="455">
        <f t="shared" si="6"/>
        <v>0.26243091167016946</v>
      </c>
      <c r="S25" s="455">
        <f t="shared" si="7"/>
        <v>1.0918497873021217E-3</v>
      </c>
      <c r="T25" s="455">
        <f t="shared" si="11"/>
        <v>0.34387605423929041</v>
      </c>
      <c r="Z25" t="s">
        <v>675</v>
      </c>
      <c r="AA25" s="455" t="e">
        <f t="shared" si="8"/>
        <v>#N/A</v>
      </c>
      <c r="AB25" s="455" t="e">
        <f>SUM($AA$2:$AA25)</f>
        <v>#N/A</v>
      </c>
    </row>
    <row r="26" spans="1:28" x14ac:dyDescent="0.2">
      <c r="A26" s="531">
        <v>25</v>
      </c>
      <c r="B26" s="537" t="s">
        <v>1140</v>
      </c>
      <c r="C26" s="538">
        <f>IF(VLOOKUP($B26,POS_Cost!$B$3:$AK$33,35,0)="x","",$M26)</f>
        <v>1100</v>
      </c>
      <c r="D26" s="539">
        <f>IF(VLOOKUP($B26,POS_Cost!$B$3:$AK$33,35,0)="x","",$P26)</f>
        <v>500</v>
      </c>
      <c r="E26" s="540" t="str">
        <f>IF(VLOOKUP($B26,POS_Cost!$B$3:$AK$33,35,0)="x","",IF(OR($O26="",$O26=0),"N/A",TEXT($N26,"$#,##")&amp;" for "&amp;$O26&amp;" pay periods"))</f>
        <v>$50 for 10 pay periods</v>
      </c>
      <c r="F26" s="28">
        <f>IFERROR(IF(VLOOKUP(B26,POS_Ratios!$B$3:$AC$33,28,FALSE)="x",MIN(I26/100000,POS_Ratios!$Z$40)^((1-cost_share_target*POS_Ratios!$Z$40)),IF(VLOOKUP(B26,POS_Ratios!$B$3:$AB$33,27,FALSE)="x",MIN(I26/100000,POS_Ratios!$Z$38)^((1-cost_share_target*POS_Ratios!$Z$38)),MIN(I26/100000,POS_Ratios!$Z$39)^((1-cost_share_target*POS_Ratios!$Z$39)))),"")</f>
        <v>0.28789312604983947</v>
      </c>
      <c r="G26" t="s">
        <v>687</v>
      </c>
      <c r="H26" s="373">
        <v>1.7526937975219239</v>
      </c>
      <c r="I26" s="29">
        <f>IFERROR(VLOOKUP(B26,POS_Cost!$B$3:$L$33,3,FALSE),"")</f>
        <v>4621.347547509471</v>
      </c>
      <c r="J26" s="29">
        <f t="shared" si="0"/>
        <v>1100</v>
      </c>
      <c r="K26" s="29">
        <f t="shared" si="1"/>
        <v>50</v>
      </c>
      <c r="L26" s="536">
        <f t="shared" si="2"/>
        <v>10</v>
      </c>
      <c r="M26" s="29">
        <f t="shared" si="3"/>
        <v>1100</v>
      </c>
      <c r="N26" s="29">
        <f t="shared" si="4"/>
        <v>50</v>
      </c>
      <c r="O26" s="536">
        <f t="shared" si="5"/>
        <v>10</v>
      </c>
      <c r="P26" s="29">
        <f t="shared" si="9"/>
        <v>500</v>
      </c>
      <c r="Q26" s="29">
        <f t="shared" si="10"/>
        <v>1600</v>
      </c>
      <c r="R26" s="455">
        <f t="shared" si="6"/>
        <v>0.34621936211273902</v>
      </c>
      <c r="S26" s="455">
        <f t="shared" si="7"/>
        <v>1.2701376478665228E-2</v>
      </c>
      <c r="T26" s="455">
        <f t="shared" si="11"/>
        <v>0.3933168137140251</v>
      </c>
      <c r="Z26" t="s">
        <v>675</v>
      </c>
      <c r="AA26" s="455" t="e">
        <f t="shared" si="8"/>
        <v>#N/A</v>
      </c>
      <c r="AB26" s="455" t="e">
        <f>SUM($AA$2:$AA26)</f>
        <v>#N/A</v>
      </c>
    </row>
    <row r="27" spans="1:28" x14ac:dyDescent="0.2">
      <c r="A27" s="531">
        <v>26</v>
      </c>
      <c r="B27" s="532" t="s">
        <v>1020</v>
      </c>
      <c r="C27" s="533">
        <f>IF(VLOOKUP($B27,POS_Cost!$B$3:$AK$33,35,0)="x","",$M27)</f>
        <v>1500</v>
      </c>
      <c r="D27" s="534">
        <f>IF(VLOOKUP($B27,POS_Cost!$B$3:$AK$33,35,0)="x","",$P27)</f>
        <v>1500</v>
      </c>
      <c r="E27" s="535" t="str">
        <f>IF(VLOOKUP($B27,POS_Cost!$B$3:$AK$33,35,0)="x","",IF(OR($O27="",$O27=0),"N/A",TEXT($N27,"$#,##")&amp;" for "&amp;$O27&amp;" pay periods"))</f>
        <v>$100 for 15 pay periods</v>
      </c>
      <c r="F27" s="28">
        <f>IFERROR(IF(VLOOKUP(B27,POS_Ratios!$B$3:$AC$33,28,FALSE)="x",MIN(I27/100000,POS_Ratios!$Z$40)^((1-cost_share_target*POS_Ratios!$Z$40)),IF(VLOOKUP(B27,POS_Ratios!$B$3:$AB$33,27,FALSE)="x",MIN(I27/100000,POS_Ratios!$Z$38)^((1-cost_share_target*POS_Ratios!$Z$38)),MIN(I27/100000,POS_Ratios!$Z$39)^((1-cost_share_target*POS_Ratios!$Z$39)))),"")</f>
        <v>0.48063310801775921</v>
      </c>
      <c r="G27" t="s">
        <v>1024</v>
      </c>
      <c r="H27" s="373">
        <v>0.28802368588267335</v>
      </c>
      <c r="I27" s="29">
        <f>IFERROR(VLOOKUP(B27,POS_Cost!$B$3:$L$33,3,FALSE),"")</f>
        <v>27966.137788129003</v>
      </c>
      <c r="J27" s="29">
        <f t="shared" si="0"/>
        <v>1500</v>
      </c>
      <c r="K27" s="29">
        <f t="shared" si="1"/>
        <v>100</v>
      </c>
      <c r="L27" s="536">
        <f t="shared" si="2"/>
        <v>15</v>
      </c>
      <c r="M27" s="29">
        <f t="shared" si="3"/>
        <v>1500</v>
      </c>
      <c r="N27" s="29">
        <f t="shared" si="4"/>
        <v>100</v>
      </c>
      <c r="O27" s="536">
        <f t="shared" si="5"/>
        <v>15</v>
      </c>
      <c r="P27" s="29">
        <f t="shared" si="9"/>
        <v>1500</v>
      </c>
      <c r="Q27" s="29">
        <f t="shared" si="10"/>
        <v>3000</v>
      </c>
      <c r="R27" s="455">
        <f t="shared" si="6"/>
        <v>0.10727258882609927</v>
      </c>
      <c r="S27" s="455">
        <f t="shared" si="7"/>
        <v>1.2630972959190691E-2</v>
      </c>
      <c r="T27" s="455">
        <f t="shared" si="11"/>
        <v>0.17666051836108346</v>
      </c>
      <c r="Z27" t="s">
        <v>676</v>
      </c>
      <c r="AA27" s="455">
        <f t="shared" si="8"/>
        <v>5.3696485954018245E-3</v>
      </c>
      <c r="AB27" s="455" t="e">
        <f>SUM($AA$2:$AA27)</f>
        <v>#N/A</v>
      </c>
    </row>
    <row r="28" spans="1:28" x14ac:dyDescent="0.2">
      <c r="A28" s="531">
        <v>27</v>
      </c>
      <c r="B28" s="537" t="s">
        <v>831</v>
      </c>
      <c r="C28" s="538">
        <f>IF(VLOOKUP($B28,POS_Cost!$B$3:$AK$33,35,0)="x","",$M28)</f>
        <v>1200</v>
      </c>
      <c r="D28" s="539">
        <f>IF(VLOOKUP($B28,POS_Cost!$B$3:$AK$33,35,0)="x","",$P28)</f>
        <v>550</v>
      </c>
      <c r="E28" s="540" t="str">
        <f>IF(VLOOKUP($B28,POS_Cost!$B$3:$AK$33,35,0)="x","",IF(OR($O28="",$O28=0),"N/A",TEXT($N28,"$#,##")&amp;" for "&amp;$O28&amp;" pay periods"))</f>
        <v>$50 for 11 pay periods</v>
      </c>
      <c r="F28" s="28">
        <f>IFERROR(IF(VLOOKUP(B28,POS_Ratios!$B$3:$AC$33,28,FALSE)="x",MIN(I28/100000,POS_Ratios!$Z$40)^((1-cost_share_target*POS_Ratios!$Z$40)),IF(VLOOKUP(B28,POS_Ratios!$B$3:$AB$33,27,FALSE)="x",MIN(I28/100000,POS_Ratios!$Z$38)^((1-cost_share_target*POS_Ratios!$Z$38)),MIN(I28/100000,POS_Ratios!$Z$39)^((1-cost_share_target*POS_Ratios!$Z$39)))),"")</f>
        <v>0.33122059139264681</v>
      </c>
      <c r="G28" t="s">
        <v>684</v>
      </c>
      <c r="H28" s="373">
        <v>5.5347111224729274E-2</v>
      </c>
      <c r="I28" s="29">
        <f>IFERROR(VLOOKUP(B28,POS_Cost!$B$3:$L$33,3,FALSE),"")</f>
        <v>6532.8774933333325</v>
      </c>
      <c r="J28" s="29">
        <f t="shared" si="0"/>
        <v>1200</v>
      </c>
      <c r="K28" s="29">
        <f t="shared" si="1"/>
        <v>50</v>
      </c>
      <c r="L28" s="536">
        <f t="shared" si="2"/>
        <v>11</v>
      </c>
      <c r="M28" s="29">
        <f t="shared" si="3"/>
        <v>1200</v>
      </c>
      <c r="N28" s="29">
        <f t="shared" si="4"/>
        <v>50</v>
      </c>
      <c r="O28" s="536">
        <f t="shared" si="5"/>
        <v>11</v>
      </c>
      <c r="P28" s="29">
        <f t="shared" si="9"/>
        <v>550</v>
      </c>
      <c r="Q28" s="29">
        <f t="shared" si="10"/>
        <v>1750</v>
      </c>
      <c r="R28" s="455">
        <f t="shared" si="6"/>
        <v>0.26787583293668665</v>
      </c>
      <c r="S28" s="455">
        <f t="shared" si="7"/>
        <v>5.669902372826E-4</v>
      </c>
      <c r="T28" s="455">
        <f t="shared" si="11"/>
        <v>0.34795947291919177</v>
      </c>
      <c r="Z28" t="s">
        <v>678</v>
      </c>
      <c r="AA28" s="455">
        <f t="shared" si="8"/>
        <v>2.80311546400377E-3</v>
      </c>
      <c r="AB28" s="455" t="e">
        <f>SUM($AA$2:$AA28)</f>
        <v>#N/A</v>
      </c>
    </row>
    <row r="29" spans="1:28" x14ac:dyDescent="0.2">
      <c r="A29" s="531">
        <v>28</v>
      </c>
      <c r="B29" s="537" t="s">
        <v>832</v>
      </c>
      <c r="C29" s="538">
        <f>IF(VLOOKUP($B29,POS_Cost!$B$3:$AK$33,35,0)="x","",$M29)</f>
        <v>1700</v>
      </c>
      <c r="D29" s="539">
        <f>IF(VLOOKUP($B29,POS_Cost!$B$3:$AK$33,35,0)="x","",$P29)</f>
        <v>1700</v>
      </c>
      <c r="E29" s="540" t="str">
        <f>IF(VLOOKUP($B29,POS_Cost!$B$3:$AK$33,35,0)="x","",IF(OR($O29="",$O29=0),"N/A",TEXT($N29,"$#,##")&amp;" for "&amp;$O29&amp;" pay periods"))</f>
        <v>$100 for 17 pay periods</v>
      </c>
      <c r="F29" s="28">
        <f>IFERROR(IF(VLOOKUP(B29,POS_Ratios!$B$3:$AC$33,28,FALSE)="x",MIN(I29/100000,POS_Ratios!$Z$40)^((1-cost_share_target*POS_Ratios!$Z$40)),IF(VLOOKUP(B29,POS_Ratios!$B$3:$AB$33,27,FALSE)="x",MIN(I29/100000,POS_Ratios!$Z$38)^((1-cost_share_target*POS_Ratios!$Z$38)),MIN(I29/100000,POS_Ratios!$Z$39)^((1-cost_share_target*POS_Ratios!$Z$39)))),"")</f>
        <v>0.58044713036460494</v>
      </c>
      <c r="G29" t="s">
        <v>670</v>
      </c>
      <c r="H29" s="373">
        <v>9.3127070511972776E-2</v>
      </c>
      <c r="I29" s="29">
        <f>IFERROR(VLOOKUP(B29,POS_Cost!$B$3:$L$33,3,FALSE),"")</f>
        <v>38828.665707214328</v>
      </c>
      <c r="J29" s="29">
        <f t="shared" si="0"/>
        <v>1700</v>
      </c>
      <c r="K29" s="29">
        <f t="shared" si="1"/>
        <v>100</v>
      </c>
      <c r="L29" s="536">
        <f t="shared" si="2"/>
        <v>17</v>
      </c>
      <c r="M29" s="29">
        <f t="shared" si="3"/>
        <v>1700</v>
      </c>
      <c r="N29" s="29">
        <f t="shared" si="4"/>
        <v>100</v>
      </c>
      <c r="O29" s="536">
        <f t="shared" si="5"/>
        <v>17</v>
      </c>
      <c r="P29" s="29">
        <f t="shared" si="9"/>
        <v>1700</v>
      </c>
      <c r="Q29" s="29">
        <f t="shared" si="10"/>
        <v>3400</v>
      </c>
      <c r="R29" s="455">
        <f t="shared" si="6"/>
        <v>8.7564172965343065E-2</v>
      </c>
      <c r="S29" s="455">
        <f t="shared" si="7"/>
        <v>5.6702801564934742E-3</v>
      </c>
      <c r="T29" s="455">
        <f t="shared" si="11"/>
        <v>0.14838727556989867</v>
      </c>
      <c r="Z29" t="s">
        <v>680</v>
      </c>
      <c r="AA29" s="455">
        <f t="shared" si="8"/>
        <v>1.0918497873021217E-3</v>
      </c>
      <c r="AB29" s="455" t="e">
        <f>SUM($AA$2:$AA29)</f>
        <v>#N/A</v>
      </c>
    </row>
    <row r="30" spans="1:28" x14ac:dyDescent="0.2">
      <c r="A30" s="531">
        <v>29</v>
      </c>
      <c r="B30" s="532" t="s">
        <v>833</v>
      </c>
      <c r="C30" s="533">
        <f>IF(VLOOKUP($B30,POS_Cost!$B$3:$AK$33,35,0)="x","",$M30)</f>
        <v>1100</v>
      </c>
      <c r="D30" s="534">
        <f>IF(VLOOKUP($B30,POS_Cost!$B$3:$AK$33,35,0)="x","",$P30)</f>
        <v>550</v>
      </c>
      <c r="E30" s="535" t="str">
        <f>IF(VLOOKUP($B30,POS_Cost!$B$3:$AK$33,35,0)="x","",IF(OR($O30="",$O30=0),"N/A",TEXT($N30,"$#,##")&amp;" for "&amp;$O30&amp;" pay periods"))</f>
        <v>$50 for 11 pay periods</v>
      </c>
      <c r="F30" s="28">
        <f>IFERROR(IF(VLOOKUP(B30,POS_Ratios!$B$3:$AC$33,28,FALSE)="x",MIN(I30/100000,POS_Ratios!$Z$40)^((1-cost_share_target*POS_Ratios!$Z$40)),IF(VLOOKUP(B30,POS_Ratios!$B$3:$AB$33,27,FALSE)="x",MIN(I30/100000,POS_Ratios!$Z$38)^((1-cost_share_target*POS_Ratios!$Z$38)),MIN(I30/100000,POS_Ratios!$Z$39)^((1-cost_share_target*POS_Ratios!$Z$39)))),"")</f>
        <v>0.31711845572513242</v>
      </c>
      <c r="G30" t="s">
        <v>656</v>
      </c>
      <c r="H30" s="373">
        <v>1.8797205327164748</v>
      </c>
      <c r="I30" s="29">
        <f>IFERROR(VLOOKUP(B30,POS_Cost!$B$3:$L$33,3,FALSE),"")</f>
        <v>5867.4337200184746</v>
      </c>
      <c r="J30" s="29">
        <f t="shared" si="0"/>
        <v>1100</v>
      </c>
      <c r="K30" s="29">
        <f t="shared" si="1"/>
        <v>50</v>
      </c>
      <c r="L30" s="536">
        <f t="shared" si="2"/>
        <v>11</v>
      </c>
      <c r="M30" s="29">
        <f t="shared" si="3"/>
        <v>1100</v>
      </c>
      <c r="N30" s="29">
        <f t="shared" si="4"/>
        <v>50</v>
      </c>
      <c r="O30" s="536">
        <f t="shared" si="5"/>
        <v>11</v>
      </c>
      <c r="P30" s="29">
        <f t="shared" si="9"/>
        <v>550</v>
      </c>
      <c r="Q30" s="29">
        <f t="shared" si="10"/>
        <v>1650</v>
      </c>
      <c r="R30" s="455">
        <f t="shared" si="6"/>
        <v>0.28121323200815035</v>
      </c>
      <c r="S30" s="455">
        <f t="shared" si="7"/>
        <v>1.7294881323823237E-2</v>
      </c>
      <c r="T30" s="455">
        <f t="shared" si="11"/>
        <v>0.35745061999264954</v>
      </c>
      <c r="Z30" t="s">
        <v>682</v>
      </c>
      <c r="AA30" s="455">
        <f t="shared" si="8"/>
        <v>9.3958928960881805E-3</v>
      </c>
      <c r="AB30" s="455" t="e">
        <f>SUM($AA$2:$AA30)</f>
        <v>#N/A</v>
      </c>
    </row>
    <row r="31" spans="1:28" x14ac:dyDescent="0.2">
      <c r="A31" s="531">
        <v>30</v>
      </c>
      <c r="B31" s="532" t="s">
        <v>958</v>
      </c>
      <c r="C31" s="533">
        <f>IF(VLOOKUP($B31,POS_Cost!$B$3:$AK$33,35,0)="x","",$M31)</f>
        <v>1000</v>
      </c>
      <c r="D31" s="534">
        <f>IF(VLOOKUP($B31,POS_Cost!$B$3:$AK$33,35,0)="x","",$P31)</f>
        <v>500</v>
      </c>
      <c r="E31" s="535" t="str">
        <f>IF(VLOOKUP($B31,POS_Cost!$B$3:$AK$33,35,0)="x","",IF(OR($O31="",$O31=0),"N/A",TEXT($N31,"$#,##")&amp;" for "&amp;$O31&amp;" pay periods"))</f>
        <v>$50 for 10 pay periods</v>
      </c>
      <c r="F31" s="28">
        <f>IFERROR(IF(VLOOKUP(B31,POS_Ratios!$B$3:$AC$33,28,FALSE)="x",MIN(I31/100000,POS_Ratios!$Z$40)^((1-cost_share_target*POS_Ratios!$Z$40)),IF(VLOOKUP(B31,POS_Ratios!$B$3:$AB$33,27,FALSE)="x",MIN(I31/100000,POS_Ratios!$Z$38)^((1-cost_share_target*POS_Ratios!$Z$38)),MIN(I31/100000,POS_Ratios!$Z$39)^((1-cost_share_target*POS_Ratios!$Z$39)))),"")</f>
        <v>0.26883849829096035</v>
      </c>
      <c r="G31" t="s">
        <v>650</v>
      </c>
      <c r="H31" s="373">
        <v>12.99309593291154</v>
      </c>
      <c r="I31" s="29">
        <f>IFERROR(VLOOKUP(B31,POS_Cost!$B$3:$L$33,3,FALSE),"")</f>
        <v>6850.0991683065276</v>
      </c>
      <c r="J31" s="29">
        <f t="shared" si="0"/>
        <v>1000</v>
      </c>
      <c r="K31" s="29">
        <f t="shared" si="1"/>
        <v>50</v>
      </c>
      <c r="L31" s="536">
        <f t="shared" si="2"/>
        <v>10</v>
      </c>
      <c r="M31" s="29">
        <f t="shared" si="3"/>
        <v>1000</v>
      </c>
      <c r="N31" s="29">
        <f t="shared" si="4"/>
        <v>50</v>
      </c>
      <c r="O31" s="536">
        <f t="shared" si="5"/>
        <v>10</v>
      </c>
      <c r="P31" s="29">
        <f t="shared" si="9"/>
        <v>500</v>
      </c>
      <c r="Q31" s="29">
        <f t="shared" si="10"/>
        <v>1500</v>
      </c>
      <c r="R31" s="455">
        <f t="shared" si="6"/>
        <v>0.21897493206230881</v>
      </c>
      <c r="S31" s="455">
        <f t="shared" si="7"/>
        <v>0.13956792196111037</v>
      </c>
      <c r="T31" s="455">
        <f t="shared" si="11"/>
        <v>0.30694946792961159</v>
      </c>
      <c r="Z31" t="s">
        <v>683</v>
      </c>
      <c r="AA31" s="455" t="e">
        <f t="shared" si="8"/>
        <v>#N/A</v>
      </c>
      <c r="AB31" s="455" t="e">
        <f>SUM($AA$2:$AA31)</f>
        <v>#N/A</v>
      </c>
    </row>
    <row r="32" spans="1:28" x14ac:dyDescent="0.2">
      <c r="A32" s="531">
        <v>31</v>
      </c>
      <c r="B32" s="537" t="s">
        <v>1139</v>
      </c>
      <c r="C32" s="538">
        <f>IF(VLOOKUP($B32,POS_Cost!$B$3:$AK$33,35,0)="x","",$M32)</f>
        <v>1300</v>
      </c>
      <c r="D32" s="539">
        <f>IF(VLOOKUP($B32,POS_Cost!$B$3:$AK$33,35,0)="x","",$P32)</f>
        <v>1300</v>
      </c>
      <c r="E32" s="540" t="str">
        <f>IF(VLOOKUP($B32,POS_Cost!$B$3:$AK$33,35,0)="x","",IF(OR($O32="",$O32=0),"N/A",TEXT($N32,"$#,##")&amp;" for "&amp;$O32&amp;" pay periods"))</f>
        <v>$100 for 13 pay periods</v>
      </c>
      <c r="F32" s="28">
        <f>IFERROR(IF(VLOOKUP(B32,POS_Ratios!$B$3:$AC$33,28,FALSE)="x",MIN(I32/100000,POS_Ratios!$Z$40)^((1-cost_share_target*POS_Ratios!$Z$40)),IF(VLOOKUP(B32,POS_Ratios!$B$3:$AB$33,27,FALSE)="x",MIN(I32/100000,POS_Ratios!$Z$38)^((1-cost_share_target*POS_Ratios!$Z$38)),MIN(I32/100000,POS_Ratios!$Z$39)^((1-cost_share_target*POS_Ratios!$Z$39)))),"")</f>
        <v>0.38973114198668746</v>
      </c>
      <c r="G32" t="s">
        <v>635</v>
      </c>
      <c r="H32" s="373">
        <v>0.33261179843083005</v>
      </c>
      <c r="I32" s="29">
        <f>IFERROR(VLOOKUP(B32,POS_Cost!$B$3:$L$33,3,FALSE),"")</f>
        <v>14615.940124514827</v>
      </c>
      <c r="J32" s="29">
        <f t="shared" si="0"/>
        <v>1300</v>
      </c>
      <c r="K32" s="29">
        <f t="shared" si="1"/>
        <v>100</v>
      </c>
      <c r="L32" s="536">
        <f t="shared" si="2"/>
        <v>13</v>
      </c>
      <c r="M32" s="29">
        <f t="shared" si="3"/>
        <v>1300</v>
      </c>
      <c r="N32" s="29">
        <f t="shared" si="4"/>
        <v>100</v>
      </c>
      <c r="O32" s="536">
        <f t="shared" si="5"/>
        <v>13</v>
      </c>
      <c r="P32" s="29">
        <f t="shared" si="9"/>
        <v>1300</v>
      </c>
      <c r="Q32" s="29">
        <f t="shared" si="10"/>
        <v>2600</v>
      </c>
      <c r="R32" s="455">
        <f t="shared" si="6"/>
        <v>0.17788797558352795</v>
      </c>
      <c r="S32" s="455">
        <f t="shared" si="7"/>
        <v>7.6232561745930658E-3</v>
      </c>
      <c r="T32" s="455">
        <f t="shared" si="11"/>
        <v>0.26494700456995424</v>
      </c>
      <c r="Z32" t="s">
        <v>684</v>
      </c>
      <c r="AA32" s="455">
        <f t="shared" si="8"/>
        <v>5.669902372826E-4</v>
      </c>
      <c r="AB32" s="455" t="e">
        <f>SUM($AA$2:$AA32)</f>
        <v>#N/A</v>
      </c>
    </row>
    <row r="33" spans="7:28" x14ac:dyDescent="0.2">
      <c r="R33" s="455"/>
      <c r="Z33" t="s">
        <v>686</v>
      </c>
      <c r="AA33" s="455">
        <f t="shared" si="8"/>
        <v>1.5487922849240366E-3</v>
      </c>
      <c r="AB33" s="455" t="e">
        <f>SUM($AA$2:$AA33)</f>
        <v>#N/A</v>
      </c>
    </row>
    <row r="34" spans="7:28" x14ac:dyDescent="0.2">
      <c r="G34" t="s">
        <v>403</v>
      </c>
      <c r="I34" s="29">
        <f t="shared" ref="I34:Q34" si="12">SUMPRODUCT(I$2:I$32,$H$2:$H$32)/SUM($H$2:$H$32)</f>
        <v>17013.974241759493</v>
      </c>
      <c r="J34" s="29">
        <f t="shared" si="12"/>
        <v>1235.6083806569522</v>
      </c>
      <c r="K34" s="29">
        <f t="shared" si="12"/>
        <v>70.670571139776101</v>
      </c>
      <c r="L34" s="536">
        <f t="shared" si="12"/>
        <v>12.319201499799533</v>
      </c>
      <c r="M34" s="29">
        <f t="shared" si="12"/>
        <v>1235.6083806569522</v>
      </c>
      <c r="N34" s="29">
        <f t="shared" si="12"/>
        <v>70.670571139776101</v>
      </c>
      <c r="O34" s="536">
        <f t="shared" si="12"/>
        <v>12.319201499799533</v>
      </c>
      <c r="P34" s="29">
        <f t="shared" si="12"/>
        <v>950.40765447389356</v>
      </c>
      <c r="Q34" s="29">
        <f t="shared" si="12"/>
        <v>2186.0160351308455</v>
      </c>
      <c r="R34" s="455">
        <f>Q35</f>
        <v>0.12848356322095733</v>
      </c>
      <c r="S34" s="455">
        <f>SUM(S$2:S$32)</f>
        <v>0.99999999999999989</v>
      </c>
      <c r="Z34" t="s">
        <v>687</v>
      </c>
      <c r="AA34" s="455">
        <f t="shared" si="8"/>
        <v>1.2701376478665228E-2</v>
      </c>
      <c r="AB34" s="455" t="e">
        <f>SUM($AA$2:$AA34)</f>
        <v>#N/A</v>
      </c>
    </row>
    <row r="35" spans="7:28" x14ac:dyDescent="0.2">
      <c r="G35" t="s">
        <v>851</v>
      </c>
      <c r="J35" s="28">
        <f>J34/$I34</f>
        <v>7.2623148660014208E-2</v>
      </c>
      <c r="M35" s="28">
        <f>M34/$I34</f>
        <v>7.2623148660014208E-2</v>
      </c>
      <c r="P35" s="28">
        <f>P34/$I34</f>
        <v>5.5860414560943143E-2</v>
      </c>
      <c r="Q35" s="28">
        <f>Q34/$I34</f>
        <v>0.12848356322095733</v>
      </c>
      <c r="R35" s="28"/>
    </row>
    <row r="36" spans="7:28" x14ac:dyDescent="0.2">
      <c r="G36" t="s">
        <v>1046</v>
      </c>
      <c r="Q36" s="542">
        <f>add_in_subsidy/100</f>
        <v>0.85</v>
      </c>
    </row>
    <row r="37" spans="7:28" x14ac:dyDescent="0.2">
      <c r="J37" s="29">
        <f>copay_min</f>
        <v>500</v>
      </c>
      <c r="K37" s="29">
        <v>0</v>
      </c>
      <c r="L37" s="29">
        <f>SUM(J37:K37)</f>
        <v>500</v>
      </c>
    </row>
    <row r="38" spans="7:28" x14ac:dyDescent="0.2">
      <c r="I38" s="29"/>
      <c r="J38" s="29">
        <f>copay_max</f>
        <v>2500</v>
      </c>
      <c r="K38" s="29">
        <f>payroll_max*period_max</f>
        <v>5200</v>
      </c>
      <c r="L38" s="29">
        <f>SUM(J38:K38)</f>
        <v>7700</v>
      </c>
    </row>
    <row r="39" spans="7:28" x14ac:dyDescent="0.2">
      <c r="J39" s="28">
        <f>J38/$L38</f>
        <v>0.32467532467532467</v>
      </c>
      <c r="K39" s="28">
        <f>K38/$L38</f>
        <v>0.67532467532467533</v>
      </c>
    </row>
    <row r="40" spans="7:28" x14ac:dyDescent="0.2">
      <c r="J40" s="29"/>
      <c r="K40" s="2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enableFormatConditionsCalculation="0"/>
  <dimension ref="A1:AB40"/>
  <sheetViews>
    <sheetView workbookViewId="0">
      <pane xSplit="1" ySplit="1" topLeftCell="B2" activePane="bottomRight" state="frozen"/>
      <selection activeCell="H2" sqref="H2"/>
      <selection pane="topRight" activeCell="H2" sqref="H2"/>
      <selection pane="bottomLeft" activeCell="H2" sqref="H2"/>
      <selection pane="bottomRight" activeCell="B2" sqref="B2"/>
    </sheetView>
  </sheetViews>
  <sheetFormatPr baseColWidth="10" defaultColWidth="8.83203125" defaultRowHeight="15" x14ac:dyDescent="0.2"/>
  <cols>
    <col min="1" max="1" width="3.83203125" customWidth="1"/>
    <col min="2" max="2" width="52" customWidth="1"/>
    <col min="3" max="3" width="10.6640625" style="625" customWidth="1"/>
    <col min="4" max="4" width="9.5" customWidth="1"/>
    <col min="5" max="5" width="23" style="541" customWidth="1"/>
    <col min="6" max="6" width="8.83203125" customWidth="1"/>
    <col min="7" max="7" width="38.83203125" customWidth="1"/>
    <col min="8" max="18" width="9.6640625" customWidth="1"/>
    <col min="19" max="19" width="9.5" customWidth="1"/>
    <col min="26" max="26" width="27.83203125" customWidth="1"/>
    <col min="27" max="28" width="10.1640625" customWidth="1"/>
  </cols>
  <sheetData>
    <row r="1" spans="1:28" ht="52.25" customHeight="1" x14ac:dyDescent="0.2">
      <c r="B1" s="525" t="s">
        <v>923</v>
      </c>
      <c r="C1" s="526" t="s">
        <v>834</v>
      </c>
      <c r="D1" s="527" t="s">
        <v>835</v>
      </c>
      <c r="E1" s="528" t="s">
        <v>836</v>
      </c>
      <c r="F1" s="529" t="s">
        <v>966</v>
      </c>
      <c r="G1" s="529" t="s">
        <v>837</v>
      </c>
      <c r="H1" s="358" t="s">
        <v>306</v>
      </c>
      <c r="I1" s="358" t="s">
        <v>838</v>
      </c>
      <c r="J1" s="358" t="s">
        <v>839</v>
      </c>
      <c r="K1" s="358" t="s">
        <v>840</v>
      </c>
      <c r="L1" s="358" t="s">
        <v>841</v>
      </c>
      <c r="M1" s="358" t="s">
        <v>311</v>
      </c>
      <c r="N1" s="358" t="s">
        <v>842</v>
      </c>
      <c r="O1" s="358" t="s">
        <v>843</v>
      </c>
      <c r="P1" s="358" t="s">
        <v>844</v>
      </c>
      <c r="Q1" s="358" t="s">
        <v>845</v>
      </c>
      <c r="R1" s="358" t="s">
        <v>846</v>
      </c>
      <c r="S1" s="358" t="s">
        <v>847</v>
      </c>
      <c r="T1" s="358"/>
      <c r="U1" s="530" t="s">
        <v>848</v>
      </c>
      <c r="V1" s="530"/>
      <c r="W1" s="530"/>
      <c r="X1" s="530"/>
      <c r="Z1" t="s">
        <v>837</v>
      </c>
      <c r="AA1" s="625" t="s">
        <v>847</v>
      </c>
      <c r="AB1" s="358" t="s">
        <v>849</v>
      </c>
    </row>
    <row r="2" spans="1:28" ht="15.5" customHeight="1" x14ac:dyDescent="0.2">
      <c r="A2" s="531">
        <v>1</v>
      </c>
      <c r="B2" s="532" t="s">
        <v>1134</v>
      </c>
      <c r="C2" s="533" t="str">
        <f>IF(VLOOKUP($B2,POS_Cost!$B$3:$AK$33,36,0)="x","",$M2)</f>
        <v/>
      </c>
      <c r="D2" s="534" t="str">
        <f>IF(VLOOKUP($B2,POS_Cost!$B$3:$AK$33,36,0)="x","",$P2)</f>
        <v/>
      </c>
      <c r="E2" s="535" t="str">
        <f>IF(VLOOKUP($B2,POS_Cost!$B$3:$AK$33,36,0)="x","",IF(OR($O2="",$O2=0),"N/A",TEXT($N2,"$#,##")&amp;" for "&amp;$O2&amp;" pay periods"))</f>
        <v/>
      </c>
      <c r="F2" s="28">
        <f>IFERROR(IF(VLOOKUP(B2,POS_Ratios!$B$3:$AC$33,28,FALSE)="x",MIN(I2/100000,POS_Ratios!$AA$40)^((1-cost_share_target*POS_Ratios!$AA$40)),IF(VLOOKUP(B2,POS_Ratios!$B$3:$AB$33,27,FALSE)="x",MIN(I2/100000,POS_Ratios!$AA$38)^((1-cost_share_target*POS_Ratios!$AA$38)),MIN(I2/100000,POS_Ratios!$AA$39)^((1-cost_share_target*POS_Ratios!$AA$39)))),"")</f>
        <v>0.21426911688354366</v>
      </c>
      <c r="G2" t="s">
        <v>678</v>
      </c>
      <c r="H2" s="373">
        <v>0.12642705330110243</v>
      </c>
      <c r="I2" s="29">
        <f>IFERROR(VLOOKUP(B2,POS_Cost!$B$3:$L$33,3,FALSE),"")</f>
        <v>14139.200827205883</v>
      </c>
      <c r="J2" s="29">
        <f t="shared" ref="J2:J32" si="0">IFERROR(MIN(MROUND(MIN($F2*(copay_max-copay_min)+copay_min,copay_max),copay_unit),$I2),"")</f>
        <v>900</v>
      </c>
      <c r="K2" s="29">
        <f t="shared" ref="K2:K32" si="1">IFERROR(MROUND(MAX(MIN($F2*payroll_max,payroll_max),payroll_min),payroll_unit),"")</f>
        <v>50</v>
      </c>
      <c r="L2" s="536">
        <f t="shared" ref="L2:L32" si="2">IFERROR(MAX(MIN(ROUND($F2*(period_max-period_min)+period_min,0),period_max),0),"")</f>
        <v>9</v>
      </c>
      <c r="M2" s="29">
        <f t="shared" ref="M2:M32" si="3">IFERROR(IF(AND($L2&lt;period_min,$J2&gt;copay_min+period_min*payroll_min),$J2-(period_min-$L2)*payroll_min,IF($L2&lt;period_min,$J2+$K2*$L2,$J2)),"")</f>
        <v>900</v>
      </c>
      <c r="N2" s="29">
        <f t="shared" ref="N2:N32" si="4">IFERROR(MROUND(MAX(MIN(($J2+$K2*$L2-$M2)/$O2,payroll_max),payroll_min),payroll_unit),"")</f>
        <v>50</v>
      </c>
      <c r="O2" s="536">
        <f t="shared" ref="O2:O32" si="5">IFERROR(IF($L2="","",IF($J2+$K2*$L2&gt;$I2,MAX(ROUNDDOWN(($I2*0.8-$M2)/payroll_max,0),0),MAX(MIN($L2,period_max),period_min))),"")</f>
        <v>9</v>
      </c>
      <c r="P2" s="29">
        <f>IFERROR($N2*$O2,"")</f>
        <v>450</v>
      </c>
      <c r="Q2" s="29">
        <f>IF(SUM(M2,P2)=0,"",SUM(M2,P2))</f>
        <v>1350</v>
      </c>
      <c r="R2" s="455">
        <f t="shared" ref="R2:R32" si="6">IFERROR(Q2/I2,"")</f>
        <v>9.5479229448555761E-2</v>
      </c>
      <c r="S2" s="455">
        <f t="shared" ref="S2:S32" si="7">IFERROR($H2*$I2/$I$34/SUM($H$2:$H$32),"")</f>
        <v>2.80311546400377E-3</v>
      </c>
      <c r="T2" s="455">
        <f>IF($R2="","",IF($R2&lt;=0.4,-1.0204*$R2^2+0.9161*$R2+0.0018,0.205)*2)</f>
        <v>0.15993253332661547</v>
      </c>
      <c r="U2" s="530" t="s">
        <v>850</v>
      </c>
      <c r="V2" s="530"/>
      <c r="W2" s="530"/>
      <c r="X2" s="530"/>
      <c r="Z2" t="s">
        <v>632</v>
      </c>
      <c r="AA2" s="455">
        <f t="shared" ref="AA2:AA34" si="8">VLOOKUP($Z2,$G$2:$S$32,13,0)</f>
        <v>5.3514593325699036E-2</v>
      </c>
      <c r="AB2" s="455">
        <f>SUM($AA$2:$AA2)</f>
        <v>5.3514593325699036E-2</v>
      </c>
    </row>
    <row r="3" spans="1:28" x14ac:dyDescent="0.2">
      <c r="A3" s="531">
        <v>2</v>
      </c>
      <c r="B3" s="537" t="s">
        <v>953</v>
      </c>
      <c r="C3" s="538" t="str">
        <f>IF(VLOOKUP($B3,POS_Cost!$B$3:$AK$33,36,0)="x","",$M3)</f>
        <v/>
      </c>
      <c r="D3" s="539" t="str">
        <f>IF(VLOOKUP($B3,POS_Cost!$B$3:$AK$33,36,0)="x","",$P3)</f>
        <v/>
      </c>
      <c r="E3" s="540" t="str">
        <f>IF(VLOOKUP($B3,POS_Cost!$B$3:$AK$33,36,0)="x","",IF(OR($O3="",$O3=0),"N/A",TEXT($N3,"$#,##")&amp;" for "&amp;$O3&amp;" pay periods"))</f>
        <v/>
      </c>
      <c r="F3" s="28">
        <f>IFERROR(IF(VLOOKUP(B3,POS_Ratios!$B$3:$AC$33,28,FALSE)="x",MIN(I3/100000,POS_Ratios!$AA$40)^((1-cost_share_target*POS_Ratios!$AA$40)),IF(VLOOKUP(B3,POS_Ratios!$B$3:$AB$33,27,FALSE)="x",MIN(I3/100000,POS_Ratios!$AA$38)^((1-cost_share_target*POS_Ratios!$AA$38)),MIN(I3/100000,POS_Ratios!$AA$39)^((1-cost_share_target*POS_Ratios!$AA$39)))),"")</f>
        <v>0.407807618435374</v>
      </c>
      <c r="G3" t="s">
        <v>633</v>
      </c>
      <c r="H3" s="373">
        <v>0.57019165445285147</v>
      </c>
      <c r="I3" s="29">
        <f>IFERROR(VLOOKUP(B3,POS_Cost!$B$3:$L$33,3,FALSE),"")</f>
        <v>41086.631598289983</v>
      </c>
      <c r="J3" s="29">
        <f t="shared" si="0"/>
        <v>1300</v>
      </c>
      <c r="K3" s="29">
        <f t="shared" si="1"/>
        <v>100</v>
      </c>
      <c r="L3" s="536">
        <f t="shared" si="2"/>
        <v>13</v>
      </c>
      <c r="M3" s="29">
        <f t="shared" si="3"/>
        <v>1300</v>
      </c>
      <c r="N3" s="29">
        <f t="shared" si="4"/>
        <v>100</v>
      </c>
      <c r="O3" s="536">
        <f t="shared" si="5"/>
        <v>13</v>
      </c>
      <c r="P3" s="29">
        <f t="shared" ref="P3:P32" si="9">IFERROR($N3*$O3,"")</f>
        <v>1300</v>
      </c>
      <c r="Q3" s="29">
        <f t="shared" ref="Q3:Q32" si="10">IF(SUM(M3,P3)=0,"",SUM(M3,P3))</f>
        <v>2600</v>
      </c>
      <c r="R3" s="455">
        <f t="shared" si="6"/>
        <v>6.3280923717976709E-2</v>
      </c>
      <c r="S3" s="455">
        <f t="shared" si="7"/>
        <v>3.6736476792549606E-2</v>
      </c>
      <c r="T3" s="455">
        <f t="shared" ref="T3:T32" si="11">IF($R3="","",IF($R3&lt;=0.4,-1.0204*$R3^2+0.9161*$R3+0.0018,0.205)*2)</f>
        <v>0.11137097523036688</v>
      </c>
      <c r="Z3" t="s">
        <v>633</v>
      </c>
      <c r="AA3" s="455">
        <f t="shared" si="8"/>
        <v>3.6736476792549606E-2</v>
      </c>
      <c r="AB3" s="455">
        <f>SUM($AA$2:$AA3)</f>
        <v>9.025107011824865E-2</v>
      </c>
    </row>
    <row r="4" spans="1:28" x14ac:dyDescent="0.2">
      <c r="A4" s="531">
        <v>3</v>
      </c>
      <c r="B4" s="537" t="s">
        <v>954</v>
      </c>
      <c r="C4" s="538" t="str">
        <f>IF(VLOOKUP($B4,POS_Cost!$B$3:$AK$33,36,0)="x","",$M4)</f>
        <v/>
      </c>
      <c r="D4" s="539" t="str">
        <f>IF(VLOOKUP($B4,POS_Cost!$B$3:$AK$33,36,0)="x","",$P4)</f>
        <v/>
      </c>
      <c r="E4" s="540" t="str">
        <f>IF(VLOOKUP($B4,POS_Cost!$B$3:$AK$33,36,0)="x","",IF(OR($O4="",$O4=0),"N/A",TEXT($N4,"$#,##")&amp;" for "&amp;$O4&amp;" pay periods"))</f>
        <v/>
      </c>
      <c r="F4" s="28">
        <f>IFERROR(IF(VLOOKUP(B4,POS_Ratios!$B$3:$AC$33,28,FALSE)="x",MIN(I4/100000,POS_Ratios!$AA$40)^((1-cost_share_target*POS_Ratios!$AA$40)),IF(VLOOKUP(B4,POS_Ratios!$B$3:$AB$33,27,FALSE)="x",MIN(I4/100000,POS_Ratios!$AA$38)^((1-cost_share_target*POS_Ratios!$AA$38)),MIN(I4/100000,POS_Ratios!$AA$39)^((1-cost_share_target*POS_Ratios!$AA$39)))),"")</f>
        <v>0.407807618435374</v>
      </c>
      <c r="G4" t="s">
        <v>633</v>
      </c>
      <c r="H4" s="373">
        <v>0.51516202187759474</v>
      </c>
      <c r="I4" s="29">
        <f>IFERROR(VLOOKUP(B4,POS_Cost!$B$3:$L$33,3,FALSE),"")</f>
        <v>78172.246487055003</v>
      </c>
      <c r="J4" s="29">
        <f t="shared" si="0"/>
        <v>1300</v>
      </c>
      <c r="K4" s="29">
        <f t="shared" si="1"/>
        <v>100</v>
      </c>
      <c r="L4" s="536">
        <f t="shared" si="2"/>
        <v>13</v>
      </c>
      <c r="M4" s="29">
        <f t="shared" si="3"/>
        <v>1300</v>
      </c>
      <c r="N4" s="29">
        <f t="shared" si="4"/>
        <v>100</v>
      </c>
      <c r="O4" s="536">
        <f t="shared" si="5"/>
        <v>13</v>
      </c>
      <c r="P4" s="29">
        <f t="shared" si="9"/>
        <v>1300</v>
      </c>
      <c r="Q4" s="29">
        <f>IF(SUM(M4,P4)=0,"",SUM(M4,P4))</f>
        <v>2600</v>
      </c>
      <c r="R4" s="455">
        <f>IFERROR(Q4/I4,"")</f>
        <v>3.3259885916551588E-2</v>
      </c>
      <c r="S4" s="455">
        <f t="shared" si="7"/>
        <v>6.314988154596099E-2</v>
      </c>
      <c r="T4" s="455">
        <f t="shared" si="11"/>
        <v>6.2281189177485541E-2</v>
      </c>
      <c r="Z4" t="s">
        <v>634</v>
      </c>
      <c r="AA4" s="455" t="e">
        <f t="shared" si="8"/>
        <v>#N/A</v>
      </c>
      <c r="AB4" s="455" t="e">
        <f>SUM($AA$2:$AA4)</f>
        <v>#N/A</v>
      </c>
    </row>
    <row r="5" spans="1:28" x14ac:dyDescent="0.2">
      <c r="A5" s="531">
        <v>4</v>
      </c>
      <c r="B5" s="537" t="s">
        <v>952</v>
      </c>
      <c r="C5" s="538" t="str">
        <f>IF(VLOOKUP($B5,POS_Cost!$B$3:$AK$33,36,0)="x","",$M5)</f>
        <v/>
      </c>
      <c r="D5" s="539" t="str">
        <f>IF(VLOOKUP($B5,POS_Cost!$B$3:$AK$33,36,0)="x","",$P5)</f>
        <v/>
      </c>
      <c r="E5" s="540" t="str">
        <f>IF(VLOOKUP($B5,POS_Cost!$B$3:$AK$33,36,0)="x","",IF(OR($O5="",$O5=0),"N/A",TEXT($N5,"$#,##")&amp;" for "&amp;$O5&amp;" pay periods"))</f>
        <v/>
      </c>
      <c r="F5" s="28">
        <f>IFERROR(IF(VLOOKUP(B5,POS_Ratios!$B$3:$AC$33,28,FALSE)="x",MIN(I5/100000,POS_Ratios!$AA$40)^((1-cost_share_target*POS_Ratios!$AA$40)),IF(VLOOKUP(B5,POS_Ratios!$B$3:$AB$33,27,FALSE)="x",MIN(I5/100000,POS_Ratios!$AA$38)^((1-cost_share_target*POS_Ratios!$AA$38)),MIN(I5/100000,POS_Ratios!$AA$39)^((1-cost_share_target*POS_Ratios!$AA$39)))),"")</f>
        <v>0.407807618435374</v>
      </c>
      <c r="G5" t="s">
        <v>633</v>
      </c>
      <c r="H5" s="373">
        <v>1.6876459497855307</v>
      </c>
      <c r="I5" s="29">
        <f>IFERROR(VLOOKUP(B5,POS_Cost!$B$3:$L$33,3,FALSE),"")</f>
        <v>51704.705835570385</v>
      </c>
      <c r="J5" s="29">
        <f t="shared" si="0"/>
        <v>1300</v>
      </c>
      <c r="K5" s="29">
        <f t="shared" si="1"/>
        <v>100</v>
      </c>
      <c r="L5" s="536">
        <f t="shared" si="2"/>
        <v>13</v>
      </c>
      <c r="M5" s="29">
        <f t="shared" si="3"/>
        <v>1300</v>
      </c>
      <c r="N5" s="29">
        <f t="shared" si="4"/>
        <v>100</v>
      </c>
      <c r="O5" s="536">
        <f t="shared" si="5"/>
        <v>13</v>
      </c>
      <c r="P5" s="29">
        <f t="shared" si="9"/>
        <v>1300</v>
      </c>
      <c r="Q5" s="29">
        <f>IF(SUM(M5,P5)=0,"",SUM(M5,P5))</f>
        <v>2600</v>
      </c>
      <c r="R5" s="455">
        <f>IFERROR(Q5/I5,"")</f>
        <v>5.0285558306209788E-2</v>
      </c>
      <c r="S5" s="455">
        <f t="shared" si="7"/>
        <v>0.13683195171297793</v>
      </c>
      <c r="T5" s="455">
        <f t="shared" si="11"/>
        <v>9.0572756775437122E-2</v>
      </c>
      <c r="Z5" t="s">
        <v>635</v>
      </c>
      <c r="AA5" s="455">
        <f t="shared" si="8"/>
        <v>7.6232561745930658E-3</v>
      </c>
      <c r="AB5" s="455" t="e">
        <f>SUM($AA$2:$AA5)</f>
        <v>#N/A</v>
      </c>
    </row>
    <row r="6" spans="1:28" x14ac:dyDescent="0.2">
      <c r="A6" s="531">
        <v>5</v>
      </c>
      <c r="B6" s="537" t="s">
        <v>1135</v>
      </c>
      <c r="C6" s="538" t="str">
        <f>IF(VLOOKUP($B6,POS_Cost!$B$3:$AK$33,36,0)="x","",$M6)</f>
        <v/>
      </c>
      <c r="D6" s="539" t="str">
        <f>IF(VLOOKUP($B6,POS_Cost!$B$3:$AK$33,36,0)="x","",$P6)</f>
        <v/>
      </c>
      <c r="E6" s="540" t="str">
        <f>IF(VLOOKUP($B6,POS_Cost!$B$3:$AK$33,36,0)="x","",IF(OR($O6="",$O6=0),"N/A",TEXT($N6,"$#,##")&amp;" for "&amp;$O6&amp;" pay periods"))</f>
        <v/>
      </c>
      <c r="F6" s="28">
        <f>IFERROR(IF(VLOOKUP(B6,POS_Ratios!$B$3:$AC$33,28,FALSE)="x",MIN(I6/100000,POS_Ratios!$AA$40)^((1-cost_share_target*POS_Ratios!$AA$40)),IF(VLOOKUP(B6,POS_Ratios!$B$3:$AB$33,27,FALSE)="x",MIN(I6/100000,POS_Ratios!$AA$38)^((1-cost_share_target*POS_Ratios!$AA$38)),MIN(I6/100000,POS_Ratios!$AA$39)^((1-cost_share_target*POS_Ratios!$AA$39)))),"")</f>
        <v>0.4022740346625176</v>
      </c>
      <c r="G6" t="s">
        <v>689</v>
      </c>
      <c r="H6" s="373">
        <v>0.68360208312557591</v>
      </c>
      <c r="I6" s="29">
        <f>IFERROR(VLOOKUP(B6,POS_Cost!$B$3:$L$33,3,FALSE),"")</f>
        <v>29454.865826672838</v>
      </c>
      <c r="J6" s="29">
        <f t="shared" si="0"/>
        <v>1300</v>
      </c>
      <c r="K6" s="29">
        <f t="shared" si="1"/>
        <v>100</v>
      </c>
      <c r="L6" s="536">
        <f t="shared" si="2"/>
        <v>13</v>
      </c>
      <c r="M6" s="29">
        <f t="shared" si="3"/>
        <v>1300</v>
      </c>
      <c r="N6" s="29">
        <f t="shared" si="4"/>
        <v>100</v>
      </c>
      <c r="O6" s="536">
        <f t="shared" si="5"/>
        <v>13</v>
      </c>
      <c r="P6" s="29">
        <f t="shared" si="9"/>
        <v>1300</v>
      </c>
      <c r="Q6" s="29">
        <f t="shared" si="10"/>
        <v>2600</v>
      </c>
      <c r="R6" s="455">
        <f t="shared" si="6"/>
        <v>8.8270644833342654E-2</v>
      </c>
      <c r="S6" s="455">
        <f t="shared" si="7"/>
        <v>3.1574503834923363E-2</v>
      </c>
      <c r="T6" s="455">
        <f t="shared" si="11"/>
        <v>0.14942816035009895</v>
      </c>
      <c r="Z6" t="s">
        <v>636</v>
      </c>
      <c r="AA6" s="455">
        <f t="shared" si="8"/>
        <v>4.8013190995648151E-2</v>
      </c>
      <c r="AB6" s="455" t="e">
        <f>SUM($AA$2:$AA6)</f>
        <v>#N/A</v>
      </c>
    </row>
    <row r="7" spans="1:28" x14ac:dyDescent="0.2">
      <c r="A7" s="531">
        <v>6</v>
      </c>
      <c r="B7" s="537" t="s">
        <v>823</v>
      </c>
      <c r="C7" s="538">
        <f>IF(VLOOKUP($B7,POS_Cost!$B$3:$AK$33,36,0)="x","",$M7)</f>
        <v>900</v>
      </c>
      <c r="D7" s="539">
        <f>IF(VLOOKUP($B7,POS_Cost!$B$3:$AK$33,36,0)="x","",$P7)</f>
        <v>450</v>
      </c>
      <c r="E7" s="540" t="str">
        <f>IF(VLOOKUP($B7,POS_Cost!$B$3:$AK$33,36,0)="x","",IF(OR($O7="",$O7=0),"N/A",TEXT($N7,"$#,##")&amp;" for "&amp;$O7&amp;" pay periods"))</f>
        <v>$50 for 9 pay periods</v>
      </c>
      <c r="F7" s="28">
        <f>IFERROR(IF(VLOOKUP(B7,POS_Ratios!$B$3:$AC$33,28,FALSE)="x",MIN(I7/100000,POS_Ratios!$AA$40)^((1-cost_share_target*POS_Ratios!$AA$40)),IF(VLOOKUP(B7,POS_Ratios!$B$3:$AB$33,27,FALSE)="x",MIN(I7/100000,POS_Ratios!$AA$38)^((1-cost_share_target*POS_Ratios!$AA$38)),MIN(I7/100000,POS_Ratios!$AA$39)^((1-cost_share_target*POS_Ratios!$AA$39)))),"")</f>
        <v>0.21318634974482512</v>
      </c>
      <c r="G7" t="s">
        <v>668</v>
      </c>
      <c r="H7" s="373">
        <v>0.2522897001142535</v>
      </c>
      <c r="I7" s="29">
        <f>IFERROR(VLOOKUP(B7,POS_Cost!$B$3:$L$33,3,FALSE),"")</f>
        <v>14048.532997211896</v>
      </c>
      <c r="J7" s="29">
        <f t="shared" si="0"/>
        <v>900</v>
      </c>
      <c r="K7" s="29">
        <f t="shared" si="1"/>
        <v>50</v>
      </c>
      <c r="L7" s="536">
        <f t="shared" si="2"/>
        <v>9</v>
      </c>
      <c r="M7" s="29">
        <f t="shared" si="3"/>
        <v>900</v>
      </c>
      <c r="N7" s="29">
        <f t="shared" si="4"/>
        <v>50</v>
      </c>
      <c r="O7" s="536">
        <f t="shared" si="5"/>
        <v>9</v>
      </c>
      <c r="P7" s="29">
        <f t="shared" si="9"/>
        <v>450</v>
      </c>
      <c r="Q7" s="29">
        <f t="shared" si="10"/>
        <v>1350</v>
      </c>
      <c r="R7" s="455">
        <f t="shared" si="6"/>
        <v>9.6095442867089681E-2</v>
      </c>
      <c r="S7" s="455">
        <f t="shared" si="7"/>
        <v>5.5578472283185727E-3</v>
      </c>
      <c r="T7" s="455">
        <f t="shared" si="11"/>
        <v>0.16082064130853277</v>
      </c>
      <c r="Z7" t="s">
        <v>639</v>
      </c>
      <c r="AA7" s="455">
        <f t="shared" si="8"/>
        <v>7.3422170376599899E-2</v>
      </c>
      <c r="AB7" s="455" t="e">
        <f>SUM($AA$2:$AA7)</f>
        <v>#N/A</v>
      </c>
    </row>
    <row r="8" spans="1:28" x14ac:dyDescent="0.2">
      <c r="A8" s="531">
        <v>7</v>
      </c>
      <c r="B8" s="532" t="s">
        <v>824</v>
      </c>
      <c r="C8" s="533">
        <f>IF(VLOOKUP($B8,POS_Cost!$B$3:$AK$33,36,0)="x","",$M8)</f>
        <v>800</v>
      </c>
      <c r="D8" s="534">
        <f>IF(VLOOKUP($B8,POS_Cost!$B$3:$AK$33,36,0)="x","",$P8)</f>
        <v>350</v>
      </c>
      <c r="E8" s="535" t="str">
        <f>IF(VLOOKUP($B8,POS_Cost!$B$3:$AK$33,36,0)="x","",IF(OR($O8="",$O8=0),"N/A",TEXT($N8,"$#,##")&amp;" for "&amp;$O8&amp;" pay periods"))</f>
        <v>$50 for 7 pay periods</v>
      </c>
      <c r="F8" s="28">
        <f>IFERROR(IF(VLOOKUP(B8,POS_Ratios!$B$3:$AC$33,28,FALSE)="x",MIN(I8/100000,POS_Ratios!$AA$40)^((1-cost_share_target*POS_Ratios!$AA$40)),IF(VLOOKUP(B8,POS_Ratios!$B$3:$AB$33,27,FALSE)="x",MIN(I8/100000,POS_Ratios!$AA$38)^((1-cost_share_target*POS_Ratios!$AA$38)),MIN(I8/100000,POS_Ratios!$AA$39)^((1-cost_share_target*POS_Ratios!$AA$39)))),"")</f>
        <v>0.14232221317323865</v>
      </c>
      <c r="G8" t="s">
        <v>654</v>
      </c>
      <c r="H8" s="373">
        <v>0.59357924829733555</v>
      </c>
      <c r="I8" s="29">
        <f>IFERROR(VLOOKUP(B8,POS_Cost!$B$3:$L$33,3,FALSE),"")</f>
        <v>9546.5535446932445</v>
      </c>
      <c r="J8" s="29">
        <f t="shared" si="0"/>
        <v>800</v>
      </c>
      <c r="K8" s="29">
        <f t="shared" si="1"/>
        <v>50</v>
      </c>
      <c r="L8" s="536">
        <f t="shared" si="2"/>
        <v>7</v>
      </c>
      <c r="M8" s="29">
        <f t="shared" si="3"/>
        <v>800</v>
      </c>
      <c r="N8" s="29">
        <f t="shared" si="4"/>
        <v>50</v>
      </c>
      <c r="O8" s="536">
        <f t="shared" si="5"/>
        <v>7</v>
      </c>
      <c r="P8" s="29">
        <f t="shared" si="9"/>
        <v>350</v>
      </c>
      <c r="Q8" s="29">
        <f t="shared" si="10"/>
        <v>1150</v>
      </c>
      <c r="R8" s="455">
        <f t="shared" si="6"/>
        <v>0.12046232125721057</v>
      </c>
      <c r="S8" s="455">
        <f t="shared" si="7"/>
        <v>8.8859001895462159E-3</v>
      </c>
      <c r="T8" s="455">
        <f t="shared" si="11"/>
        <v>0.19469666755172924</v>
      </c>
      <c r="Z8" t="s">
        <v>640</v>
      </c>
      <c r="AA8" s="455">
        <f t="shared" si="8"/>
        <v>4.7015784446805188E-2</v>
      </c>
      <c r="AB8" s="455" t="e">
        <f>SUM($AA$2:$AA8)</f>
        <v>#N/A</v>
      </c>
    </row>
    <row r="9" spans="1:28" x14ac:dyDescent="0.2">
      <c r="A9" s="531">
        <v>8</v>
      </c>
      <c r="B9" s="537" t="s">
        <v>955</v>
      </c>
      <c r="C9" s="538">
        <f>IF(VLOOKUP($B9,POS_Cost!$B$3:$AK$33,36,0)="x","",$M9)</f>
        <v>1300</v>
      </c>
      <c r="D9" s="539">
        <f>IF(VLOOKUP($B9,POS_Cost!$B$3:$AK$33,36,0)="x","",$P9)</f>
        <v>1300</v>
      </c>
      <c r="E9" s="540" t="str">
        <f>IF(VLOOKUP($B9,POS_Cost!$B$3:$AK$33,36,0)="x","",IF(OR($O9="",$O9=0),"N/A",TEXT($N9,"$#,##")&amp;" for "&amp;$O9&amp;" pay periods"))</f>
        <v>$100 for 13 pay periods</v>
      </c>
      <c r="F9" s="28">
        <f>IFERROR(IF(VLOOKUP(B9,POS_Ratios!$B$3:$AC$33,28,FALSE)="x",MIN(I9/100000,POS_Ratios!$AA$40)^((1-cost_share_target*POS_Ratios!$AA$40)),IF(VLOOKUP(B9,POS_Ratios!$B$3:$AB$33,27,FALSE)="x",MIN(I9/100000,POS_Ratios!$AA$38)^((1-cost_share_target*POS_Ratios!$AA$38)),MIN(I9/100000,POS_Ratios!$AA$39)^((1-cost_share_target*POS_Ratios!$AA$39)))),"")</f>
        <v>0.39828557169520562</v>
      </c>
      <c r="G9" t="s">
        <v>956</v>
      </c>
      <c r="H9" s="373">
        <v>2.63874143279455</v>
      </c>
      <c r="I9" s="29">
        <f>IFERROR(VLOOKUP(B9,POS_Cost!$B$3:$L$33,3,FALSE),"")</f>
        <v>29063.533991905028</v>
      </c>
      <c r="J9" s="29">
        <f t="shared" si="0"/>
        <v>1300</v>
      </c>
      <c r="K9" s="29">
        <f t="shared" si="1"/>
        <v>100</v>
      </c>
      <c r="L9" s="536">
        <f t="shared" si="2"/>
        <v>13</v>
      </c>
      <c r="M9" s="29">
        <f t="shared" si="3"/>
        <v>1300</v>
      </c>
      <c r="N9" s="29">
        <f t="shared" si="4"/>
        <v>100</v>
      </c>
      <c r="O9" s="536">
        <f t="shared" si="5"/>
        <v>13</v>
      </c>
      <c r="P9" s="29">
        <f t="shared" si="9"/>
        <v>1300</v>
      </c>
      <c r="Q9" s="29">
        <f t="shared" si="10"/>
        <v>2600</v>
      </c>
      <c r="R9" s="455">
        <f t="shared" si="6"/>
        <v>8.9459182793261469E-2</v>
      </c>
      <c r="S9" s="455">
        <f t="shared" si="7"/>
        <v>0.12026004614980602</v>
      </c>
      <c r="T9" s="455">
        <f t="shared" si="11"/>
        <v>0.15117470376998696</v>
      </c>
      <c r="Z9" t="s">
        <v>641</v>
      </c>
      <c r="AA9" s="455" t="e">
        <f t="shared" si="8"/>
        <v>#N/A</v>
      </c>
      <c r="AB9" s="455" t="e">
        <f>SUM($AA$2:$AA9)</f>
        <v>#N/A</v>
      </c>
    </row>
    <row r="10" spans="1:28" x14ac:dyDescent="0.2">
      <c r="A10" s="531">
        <v>9</v>
      </c>
      <c r="B10" s="532" t="s">
        <v>825</v>
      </c>
      <c r="C10" s="533" t="str">
        <f>IF(VLOOKUP($B10,POS_Cost!$B$3:$AK$33,36,0)="x","",$M10)</f>
        <v/>
      </c>
      <c r="D10" s="534" t="str">
        <f>IF(VLOOKUP($B10,POS_Cost!$B$3:$AK$33,36,0)="x","",$P10)</f>
        <v/>
      </c>
      <c r="E10" s="535" t="str">
        <f>IF(VLOOKUP($B10,POS_Cost!$B$3:$AK$33,36,0)="x","",IF(OR($O10="",$O10=0),"N/A",TEXT($N10,"$#,##")&amp;" for "&amp;$O10&amp;" pay periods"))</f>
        <v/>
      </c>
      <c r="F10" s="28">
        <f>IFERROR(IF(VLOOKUP(B10,POS_Ratios!$B$3:$AC$33,28,FALSE)="x",MIN(I10/100000,POS_Ratios!$AA$40)^((1-cost_share_target*POS_Ratios!$AA$40)),IF(VLOOKUP(B10,POS_Ratios!$B$3:$AB$33,27,FALSE)="x",MIN(I10/100000,POS_Ratios!$AA$38)^((1-cost_share_target*POS_Ratios!$AA$38)),MIN(I10/100000,POS_Ratios!$AA$39)^((1-cost_share_target*POS_Ratios!$AA$39)))),"")</f>
        <v>0.407807618435374</v>
      </c>
      <c r="G10" t="s">
        <v>663</v>
      </c>
      <c r="H10" s="373">
        <v>7.9016908313189013E-2</v>
      </c>
      <c r="I10" s="29">
        <f>IFERROR(VLOOKUP(B10,POS_Cost!$B$3:$L$33,3,FALSE),"")</f>
        <v>43620.802578422488</v>
      </c>
      <c r="J10" s="29">
        <f t="shared" si="0"/>
        <v>1300</v>
      </c>
      <c r="K10" s="29">
        <f t="shared" si="1"/>
        <v>100</v>
      </c>
      <c r="L10" s="536">
        <f t="shared" si="2"/>
        <v>13</v>
      </c>
      <c r="M10" s="29">
        <f t="shared" si="3"/>
        <v>1300</v>
      </c>
      <c r="N10" s="29">
        <f t="shared" si="4"/>
        <v>100</v>
      </c>
      <c r="O10" s="536">
        <f t="shared" si="5"/>
        <v>13</v>
      </c>
      <c r="P10" s="29">
        <f t="shared" si="9"/>
        <v>1300</v>
      </c>
      <c r="Q10" s="29">
        <f t="shared" si="10"/>
        <v>2600</v>
      </c>
      <c r="R10" s="455">
        <f t="shared" si="6"/>
        <v>5.9604588781365493E-2</v>
      </c>
      <c r="S10" s="455">
        <f t="shared" si="7"/>
        <v>5.4049265122077441E-3</v>
      </c>
      <c r="T10" s="455">
        <f t="shared" si="11"/>
        <v>0.10555716311187163</v>
      </c>
      <c r="Z10" t="s">
        <v>656</v>
      </c>
      <c r="AA10" s="455">
        <f t="shared" si="8"/>
        <v>1.7294881323823237E-2</v>
      </c>
      <c r="AB10" s="455" t="e">
        <f>SUM($AA$2:$AA10)</f>
        <v>#N/A</v>
      </c>
    </row>
    <row r="11" spans="1:28" x14ac:dyDescent="0.2">
      <c r="A11" s="531">
        <v>10</v>
      </c>
      <c r="B11" s="537" t="s">
        <v>826</v>
      </c>
      <c r="C11" s="538">
        <f>IF(VLOOKUP($B11,POS_Cost!$B$3:$AK$33,36,0)="x","",$M11)</f>
        <v>700</v>
      </c>
      <c r="D11" s="539">
        <f>IF(VLOOKUP($B11,POS_Cost!$B$3:$AK$33,36,0)="x","",$P11)</f>
        <v>300</v>
      </c>
      <c r="E11" s="540" t="str">
        <f>IF(VLOOKUP($B11,POS_Cost!$B$3:$AK$33,36,0)="x","",IF(OR($O11="",$O11=0),"N/A",TEXT($N11,"$#,##")&amp;" for "&amp;$O11&amp;" pay periods"))</f>
        <v>$50 for 6 pay periods</v>
      </c>
      <c r="F11" s="28">
        <f>IFERROR(IF(VLOOKUP(B11,POS_Ratios!$B$3:$AC$33,28,FALSE)="x",MIN(I11/100000,POS_Ratios!$AA$40)^((1-cost_share_target*POS_Ratios!$AA$40)),IF(VLOOKUP(B11,POS_Ratios!$B$3:$AB$33,27,FALSE)="x",MIN(I11/100000,POS_Ratios!$AA$38)^((1-cost_share_target*POS_Ratios!$AA$38)),MIN(I11/100000,POS_Ratios!$AA$39)^((1-cost_share_target*POS_Ratios!$AA$39)))),"")</f>
        <v>0.10762477284666561</v>
      </c>
      <c r="G11" t="s">
        <v>657</v>
      </c>
      <c r="H11" s="373">
        <v>0.99212077960198253</v>
      </c>
      <c r="I11" s="29">
        <f>IFERROR(VLOOKUP(B11,POS_Cost!$B$3:$L$33,3,FALSE),"")</f>
        <v>6817.5638537543291</v>
      </c>
      <c r="J11" s="29">
        <f t="shared" si="0"/>
        <v>700</v>
      </c>
      <c r="K11" s="29">
        <f t="shared" si="1"/>
        <v>50</v>
      </c>
      <c r="L11" s="536">
        <f t="shared" si="2"/>
        <v>6</v>
      </c>
      <c r="M11" s="29">
        <f t="shared" si="3"/>
        <v>700</v>
      </c>
      <c r="N11" s="29">
        <f t="shared" si="4"/>
        <v>50</v>
      </c>
      <c r="O11" s="536">
        <f t="shared" si="5"/>
        <v>6</v>
      </c>
      <c r="P11" s="29">
        <f t="shared" si="9"/>
        <v>300</v>
      </c>
      <c r="Q11" s="29">
        <f t="shared" si="10"/>
        <v>1000</v>
      </c>
      <c r="R11" s="455">
        <f t="shared" si="6"/>
        <v>0.14667996097305566</v>
      </c>
      <c r="S11" s="455">
        <f t="shared" si="7"/>
        <v>1.0606445595013529E-2</v>
      </c>
      <c r="T11" s="455">
        <f t="shared" si="11"/>
        <v>0.22843919014591516</v>
      </c>
      <c r="Z11" t="s">
        <v>643</v>
      </c>
      <c r="AA11" s="455">
        <f t="shared" si="8"/>
        <v>4.2470194063604846E-2</v>
      </c>
      <c r="AB11" s="455" t="e">
        <f>SUM($AA$2:$AA11)</f>
        <v>#N/A</v>
      </c>
    </row>
    <row r="12" spans="1:28" x14ac:dyDescent="0.2">
      <c r="A12" s="531">
        <v>11</v>
      </c>
      <c r="B12" s="537" t="s">
        <v>1136</v>
      </c>
      <c r="C12" s="538" t="str">
        <f>IF(VLOOKUP($B12,POS_Cost!$B$3:$AK$33,36,0)="x","",$M12)</f>
        <v/>
      </c>
      <c r="D12" s="539" t="str">
        <f>IF(VLOOKUP($B12,POS_Cost!$B$3:$AK$33,36,0)="x","",$P12)</f>
        <v/>
      </c>
      <c r="E12" s="540" t="str">
        <f>IF(VLOOKUP($B12,POS_Cost!$B$3:$AK$33,36,0)="x","",IF(OR($O12="",$O12=0),"N/A",TEXT($N12,"$#,##")&amp;" for "&amp;$O12&amp;" pay periods"))</f>
        <v/>
      </c>
      <c r="F12" s="28">
        <f>IFERROR(IF(VLOOKUP(B12,POS_Ratios!$B$3:$AC$33,28,FALSE)="x",MIN(I12/100000,POS_Ratios!$AA$40)^((1-cost_share_target*POS_Ratios!$AA$40)),IF(VLOOKUP(B12,POS_Ratios!$B$3:$AB$33,27,FALSE)="x",MIN(I12/100000,POS_Ratios!$AA$38)^((1-cost_share_target*POS_Ratios!$AA$38)),MIN(I12/100000,POS_Ratios!$AA$39)^((1-cost_share_target*POS_Ratios!$AA$39)))),"")</f>
        <v>0.407807618435374</v>
      </c>
      <c r="G12" t="s">
        <v>632</v>
      </c>
      <c r="H12" s="373">
        <v>0.82692605565972188</v>
      </c>
      <c r="I12" s="29">
        <f>IFERROR(VLOOKUP(B12,POS_Cost!$B$3:$L$33,3,FALSE),"")</f>
        <v>41269.522555887037</v>
      </c>
      <c r="J12" s="29">
        <f t="shared" si="0"/>
        <v>1300</v>
      </c>
      <c r="K12" s="29">
        <f t="shared" si="1"/>
        <v>100</v>
      </c>
      <c r="L12" s="536">
        <f t="shared" si="2"/>
        <v>13</v>
      </c>
      <c r="M12" s="29">
        <f t="shared" si="3"/>
        <v>1300</v>
      </c>
      <c r="N12" s="29">
        <f t="shared" si="4"/>
        <v>100</v>
      </c>
      <c r="O12" s="536">
        <f t="shared" si="5"/>
        <v>13</v>
      </c>
      <c r="P12" s="29">
        <f t="shared" si="9"/>
        <v>1300</v>
      </c>
      <c r="Q12" s="29">
        <f t="shared" si="10"/>
        <v>2600</v>
      </c>
      <c r="R12" s="455">
        <f t="shared" si="6"/>
        <v>6.3000486532866704E-2</v>
      </c>
      <c r="S12" s="455">
        <f t="shared" si="7"/>
        <v>5.3514593325699036E-2</v>
      </c>
      <c r="T12" s="455">
        <f t="shared" si="11"/>
        <v>0.11092943111758473</v>
      </c>
      <c r="Z12" t="s">
        <v>644</v>
      </c>
      <c r="AA12" s="455">
        <f t="shared" si="8"/>
        <v>4.1068902586997948E-2</v>
      </c>
      <c r="AB12" s="455" t="e">
        <f>SUM($AA$2:$AA12)</f>
        <v>#N/A</v>
      </c>
    </row>
    <row r="13" spans="1:28" x14ac:dyDescent="0.2">
      <c r="A13" s="531">
        <v>12</v>
      </c>
      <c r="B13" s="537" t="s">
        <v>1137</v>
      </c>
      <c r="C13" s="538" t="str">
        <f>IF(VLOOKUP($B13,POS_Cost!$B$3:$AK$33,36,0)="x","",$M13)</f>
        <v/>
      </c>
      <c r="D13" s="539" t="str">
        <f>IF(VLOOKUP($B13,POS_Cost!$B$3:$AK$33,36,0)="x","",$P13)</f>
        <v/>
      </c>
      <c r="E13" s="540" t="str">
        <f>IF(VLOOKUP($B13,POS_Cost!$B$3:$AK$33,36,0)="x","",IF(OR($O13="",$O13=0),"N/A",TEXT($N13,"$#,##")&amp;" for "&amp;$O13&amp;" pay periods"))</f>
        <v/>
      </c>
      <c r="F13" s="28">
        <f>IFERROR(IF(VLOOKUP(B13,POS_Ratios!$B$3:$AC$33,28,FALSE)="x",MIN(I13/100000,POS_Ratios!$AA$40)^((1-cost_share_target*POS_Ratios!$AA$40)),IF(VLOOKUP(B13,POS_Ratios!$B$3:$AB$33,27,FALSE)="x",MIN(I13/100000,POS_Ratios!$AA$38)^((1-cost_share_target*POS_Ratios!$AA$38)),MIN(I13/100000,POS_Ratios!$AA$39)^((1-cost_share_target*POS_Ratios!$AA$39)))),"")</f>
        <v>0.407807618435374</v>
      </c>
      <c r="G13" t="s">
        <v>651</v>
      </c>
      <c r="H13" s="373">
        <v>0.21264014433567116</v>
      </c>
      <c r="I13" s="29">
        <f>IFERROR(VLOOKUP(B13,POS_Cost!$B$3:$L$33,3,FALSE),"")</f>
        <v>92446.392879631472</v>
      </c>
      <c r="J13" s="29">
        <f t="shared" si="0"/>
        <v>1300</v>
      </c>
      <c r="K13" s="29">
        <f t="shared" si="1"/>
        <v>100</v>
      </c>
      <c r="L13" s="536">
        <f t="shared" si="2"/>
        <v>13</v>
      </c>
      <c r="M13" s="29">
        <f t="shared" si="3"/>
        <v>1300</v>
      </c>
      <c r="N13" s="29">
        <f t="shared" si="4"/>
        <v>100</v>
      </c>
      <c r="O13" s="536">
        <f t="shared" si="5"/>
        <v>13</v>
      </c>
      <c r="P13" s="29">
        <f t="shared" si="9"/>
        <v>1300</v>
      </c>
      <c r="Q13" s="29">
        <f t="shared" si="10"/>
        <v>2600</v>
      </c>
      <c r="R13" s="455">
        <f t="shared" si="6"/>
        <v>2.8124407226848683E-2</v>
      </c>
      <c r="S13" s="455">
        <f t="shared" si="7"/>
        <v>3.0825585703498637E-2</v>
      </c>
      <c r="T13" s="455">
        <f t="shared" si="11"/>
        <v>5.3515302280208968E-2</v>
      </c>
      <c r="Z13" t="s">
        <v>646</v>
      </c>
      <c r="AA13" s="455">
        <f t="shared" si="8"/>
        <v>1.9941836615380997E-2</v>
      </c>
      <c r="AB13" s="455" t="e">
        <f>SUM($AA$2:$AA13)</f>
        <v>#N/A</v>
      </c>
    </row>
    <row r="14" spans="1:28" x14ac:dyDescent="0.2">
      <c r="A14" s="531">
        <v>13</v>
      </c>
      <c r="B14" s="532" t="s">
        <v>827</v>
      </c>
      <c r="C14" s="533">
        <f>IF(VLOOKUP($B14,POS_Cost!$B$3:$AK$33,36,0)="x","",$M14)</f>
        <v>700</v>
      </c>
      <c r="D14" s="534">
        <f>IF(VLOOKUP($B14,POS_Cost!$B$3:$AK$33,36,0)="x","",$P14)</f>
        <v>350</v>
      </c>
      <c r="E14" s="535" t="str">
        <f>IF(VLOOKUP($B14,POS_Cost!$B$3:$AK$33,36,0)="x","",IF(OR($O14="",$O14=0),"N/A",TEXT($N14,"$#,##")&amp;" for "&amp;$O14&amp;" pay periods"))</f>
        <v>$50 for 7 pay periods</v>
      </c>
      <c r="F14" s="28">
        <f>IFERROR(IF(VLOOKUP(B14,POS_Ratios!$B$3:$AC$33,28,FALSE)="x",MIN(I14/100000,POS_Ratios!$AA$40)^((1-cost_share_target*POS_Ratios!$AA$40)),IF(VLOOKUP(B14,POS_Ratios!$B$3:$AB$33,27,FALSE)="x",MIN(I14/100000,POS_Ratios!$AA$38)^((1-cost_share_target*POS_Ratios!$AA$38)),MIN(I14/100000,POS_Ratios!$AA$39)^((1-cost_share_target*POS_Ratios!$AA$39)))),"")</f>
        <v>0.12098395577263066</v>
      </c>
      <c r="G14" t="s">
        <v>682</v>
      </c>
      <c r="H14" s="373">
        <v>0.76332449954870407</v>
      </c>
      <c r="I14" s="29">
        <f>IFERROR(VLOOKUP(B14,POS_Cost!$B$3:$L$33,3,FALSE),"")</f>
        <v>7849.6943655689611</v>
      </c>
      <c r="J14" s="29">
        <f t="shared" si="0"/>
        <v>700</v>
      </c>
      <c r="K14" s="29">
        <f t="shared" si="1"/>
        <v>50</v>
      </c>
      <c r="L14" s="536">
        <f t="shared" si="2"/>
        <v>7</v>
      </c>
      <c r="M14" s="29">
        <f t="shared" si="3"/>
        <v>700</v>
      </c>
      <c r="N14" s="29">
        <f t="shared" si="4"/>
        <v>50</v>
      </c>
      <c r="O14" s="536">
        <f t="shared" si="5"/>
        <v>7</v>
      </c>
      <c r="P14" s="29">
        <f t="shared" si="9"/>
        <v>350</v>
      </c>
      <c r="Q14" s="29">
        <f t="shared" si="10"/>
        <v>1050</v>
      </c>
      <c r="R14" s="455">
        <f t="shared" si="6"/>
        <v>0.13376316976181962</v>
      </c>
      <c r="S14" s="455">
        <f t="shared" si="7"/>
        <v>9.3958928960881805E-3</v>
      </c>
      <c r="T14" s="455">
        <f t="shared" si="11"/>
        <v>0.21216569097629021</v>
      </c>
      <c r="Z14" t="s">
        <v>689</v>
      </c>
      <c r="AA14" s="455">
        <f t="shared" si="8"/>
        <v>3.1574503834923363E-2</v>
      </c>
      <c r="AB14" s="455" t="e">
        <f>SUM($AA$2:$AA14)</f>
        <v>#N/A</v>
      </c>
    </row>
    <row r="15" spans="1:28" x14ac:dyDescent="0.2">
      <c r="A15" s="531">
        <v>14</v>
      </c>
      <c r="B15" s="537" t="s">
        <v>960</v>
      </c>
      <c r="C15" s="538" t="str">
        <f>IF(VLOOKUP($B15,POS_Cost!$B$3:$AK$33,36,0)="x","",$M15)</f>
        <v/>
      </c>
      <c r="D15" s="539" t="str">
        <f>IF(VLOOKUP($B15,POS_Cost!$B$3:$AK$33,36,0)="x","",$P15)</f>
        <v/>
      </c>
      <c r="E15" s="540" t="str">
        <f>IF(VLOOKUP($B15,POS_Cost!$B$3:$AK$33,36,0)="x","",IF(OR($O15="",$O15=0),"N/A",TEXT($N15,"$#,##")&amp;" for "&amp;$O15&amp;" pay periods"))</f>
        <v/>
      </c>
      <c r="F15" s="28">
        <f>IFERROR(IF(VLOOKUP(B15,POS_Ratios!$B$3:$AC$33,28,FALSE)="x",MIN(I15/100000,POS_Ratios!$AA$40)^((1-cost_share_target*POS_Ratios!$AA$40)),IF(VLOOKUP(B15,POS_Ratios!$B$3:$AB$33,27,FALSE)="x",MIN(I15/100000,POS_Ratios!$AA$38)^((1-cost_share_target*POS_Ratios!$AA$38)),MIN(I15/100000,POS_Ratios!$AA$39)^((1-cost_share_target*POS_Ratios!$AA$39)))),"")</f>
        <v>0.28975938954160624</v>
      </c>
      <c r="G15" t="s">
        <v>961</v>
      </c>
      <c r="H15" s="373">
        <v>0.12695618438355682</v>
      </c>
      <c r="I15" s="29">
        <f>IFERROR(VLOOKUP(B15,POS_Cost!$B$3:$L$33,3,FALSE),"")</f>
        <v>20743.070277593557</v>
      </c>
      <c r="J15" s="29">
        <f t="shared" si="0"/>
        <v>1100</v>
      </c>
      <c r="K15" s="29">
        <f t="shared" si="1"/>
        <v>50</v>
      </c>
      <c r="L15" s="536">
        <f t="shared" si="2"/>
        <v>10</v>
      </c>
      <c r="M15" s="29">
        <f t="shared" si="3"/>
        <v>1100</v>
      </c>
      <c r="N15" s="29">
        <f t="shared" si="4"/>
        <v>50</v>
      </c>
      <c r="O15" s="536">
        <f t="shared" si="5"/>
        <v>10</v>
      </c>
      <c r="P15" s="29">
        <f t="shared" si="9"/>
        <v>500</v>
      </c>
      <c r="Q15" s="29">
        <f>IF(SUM(M15,P15)=0,"",SUM(M15,P15))</f>
        <v>1600</v>
      </c>
      <c r="R15" s="455">
        <f>IFERROR(Q15/I15,"")</f>
        <v>7.7134193665067172E-2</v>
      </c>
      <c r="S15" s="455">
        <f t="shared" si="7"/>
        <v>4.1295526603218977E-3</v>
      </c>
      <c r="T15" s="455">
        <f t="shared" si="11"/>
        <v>0.13278315486805559</v>
      </c>
      <c r="Z15" t="s">
        <v>650</v>
      </c>
      <c r="AA15" s="455">
        <f t="shared" si="8"/>
        <v>0.13956792196111037</v>
      </c>
      <c r="AB15" s="455" t="e">
        <f>SUM($AA$2:$AA15)</f>
        <v>#N/A</v>
      </c>
    </row>
    <row r="16" spans="1:28" x14ac:dyDescent="0.2">
      <c r="A16" s="531">
        <v>15</v>
      </c>
      <c r="B16" s="537" t="s">
        <v>1138</v>
      </c>
      <c r="C16" s="538">
        <f>IF(VLOOKUP($B16,POS_Cost!$B$3:$AK$33,36,0)="x","",$M16)</f>
        <v>1000</v>
      </c>
      <c r="D16" s="539">
        <f>IF(VLOOKUP($B16,POS_Cost!$B$3:$AK$33,36,0)="x","",$P16)</f>
        <v>450</v>
      </c>
      <c r="E16" s="540" t="str">
        <f>IF(VLOOKUP($B16,POS_Cost!$B$3:$AK$33,36,0)="x","",IF(OR($O16="",$O16=0),"N/A",TEXT($N16,"$#,##")&amp;" for "&amp;$O16&amp;" pay periods"))</f>
        <v>$50 for 9 pay periods</v>
      </c>
      <c r="F16" s="28">
        <f>IFERROR(IF(VLOOKUP(B16,POS_Ratios!$B$3:$AC$33,28,FALSE)="x",MIN(I16/100000,POS_Ratios!$AA$40)^((1-cost_share_target*POS_Ratios!$AA$40)),IF(VLOOKUP(B16,POS_Ratios!$B$3:$AB$33,27,FALSE)="x",MIN(I16/100000,POS_Ratios!$AA$38)^((1-cost_share_target*POS_Ratios!$AA$38)),MIN(I16/100000,POS_Ratios!$AA$39)^((1-cost_share_target*POS_Ratios!$AA$39)))),"")</f>
        <v>0.23569419447037662</v>
      </c>
      <c r="G16" t="s">
        <v>643</v>
      </c>
      <c r="H16" s="373">
        <v>1.6971703092697099</v>
      </c>
      <c r="I16" s="29">
        <f>IFERROR(VLOOKUP(B16,POS_Cost!$B$3:$L$33,3,FALSE),"")</f>
        <v>15958.156192339397</v>
      </c>
      <c r="J16" s="29">
        <f t="shared" si="0"/>
        <v>1000</v>
      </c>
      <c r="K16" s="29">
        <f t="shared" si="1"/>
        <v>50</v>
      </c>
      <c r="L16" s="536">
        <f t="shared" si="2"/>
        <v>9</v>
      </c>
      <c r="M16" s="29">
        <f t="shared" si="3"/>
        <v>1000</v>
      </c>
      <c r="N16" s="29">
        <f t="shared" si="4"/>
        <v>50</v>
      </c>
      <c r="O16" s="536">
        <f t="shared" si="5"/>
        <v>9</v>
      </c>
      <c r="P16" s="29">
        <f t="shared" si="9"/>
        <v>450</v>
      </c>
      <c r="Q16" s="29">
        <f t="shared" si="10"/>
        <v>1450</v>
      </c>
      <c r="R16" s="455">
        <f t="shared" si="6"/>
        <v>9.0862627394013254E-2</v>
      </c>
      <c r="S16" s="455">
        <f t="shared" si="7"/>
        <v>4.2470194063604846E-2</v>
      </c>
      <c r="T16" s="455">
        <f t="shared" si="11"/>
        <v>0.15322962630150122</v>
      </c>
      <c r="Z16" t="s">
        <v>651</v>
      </c>
      <c r="AA16" s="455">
        <f t="shared" si="8"/>
        <v>3.0825585703498637E-2</v>
      </c>
      <c r="AB16" s="455" t="e">
        <f>SUM($AA$2:$AA16)</f>
        <v>#N/A</v>
      </c>
    </row>
    <row r="17" spans="1:28" x14ac:dyDescent="0.2">
      <c r="A17" s="531">
        <v>16</v>
      </c>
      <c r="B17" s="537" t="s">
        <v>828</v>
      </c>
      <c r="C17" s="538">
        <f>IF(VLOOKUP($B17,POS_Cost!$B$3:$AK$33,36,0)="x","",$M17)</f>
        <v>700</v>
      </c>
      <c r="D17" s="539">
        <f>IF(VLOOKUP($B17,POS_Cost!$B$3:$AK$33,36,0)="x","",$P17)</f>
        <v>300</v>
      </c>
      <c r="E17" s="540" t="str">
        <f>IF(VLOOKUP($B17,POS_Cost!$B$3:$AK$33,36,0)="x","",IF(OR($O17="",$O17=0),"N/A",TEXT($N17,"$#,##")&amp;" for "&amp;$O17&amp;" pay periods"))</f>
        <v>$50 for 6 pay periods</v>
      </c>
      <c r="F17" s="28">
        <f>IFERROR(IF(VLOOKUP(B17,POS_Ratios!$B$3:$AC$33,28,FALSE)="x",MIN(I17/100000,POS_Ratios!$AA$40)^((1-cost_share_target*POS_Ratios!$AA$40)),IF(VLOOKUP(B17,POS_Ratios!$B$3:$AB$33,27,FALSE)="x",MIN(I17/100000,POS_Ratios!$AA$38)^((1-cost_share_target*POS_Ratios!$AA$38)),MIN(I17/100000,POS_Ratios!$AA$39)^((1-cost_share_target*POS_Ratios!$AA$39)))),"")</f>
        <v>8.7051737496494835E-2</v>
      </c>
      <c r="G17" t="s">
        <v>686</v>
      </c>
      <c r="H17" s="373">
        <v>0.1870654753503756</v>
      </c>
      <c r="I17" s="29">
        <f>IFERROR(VLOOKUP(B17,POS_Cost!$B$3:$L$33,3,FALSE),"")</f>
        <v>5279.8723912568321</v>
      </c>
      <c r="J17" s="29">
        <f t="shared" si="0"/>
        <v>700</v>
      </c>
      <c r="K17" s="29">
        <f t="shared" si="1"/>
        <v>50</v>
      </c>
      <c r="L17" s="536">
        <f t="shared" si="2"/>
        <v>6</v>
      </c>
      <c r="M17" s="29">
        <f t="shared" si="3"/>
        <v>700</v>
      </c>
      <c r="N17" s="29">
        <f t="shared" si="4"/>
        <v>50</v>
      </c>
      <c r="O17" s="536">
        <f t="shared" si="5"/>
        <v>6</v>
      </c>
      <c r="P17" s="29">
        <f t="shared" si="9"/>
        <v>300</v>
      </c>
      <c r="Q17" s="29">
        <f t="shared" si="10"/>
        <v>1000</v>
      </c>
      <c r="R17" s="455">
        <f t="shared" si="6"/>
        <v>0.18939851683838857</v>
      </c>
      <c r="S17" s="455">
        <f t="shared" si="7"/>
        <v>1.5487922849240366E-3</v>
      </c>
      <c r="T17" s="455">
        <f t="shared" si="11"/>
        <v>0.27740879682436509</v>
      </c>
      <c r="Z17" t="s">
        <v>654</v>
      </c>
      <c r="AA17" s="455">
        <f t="shared" si="8"/>
        <v>8.8859001895462159E-3</v>
      </c>
      <c r="AB17" s="455" t="e">
        <f>SUM($AA$2:$AA17)</f>
        <v>#N/A</v>
      </c>
    </row>
    <row r="18" spans="1:28" x14ac:dyDescent="0.2">
      <c r="A18" s="531">
        <v>17</v>
      </c>
      <c r="B18" s="532" t="s">
        <v>829</v>
      </c>
      <c r="C18" s="533">
        <f>IF(VLOOKUP($B18,POS_Cost!$B$3:$AK$33,36,0)="x","",$M18)</f>
        <v>800</v>
      </c>
      <c r="D18" s="534">
        <f>IF(VLOOKUP($B18,POS_Cost!$B$3:$AK$33,36,0)="x","",$P18)</f>
        <v>350</v>
      </c>
      <c r="E18" s="535" t="str">
        <f>IF(VLOOKUP($B18,POS_Cost!$B$3:$AK$33,36,0)="x","",IF(OR($O18="",$O18=0),"N/A",TEXT($N18,"$#,##")&amp;" for "&amp;$O18&amp;" pay periods"))</f>
        <v>$50 for 7 pay periods</v>
      </c>
      <c r="F18" s="28">
        <f>IFERROR(IF(VLOOKUP(B18,POS_Ratios!$B$3:$AC$33,28,FALSE)="x",MIN(I18/100000,POS_Ratios!$AA$40)^((1-cost_share_target*POS_Ratios!$AA$40)),IF(VLOOKUP(B18,POS_Ratios!$B$3:$AB$33,27,FALSE)="x",MIN(I18/100000,POS_Ratios!$AA$38)^((1-cost_share_target*POS_Ratios!$AA$38)),MIN(I18/100000,POS_Ratios!$AA$39)^((1-cost_share_target*POS_Ratios!$AA$39)))),"")</f>
        <v>0.1430743085296082</v>
      </c>
      <c r="G18" t="s">
        <v>676</v>
      </c>
      <c r="H18" s="373">
        <v>0.35642269714127761</v>
      </c>
      <c r="I18" s="29">
        <f>IFERROR(VLOOKUP(B18,POS_Cost!$B$3:$L$33,3,FALSE),"")</f>
        <v>9607.3675178839803</v>
      </c>
      <c r="J18" s="29">
        <f t="shared" si="0"/>
        <v>800</v>
      </c>
      <c r="K18" s="29">
        <f t="shared" si="1"/>
        <v>50</v>
      </c>
      <c r="L18" s="536">
        <f t="shared" si="2"/>
        <v>7</v>
      </c>
      <c r="M18" s="29">
        <f t="shared" si="3"/>
        <v>800</v>
      </c>
      <c r="N18" s="29">
        <f t="shared" si="4"/>
        <v>50</v>
      </c>
      <c r="O18" s="536">
        <f t="shared" si="5"/>
        <v>7</v>
      </c>
      <c r="P18" s="29">
        <f t="shared" si="9"/>
        <v>350</v>
      </c>
      <c r="Q18" s="29">
        <f t="shared" si="10"/>
        <v>1150</v>
      </c>
      <c r="R18" s="455">
        <f t="shared" si="6"/>
        <v>0.11969980307917763</v>
      </c>
      <c r="S18" s="455">
        <f t="shared" si="7"/>
        <v>5.3696485954018245E-3</v>
      </c>
      <c r="T18" s="455">
        <f t="shared" si="11"/>
        <v>0.19367330933870794</v>
      </c>
      <c r="Z18" t="s">
        <v>657</v>
      </c>
      <c r="AA18" s="455">
        <f t="shared" si="8"/>
        <v>1.0606445595013529E-2</v>
      </c>
      <c r="AB18" s="455" t="e">
        <f>SUM($AA$2:$AA18)</f>
        <v>#N/A</v>
      </c>
    </row>
    <row r="19" spans="1:28" x14ac:dyDescent="0.2">
      <c r="A19" s="531">
        <v>18</v>
      </c>
      <c r="B19" s="537" t="s">
        <v>957</v>
      </c>
      <c r="C19" s="538" t="str">
        <f>IF(VLOOKUP($B19,POS_Cost!$B$3:$AK$33,36,0)="x","",$M19)</f>
        <v/>
      </c>
      <c r="D19" s="539" t="str">
        <f>IF(VLOOKUP($B19,POS_Cost!$B$3:$AK$33,36,0)="x","",$P19)</f>
        <v/>
      </c>
      <c r="E19" s="540" t="str">
        <f>IF(VLOOKUP($B19,POS_Cost!$B$3:$AK$33,36,0)="x","",IF(OR($O19="",$O19=0),"N/A",TEXT($N19,"$#,##")&amp;" for "&amp;$O19&amp;" pay periods"))</f>
        <v/>
      </c>
      <c r="F19" s="28">
        <f>IFERROR(IF(VLOOKUP(B19,POS_Ratios!$B$3:$AC$33,28,FALSE)="x",MIN(I19/100000,POS_Ratios!$AA$40)^((1-cost_share_target*POS_Ratios!$AA$40)),IF(VLOOKUP(B19,POS_Ratios!$B$3:$AB$33,27,FALSE)="x",MIN(I19/100000,POS_Ratios!$AA$38)^((1-cost_share_target*POS_Ratios!$AA$38)),MIN(I19/100000,POS_Ratios!$AA$39)^((1-cost_share_target*POS_Ratios!$AA$39)))),"")</f>
        <v>0.27435325862421733</v>
      </c>
      <c r="G19" t="s">
        <v>646</v>
      </c>
      <c r="H19" s="373">
        <v>0.72166424565679499</v>
      </c>
      <c r="I19" s="29">
        <f>IFERROR(VLOOKUP(B19,POS_Cost!$B$3:$L$33,3,FALSE),"")</f>
        <v>17621.945600242194</v>
      </c>
      <c r="J19" s="29">
        <f t="shared" si="0"/>
        <v>1000</v>
      </c>
      <c r="K19" s="29">
        <f t="shared" si="1"/>
        <v>50</v>
      </c>
      <c r="L19" s="536">
        <f t="shared" si="2"/>
        <v>10</v>
      </c>
      <c r="M19" s="29">
        <f t="shared" si="3"/>
        <v>1000</v>
      </c>
      <c r="N19" s="29">
        <f t="shared" si="4"/>
        <v>50</v>
      </c>
      <c r="O19" s="536">
        <f t="shared" si="5"/>
        <v>10</v>
      </c>
      <c r="P19" s="29">
        <f t="shared" si="9"/>
        <v>500</v>
      </c>
      <c r="Q19" s="29">
        <f t="shared" si="10"/>
        <v>1500</v>
      </c>
      <c r="R19" s="455">
        <f t="shared" si="6"/>
        <v>8.5121134409777324E-2</v>
      </c>
      <c r="S19" s="455">
        <f t="shared" si="7"/>
        <v>1.9941836615380997E-2</v>
      </c>
      <c r="T19" s="455">
        <f t="shared" si="11"/>
        <v>0.14477210663223239</v>
      </c>
      <c r="Z19" t="s">
        <v>661</v>
      </c>
      <c r="AA19" s="455" t="e">
        <f t="shared" si="8"/>
        <v>#N/A</v>
      </c>
      <c r="AB19" s="455" t="e">
        <f>SUM($AA$2:$AA19)</f>
        <v>#N/A</v>
      </c>
    </row>
    <row r="20" spans="1:28" x14ac:dyDescent="0.2">
      <c r="A20" s="531">
        <v>19</v>
      </c>
      <c r="B20" s="532" t="s">
        <v>830</v>
      </c>
      <c r="C20" s="533" t="str">
        <f>IF(VLOOKUP($B20,POS_Cost!$B$3:$AK$33,36,0)="x","",$M20)</f>
        <v/>
      </c>
      <c r="D20" s="534" t="str">
        <f>IF(VLOOKUP($B20,POS_Cost!$B$3:$AK$33,36,0)="x","",$P20)</f>
        <v/>
      </c>
      <c r="E20" s="535" t="str">
        <f>IF(VLOOKUP($B20,POS_Cost!$B$3:$AK$33,36,0)="x","",IF(OR($O20="",$O20=0),"N/A",TEXT($N20,"$#,##")&amp;" for "&amp;$O20&amp;" pay periods"))</f>
        <v/>
      </c>
      <c r="F20" s="28">
        <f>IFERROR(IF(VLOOKUP(B20,POS_Ratios!$B$3:$AC$33,28,FALSE)="x",MIN(I20/100000,POS_Ratios!$AA$40)^((1-cost_share_target*POS_Ratios!$AA$40)),IF(VLOOKUP(B20,POS_Ratios!$B$3:$AB$33,27,FALSE)="x",MIN(I20/100000,POS_Ratios!$AA$38)^((1-cost_share_target*POS_Ratios!$AA$38)),MIN(I20/100000,POS_Ratios!$AA$39)^((1-cost_share_target*POS_Ratios!$AA$39)))),"")</f>
        <v>0.26786603085511512</v>
      </c>
      <c r="G20" t="s">
        <v>664</v>
      </c>
      <c r="H20" s="373">
        <v>0.14692206389483584</v>
      </c>
      <c r="I20" s="29">
        <f>IFERROR(VLOOKUP(B20,POS_Cost!$B$3:$L$33,3,FALSE),"")</f>
        <v>18773.541745564362</v>
      </c>
      <c r="J20" s="29">
        <f t="shared" si="0"/>
        <v>1000</v>
      </c>
      <c r="K20" s="29">
        <f t="shared" si="1"/>
        <v>50</v>
      </c>
      <c r="L20" s="536">
        <f t="shared" si="2"/>
        <v>10</v>
      </c>
      <c r="M20" s="29">
        <f t="shared" si="3"/>
        <v>1000</v>
      </c>
      <c r="N20" s="29">
        <f t="shared" si="4"/>
        <v>50</v>
      </c>
      <c r="O20" s="536">
        <f t="shared" si="5"/>
        <v>10</v>
      </c>
      <c r="P20" s="29">
        <f t="shared" si="9"/>
        <v>500</v>
      </c>
      <c r="Q20" s="29">
        <f t="shared" si="10"/>
        <v>1500</v>
      </c>
      <c r="R20" s="455">
        <f t="shared" si="6"/>
        <v>7.9899681175205323E-2</v>
      </c>
      <c r="S20" s="455">
        <f t="shared" si="7"/>
        <v>4.3252313452608196E-3</v>
      </c>
      <c r="T20" s="455">
        <f t="shared" si="11"/>
        <v>0.13696381221609477</v>
      </c>
      <c r="Z20" t="s">
        <v>663</v>
      </c>
      <c r="AA20" s="455">
        <f t="shared" si="8"/>
        <v>5.4049265122077441E-3</v>
      </c>
      <c r="AB20" s="455" t="e">
        <f>SUM($AA$2:$AA20)</f>
        <v>#N/A</v>
      </c>
    </row>
    <row r="21" spans="1:28" x14ac:dyDescent="0.2">
      <c r="A21" s="531">
        <v>20</v>
      </c>
      <c r="B21" s="537" t="s">
        <v>1141</v>
      </c>
      <c r="C21" s="538" t="str">
        <f>IF(VLOOKUP($B21,POS_Cost!$B$3:$AK$33,36,0)="x","",$M21)</f>
        <v/>
      </c>
      <c r="D21" s="539" t="str">
        <f>IF(VLOOKUP($B21,POS_Cost!$B$3:$AK$33,36,0)="x","",$P21)</f>
        <v/>
      </c>
      <c r="E21" s="540" t="str">
        <f>IF(VLOOKUP($B21,POS_Cost!$B$3:$AK$33,36,0)="x","",IF(OR($O21="",$O21=0),"N/A",TEXT($N21,"$#,##")&amp;" for "&amp;$O21&amp;" pay periods"))</f>
        <v/>
      </c>
      <c r="F21" s="28">
        <f>IFERROR(IF(VLOOKUP(B21,POS_Ratios!$B$3:$AC$33,28,FALSE)="x",MIN(I21/100000,POS_Ratios!$AA$40)^((1-cost_share_target*POS_Ratios!$AA$40)),IF(VLOOKUP(B21,POS_Ratios!$B$3:$AB$33,27,FALSE)="x",MIN(I21/100000,POS_Ratios!$AA$38)^((1-cost_share_target*POS_Ratios!$AA$38)),MIN(I21/100000,POS_Ratios!$AA$39)^((1-cost_share_target*POS_Ratios!$AA$39)))),"")</f>
        <v>0.407807618435374</v>
      </c>
      <c r="G21" t="s">
        <v>644</v>
      </c>
      <c r="H21" s="373">
        <v>0.67224340255555493</v>
      </c>
      <c r="I21" s="29">
        <f>IFERROR(VLOOKUP(B21,POS_Cost!$B$3:$L$33,3,FALSE),"")</f>
        <v>38959.236827678898</v>
      </c>
      <c r="J21" s="29">
        <f t="shared" si="0"/>
        <v>1300</v>
      </c>
      <c r="K21" s="29">
        <f t="shared" si="1"/>
        <v>100</v>
      </c>
      <c r="L21" s="536">
        <f t="shared" si="2"/>
        <v>13</v>
      </c>
      <c r="M21" s="29">
        <f t="shared" si="3"/>
        <v>1300</v>
      </c>
      <c r="N21" s="29">
        <f t="shared" si="4"/>
        <v>100</v>
      </c>
      <c r="O21" s="536">
        <f t="shared" si="5"/>
        <v>13</v>
      </c>
      <c r="P21" s="29">
        <f t="shared" si="9"/>
        <v>1300</v>
      </c>
      <c r="Q21" s="29">
        <f t="shared" si="10"/>
        <v>2600</v>
      </c>
      <c r="R21" s="455">
        <f t="shared" si="6"/>
        <v>6.6736420210182598E-2</v>
      </c>
      <c r="S21" s="455">
        <f t="shared" si="7"/>
        <v>4.1068902586997948E-2</v>
      </c>
      <c r="T21" s="455">
        <f t="shared" si="11"/>
        <v>0.11678525655303165</v>
      </c>
      <c r="Z21" t="s">
        <v>664</v>
      </c>
      <c r="AA21" s="455">
        <f t="shared" si="8"/>
        <v>4.3252313452608196E-3</v>
      </c>
      <c r="AB21" s="455" t="e">
        <f>SUM($AA$2:$AA21)</f>
        <v>#N/A</v>
      </c>
    </row>
    <row r="22" spans="1:28" x14ac:dyDescent="0.2">
      <c r="A22" s="531">
        <v>21</v>
      </c>
      <c r="B22" s="537" t="s">
        <v>1142</v>
      </c>
      <c r="C22" s="538" t="str">
        <f>IF(VLOOKUP($B22,POS_Cost!$B$3:$AK$33,36,0)="x","",$M22)</f>
        <v/>
      </c>
      <c r="D22" s="539" t="str">
        <f>IF(VLOOKUP($B22,POS_Cost!$B$3:$AK$33,36,0)="x","",$P22)</f>
        <v/>
      </c>
      <c r="E22" s="540" t="str">
        <f>IF(VLOOKUP($B22,POS_Cost!$B$3:$AK$33,36,0)="x","",IF(OR($O22="",$O22=0),"N/A",TEXT($N22,"$#,##")&amp;" for "&amp;$O22&amp;" pay periods"))</f>
        <v/>
      </c>
      <c r="F22" s="28">
        <f>IFERROR(IF(VLOOKUP(B22,POS_Ratios!$B$3:$AC$33,28,FALSE)="x",MIN(I22/100000,POS_Ratios!$AA$40)^((1-cost_share_target*POS_Ratios!$AA$40)),IF(VLOOKUP(B22,POS_Ratios!$B$3:$AB$33,27,FALSE)="x",MIN(I22/100000,POS_Ratios!$AA$38)^((1-cost_share_target*POS_Ratios!$AA$38)),MIN(I22/100000,POS_Ratios!$AA$39)^((1-cost_share_target*POS_Ratios!$AA$39)))),"")</f>
        <v>0.26683342940987315</v>
      </c>
      <c r="G22" t="s">
        <v>640</v>
      </c>
      <c r="H22" s="373">
        <v>1.7660984516107685</v>
      </c>
      <c r="I22" s="29">
        <f>IFERROR(VLOOKUP(B22,POS_Cost!$B$3:$L$33,3,FALSE),"")</f>
        <v>16976.676317150392</v>
      </c>
      <c r="J22" s="29">
        <f t="shared" si="0"/>
        <v>1000</v>
      </c>
      <c r="K22" s="29">
        <f t="shared" si="1"/>
        <v>50</v>
      </c>
      <c r="L22" s="536">
        <f t="shared" si="2"/>
        <v>10</v>
      </c>
      <c r="M22" s="29">
        <f t="shared" si="3"/>
        <v>1000</v>
      </c>
      <c r="N22" s="29">
        <f t="shared" si="4"/>
        <v>50</v>
      </c>
      <c r="O22" s="536">
        <f t="shared" si="5"/>
        <v>10</v>
      </c>
      <c r="P22" s="29">
        <f t="shared" si="9"/>
        <v>500</v>
      </c>
      <c r="Q22" s="29">
        <f t="shared" si="10"/>
        <v>1500</v>
      </c>
      <c r="R22" s="455">
        <f t="shared" si="6"/>
        <v>8.8356517611439117E-2</v>
      </c>
      <c r="S22" s="455">
        <f t="shared" si="7"/>
        <v>4.7015784446805188E-2</v>
      </c>
      <c r="T22" s="455">
        <f t="shared" si="11"/>
        <v>0.14955454269129728</v>
      </c>
      <c r="Z22" t="s">
        <v>665</v>
      </c>
      <c r="AA22" s="455" t="e">
        <f t="shared" si="8"/>
        <v>#N/A</v>
      </c>
      <c r="AB22" s="455" t="e">
        <f>SUM($AA$2:$AA22)</f>
        <v>#N/A</v>
      </c>
    </row>
    <row r="23" spans="1:28" ht="15" customHeight="1" x14ac:dyDescent="0.2">
      <c r="A23" s="531">
        <v>22</v>
      </c>
      <c r="B23" s="532" t="s">
        <v>1144</v>
      </c>
      <c r="C23" s="533" t="str">
        <f>IF(VLOOKUP($B23,POS_Cost!$B$3:$AK$33,36,0)="x","",$M23)</f>
        <v/>
      </c>
      <c r="D23" s="534" t="str">
        <f>IF(VLOOKUP($B23,POS_Cost!$B$3:$AK$33,36,0)="x","",$P23)</f>
        <v/>
      </c>
      <c r="E23" s="535" t="str">
        <f>IF(VLOOKUP($B23,POS_Cost!$B$3:$AK$33,36,0)="x","",IF(OR($O23="",$O23=0),"N/A",TEXT($N23,"$#,##")&amp;" for "&amp;$O23&amp;" pay periods"))</f>
        <v/>
      </c>
      <c r="F23" s="28">
        <f>IFERROR(IF(VLOOKUP(B23,POS_Ratios!$B$3:$AC$33,28,FALSE)="x",MIN(I23/100000,POS_Ratios!$AA$40)^((1-cost_share_target*POS_Ratios!$AA$40)),IF(VLOOKUP(B23,POS_Ratios!$B$3:$AB$33,27,FALSE)="x",MIN(I23/100000,POS_Ratios!$AA$38)^((1-cost_share_target*POS_Ratios!$AA$38)),MIN(I23/100000,POS_Ratios!$AA$39)^((1-cost_share_target*POS_Ratios!$AA$39)))),"")</f>
        <v>0.15808379331995259</v>
      </c>
      <c r="G23" t="s">
        <v>636</v>
      </c>
      <c r="H23" s="373">
        <v>3.1861804507018623</v>
      </c>
      <c r="I23" s="29">
        <f>IFERROR(VLOOKUP(B23,POS_Cost!$B$3:$L$33,3,FALSE),"")</f>
        <v>9609.7943396683113</v>
      </c>
      <c r="J23" s="29">
        <f t="shared" si="0"/>
        <v>800</v>
      </c>
      <c r="K23" s="29">
        <f t="shared" si="1"/>
        <v>50</v>
      </c>
      <c r="L23" s="536">
        <f t="shared" si="2"/>
        <v>7</v>
      </c>
      <c r="M23" s="29">
        <f t="shared" si="3"/>
        <v>800</v>
      </c>
      <c r="N23" s="29">
        <f t="shared" si="4"/>
        <v>50</v>
      </c>
      <c r="O23" s="536">
        <f t="shared" si="5"/>
        <v>7</v>
      </c>
      <c r="P23" s="29">
        <f t="shared" si="9"/>
        <v>350</v>
      </c>
      <c r="Q23" s="29">
        <f t="shared" si="10"/>
        <v>1150</v>
      </c>
      <c r="R23" s="455">
        <f t="shared" si="6"/>
        <v>0.11966957453531654</v>
      </c>
      <c r="S23" s="455">
        <f t="shared" si="7"/>
        <v>4.8013190995648151E-2</v>
      </c>
      <c r="T23" s="455">
        <f t="shared" si="11"/>
        <v>0.1936326913962455</v>
      </c>
      <c r="Z23" t="s">
        <v>1024</v>
      </c>
      <c r="AA23" s="455">
        <f t="shared" si="8"/>
        <v>1.2630972959190691E-2</v>
      </c>
      <c r="AB23" s="455" t="e">
        <f>SUM($AA$2:$AA23)</f>
        <v>#N/A</v>
      </c>
    </row>
    <row r="24" spans="1:28" ht="15" customHeight="1" x14ac:dyDescent="0.2">
      <c r="A24" s="531">
        <v>23</v>
      </c>
      <c r="B24" s="537" t="s">
        <v>1143</v>
      </c>
      <c r="C24" s="538" t="str">
        <f>IF(VLOOKUP($B24,POS_Cost!$B$3:$AK$33,36,0)="x","",$M24)</f>
        <v/>
      </c>
      <c r="D24" s="539" t="str">
        <f>IF(VLOOKUP($B24,POS_Cost!$B$3:$AK$33,36,0)="x","",$P24)</f>
        <v/>
      </c>
      <c r="E24" s="540" t="str">
        <f>IF(VLOOKUP($B24,POS_Cost!$B$3:$AK$33,36,0)="x","",IF(OR($O24="",$O24=0),"N/A",TEXT($N24,"$#,##")&amp;" for "&amp;$O24&amp;" pay periods"))</f>
        <v/>
      </c>
      <c r="F24" s="28">
        <f>IFERROR(IF(VLOOKUP(B24,POS_Ratios!$B$3:$AC$33,28,FALSE)="x",MIN(I24/100000,POS_Ratios!$AA$40)^((1-cost_share_target*POS_Ratios!$AA$40)),IF(VLOOKUP(B24,POS_Ratios!$B$3:$AB$33,27,FALSE)="x",MIN(I24/100000,POS_Ratios!$AA$38)^((1-cost_share_target*POS_Ratios!$AA$38)),MIN(I24/100000,POS_Ratios!$AA$39)^((1-cost_share_target*POS_Ratios!$AA$39)))),"")</f>
        <v>0.407807618435374</v>
      </c>
      <c r="G24" t="s">
        <v>639</v>
      </c>
      <c r="H24" s="373">
        <v>1.1801739663062731</v>
      </c>
      <c r="I24" s="29">
        <f>IFERROR(VLOOKUP(B24,POS_Cost!$B$3:$L$33,3,FALSE),"")</f>
        <v>39673.916914950925</v>
      </c>
      <c r="J24" s="29">
        <f t="shared" si="0"/>
        <v>1300</v>
      </c>
      <c r="K24" s="29">
        <f t="shared" si="1"/>
        <v>100</v>
      </c>
      <c r="L24" s="536">
        <f t="shared" si="2"/>
        <v>13</v>
      </c>
      <c r="M24" s="29">
        <f t="shared" si="3"/>
        <v>1300</v>
      </c>
      <c r="N24" s="29">
        <f t="shared" si="4"/>
        <v>100</v>
      </c>
      <c r="O24" s="536">
        <f t="shared" si="5"/>
        <v>13</v>
      </c>
      <c r="P24" s="29">
        <f t="shared" si="9"/>
        <v>1300</v>
      </c>
      <c r="Q24" s="29">
        <f t="shared" si="10"/>
        <v>2600</v>
      </c>
      <c r="R24" s="455">
        <f t="shared" si="6"/>
        <v>6.5534240180358957E-2</v>
      </c>
      <c r="S24" s="455">
        <f t="shared" si="7"/>
        <v>7.3422170376599899E-2</v>
      </c>
      <c r="T24" s="455">
        <f t="shared" si="11"/>
        <v>0.11490713633167025</v>
      </c>
      <c r="Z24" t="s">
        <v>668</v>
      </c>
      <c r="AA24" s="455">
        <f t="shared" si="8"/>
        <v>5.5578472283185727E-3</v>
      </c>
      <c r="AB24" s="455" t="e">
        <f>SUM($AA$2:$AA24)</f>
        <v>#N/A</v>
      </c>
    </row>
    <row r="25" spans="1:28" x14ac:dyDescent="0.2">
      <c r="A25" s="531">
        <v>24</v>
      </c>
      <c r="B25" s="532" t="s">
        <v>959</v>
      </c>
      <c r="C25" s="533">
        <f>IF(VLOOKUP($B25,POS_Cost!$B$3:$AK$33,36,0)="x","",$M25)</f>
        <v>700</v>
      </c>
      <c r="D25" s="534">
        <f>IF(VLOOKUP($B25,POS_Cost!$B$3:$AK$33,36,0)="x","",$P25)</f>
        <v>300</v>
      </c>
      <c r="E25" s="535" t="str">
        <f>IF(VLOOKUP($B25,POS_Cost!$B$3:$AK$33,36,0)="x","",IF(OR($O25="",$O25=0),"N/A",TEXT($N25,"$#,##")&amp;" for "&amp;$O25&amp;" pay periods"))</f>
        <v>$50 for 6 pay periods</v>
      </c>
      <c r="F25" s="28">
        <f>IFERROR(IF(VLOOKUP(B25,POS_Ratios!$B$3:$AC$33,28,FALSE)="x",MIN(I25/100000,POS_Ratios!$AA$40)^((1-cost_share_target*POS_Ratios!$AA$40)),IF(VLOOKUP(B25,POS_Ratios!$B$3:$AB$33,27,FALSE)="x",MIN(I25/100000,POS_Ratios!$AA$38)^((1-cost_share_target*POS_Ratios!$AA$38)),MIN(I25/100000,POS_Ratios!$AA$39)^((1-cost_share_target*POS_Ratios!$AA$39)))),"")</f>
        <v>0.10566694206919505</v>
      </c>
      <c r="G25" t="s">
        <v>680</v>
      </c>
      <c r="H25" s="373">
        <v>0.10441520027099978</v>
      </c>
      <c r="I25" s="29">
        <f>IFERROR(VLOOKUP(B25,POS_Cost!$B$3:$L$33,3,FALSE),"")</f>
        <v>6668.4217528438458</v>
      </c>
      <c r="J25" s="29">
        <f t="shared" si="0"/>
        <v>700</v>
      </c>
      <c r="K25" s="29">
        <f t="shared" si="1"/>
        <v>50</v>
      </c>
      <c r="L25" s="536">
        <f t="shared" si="2"/>
        <v>6</v>
      </c>
      <c r="M25" s="29">
        <f t="shared" si="3"/>
        <v>700</v>
      </c>
      <c r="N25" s="29">
        <f t="shared" si="4"/>
        <v>50</v>
      </c>
      <c r="O25" s="536">
        <f t="shared" si="5"/>
        <v>6</v>
      </c>
      <c r="P25" s="29">
        <f t="shared" si="9"/>
        <v>300</v>
      </c>
      <c r="Q25" s="29">
        <f t="shared" si="10"/>
        <v>1000</v>
      </c>
      <c r="R25" s="455">
        <f t="shared" si="6"/>
        <v>0.14996052095438256</v>
      </c>
      <c r="S25" s="455">
        <f t="shared" si="7"/>
        <v>1.0918497873021217E-3</v>
      </c>
      <c r="T25" s="455">
        <f t="shared" si="11"/>
        <v>0.23246383396272779</v>
      </c>
      <c r="Z25" t="s">
        <v>675</v>
      </c>
      <c r="AA25" s="455" t="e">
        <f t="shared" si="8"/>
        <v>#N/A</v>
      </c>
      <c r="AB25" s="455" t="e">
        <f>SUM($AA$2:$AA25)</f>
        <v>#N/A</v>
      </c>
    </row>
    <row r="26" spans="1:28" x14ac:dyDescent="0.2">
      <c r="A26" s="531">
        <v>25</v>
      </c>
      <c r="B26" s="537" t="s">
        <v>1140</v>
      </c>
      <c r="C26" s="538">
        <f>IF(VLOOKUP($B26,POS_Cost!$B$3:$AK$33,36,0)="x","",$M26)</f>
        <v>700</v>
      </c>
      <c r="D26" s="539">
        <f>IF(VLOOKUP($B26,POS_Cost!$B$3:$AK$33,36,0)="x","",$P26)</f>
        <v>300</v>
      </c>
      <c r="E26" s="540" t="str">
        <f>IF(VLOOKUP($B26,POS_Cost!$B$3:$AK$33,36,0)="x","",IF(OR($O26="",$O26=0),"N/A",TEXT($N26,"$#,##")&amp;" for "&amp;$O26&amp;" pay periods"))</f>
        <v>$50 for 6 pay periods</v>
      </c>
      <c r="F26" s="28">
        <f>IFERROR(IF(VLOOKUP(B26,POS_Ratios!$B$3:$AC$33,28,FALSE)="x",MIN(I26/100000,POS_Ratios!$AA$40)^((1-cost_share_target*POS_Ratios!$AA$40)),IF(VLOOKUP(B26,POS_Ratios!$B$3:$AB$33,27,FALSE)="x",MIN(I26/100000,POS_Ratios!$AA$38)^((1-cost_share_target*POS_Ratios!$AA$38)),MIN(I26/100000,POS_Ratios!$AA$39)^((1-cost_share_target*POS_Ratios!$AA$39)))),"")</f>
        <v>7.7939562484907438E-2</v>
      </c>
      <c r="G26" t="s">
        <v>687</v>
      </c>
      <c r="H26" s="373">
        <v>1.7526937975219239</v>
      </c>
      <c r="I26" s="29">
        <f>IFERROR(VLOOKUP(B26,POS_Cost!$B$3:$L$33,3,FALSE),"")</f>
        <v>4621.347547509471</v>
      </c>
      <c r="J26" s="29">
        <f t="shared" si="0"/>
        <v>700</v>
      </c>
      <c r="K26" s="29">
        <f t="shared" si="1"/>
        <v>50</v>
      </c>
      <c r="L26" s="536">
        <f t="shared" si="2"/>
        <v>6</v>
      </c>
      <c r="M26" s="29">
        <f t="shared" si="3"/>
        <v>700</v>
      </c>
      <c r="N26" s="29">
        <f t="shared" si="4"/>
        <v>50</v>
      </c>
      <c r="O26" s="536">
        <f t="shared" si="5"/>
        <v>6</v>
      </c>
      <c r="P26" s="29">
        <f t="shared" si="9"/>
        <v>300</v>
      </c>
      <c r="Q26" s="29">
        <f t="shared" si="10"/>
        <v>1000</v>
      </c>
      <c r="R26" s="455">
        <f t="shared" si="6"/>
        <v>0.21638710132046191</v>
      </c>
      <c r="S26" s="455">
        <f t="shared" si="7"/>
        <v>1.2701376478665228E-2</v>
      </c>
      <c r="T26" s="455">
        <f t="shared" si="11"/>
        <v>0.30450729799679743</v>
      </c>
      <c r="Z26" t="s">
        <v>675</v>
      </c>
      <c r="AA26" s="455" t="e">
        <f t="shared" si="8"/>
        <v>#N/A</v>
      </c>
      <c r="AB26" s="455" t="e">
        <f>SUM($AA$2:$AA26)</f>
        <v>#N/A</v>
      </c>
    </row>
    <row r="27" spans="1:28" x14ac:dyDescent="0.2">
      <c r="A27" s="531">
        <v>26</v>
      </c>
      <c r="B27" s="532" t="s">
        <v>1020</v>
      </c>
      <c r="C27" s="533" t="str">
        <f>IF(VLOOKUP($B27,POS_Cost!$B$3:$AK$33,36,0)="x","",$M27)</f>
        <v/>
      </c>
      <c r="D27" s="534" t="str">
        <f>IF(VLOOKUP($B27,POS_Cost!$B$3:$AK$33,36,0)="x","",$P27)</f>
        <v/>
      </c>
      <c r="E27" s="535" t="str">
        <f>IF(VLOOKUP($B27,POS_Cost!$B$3:$AK$33,36,0)="x","",IF(OR($O27="",$O27=0),"N/A",TEXT($N27,"$#,##")&amp;" for "&amp;$O27&amp;" pay periods"))</f>
        <v/>
      </c>
      <c r="F27" s="28">
        <f>IFERROR(IF(VLOOKUP(B27,POS_Ratios!$B$3:$AC$33,28,FALSE)="x",MIN(I27/100000,POS_Ratios!$AA$40)^((1-cost_share_target*POS_Ratios!$AA$40)),IF(VLOOKUP(B27,POS_Ratios!$B$3:$AB$33,27,FALSE)="x",MIN(I27/100000,POS_Ratios!$AA$38)^((1-cost_share_target*POS_Ratios!$AA$38)),MIN(I27/100000,POS_Ratios!$AA$39)^((1-cost_share_target*POS_Ratios!$AA$39)))),"")</f>
        <v>0.38702694988405362</v>
      </c>
      <c r="G27" t="s">
        <v>1024</v>
      </c>
      <c r="H27" s="373">
        <v>0.28802368588267335</v>
      </c>
      <c r="I27" s="29">
        <f>IFERROR(VLOOKUP(B27,POS_Cost!$B$3:$L$33,3,FALSE),"")</f>
        <v>27966.137788129003</v>
      </c>
      <c r="J27" s="29">
        <f t="shared" si="0"/>
        <v>1300</v>
      </c>
      <c r="K27" s="29">
        <f t="shared" si="1"/>
        <v>100</v>
      </c>
      <c r="L27" s="536">
        <f t="shared" si="2"/>
        <v>13</v>
      </c>
      <c r="M27" s="29">
        <f t="shared" si="3"/>
        <v>1300</v>
      </c>
      <c r="N27" s="29">
        <f t="shared" si="4"/>
        <v>100</v>
      </c>
      <c r="O27" s="536">
        <f t="shared" si="5"/>
        <v>13</v>
      </c>
      <c r="P27" s="29">
        <f t="shared" si="9"/>
        <v>1300</v>
      </c>
      <c r="Q27" s="29">
        <f t="shared" si="10"/>
        <v>2600</v>
      </c>
      <c r="R27" s="455">
        <f t="shared" si="6"/>
        <v>9.2969576982619373E-2</v>
      </c>
      <c r="S27" s="455">
        <f t="shared" si="7"/>
        <v>1.2630972959190691E-2</v>
      </c>
      <c r="T27" s="455">
        <f t="shared" si="11"/>
        <v>0.15629952609533226</v>
      </c>
      <c r="Z27" t="s">
        <v>676</v>
      </c>
      <c r="AA27" s="455">
        <f t="shared" si="8"/>
        <v>5.3696485954018245E-3</v>
      </c>
      <c r="AB27" s="455" t="e">
        <f>SUM($AA$2:$AA27)</f>
        <v>#N/A</v>
      </c>
    </row>
    <row r="28" spans="1:28" x14ac:dyDescent="0.2">
      <c r="A28" s="531">
        <v>27</v>
      </c>
      <c r="B28" s="537" t="s">
        <v>831</v>
      </c>
      <c r="C28" s="538">
        <f>IF(VLOOKUP($B28,POS_Cost!$B$3:$AK$33,36,0)="x","",$M28)</f>
        <v>700</v>
      </c>
      <c r="D28" s="539">
        <f>IF(VLOOKUP($B28,POS_Cost!$B$3:$AK$33,36,0)="x","",$P28)</f>
        <v>300</v>
      </c>
      <c r="E28" s="540" t="str">
        <f>IF(VLOOKUP($B28,POS_Cost!$B$3:$AK$33,36,0)="x","",IF(OR($O28="",$O28=0),"N/A",TEXT($N28,"$#,##")&amp;" for "&amp;$O28&amp;" pay periods"))</f>
        <v>$50 for 6 pay periods</v>
      </c>
      <c r="F28" s="28">
        <f>IFERROR(IF(VLOOKUP(B28,POS_Ratios!$B$3:$AC$33,28,FALSE)="x",MIN(I28/100000,POS_Ratios!$AA$40)^((1-cost_share_target*POS_Ratios!$AA$40)),IF(VLOOKUP(B28,POS_Ratios!$B$3:$AB$33,27,FALSE)="x",MIN(I28/100000,POS_Ratios!$AA$38)^((1-cost_share_target*POS_Ratios!$AA$38)),MIN(I28/100000,POS_Ratios!$AA$39)^((1-cost_share_target*POS_Ratios!$AA$39)))),"")</f>
        <v>0.10388114953134212</v>
      </c>
      <c r="G28" t="s">
        <v>684</v>
      </c>
      <c r="H28" s="373">
        <v>5.5347111224729274E-2</v>
      </c>
      <c r="I28" s="29">
        <f>IFERROR(VLOOKUP(B28,POS_Cost!$B$3:$L$33,3,FALSE),"")</f>
        <v>6532.8774933333325</v>
      </c>
      <c r="J28" s="29">
        <f t="shared" si="0"/>
        <v>700</v>
      </c>
      <c r="K28" s="29">
        <f t="shared" si="1"/>
        <v>50</v>
      </c>
      <c r="L28" s="536">
        <f t="shared" si="2"/>
        <v>6</v>
      </c>
      <c r="M28" s="29">
        <f t="shared" si="3"/>
        <v>700</v>
      </c>
      <c r="N28" s="29">
        <f t="shared" si="4"/>
        <v>50</v>
      </c>
      <c r="O28" s="536">
        <f t="shared" si="5"/>
        <v>6</v>
      </c>
      <c r="P28" s="29">
        <f t="shared" si="9"/>
        <v>300</v>
      </c>
      <c r="Q28" s="29">
        <f t="shared" si="10"/>
        <v>1000</v>
      </c>
      <c r="R28" s="455">
        <f t="shared" si="6"/>
        <v>0.15307190453524952</v>
      </c>
      <c r="S28" s="455">
        <f t="shared" si="7"/>
        <v>5.669902372826E-4</v>
      </c>
      <c r="T28" s="455">
        <f t="shared" si="11"/>
        <v>0.23624034244869871</v>
      </c>
      <c r="Z28" t="s">
        <v>678</v>
      </c>
      <c r="AA28" s="455">
        <f t="shared" si="8"/>
        <v>2.80311546400377E-3</v>
      </c>
      <c r="AB28" s="455" t="e">
        <f>SUM($AA$2:$AA28)</f>
        <v>#N/A</v>
      </c>
    </row>
    <row r="29" spans="1:28" x14ac:dyDescent="0.2">
      <c r="A29" s="531">
        <v>28</v>
      </c>
      <c r="B29" s="537" t="s">
        <v>832</v>
      </c>
      <c r="C29" s="538" t="str">
        <f>IF(VLOOKUP($B29,POS_Cost!$B$3:$AK$33,36,0)="x","",$M29)</f>
        <v/>
      </c>
      <c r="D29" s="539" t="str">
        <f>IF(VLOOKUP($B29,POS_Cost!$B$3:$AK$33,36,0)="x","",$P29)</f>
        <v/>
      </c>
      <c r="E29" s="540" t="str">
        <f>IF(VLOOKUP($B29,POS_Cost!$B$3:$AK$33,36,0)="x","",IF(OR($O29="",$O29=0),"N/A",TEXT($N29,"$#,##")&amp;" for "&amp;$O29&amp;" pay periods"))</f>
        <v/>
      </c>
      <c r="F29" s="28">
        <f>IFERROR(IF(VLOOKUP(B29,POS_Ratios!$B$3:$AC$33,28,FALSE)="x",MIN(I29/100000,POS_Ratios!$AA$40)^((1-cost_share_target*POS_Ratios!$AA$40)),IF(VLOOKUP(B29,POS_Ratios!$B$3:$AB$33,27,FALSE)="x",MIN(I29/100000,POS_Ratios!$AA$38)^((1-cost_share_target*POS_Ratios!$AA$38)),MIN(I29/100000,POS_Ratios!$AA$39)^((1-cost_share_target*POS_Ratios!$AA$39)))),"")</f>
        <v>0.407807618435374</v>
      </c>
      <c r="G29" t="s">
        <v>670</v>
      </c>
      <c r="H29" s="373">
        <v>9.3127070511972776E-2</v>
      </c>
      <c r="I29" s="29">
        <f>IFERROR(VLOOKUP(B29,POS_Cost!$B$3:$L$33,3,FALSE),"")</f>
        <v>38828.665707214328</v>
      </c>
      <c r="J29" s="29">
        <f t="shared" si="0"/>
        <v>1300</v>
      </c>
      <c r="K29" s="29">
        <f t="shared" si="1"/>
        <v>100</v>
      </c>
      <c r="L29" s="536">
        <f t="shared" si="2"/>
        <v>13</v>
      </c>
      <c r="M29" s="29">
        <f t="shared" si="3"/>
        <v>1300</v>
      </c>
      <c r="N29" s="29">
        <f t="shared" si="4"/>
        <v>100</v>
      </c>
      <c r="O29" s="536">
        <f t="shared" si="5"/>
        <v>13</v>
      </c>
      <c r="P29" s="29">
        <f t="shared" si="9"/>
        <v>1300</v>
      </c>
      <c r="Q29" s="29">
        <f t="shared" si="10"/>
        <v>2600</v>
      </c>
      <c r="R29" s="455">
        <f t="shared" si="6"/>
        <v>6.6960838149968227E-2</v>
      </c>
      <c r="S29" s="455">
        <f t="shared" si="7"/>
        <v>5.6702801564934742E-3</v>
      </c>
      <c r="T29" s="455">
        <f t="shared" si="11"/>
        <v>0.11713520280997286</v>
      </c>
      <c r="Z29" t="s">
        <v>680</v>
      </c>
      <c r="AA29" s="455">
        <f t="shared" si="8"/>
        <v>1.0918497873021217E-3</v>
      </c>
      <c r="AB29" s="455" t="e">
        <f>SUM($AA$2:$AA29)</f>
        <v>#N/A</v>
      </c>
    </row>
    <row r="30" spans="1:28" x14ac:dyDescent="0.2">
      <c r="A30" s="531">
        <v>29</v>
      </c>
      <c r="B30" s="532" t="s">
        <v>833</v>
      </c>
      <c r="C30" s="533" t="str">
        <f>IF(VLOOKUP($B30,POS_Cost!$B$3:$AK$33,36,0)="x","",$M30)</f>
        <v/>
      </c>
      <c r="D30" s="534" t="str">
        <f>IF(VLOOKUP($B30,POS_Cost!$B$3:$AK$33,36,0)="x","",$P30)</f>
        <v/>
      </c>
      <c r="E30" s="535" t="str">
        <f>IF(VLOOKUP($B30,POS_Cost!$B$3:$AK$33,36,0)="x","",IF(OR($O30="",$O30=0),"N/A",TEXT($N30,"$#,##")&amp;" for "&amp;$O30&amp;" pay periods"))</f>
        <v/>
      </c>
      <c r="F30" s="28">
        <f>IFERROR(IF(VLOOKUP(B30,POS_Ratios!$B$3:$AC$33,28,FALSE)="x",MIN(I30/100000,POS_Ratios!$AA$40)^((1-cost_share_target*POS_Ratios!$AA$40)),IF(VLOOKUP(B30,POS_Ratios!$B$3:$AB$33,27,FALSE)="x",MIN(I30/100000,POS_Ratios!$AA$38)^((1-cost_share_target*POS_Ratios!$AA$38)),MIN(I30/100000,POS_Ratios!$AA$39)^((1-cost_share_target*POS_Ratios!$AA$39)))),"")</f>
        <v>9.5019337853325697E-2</v>
      </c>
      <c r="G30" t="s">
        <v>656</v>
      </c>
      <c r="H30" s="373">
        <v>1.8797205327164748</v>
      </c>
      <c r="I30" s="29">
        <f>IFERROR(VLOOKUP(B30,POS_Cost!$B$3:$L$33,3,FALSE),"")</f>
        <v>5867.4337200184746</v>
      </c>
      <c r="J30" s="29">
        <f t="shared" si="0"/>
        <v>700</v>
      </c>
      <c r="K30" s="29">
        <f t="shared" si="1"/>
        <v>50</v>
      </c>
      <c r="L30" s="536">
        <f t="shared" si="2"/>
        <v>6</v>
      </c>
      <c r="M30" s="29">
        <f t="shared" si="3"/>
        <v>700</v>
      </c>
      <c r="N30" s="29">
        <f t="shared" si="4"/>
        <v>50</v>
      </c>
      <c r="O30" s="536">
        <f t="shared" si="5"/>
        <v>6</v>
      </c>
      <c r="P30" s="29">
        <f t="shared" si="9"/>
        <v>300</v>
      </c>
      <c r="Q30" s="29">
        <f t="shared" si="10"/>
        <v>1000</v>
      </c>
      <c r="R30" s="455">
        <f t="shared" si="6"/>
        <v>0.17043226182312143</v>
      </c>
      <c r="S30" s="455">
        <f t="shared" si="7"/>
        <v>1.7294881323823237E-2</v>
      </c>
      <c r="T30" s="455">
        <f t="shared" si="11"/>
        <v>0.25658655441253114</v>
      </c>
      <c r="Z30" t="s">
        <v>682</v>
      </c>
      <c r="AA30" s="455">
        <f t="shared" si="8"/>
        <v>9.3958928960881805E-3</v>
      </c>
      <c r="AB30" s="455" t="e">
        <f>SUM($AA$2:$AA30)</f>
        <v>#N/A</v>
      </c>
    </row>
    <row r="31" spans="1:28" x14ac:dyDescent="0.2">
      <c r="A31" s="531">
        <v>30</v>
      </c>
      <c r="B31" s="532" t="s">
        <v>958</v>
      </c>
      <c r="C31" s="533">
        <f>IF(VLOOKUP($B31,POS_Cost!$B$3:$AK$33,36,0)="x","",$M31)</f>
        <v>700</v>
      </c>
      <c r="D31" s="534">
        <f>IF(VLOOKUP($B31,POS_Cost!$B$3:$AK$33,36,0)="x","",$P31)</f>
        <v>350</v>
      </c>
      <c r="E31" s="535" t="str">
        <f>IF(VLOOKUP($B31,POS_Cost!$B$3:$AK$33,36,0)="x","",IF(OR($O31="",$O31=0),"N/A",TEXT($N31,"$#,##")&amp;" for "&amp;$O31&amp;" pay periods"))</f>
        <v>$50 for 7 pay periods</v>
      </c>
      <c r="F31" s="28">
        <f>IFERROR(IF(VLOOKUP(B31,POS_Ratios!$B$3:$AC$33,28,FALSE)="x",MIN(I31/100000,POS_Ratios!$AA$40)^((1-cost_share_target*POS_Ratios!$AA$40)),IF(VLOOKUP(B31,POS_Ratios!$B$3:$AB$33,27,FALSE)="x",MIN(I31/100000,POS_Ratios!$AA$38)^((1-cost_share_target*POS_Ratios!$AA$38)),MIN(I31/100000,POS_Ratios!$AA$39)^((1-cost_share_target*POS_Ratios!$AA$39)))),"")</f>
        <v>0.12109083565339722</v>
      </c>
      <c r="G31" t="s">
        <v>650</v>
      </c>
      <c r="H31" s="373">
        <v>12.99309593291154</v>
      </c>
      <c r="I31" s="29">
        <f>IFERROR(VLOOKUP(B31,POS_Cost!$B$3:$L$33,3,FALSE),"")</f>
        <v>6850.0991683065276</v>
      </c>
      <c r="J31" s="29">
        <f t="shared" si="0"/>
        <v>700</v>
      </c>
      <c r="K31" s="29">
        <f t="shared" si="1"/>
        <v>50</v>
      </c>
      <c r="L31" s="536">
        <f t="shared" si="2"/>
        <v>7</v>
      </c>
      <c r="M31" s="29">
        <f t="shared" si="3"/>
        <v>700</v>
      </c>
      <c r="N31" s="29">
        <f t="shared" si="4"/>
        <v>50</v>
      </c>
      <c r="O31" s="536">
        <f t="shared" si="5"/>
        <v>7</v>
      </c>
      <c r="P31" s="29">
        <f t="shared" si="9"/>
        <v>350</v>
      </c>
      <c r="Q31" s="29">
        <f t="shared" si="10"/>
        <v>1050</v>
      </c>
      <c r="R31" s="455">
        <f t="shared" si="6"/>
        <v>0.15328245244361616</v>
      </c>
      <c r="S31" s="455">
        <f t="shared" si="7"/>
        <v>0.13956792196111037</v>
      </c>
      <c r="T31" s="455">
        <f t="shared" si="11"/>
        <v>0.23649447209566771</v>
      </c>
      <c r="Z31" t="s">
        <v>683</v>
      </c>
      <c r="AA31" s="455" t="e">
        <f t="shared" si="8"/>
        <v>#N/A</v>
      </c>
      <c r="AB31" s="455" t="e">
        <f>SUM($AA$2:$AA31)</f>
        <v>#N/A</v>
      </c>
    </row>
    <row r="32" spans="1:28" x14ac:dyDescent="0.2">
      <c r="A32" s="531">
        <v>31</v>
      </c>
      <c r="B32" s="537" t="s">
        <v>1139</v>
      </c>
      <c r="C32" s="538" t="str">
        <f>IF(VLOOKUP($B32,POS_Cost!$B$3:$AK$33,36,0)="x","",$M32)</f>
        <v/>
      </c>
      <c r="D32" s="539" t="str">
        <f>IF(VLOOKUP($B32,POS_Cost!$B$3:$AK$33,36,0)="x","",$P32)</f>
        <v/>
      </c>
      <c r="E32" s="540" t="str">
        <f>IF(VLOOKUP($B32,POS_Cost!$B$3:$AK$33,36,0)="x","",IF(OR($O32="",$O32=0),"N/A",TEXT($N32,"$#,##")&amp;" for "&amp;$O32&amp;" pay periods"))</f>
        <v/>
      </c>
      <c r="F32" s="28">
        <f>IFERROR(IF(VLOOKUP(B32,POS_Ratios!$B$3:$AC$33,28,FALSE)="x",MIN(I32/100000,POS_Ratios!$AA$40)^((1-cost_share_target*POS_Ratios!$AA$40)),IF(VLOOKUP(B32,POS_Ratios!$B$3:$AB$33,27,FALSE)="x",MIN(I32/100000,POS_Ratios!$AA$38)^((1-cost_share_target*POS_Ratios!$AA$38)),MIN(I32/100000,POS_Ratios!$AA$39)^((1-cost_share_target*POS_Ratios!$AA$39)))),"")</f>
        <v>0.21993840425297859</v>
      </c>
      <c r="G32" t="s">
        <v>635</v>
      </c>
      <c r="H32" s="373">
        <v>0.33261179843083005</v>
      </c>
      <c r="I32" s="29">
        <f>IFERROR(VLOOKUP(B32,POS_Cost!$B$3:$L$33,3,FALSE),"")</f>
        <v>14615.940124514827</v>
      </c>
      <c r="J32" s="29">
        <f t="shared" si="0"/>
        <v>900</v>
      </c>
      <c r="K32" s="29">
        <f t="shared" si="1"/>
        <v>50</v>
      </c>
      <c r="L32" s="536">
        <f t="shared" si="2"/>
        <v>9</v>
      </c>
      <c r="M32" s="29">
        <f t="shared" si="3"/>
        <v>900</v>
      </c>
      <c r="N32" s="29">
        <f t="shared" si="4"/>
        <v>50</v>
      </c>
      <c r="O32" s="536">
        <f t="shared" si="5"/>
        <v>9</v>
      </c>
      <c r="P32" s="29">
        <f t="shared" si="9"/>
        <v>450</v>
      </c>
      <c r="Q32" s="29">
        <f t="shared" si="10"/>
        <v>1350</v>
      </c>
      <c r="R32" s="455">
        <f t="shared" si="6"/>
        <v>9.2364910399139508E-2</v>
      </c>
      <c r="S32" s="455">
        <f t="shared" si="7"/>
        <v>7.6232561745930658E-3</v>
      </c>
      <c r="T32" s="455">
        <f t="shared" si="11"/>
        <v>0.15542035939896118</v>
      </c>
      <c r="Z32" t="s">
        <v>684</v>
      </c>
      <c r="AA32" s="455">
        <f t="shared" si="8"/>
        <v>5.669902372826E-4</v>
      </c>
      <c r="AB32" s="455" t="e">
        <f>SUM($AA$2:$AA32)</f>
        <v>#N/A</v>
      </c>
    </row>
    <row r="33" spans="7:28" x14ac:dyDescent="0.2">
      <c r="R33" s="455"/>
      <c r="Z33" t="s">
        <v>686</v>
      </c>
      <c r="AA33" s="455">
        <f t="shared" si="8"/>
        <v>1.5487922849240366E-3</v>
      </c>
      <c r="AB33" s="455" t="e">
        <f>SUM($AA$2:$AA33)</f>
        <v>#N/A</v>
      </c>
    </row>
    <row r="34" spans="7:28" x14ac:dyDescent="0.2">
      <c r="G34" t="s">
        <v>403</v>
      </c>
      <c r="I34" s="29">
        <f t="shared" ref="I34:Q34" si="12">SUMPRODUCT(I$2:I$32,$H$2:$H$32)/SUM($H$2:$H$32)</f>
        <v>17013.974241759493</v>
      </c>
      <c r="J34" s="29">
        <f t="shared" si="12"/>
        <v>902.09168202292221</v>
      </c>
      <c r="K34" s="29">
        <f t="shared" si="12"/>
        <v>62.602842993500474</v>
      </c>
      <c r="L34" s="536">
        <f t="shared" si="12"/>
        <v>8.7292624668013108</v>
      </c>
      <c r="M34" s="29">
        <f t="shared" si="12"/>
        <v>902.09168202292221</v>
      </c>
      <c r="N34" s="29">
        <f t="shared" si="12"/>
        <v>62.602842993500474</v>
      </c>
      <c r="O34" s="536">
        <f t="shared" si="12"/>
        <v>8.7292624668013108</v>
      </c>
      <c r="P34" s="29">
        <f t="shared" si="12"/>
        <v>600.30008225557197</v>
      </c>
      <c r="Q34" s="29">
        <f t="shared" si="12"/>
        <v>1502.3917642784945</v>
      </c>
      <c r="R34" s="455">
        <f>Q35</f>
        <v>8.8303399483877748E-2</v>
      </c>
      <c r="S34" s="455">
        <f>SUM(S$2:S$32)</f>
        <v>0.99999999999999989</v>
      </c>
      <c r="Z34" t="s">
        <v>687</v>
      </c>
      <c r="AA34" s="455">
        <f t="shared" si="8"/>
        <v>1.2701376478665228E-2</v>
      </c>
      <c r="AB34" s="455" t="e">
        <f>SUM($AA$2:$AA34)</f>
        <v>#N/A</v>
      </c>
    </row>
    <row r="35" spans="7:28" x14ac:dyDescent="0.2">
      <c r="G35" t="s">
        <v>851</v>
      </c>
      <c r="J35" s="28">
        <f>J34/$I34</f>
        <v>5.3020632875345926E-2</v>
      </c>
      <c r="M35" s="28">
        <f>M34/$I34</f>
        <v>5.3020632875345926E-2</v>
      </c>
      <c r="P35" s="28">
        <f>P34/$I34</f>
        <v>3.5282766608531795E-2</v>
      </c>
      <c r="Q35" s="28">
        <f>Q34/$I34</f>
        <v>8.8303399483877748E-2</v>
      </c>
      <c r="R35" s="28"/>
    </row>
    <row r="36" spans="7:28" x14ac:dyDescent="0.2">
      <c r="G36" t="s">
        <v>1046</v>
      </c>
      <c r="Q36" s="542">
        <f>add_in_subsidy/100</f>
        <v>0.85</v>
      </c>
    </row>
    <row r="37" spans="7:28" x14ac:dyDescent="0.2">
      <c r="J37" s="29">
        <f>copay_min</f>
        <v>500</v>
      </c>
      <c r="K37" s="29">
        <v>0</v>
      </c>
      <c r="L37" s="29">
        <f>SUM(J37:K37)</f>
        <v>500</v>
      </c>
    </row>
    <row r="38" spans="7:28" x14ac:dyDescent="0.2">
      <c r="I38" s="29"/>
      <c r="J38" s="29">
        <f>copay_max</f>
        <v>2500</v>
      </c>
      <c r="K38" s="29">
        <f>payroll_max*period_max</f>
        <v>5200</v>
      </c>
      <c r="L38" s="29">
        <f>SUM(J38:K38)</f>
        <v>7700</v>
      </c>
    </row>
    <row r="39" spans="7:28" x14ac:dyDescent="0.2">
      <c r="J39" s="28">
        <f>J38/$L38</f>
        <v>0.32467532467532467</v>
      </c>
      <c r="K39" s="28">
        <f>K38/$L38</f>
        <v>0.67532467532467533</v>
      </c>
    </row>
    <row r="40" spans="7:28" x14ac:dyDescent="0.2">
      <c r="J40" s="29"/>
      <c r="K40" s="2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9" enableFormatConditionsCalculation="0">
    <tabColor rgb="FFFF0000"/>
  </sheetPr>
  <dimension ref="A1:BA123"/>
  <sheetViews>
    <sheetView zoomScale="85" zoomScaleNormal="85" zoomScalePageLayoutView="85" workbookViewId="0">
      <pane xSplit="1" ySplit="17" topLeftCell="B18" activePane="bottomRight" state="frozen"/>
      <selection pane="topRight" activeCell="B1" sqref="B1"/>
      <selection pane="bottomLeft" activeCell="A9" sqref="A9"/>
      <selection pane="bottomRight" activeCell="B18" sqref="B18"/>
    </sheetView>
  </sheetViews>
  <sheetFormatPr baseColWidth="10" defaultColWidth="8.83203125" defaultRowHeight="15" x14ac:dyDescent="0.2"/>
  <cols>
    <col min="1" max="1" width="9.6640625" customWidth="1"/>
    <col min="2" max="2" width="10.83203125" customWidth="1"/>
    <col min="3" max="3" width="17.83203125" customWidth="1"/>
    <col min="4" max="4" width="10.83203125" customWidth="1"/>
    <col min="5" max="5" width="26.33203125" customWidth="1"/>
    <col min="6" max="6" width="18.1640625" customWidth="1"/>
    <col min="7" max="12" width="16.83203125" customWidth="1"/>
    <col min="13" max="13" width="17.83203125" customWidth="1"/>
    <col min="14" max="25" width="13" customWidth="1"/>
    <col min="26" max="26" width="2.83203125" customWidth="1"/>
    <col min="27" max="33" width="11.1640625" customWidth="1"/>
    <col min="34" max="34" width="16.83203125" customWidth="1"/>
    <col min="35" max="35" width="3.5" customWidth="1"/>
    <col min="36" max="41" width="11" customWidth="1"/>
    <col min="42" max="42" width="3.1640625" customWidth="1"/>
    <col min="43" max="50" width="10.83203125" customWidth="1"/>
    <col min="51" max="51" width="15.1640625" customWidth="1"/>
    <col min="52" max="52" width="14.6640625" customWidth="1"/>
    <col min="53" max="53" width="18.5" customWidth="1"/>
  </cols>
  <sheetData>
    <row r="1" spans="1:50" x14ac:dyDescent="0.2">
      <c r="A1" t="s">
        <v>854</v>
      </c>
      <c r="B1" s="389"/>
      <c r="C1" s="389"/>
      <c r="D1" s="389"/>
      <c r="E1" s="389"/>
      <c r="I1" s="543">
        <f>$U$118/12/100</f>
        <v>-24.021739760490163</v>
      </c>
      <c r="J1" s="320" t="s">
        <v>855</v>
      </c>
      <c r="Y1" s="544">
        <f>$U$117/12</f>
        <v>-24.021739760490163</v>
      </c>
    </row>
    <row r="2" spans="1:50" x14ac:dyDescent="0.2">
      <c r="A2" t="s">
        <v>856</v>
      </c>
      <c r="I2" s="545">
        <v>450</v>
      </c>
      <c r="J2" s="320"/>
      <c r="K2" s="510"/>
      <c r="Y2" s="546"/>
    </row>
    <row r="3" spans="1:50" x14ac:dyDescent="0.2">
      <c r="A3" t="s">
        <v>857</v>
      </c>
      <c r="I3" s="547">
        <v>0</v>
      </c>
      <c r="J3" s="320" t="s">
        <v>855</v>
      </c>
      <c r="K3" s="510"/>
      <c r="Y3" s="548">
        <f>'Assumptions-Output Target'!$D$22*'Discretionary Detail'!$G$67</f>
        <v>31.890516211302888</v>
      </c>
    </row>
    <row r="4" spans="1:50" x14ac:dyDescent="0.2">
      <c r="A4" t="s">
        <v>858</v>
      </c>
      <c r="I4" s="547">
        <f>'Assumptions-Output Override'!F61</f>
        <v>20.842223812043091</v>
      </c>
      <c r="J4" s="320"/>
      <c r="K4" s="510"/>
      <c r="Y4" s="548"/>
    </row>
    <row r="5" spans="1:50" x14ac:dyDescent="0.2">
      <c r="A5" t="s">
        <v>859</v>
      </c>
      <c r="I5" s="547">
        <f>'Assumptions-Output Override'!$F$60+$I$3</f>
        <v>435.61999896998373</v>
      </c>
      <c r="J5" s="320" t="s">
        <v>855</v>
      </c>
      <c r="Y5" s="548">
        <f>'Assumptions-Output Override'!$F$60+$I$3</f>
        <v>435.61999896998373</v>
      </c>
    </row>
    <row r="6" spans="1:50" x14ac:dyDescent="0.2">
      <c r="A6" t="s">
        <v>860</v>
      </c>
      <c r="E6" s="510"/>
      <c r="I6" s="545"/>
      <c r="K6" s="549"/>
      <c r="L6" s="490"/>
      <c r="Y6" s="550"/>
    </row>
    <row r="7" spans="1:50" x14ac:dyDescent="0.2">
      <c r="A7" t="s">
        <v>861</v>
      </c>
      <c r="I7" s="551">
        <v>39.332496820961666</v>
      </c>
      <c r="K7" s="552" t="s">
        <v>449</v>
      </c>
      <c r="L7" s="552" t="s">
        <v>448</v>
      </c>
      <c r="M7" s="552" t="s">
        <v>447</v>
      </c>
      <c r="N7" s="552" t="s">
        <v>445</v>
      </c>
      <c r="O7" s="553" t="s">
        <v>862</v>
      </c>
    </row>
    <row r="8" spans="1:50" x14ac:dyDescent="0.2">
      <c r="A8" t="s">
        <v>863</v>
      </c>
      <c r="G8" s="490"/>
      <c r="I8" s="551">
        <v>-89.364739605987751</v>
      </c>
      <c r="K8" s="554">
        <f>IF(I8&lt;0,1,0)</f>
        <v>1</v>
      </c>
      <c r="L8" s="554">
        <v>0</v>
      </c>
      <c r="M8" s="555">
        <v>0</v>
      </c>
      <c r="N8" s="555">
        <f>IF(I8&lt;0,0,1)</f>
        <v>0</v>
      </c>
      <c r="O8" s="556">
        <v>0</v>
      </c>
    </row>
    <row r="9" spans="1:50" x14ac:dyDescent="0.2">
      <c r="A9" t="s">
        <v>864</v>
      </c>
      <c r="G9" s="490"/>
      <c r="I9" s="557">
        <f>1-'Assumptions-Output Override'!D22</f>
        <v>0.85</v>
      </c>
    </row>
    <row r="10" spans="1:50" x14ac:dyDescent="0.2">
      <c r="A10" t="s">
        <v>865</v>
      </c>
      <c r="I10" s="557">
        <f>1-'Assumptions-Output Target'!D21</f>
        <v>0.85</v>
      </c>
    </row>
    <row r="11" spans="1:50" x14ac:dyDescent="0.2">
      <c r="A11" t="s">
        <v>866</v>
      </c>
      <c r="I11" s="557">
        <f>'Assumptions-Output Target'!D22</f>
        <v>0.30465592186932339</v>
      </c>
      <c r="K11" s="552" t="s">
        <v>867</v>
      </c>
      <c r="L11" s="552" t="s">
        <v>868</v>
      </c>
      <c r="M11" s="552" t="s">
        <v>942</v>
      </c>
    </row>
    <row r="12" spans="1:50" x14ac:dyDescent="0.2">
      <c r="A12" t="s">
        <v>869</v>
      </c>
      <c r="I12" s="558">
        <f>IF(K12="",L12+M12,K12)</f>
        <v>9200</v>
      </c>
      <c r="K12" s="559"/>
      <c r="L12" s="560">
        <f>core_oopm</f>
        <v>4000</v>
      </c>
      <c r="M12" s="560">
        <f>payroll_max*period_max</f>
        <v>5200</v>
      </c>
    </row>
    <row r="13" spans="1:50" x14ac:dyDescent="0.2">
      <c r="E13" s="490"/>
      <c r="F13" s="490"/>
      <c r="K13" s="320" t="s">
        <v>870</v>
      </c>
    </row>
    <row r="14" spans="1:50" x14ac:dyDescent="0.2">
      <c r="A14" t="s">
        <v>871</v>
      </c>
      <c r="E14" s="490"/>
      <c r="F14" s="490"/>
    </row>
    <row r="15" spans="1:50" x14ac:dyDescent="0.2">
      <c r="E15" s="490"/>
      <c r="F15" s="490"/>
    </row>
    <row r="16" spans="1:50" x14ac:dyDescent="0.2">
      <c r="A16" s="561"/>
      <c r="B16" s="978" t="s">
        <v>872</v>
      </c>
      <c r="C16" s="978"/>
      <c r="D16" s="978"/>
      <c r="E16" s="978"/>
      <c r="F16" s="978"/>
      <c r="G16" s="978"/>
      <c r="H16" s="979" t="s">
        <v>873</v>
      </c>
      <c r="I16" s="979"/>
      <c r="J16" s="979"/>
      <c r="K16" s="979"/>
      <c r="L16" s="979"/>
      <c r="M16" s="979"/>
      <c r="N16" s="980" t="s">
        <v>874</v>
      </c>
      <c r="O16" s="980"/>
      <c r="P16" s="980"/>
      <c r="Q16" s="980"/>
      <c r="R16" s="980"/>
      <c r="S16" s="981" t="s">
        <v>875</v>
      </c>
      <c r="T16" s="981"/>
      <c r="U16" s="980" t="s">
        <v>876</v>
      </c>
      <c r="V16" s="980"/>
      <c r="W16" s="980"/>
      <c r="X16" s="980"/>
      <c r="Y16" s="980"/>
      <c r="AA16" s="977" t="s">
        <v>877</v>
      </c>
      <c r="AB16" s="977"/>
      <c r="AC16" s="977"/>
      <c r="AD16" s="977"/>
      <c r="AE16" s="977"/>
      <c r="AF16" s="977"/>
      <c r="AG16" s="562"/>
      <c r="AH16" s="562"/>
      <c r="AJ16" s="977" t="s">
        <v>878</v>
      </c>
      <c r="AK16" s="977"/>
      <c r="AL16" s="977"/>
      <c r="AM16" s="977"/>
      <c r="AN16" s="977"/>
      <c r="AO16" s="977"/>
      <c r="AQ16" s="977" t="s">
        <v>444</v>
      </c>
      <c r="AR16" s="977"/>
      <c r="AS16" s="977"/>
      <c r="AT16" s="977"/>
      <c r="AU16" s="977"/>
      <c r="AV16" s="977"/>
      <c r="AW16" s="562"/>
      <c r="AX16" s="562"/>
    </row>
    <row r="17" spans="1:53" x14ac:dyDescent="0.2">
      <c r="A17" s="563" t="s">
        <v>412</v>
      </c>
      <c r="B17" s="564" t="s">
        <v>702</v>
      </c>
      <c r="C17" s="564" t="s">
        <v>879</v>
      </c>
      <c r="D17" s="564" t="s">
        <v>880</v>
      </c>
      <c r="E17" s="564" t="s">
        <v>881</v>
      </c>
      <c r="F17" s="565" t="s">
        <v>882</v>
      </c>
      <c r="G17" s="565" t="s">
        <v>883</v>
      </c>
      <c r="H17" s="566" t="s">
        <v>448</v>
      </c>
      <c r="I17" s="566" t="s">
        <v>447</v>
      </c>
      <c r="J17" s="566" t="s">
        <v>445</v>
      </c>
      <c r="K17" s="566" t="s">
        <v>884</v>
      </c>
      <c r="L17" s="566" t="s">
        <v>885</v>
      </c>
      <c r="M17" s="566" t="s">
        <v>886</v>
      </c>
      <c r="N17" s="567" t="s">
        <v>449</v>
      </c>
      <c r="O17" s="567" t="s">
        <v>448</v>
      </c>
      <c r="P17" s="567" t="s">
        <v>447</v>
      </c>
      <c r="Q17" s="567" t="s">
        <v>445</v>
      </c>
      <c r="R17" s="567" t="s">
        <v>884</v>
      </c>
      <c r="S17" s="563" t="s">
        <v>887</v>
      </c>
      <c r="T17" s="563" t="s">
        <v>888</v>
      </c>
      <c r="U17" s="567" t="s">
        <v>449</v>
      </c>
      <c r="V17" s="567" t="s">
        <v>448</v>
      </c>
      <c r="W17" s="567" t="s">
        <v>447</v>
      </c>
      <c r="X17" s="567" t="s">
        <v>445</v>
      </c>
      <c r="Y17" s="567" t="s">
        <v>884</v>
      </c>
      <c r="AA17" s="568" t="s">
        <v>449</v>
      </c>
      <c r="AB17" s="568" t="s">
        <v>448</v>
      </c>
      <c r="AC17" s="568" t="s">
        <v>447</v>
      </c>
      <c r="AD17" s="568" t="s">
        <v>445</v>
      </c>
      <c r="AE17" s="568" t="s">
        <v>538</v>
      </c>
      <c r="AF17" s="568" t="s">
        <v>884</v>
      </c>
      <c r="AG17" s="568" t="s">
        <v>889</v>
      </c>
      <c r="AH17" s="568" t="s">
        <v>890</v>
      </c>
      <c r="AJ17" s="568" t="s">
        <v>449</v>
      </c>
      <c r="AK17" s="568" t="s">
        <v>448</v>
      </c>
      <c r="AL17" s="568" t="s">
        <v>447</v>
      </c>
      <c r="AM17" s="568" t="s">
        <v>445</v>
      </c>
      <c r="AN17" s="568" t="s">
        <v>538</v>
      </c>
      <c r="AO17" s="568" t="s">
        <v>884</v>
      </c>
      <c r="AQ17" s="568" t="s">
        <v>449</v>
      </c>
      <c r="AR17" s="568" t="s">
        <v>448</v>
      </c>
      <c r="AS17" s="568" t="s">
        <v>447</v>
      </c>
      <c r="AT17" s="568" t="s">
        <v>445</v>
      </c>
      <c r="AU17" s="568" t="s">
        <v>538</v>
      </c>
      <c r="AV17" s="568" t="s">
        <v>884</v>
      </c>
      <c r="AW17" s="568" t="s">
        <v>889</v>
      </c>
      <c r="AX17" s="568" t="s">
        <v>890</v>
      </c>
      <c r="AY17" s="569" t="s">
        <v>891</v>
      </c>
      <c r="AZ17" s="569" t="s">
        <v>892</v>
      </c>
      <c r="BA17" s="569" t="s">
        <v>892</v>
      </c>
    </row>
    <row r="18" spans="1:53" x14ac:dyDescent="0.2">
      <c r="A18">
        <v>1</v>
      </c>
      <c r="B18" s="510">
        <f>'Assumptions-Output Target'!$D$12*'Assumptions-Output Override'!$D$11*$I$2*12</f>
        <v>3935.8341983467963</v>
      </c>
      <c r="C18" s="510">
        <f>AZ18</f>
        <v>-3.3645726154408369E+22</v>
      </c>
      <c r="D18" s="510">
        <f>$I$6*12</f>
        <v>0</v>
      </c>
      <c r="E18" s="510">
        <f t="shared" ref="E18:E81" si="0">$I$7*12</f>
        <v>471.98996185153999</v>
      </c>
      <c r="F18" s="510">
        <f>B18-C18-D18-E18</f>
        <v>3.3645726154408369E+22</v>
      </c>
      <c r="G18" s="510">
        <f>$I$5*'Assumptions-Output Override'!$D$12*12</f>
        <v>4443.3239894938342</v>
      </c>
      <c r="H18" s="489">
        <f>'Winners-Losers Values PMPM'!AV6*$I$9*12</f>
        <v>0</v>
      </c>
      <c r="I18" s="489">
        <f>('Winners-Losers Values PMPM'!AW6*12)*$I$10</f>
        <v>0</v>
      </c>
      <c r="J18" s="489">
        <f>('Winners-Losers Values PMPM'!AT6*12)*$I$11</f>
        <v>0</v>
      </c>
      <c r="K18" s="510">
        <f>SUM(G18:J18)</f>
        <v>4443.3239894938342</v>
      </c>
      <c r="L18" s="510">
        <f>F18-K18</f>
        <v>3.3645726154408369E+22</v>
      </c>
      <c r="M18" s="510">
        <f>IF($I$12=$K$12,IF(S18&gt;$I$12+U18,S18-$I$12-U18,0),IF($R18&gt;$L$12,$R18-$L$12,0)+IF(($Y18-$U18)&gt;$M$12,$Y18-$U18-$M$12,0))</f>
        <v>0</v>
      </c>
      <c r="N18" s="489">
        <f>'Winners-Losers Values PMPM'!AP6*12</f>
        <v>0</v>
      </c>
      <c r="O18" s="489">
        <f>'Winners-Losers Values PMPM'!AQ6*12</f>
        <v>0</v>
      </c>
      <c r="P18" s="489">
        <f>'Winners-Losers Values PMPM'!AR6*12</f>
        <v>0</v>
      </c>
      <c r="Q18" s="489">
        <f>'Winners-Losers Values PMPM'!AO6*12</f>
        <v>0</v>
      </c>
      <c r="R18" s="510">
        <f>SUM(N18:Q18)</f>
        <v>0</v>
      </c>
      <c r="S18" s="489">
        <f>IF(L18&gt;0,R18,R18-L18)+SUM(V18:X18)</f>
        <v>0</v>
      </c>
      <c r="T18" s="489">
        <f>IF(S18&gt;$I$12+U18,$I$12+U18,S18)</f>
        <v>0</v>
      </c>
      <c r="U18" s="510">
        <f>((('Assumptions-Output Override'!$H$60+'Assumptions-Output Override'!$H$61)/('Assumptions-Output Override'!$F$60+'Assumptions-Output Override'!$F$61))*'HRA Balance Calc'!$I$5*12)+($K$8*(($I$8*12)))</f>
        <v>-288.26087712588196</v>
      </c>
      <c r="V18" s="489">
        <f>'Winners-Losers Values PMPM'!AV6*(1-$I$9)*12+$L$8*(($I$8*12)*IFERROR((('Winners-Losers Values PMPM'!AY6*12)/('Winners-Losers Values PMPM'!AY$107*12)),0))</f>
        <v>0</v>
      </c>
      <c r="W18" s="489">
        <f>('Winners-Losers Values PMPM'!AW6*12)*(1-$I$10)+$M$8*(($I$8*12)*IFERROR((('Winners-Losers Values PMPM'!AY6*12)/('Winners-Losers Values PMPM'!AY$107*12)),0))</f>
        <v>0</v>
      </c>
      <c r="X18" s="489">
        <f>('Winners-Losers Values PMPM'!AT6*12)*(1-$I$11)+$N$8*(($I$8*12)*IFERROR((('Winners-Losers Values PMPM'!AY6*12)/('Winners-Losers Values PMPM'!AY$107*12)),0))</f>
        <v>0</v>
      </c>
      <c r="Y18" s="510">
        <f>SUM(U18:X18)</f>
        <v>-288.26087712588196</v>
      </c>
      <c r="AA18" s="510">
        <f>G18</f>
        <v>4443.3239894938342</v>
      </c>
      <c r="AB18" s="510">
        <f>H18</f>
        <v>0</v>
      </c>
      <c r="AC18" s="510">
        <f>I18</f>
        <v>0</v>
      </c>
      <c r="AD18" s="510">
        <f>J18</f>
        <v>0</v>
      </c>
      <c r="AE18" s="510">
        <f>D18+E18</f>
        <v>471.98996185153999</v>
      </c>
      <c r="AF18" s="510">
        <f>SUM(AA18:AE18)</f>
        <v>4915.3139513453743</v>
      </c>
      <c r="AG18" s="510">
        <f>AY18</f>
        <v>3.3645726154408369E+22</v>
      </c>
      <c r="AH18" s="510">
        <f>SUM(AF18:AG18)</f>
        <v>3.3645726154408369E+22</v>
      </c>
      <c r="AJ18" s="510">
        <f>N18+U18</f>
        <v>-288.26087712588196</v>
      </c>
      <c r="AK18" s="510">
        <f>V18+O18</f>
        <v>0</v>
      </c>
      <c r="AL18" s="510">
        <f>W18+P18</f>
        <v>0</v>
      </c>
      <c r="AM18" s="510">
        <f>X18+Q18</f>
        <v>0</v>
      </c>
      <c r="AN18" s="510">
        <f>-M18</f>
        <v>0</v>
      </c>
      <c r="AO18" s="510">
        <f>SUM(AJ18:AN18)</f>
        <v>-288.26087712588196</v>
      </c>
      <c r="AQ18" s="510">
        <f>AJ18+AA18</f>
        <v>4155.0631123679523</v>
      </c>
      <c r="AR18" s="510">
        <f>AK18+AB18</f>
        <v>0</v>
      </c>
      <c r="AS18" s="510">
        <f>AL18+AC18</f>
        <v>0</v>
      </c>
      <c r="AT18" s="510">
        <f>AM18+AD18</f>
        <v>0</v>
      </c>
      <c r="AU18" s="510">
        <f>AN18+AE18</f>
        <v>471.98996185153999</v>
      </c>
      <c r="AV18" s="510">
        <f>SUM(AQ18:AU18)</f>
        <v>4627.0530742194924</v>
      </c>
      <c r="AW18" s="510">
        <f>AG18</f>
        <v>3.3645726154408369E+22</v>
      </c>
      <c r="AX18" s="510">
        <f>SUM(AV18:AW18)</f>
        <v>3.3645726154408369E+22</v>
      </c>
      <c r="AY18" s="510">
        <f>IF(L18&gt;0,L18,0)</f>
        <v>3.3645726154408369E+22</v>
      </c>
      <c r="AZ18" s="490">
        <f>$AZ$120/100</f>
        <v>-3.3645726154408369E+22</v>
      </c>
      <c r="BA18" s="510">
        <f>IF(AY18-AZ18&lt;0,0,AY18-AZ18)</f>
        <v>6.7291452308816738E+22</v>
      </c>
    </row>
    <row r="19" spans="1:53" x14ac:dyDescent="0.2">
      <c r="A19">
        <f>A18+1</f>
        <v>2</v>
      </c>
      <c r="B19" s="510">
        <f>'Assumptions-Output Target'!$D$12*'Assumptions-Output Override'!$D$11*$I$2*12</f>
        <v>3935.8341983467963</v>
      </c>
      <c r="C19" s="510">
        <f t="shared" ref="C19:C82" si="1">AZ19</f>
        <v>-3.3645726154408369E+22</v>
      </c>
      <c r="D19" s="510">
        <f t="shared" ref="D19:D82" si="2">$I$6*12</f>
        <v>0</v>
      </c>
      <c r="E19" s="510">
        <f t="shared" si="0"/>
        <v>471.98996185153999</v>
      </c>
      <c r="F19" s="510">
        <f t="shared" ref="F19:F82" si="3">B19-C19-D19-E19</f>
        <v>3.3645726154408369E+22</v>
      </c>
      <c r="G19" s="510">
        <f>$I$5*'Assumptions-Output Override'!$D$12*12</f>
        <v>4443.3239894938342</v>
      </c>
      <c r="H19" s="489">
        <f>'Winners-Losers Values PMPM'!AV7*$I$9*12</f>
        <v>0</v>
      </c>
      <c r="I19" s="489">
        <f>('Winners-Losers Values PMPM'!AW7*12)*$I$10</f>
        <v>0</v>
      </c>
      <c r="J19" s="489">
        <f>('Winners-Losers Values PMPM'!AT7*12)*$I$11</f>
        <v>0</v>
      </c>
      <c r="K19" s="510">
        <f t="shared" ref="K19:K82" si="4">SUM(G19:J19)</f>
        <v>4443.3239894938342</v>
      </c>
      <c r="L19" s="510">
        <f t="shared" ref="L19:L82" si="5">F19-K19</f>
        <v>3.3645726154408369E+22</v>
      </c>
      <c r="M19" s="510">
        <f t="shared" ref="M19:M82" si="6">IF($I$12=$K$12,IF(S19&gt;$I$12+U19,S19-$I$12-U19,0),IF($R19&gt;$L$12,$R19-$L$12,0)+IF(($Y19-$U19)&gt;$M$12,$Y19-$U19-$M$12,0))</f>
        <v>0</v>
      </c>
      <c r="N19" s="489">
        <f>'Winners-Losers Values PMPM'!AP7*12</f>
        <v>0</v>
      </c>
      <c r="O19" s="489">
        <f>'Winners-Losers Values PMPM'!AQ7*12</f>
        <v>0</v>
      </c>
      <c r="P19" s="489">
        <f>'Winners-Losers Values PMPM'!AR7*12</f>
        <v>0</v>
      </c>
      <c r="Q19" s="489">
        <f>'Winners-Losers Values PMPM'!AO7*12</f>
        <v>0</v>
      </c>
      <c r="R19" s="510">
        <f t="shared" ref="R19:R82" si="7">SUM(N19:Q19)</f>
        <v>0</v>
      </c>
      <c r="S19" s="489">
        <f t="shared" ref="S19:S82" si="8">IF(L19&gt;0,R19,R19-L19)+SUM(V19:X19)</f>
        <v>0</v>
      </c>
      <c r="T19" s="489">
        <f t="shared" ref="T19:T82" si="9">IF(S19&gt;$I$12+U19,$I$12+U19,S19)</f>
        <v>0</v>
      </c>
      <c r="U19" s="510">
        <f>((('Assumptions-Output Override'!$H$60+'Assumptions-Output Override'!$H$61)/('Assumptions-Output Override'!$F$60+'Assumptions-Output Override'!$F$61))*'HRA Balance Calc'!$I$5*12)+($K$8*(($I$8*12)))</f>
        <v>-288.26087712588196</v>
      </c>
      <c r="V19" s="489">
        <f>'Winners-Losers Values PMPM'!AV7*(1-$I$9)*12+$L$8*(($I$8*12)*IFERROR((('Winners-Losers Values PMPM'!AY7*12)/('Winners-Losers Values PMPM'!AY$107*12)),0))</f>
        <v>0</v>
      </c>
      <c r="W19" s="489">
        <f>('Winners-Losers Values PMPM'!AW7*12)*(1-$I$10)+$M$8*(($I$8*12)*IFERROR((('Winners-Losers Values PMPM'!AY7*12)/('Winners-Losers Values PMPM'!AY$107*12)),0))</f>
        <v>0</v>
      </c>
      <c r="X19" s="489">
        <f>('Winners-Losers Values PMPM'!AT7*12)*(1-$I$11)+$N$8*(($I$8*12)*IFERROR((('Winners-Losers Values PMPM'!AY7*12)/('Winners-Losers Values PMPM'!AY$107*12)),0))</f>
        <v>0</v>
      </c>
      <c r="Y19" s="510">
        <f t="shared" ref="Y19:Y82" si="10">SUM(U19:X19)</f>
        <v>-288.26087712588196</v>
      </c>
      <c r="AA19" s="510">
        <f t="shared" ref="AA19:AD82" si="11">G19</f>
        <v>4443.3239894938342</v>
      </c>
      <c r="AB19" s="510">
        <f t="shared" si="11"/>
        <v>0</v>
      </c>
      <c r="AC19" s="510">
        <f t="shared" si="11"/>
        <v>0</v>
      </c>
      <c r="AD19" s="510">
        <f t="shared" si="11"/>
        <v>0</v>
      </c>
      <c r="AE19" s="510">
        <f t="shared" ref="AE19:AE82" si="12">D19+E19</f>
        <v>471.98996185153999</v>
      </c>
      <c r="AF19" s="510">
        <f t="shared" ref="AF19:AF82" si="13">SUM(AA19:AE19)</f>
        <v>4915.3139513453743</v>
      </c>
      <c r="AG19" s="510">
        <f t="shared" ref="AG19:AG82" si="14">AY19</f>
        <v>3.3645726154408369E+22</v>
      </c>
      <c r="AH19" s="510">
        <f t="shared" ref="AH19:AH82" si="15">SUM(AF19:AG19)</f>
        <v>3.3645726154408369E+22</v>
      </c>
      <c r="AJ19" s="510">
        <f t="shared" ref="AJ19:AJ82" si="16">N19+U19</f>
        <v>-288.26087712588196</v>
      </c>
      <c r="AK19" s="510">
        <f t="shared" ref="AK19:AM82" si="17">V19+O19</f>
        <v>0</v>
      </c>
      <c r="AL19" s="510">
        <f t="shared" si="17"/>
        <v>0</v>
      </c>
      <c r="AM19" s="510">
        <f t="shared" si="17"/>
        <v>0</v>
      </c>
      <c r="AN19" s="510">
        <f t="shared" ref="AN19:AN82" si="18">-M19</f>
        <v>0</v>
      </c>
      <c r="AO19" s="510">
        <f t="shared" ref="AO19:AO82" si="19">SUM(AJ19:AN19)</f>
        <v>-288.26087712588196</v>
      </c>
      <c r="AQ19" s="510">
        <f t="shared" ref="AQ19:AU69" si="20">AJ19+AA19</f>
        <v>4155.0631123679523</v>
      </c>
      <c r="AR19" s="510">
        <f t="shared" si="20"/>
        <v>0</v>
      </c>
      <c r="AS19" s="510">
        <f t="shared" si="20"/>
        <v>0</v>
      </c>
      <c r="AT19" s="510">
        <f t="shared" si="20"/>
        <v>0</v>
      </c>
      <c r="AU19" s="510">
        <f t="shared" si="20"/>
        <v>471.98996185153999</v>
      </c>
      <c r="AV19" s="510">
        <f t="shared" ref="AV19:AV82" si="21">SUM(AQ19:AU19)</f>
        <v>4627.0530742194924</v>
      </c>
      <c r="AW19" s="510">
        <f t="shared" ref="AW19:AW82" si="22">AG19</f>
        <v>3.3645726154408369E+22</v>
      </c>
      <c r="AX19" s="510">
        <f t="shared" ref="AX19:AX82" si="23">SUM(AV19:AW19)</f>
        <v>3.3645726154408369E+22</v>
      </c>
      <c r="AY19" s="510">
        <f t="shared" ref="AY19:AY82" si="24">IF(L19&gt;0,L19,0)</f>
        <v>3.3645726154408369E+22</v>
      </c>
      <c r="AZ19" s="490">
        <f t="shared" ref="AZ19:AZ82" si="25">$AZ$120/100</f>
        <v>-3.3645726154408369E+22</v>
      </c>
      <c r="BA19" s="510">
        <f t="shared" ref="BA19:BA82" si="26">IF(AY19-AZ19&lt;0,0,AY19-AZ19)</f>
        <v>6.7291452308816738E+22</v>
      </c>
    </row>
    <row r="20" spans="1:53" x14ac:dyDescent="0.2">
      <c r="A20">
        <f t="shared" ref="A20:A38" si="27">A19+1</f>
        <v>3</v>
      </c>
      <c r="B20" s="510">
        <f>'Assumptions-Output Target'!$D$12*'Assumptions-Output Override'!$D$11*$I$2*12</f>
        <v>3935.8341983467963</v>
      </c>
      <c r="C20" s="510">
        <f t="shared" si="1"/>
        <v>-3.3645726154408369E+22</v>
      </c>
      <c r="D20" s="510">
        <f t="shared" si="2"/>
        <v>0</v>
      </c>
      <c r="E20" s="510">
        <f t="shared" si="0"/>
        <v>471.98996185153999</v>
      </c>
      <c r="F20" s="510">
        <f t="shared" si="3"/>
        <v>3.3645726154408369E+22</v>
      </c>
      <c r="G20" s="510">
        <f>$I$5*'Assumptions-Output Override'!$D$12*12</f>
        <v>4443.3239894938342</v>
      </c>
      <c r="H20" s="489">
        <f>'Winners-Losers Values PMPM'!AV8*$I$9*12</f>
        <v>0</v>
      </c>
      <c r="I20" s="489">
        <f>('Winners-Losers Values PMPM'!AW8*12)*$I$10</f>
        <v>0</v>
      </c>
      <c r="J20" s="489">
        <f>('Winners-Losers Values PMPM'!AT8*12)*$I$11</f>
        <v>0</v>
      </c>
      <c r="K20" s="510">
        <f t="shared" si="4"/>
        <v>4443.3239894938342</v>
      </c>
      <c r="L20" s="510">
        <f t="shared" si="5"/>
        <v>3.3645726154408369E+22</v>
      </c>
      <c r="M20" s="510">
        <f t="shared" si="6"/>
        <v>0</v>
      </c>
      <c r="N20" s="489">
        <f>'Winners-Losers Values PMPM'!AP8*12</f>
        <v>0</v>
      </c>
      <c r="O20" s="489">
        <f>'Winners-Losers Values PMPM'!AQ8*12</f>
        <v>0</v>
      </c>
      <c r="P20" s="489">
        <f>'Winners-Losers Values PMPM'!AR8*12</f>
        <v>0</v>
      </c>
      <c r="Q20" s="489">
        <f>'Winners-Losers Values PMPM'!AO8*12</f>
        <v>0</v>
      </c>
      <c r="R20" s="510">
        <f t="shared" si="7"/>
        <v>0</v>
      </c>
      <c r="S20" s="489">
        <f t="shared" si="8"/>
        <v>0</v>
      </c>
      <c r="T20" s="489">
        <f t="shared" si="9"/>
        <v>0</v>
      </c>
      <c r="U20" s="510">
        <f>((('Assumptions-Output Override'!$H$60+'Assumptions-Output Override'!$H$61)/('Assumptions-Output Override'!$F$60+'Assumptions-Output Override'!$F$61))*'HRA Balance Calc'!$I$5*12)+($K$8*(($I$8*12)))</f>
        <v>-288.26087712588196</v>
      </c>
      <c r="V20" s="489">
        <f>'Winners-Losers Values PMPM'!AV8*(1-$I$9)*12+$L$8*(($I$8*12)*IFERROR((('Winners-Losers Values PMPM'!AY8*12)/('Winners-Losers Values PMPM'!AY$107*12)),0))</f>
        <v>0</v>
      </c>
      <c r="W20" s="489">
        <f>('Winners-Losers Values PMPM'!AW8*12)*(1-$I$10)+$M$8*(($I$8*12)*IFERROR((('Winners-Losers Values PMPM'!AY8*12)/('Winners-Losers Values PMPM'!AY$107*12)),0))</f>
        <v>0</v>
      </c>
      <c r="X20" s="489">
        <f>('Winners-Losers Values PMPM'!AT8*12)*(1-$I$11)+$N$8*(($I$8*12)*IFERROR((('Winners-Losers Values PMPM'!AY8*12)/('Winners-Losers Values PMPM'!AY$107*12)),0))</f>
        <v>0</v>
      </c>
      <c r="Y20" s="510">
        <f t="shared" si="10"/>
        <v>-288.26087712588196</v>
      </c>
      <c r="AA20" s="510">
        <f t="shared" si="11"/>
        <v>4443.3239894938342</v>
      </c>
      <c r="AB20" s="510">
        <f t="shared" si="11"/>
        <v>0</v>
      </c>
      <c r="AC20" s="510">
        <f t="shared" si="11"/>
        <v>0</v>
      </c>
      <c r="AD20" s="510">
        <f t="shared" si="11"/>
        <v>0</v>
      </c>
      <c r="AE20" s="510">
        <f t="shared" si="12"/>
        <v>471.98996185153999</v>
      </c>
      <c r="AF20" s="510">
        <f t="shared" si="13"/>
        <v>4915.3139513453743</v>
      </c>
      <c r="AG20" s="510">
        <f t="shared" si="14"/>
        <v>3.3645726154408369E+22</v>
      </c>
      <c r="AH20" s="510">
        <f t="shared" si="15"/>
        <v>3.3645726154408369E+22</v>
      </c>
      <c r="AJ20" s="510">
        <f t="shared" si="16"/>
        <v>-288.26087712588196</v>
      </c>
      <c r="AK20" s="510">
        <f t="shared" si="17"/>
        <v>0</v>
      </c>
      <c r="AL20" s="510">
        <f t="shared" si="17"/>
        <v>0</v>
      </c>
      <c r="AM20" s="510">
        <f t="shared" si="17"/>
        <v>0</v>
      </c>
      <c r="AN20" s="510">
        <f t="shared" si="18"/>
        <v>0</v>
      </c>
      <c r="AO20" s="510">
        <f t="shared" si="19"/>
        <v>-288.26087712588196</v>
      </c>
      <c r="AQ20" s="510">
        <f t="shared" si="20"/>
        <v>4155.0631123679523</v>
      </c>
      <c r="AR20" s="510">
        <f t="shared" si="20"/>
        <v>0</v>
      </c>
      <c r="AS20" s="510">
        <f t="shared" si="20"/>
        <v>0</v>
      </c>
      <c r="AT20" s="510">
        <f t="shared" si="20"/>
        <v>0</v>
      </c>
      <c r="AU20" s="510">
        <f t="shared" si="20"/>
        <v>471.98996185153999</v>
      </c>
      <c r="AV20" s="510">
        <f t="shared" si="21"/>
        <v>4627.0530742194924</v>
      </c>
      <c r="AW20" s="510">
        <f t="shared" si="22"/>
        <v>3.3645726154408369E+22</v>
      </c>
      <c r="AX20" s="510">
        <f t="shared" si="23"/>
        <v>3.3645726154408369E+22</v>
      </c>
      <c r="AY20" s="510">
        <f t="shared" si="24"/>
        <v>3.3645726154408369E+22</v>
      </c>
      <c r="AZ20" s="490">
        <f t="shared" si="25"/>
        <v>-3.3645726154408369E+22</v>
      </c>
      <c r="BA20" s="510">
        <f t="shared" si="26"/>
        <v>6.7291452308816738E+22</v>
      </c>
    </row>
    <row r="21" spans="1:53" x14ac:dyDescent="0.2">
      <c r="A21">
        <f t="shared" si="27"/>
        <v>4</v>
      </c>
      <c r="B21" s="510">
        <f>'Assumptions-Output Target'!$D$12*'Assumptions-Output Override'!$D$11*$I$2*12</f>
        <v>3935.8341983467963</v>
      </c>
      <c r="C21" s="510">
        <f t="shared" si="1"/>
        <v>-3.3645726154408369E+22</v>
      </c>
      <c r="D21" s="510">
        <f t="shared" si="2"/>
        <v>0</v>
      </c>
      <c r="E21" s="510">
        <f t="shared" si="0"/>
        <v>471.98996185153999</v>
      </c>
      <c r="F21" s="510">
        <f t="shared" si="3"/>
        <v>3.3645726154408369E+22</v>
      </c>
      <c r="G21" s="510">
        <f>$I$5*'Assumptions-Output Override'!$D$12*12</f>
        <v>4443.3239894938342</v>
      </c>
      <c r="H21" s="489">
        <f>'Winners-Losers Values PMPM'!AV9*$I$9*12</f>
        <v>0</v>
      </c>
      <c r="I21" s="489">
        <f>('Winners-Losers Values PMPM'!AW9*12)*$I$10</f>
        <v>0</v>
      </c>
      <c r="J21" s="489">
        <f>('Winners-Losers Values PMPM'!AT9*12)*$I$11</f>
        <v>0</v>
      </c>
      <c r="K21" s="510">
        <f t="shared" si="4"/>
        <v>4443.3239894938342</v>
      </c>
      <c r="L21" s="510">
        <f t="shared" si="5"/>
        <v>3.3645726154408369E+22</v>
      </c>
      <c r="M21" s="510">
        <f t="shared" si="6"/>
        <v>0</v>
      </c>
      <c r="N21" s="489">
        <f>'Winners-Losers Values PMPM'!AP9*12</f>
        <v>0</v>
      </c>
      <c r="O21" s="489">
        <f>'Winners-Losers Values PMPM'!AQ9*12</f>
        <v>0</v>
      </c>
      <c r="P21" s="489">
        <f>'Winners-Losers Values PMPM'!AR9*12</f>
        <v>0</v>
      </c>
      <c r="Q21" s="489">
        <f>'Winners-Losers Values PMPM'!AO9*12</f>
        <v>0</v>
      </c>
      <c r="R21" s="510">
        <f t="shared" si="7"/>
        <v>0</v>
      </c>
      <c r="S21" s="489">
        <f t="shared" si="8"/>
        <v>0</v>
      </c>
      <c r="T21" s="489">
        <f t="shared" si="9"/>
        <v>0</v>
      </c>
      <c r="U21" s="510">
        <f>((('Assumptions-Output Override'!$H$60+'Assumptions-Output Override'!$H$61)/('Assumptions-Output Override'!$F$60+'Assumptions-Output Override'!$F$61))*'HRA Balance Calc'!$I$5*12)+($K$8*(($I$8*12)))</f>
        <v>-288.26087712588196</v>
      </c>
      <c r="V21" s="489">
        <f>'Winners-Losers Values PMPM'!AV9*(1-$I$9)*12+$L$8*(($I$8*12)*IFERROR((('Winners-Losers Values PMPM'!AY9*12)/('Winners-Losers Values PMPM'!AY$107*12)),0))</f>
        <v>0</v>
      </c>
      <c r="W21" s="489">
        <f>('Winners-Losers Values PMPM'!AW9*12)*(1-$I$10)+$M$8*(($I$8*12)*IFERROR((('Winners-Losers Values PMPM'!AY9*12)/('Winners-Losers Values PMPM'!AY$107*12)),0))</f>
        <v>0</v>
      </c>
      <c r="X21" s="489">
        <f>('Winners-Losers Values PMPM'!AT9*12)*(1-$I$11)+$N$8*(($I$8*12)*IFERROR((('Winners-Losers Values PMPM'!AY9*12)/('Winners-Losers Values PMPM'!AY$107*12)),0))</f>
        <v>0</v>
      </c>
      <c r="Y21" s="510">
        <f t="shared" si="10"/>
        <v>-288.26087712588196</v>
      </c>
      <c r="AA21" s="510">
        <f t="shared" si="11"/>
        <v>4443.3239894938342</v>
      </c>
      <c r="AB21" s="510">
        <f t="shared" si="11"/>
        <v>0</v>
      </c>
      <c r="AC21" s="510">
        <f t="shared" si="11"/>
        <v>0</v>
      </c>
      <c r="AD21" s="510">
        <f t="shared" si="11"/>
        <v>0</v>
      </c>
      <c r="AE21" s="510">
        <f t="shared" si="12"/>
        <v>471.98996185153999</v>
      </c>
      <c r="AF21" s="510">
        <f t="shared" si="13"/>
        <v>4915.3139513453743</v>
      </c>
      <c r="AG21" s="510">
        <f t="shared" si="14"/>
        <v>3.3645726154408369E+22</v>
      </c>
      <c r="AH21" s="510">
        <f t="shared" si="15"/>
        <v>3.3645726154408369E+22</v>
      </c>
      <c r="AJ21" s="510">
        <f t="shared" si="16"/>
        <v>-288.26087712588196</v>
      </c>
      <c r="AK21" s="510">
        <f t="shared" si="17"/>
        <v>0</v>
      </c>
      <c r="AL21" s="510">
        <f t="shared" si="17"/>
        <v>0</v>
      </c>
      <c r="AM21" s="510">
        <f t="shared" si="17"/>
        <v>0</v>
      </c>
      <c r="AN21" s="510">
        <f t="shared" si="18"/>
        <v>0</v>
      </c>
      <c r="AO21" s="510">
        <f t="shared" si="19"/>
        <v>-288.26087712588196</v>
      </c>
      <c r="AQ21" s="510">
        <f t="shared" si="20"/>
        <v>4155.0631123679523</v>
      </c>
      <c r="AR21" s="510">
        <f t="shared" si="20"/>
        <v>0</v>
      </c>
      <c r="AS21" s="510">
        <f t="shared" si="20"/>
        <v>0</v>
      </c>
      <c r="AT21" s="510">
        <f t="shared" si="20"/>
        <v>0</v>
      </c>
      <c r="AU21" s="510">
        <f t="shared" si="20"/>
        <v>471.98996185153999</v>
      </c>
      <c r="AV21" s="510">
        <f t="shared" si="21"/>
        <v>4627.0530742194924</v>
      </c>
      <c r="AW21" s="510">
        <f t="shared" si="22"/>
        <v>3.3645726154408369E+22</v>
      </c>
      <c r="AX21" s="510">
        <f t="shared" si="23"/>
        <v>3.3645726154408369E+22</v>
      </c>
      <c r="AY21" s="510">
        <f t="shared" si="24"/>
        <v>3.3645726154408369E+22</v>
      </c>
      <c r="AZ21" s="490">
        <f t="shared" si="25"/>
        <v>-3.3645726154408369E+22</v>
      </c>
      <c r="BA21" s="510">
        <f t="shared" si="26"/>
        <v>6.7291452308816738E+22</v>
      </c>
    </row>
    <row r="22" spans="1:53" x14ac:dyDescent="0.2">
      <c r="A22">
        <f t="shared" si="27"/>
        <v>5</v>
      </c>
      <c r="B22" s="510">
        <f>'Assumptions-Output Target'!$D$12*'Assumptions-Output Override'!$D$11*$I$2*12</f>
        <v>3935.8341983467963</v>
      </c>
      <c r="C22" s="510">
        <f t="shared" si="1"/>
        <v>-3.3645726154408369E+22</v>
      </c>
      <c r="D22" s="510">
        <f t="shared" si="2"/>
        <v>0</v>
      </c>
      <c r="E22" s="510">
        <f t="shared" si="0"/>
        <v>471.98996185153999</v>
      </c>
      <c r="F22" s="510">
        <f t="shared" si="3"/>
        <v>3.3645726154408369E+22</v>
      </c>
      <c r="G22" s="510">
        <f>$I$5*'Assumptions-Output Override'!$D$12*12</f>
        <v>4443.3239894938342</v>
      </c>
      <c r="H22" s="489">
        <f>'Winners-Losers Values PMPM'!AV10*$I$9*12</f>
        <v>0</v>
      </c>
      <c r="I22" s="489">
        <f>('Winners-Losers Values PMPM'!AW10*12)*$I$10</f>
        <v>0</v>
      </c>
      <c r="J22" s="489">
        <f>('Winners-Losers Values PMPM'!AT10*12)*$I$11</f>
        <v>0</v>
      </c>
      <c r="K22" s="510">
        <f t="shared" si="4"/>
        <v>4443.3239894938342</v>
      </c>
      <c r="L22" s="510">
        <f t="shared" si="5"/>
        <v>3.3645726154408369E+22</v>
      </c>
      <c r="M22" s="510">
        <f t="shared" si="6"/>
        <v>0</v>
      </c>
      <c r="N22" s="489">
        <f>'Winners-Losers Values PMPM'!AP10*12</f>
        <v>0</v>
      </c>
      <c r="O22" s="489">
        <f>'Winners-Losers Values PMPM'!AQ10*12</f>
        <v>0</v>
      </c>
      <c r="P22" s="489">
        <f>'Winners-Losers Values PMPM'!AR10*12</f>
        <v>0</v>
      </c>
      <c r="Q22" s="489">
        <f>'Winners-Losers Values PMPM'!AO10*12</f>
        <v>0</v>
      </c>
      <c r="R22" s="510">
        <f t="shared" si="7"/>
        <v>0</v>
      </c>
      <c r="S22" s="489">
        <f t="shared" si="8"/>
        <v>0</v>
      </c>
      <c r="T22" s="489">
        <f t="shared" si="9"/>
        <v>0</v>
      </c>
      <c r="U22" s="510">
        <f>((('Assumptions-Output Override'!$H$60+'Assumptions-Output Override'!$H$61)/('Assumptions-Output Override'!$F$60+'Assumptions-Output Override'!$F$61))*'HRA Balance Calc'!$I$5*12)+($K$8*(($I$8*12)))</f>
        <v>-288.26087712588196</v>
      </c>
      <c r="V22" s="489">
        <f>'Winners-Losers Values PMPM'!AV10*(1-$I$9)*12+$L$8*(($I$8*12)*IFERROR((('Winners-Losers Values PMPM'!AY10*12)/('Winners-Losers Values PMPM'!AY$107*12)),0))</f>
        <v>0</v>
      </c>
      <c r="W22" s="489">
        <f>('Winners-Losers Values PMPM'!AW10*12)*(1-$I$10)+$M$8*(($I$8*12)*IFERROR((('Winners-Losers Values PMPM'!AY10*12)/('Winners-Losers Values PMPM'!AY$107*12)),0))</f>
        <v>0</v>
      </c>
      <c r="X22" s="489">
        <f>('Winners-Losers Values PMPM'!AT10*12)*(1-$I$11)+$N$8*(($I$8*12)*IFERROR((('Winners-Losers Values PMPM'!AY10*12)/('Winners-Losers Values PMPM'!AY$107*12)),0))</f>
        <v>0</v>
      </c>
      <c r="Y22" s="510">
        <f t="shared" si="10"/>
        <v>-288.26087712588196</v>
      </c>
      <c r="AA22" s="510">
        <f t="shared" si="11"/>
        <v>4443.3239894938342</v>
      </c>
      <c r="AB22" s="510">
        <f t="shared" si="11"/>
        <v>0</v>
      </c>
      <c r="AC22" s="510">
        <f t="shared" si="11"/>
        <v>0</v>
      </c>
      <c r="AD22" s="510">
        <f t="shared" si="11"/>
        <v>0</v>
      </c>
      <c r="AE22" s="510">
        <f t="shared" si="12"/>
        <v>471.98996185153999</v>
      </c>
      <c r="AF22" s="510">
        <f t="shared" si="13"/>
        <v>4915.3139513453743</v>
      </c>
      <c r="AG22" s="510">
        <f t="shared" si="14"/>
        <v>3.3645726154408369E+22</v>
      </c>
      <c r="AH22" s="510">
        <f t="shared" si="15"/>
        <v>3.3645726154408369E+22</v>
      </c>
      <c r="AJ22" s="510">
        <f t="shared" si="16"/>
        <v>-288.26087712588196</v>
      </c>
      <c r="AK22" s="510">
        <f t="shared" si="17"/>
        <v>0</v>
      </c>
      <c r="AL22" s="510">
        <f t="shared" si="17"/>
        <v>0</v>
      </c>
      <c r="AM22" s="510">
        <f t="shared" si="17"/>
        <v>0</v>
      </c>
      <c r="AN22" s="510">
        <f t="shared" si="18"/>
        <v>0</v>
      </c>
      <c r="AO22" s="510">
        <f t="shared" si="19"/>
        <v>-288.26087712588196</v>
      </c>
      <c r="AQ22" s="510">
        <f t="shared" si="20"/>
        <v>4155.0631123679523</v>
      </c>
      <c r="AR22" s="510">
        <f t="shared" si="20"/>
        <v>0</v>
      </c>
      <c r="AS22" s="510">
        <f t="shared" si="20"/>
        <v>0</v>
      </c>
      <c r="AT22" s="510">
        <f t="shared" si="20"/>
        <v>0</v>
      </c>
      <c r="AU22" s="510">
        <f t="shared" si="20"/>
        <v>471.98996185153999</v>
      </c>
      <c r="AV22" s="510">
        <f t="shared" si="21"/>
        <v>4627.0530742194924</v>
      </c>
      <c r="AW22" s="510">
        <f t="shared" si="22"/>
        <v>3.3645726154408369E+22</v>
      </c>
      <c r="AX22" s="510">
        <f t="shared" si="23"/>
        <v>3.3645726154408369E+22</v>
      </c>
      <c r="AY22" s="510">
        <f t="shared" si="24"/>
        <v>3.3645726154408369E+22</v>
      </c>
      <c r="AZ22" s="490">
        <f t="shared" si="25"/>
        <v>-3.3645726154408369E+22</v>
      </c>
      <c r="BA22" s="510">
        <f t="shared" si="26"/>
        <v>6.7291452308816738E+22</v>
      </c>
    </row>
    <row r="23" spans="1:53" x14ac:dyDescent="0.2">
      <c r="A23">
        <f t="shared" si="27"/>
        <v>6</v>
      </c>
      <c r="B23" s="510">
        <f>'Assumptions-Output Target'!$D$12*'Assumptions-Output Override'!$D$11*$I$2*12</f>
        <v>3935.8341983467963</v>
      </c>
      <c r="C23" s="510">
        <f t="shared" si="1"/>
        <v>-3.3645726154408369E+22</v>
      </c>
      <c r="D23" s="510">
        <f t="shared" si="2"/>
        <v>0</v>
      </c>
      <c r="E23" s="510">
        <f t="shared" si="0"/>
        <v>471.98996185153999</v>
      </c>
      <c r="F23" s="510">
        <f t="shared" si="3"/>
        <v>3.3645726154408369E+22</v>
      </c>
      <c r="G23" s="510">
        <f>$I$5*'Assumptions-Output Override'!$D$12*12</f>
        <v>4443.3239894938342</v>
      </c>
      <c r="H23" s="489">
        <f>'Winners-Losers Values PMPM'!AV11*$I$9*12</f>
        <v>0</v>
      </c>
      <c r="I23" s="489">
        <f>('Winners-Losers Values PMPM'!AW11*12)*$I$10</f>
        <v>0</v>
      </c>
      <c r="J23" s="489">
        <f>('Winners-Losers Values PMPM'!AT11*12)*$I$11</f>
        <v>0</v>
      </c>
      <c r="K23" s="510">
        <f t="shared" si="4"/>
        <v>4443.3239894938342</v>
      </c>
      <c r="L23" s="510">
        <f t="shared" si="5"/>
        <v>3.3645726154408369E+22</v>
      </c>
      <c r="M23" s="510">
        <f t="shared" si="6"/>
        <v>0</v>
      </c>
      <c r="N23" s="489">
        <f>'Winners-Losers Values PMPM'!AP11*12</f>
        <v>0</v>
      </c>
      <c r="O23" s="489">
        <f>'Winners-Losers Values PMPM'!AQ11*12</f>
        <v>0</v>
      </c>
      <c r="P23" s="489">
        <f>'Winners-Losers Values PMPM'!AR11*12</f>
        <v>0</v>
      </c>
      <c r="Q23" s="489">
        <f>'Winners-Losers Values PMPM'!AO11*12</f>
        <v>0</v>
      </c>
      <c r="R23" s="510">
        <f t="shared" si="7"/>
        <v>0</v>
      </c>
      <c r="S23" s="489">
        <f t="shared" si="8"/>
        <v>0</v>
      </c>
      <c r="T23" s="489">
        <f t="shared" si="9"/>
        <v>0</v>
      </c>
      <c r="U23" s="510">
        <f>((('Assumptions-Output Override'!$H$60+'Assumptions-Output Override'!$H$61)/('Assumptions-Output Override'!$F$60+'Assumptions-Output Override'!$F$61))*'HRA Balance Calc'!$I$5*12)+($K$8*(($I$8*12)))</f>
        <v>-288.26087712588196</v>
      </c>
      <c r="V23" s="489">
        <f>'Winners-Losers Values PMPM'!AV11*(1-$I$9)*12+$L$8*(($I$8*12)*IFERROR((('Winners-Losers Values PMPM'!AY11*12)/('Winners-Losers Values PMPM'!AY$107*12)),0))</f>
        <v>0</v>
      </c>
      <c r="W23" s="489">
        <f>('Winners-Losers Values PMPM'!AW11*12)*(1-$I$10)+$M$8*(($I$8*12)*IFERROR((('Winners-Losers Values PMPM'!AY11*12)/('Winners-Losers Values PMPM'!AY$107*12)),0))</f>
        <v>0</v>
      </c>
      <c r="X23" s="489">
        <f>('Winners-Losers Values PMPM'!AT11*12)*(1-$I$11)+$N$8*(($I$8*12)*IFERROR((('Winners-Losers Values PMPM'!AY11*12)/('Winners-Losers Values PMPM'!AY$107*12)),0))</f>
        <v>0</v>
      </c>
      <c r="Y23" s="510">
        <f t="shared" si="10"/>
        <v>-288.26087712588196</v>
      </c>
      <c r="AA23" s="510">
        <f t="shared" si="11"/>
        <v>4443.3239894938342</v>
      </c>
      <c r="AB23" s="510">
        <f t="shared" si="11"/>
        <v>0</v>
      </c>
      <c r="AC23" s="510">
        <f t="shared" si="11"/>
        <v>0</v>
      </c>
      <c r="AD23" s="510">
        <f t="shared" si="11"/>
        <v>0</v>
      </c>
      <c r="AE23" s="510">
        <f t="shared" si="12"/>
        <v>471.98996185153999</v>
      </c>
      <c r="AF23" s="510">
        <f t="shared" si="13"/>
        <v>4915.3139513453743</v>
      </c>
      <c r="AG23" s="510">
        <f t="shared" si="14"/>
        <v>3.3645726154408369E+22</v>
      </c>
      <c r="AH23" s="510">
        <f t="shared" si="15"/>
        <v>3.3645726154408369E+22</v>
      </c>
      <c r="AJ23" s="510">
        <f t="shared" si="16"/>
        <v>-288.26087712588196</v>
      </c>
      <c r="AK23" s="510">
        <f t="shared" si="17"/>
        <v>0</v>
      </c>
      <c r="AL23" s="510">
        <f t="shared" si="17"/>
        <v>0</v>
      </c>
      <c r="AM23" s="510">
        <f t="shared" si="17"/>
        <v>0</v>
      </c>
      <c r="AN23" s="510">
        <f t="shared" si="18"/>
        <v>0</v>
      </c>
      <c r="AO23" s="510">
        <f t="shared" si="19"/>
        <v>-288.26087712588196</v>
      </c>
      <c r="AQ23" s="510">
        <f t="shared" si="20"/>
        <v>4155.0631123679523</v>
      </c>
      <c r="AR23" s="510">
        <f t="shared" si="20"/>
        <v>0</v>
      </c>
      <c r="AS23" s="510">
        <f t="shared" si="20"/>
        <v>0</v>
      </c>
      <c r="AT23" s="510">
        <f t="shared" si="20"/>
        <v>0</v>
      </c>
      <c r="AU23" s="510">
        <f t="shared" si="20"/>
        <v>471.98996185153999</v>
      </c>
      <c r="AV23" s="510">
        <f t="shared" si="21"/>
        <v>4627.0530742194924</v>
      </c>
      <c r="AW23" s="510">
        <f t="shared" si="22"/>
        <v>3.3645726154408369E+22</v>
      </c>
      <c r="AX23" s="510">
        <f t="shared" si="23"/>
        <v>3.3645726154408369E+22</v>
      </c>
      <c r="AY23" s="510">
        <f t="shared" si="24"/>
        <v>3.3645726154408369E+22</v>
      </c>
      <c r="AZ23" s="490">
        <f t="shared" si="25"/>
        <v>-3.3645726154408369E+22</v>
      </c>
      <c r="BA23" s="510">
        <f t="shared" si="26"/>
        <v>6.7291452308816738E+22</v>
      </c>
    </row>
    <row r="24" spans="1:53" x14ac:dyDescent="0.2">
      <c r="A24">
        <f t="shared" si="27"/>
        <v>7</v>
      </c>
      <c r="B24" s="510">
        <f>'Assumptions-Output Target'!$D$12*'Assumptions-Output Override'!$D$11*$I$2*12</f>
        <v>3935.8341983467963</v>
      </c>
      <c r="C24" s="510">
        <f t="shared" si="1"/>
        <v>-3.3645726154408369E+22</v>
      </c>
      <c r="D24" s="510">
        <f t="shared" si="2"/>
        <v>0</v>
      </c>
      <c r="E24" s="510">
        <f t="shared" si="0"/>
        <v>471.98996185153999</v>
      </c>
      <c r="F24" s="510">
        <f t="shared" si="3"/>
        <v>3.3645726154408369E+22</v>
      </c>
      <c r="G24" s="510">
        <f>$I$5*'Assumptions-Output Override'!$D$12*12</f>
        <v>4443.3239894938342</v>
      </c>
      <c r="H24" s="489">
        <f>'Winners-Losers Values PMPM'!AV12*$I$9*12</f>
        <v>0</v>
      </c>
      <c r="I24" s="489">
        <f>('Winners-Losers Values PMPM'!AW12*12)*$I$10</f>
        <v>0</v>
      </c>
      <c r="J24" s="489">
        <f>('Winners-Losers Values PMPM'!AT12*12)*$I$11</f>
        <v>0</v>
      </c>
      <c r="K24" s="510">
        <f t="shared" si="4"/>
        <v>4443.3239894938342</v>
      </c>
      <c r="L24" s="510">
        <f t="shared" si="5"/>
        <v>3.3645726154408369E+22</v>
      </c>
      <c r="M24" s="510">
        <f t="shared" si="6"/>
        <v>0</v>
      </c>
      <c r="N24" s="489">
        <f>'Winners-Losers Values PMPM'!AP12*12</f>
        <v>0</v>
      </c>
      <c r="O24" s="489">
        <f>'Winners-Losers Values PMPM'!AQ12*12</f>
        <v>0</v>
      </c>
      <c r="P24" s="489">
        <f>'Winners-Losers Values PMPM'!AR12*12</f>
        <v>0</v>
      </c>
      <c r="Q24" s="489">
        <f>'Winners-Losers Values PMPM'!AO12*12</f>
        <v>0</v>
      </c>
      <c r="R24" s="510">
        <f t="shared" si="7"/>
        <v>0</v>
      </c>
      <c r="S24" s="489">
        <f t="shared" si="8"/>
        <v>0</v>
      </c>
      <c r="T24" s="489">
        <f t="shared" si="9"/>
        <v>0</v>
      </c>
      <c r="U24" s="510">
        <f>((('Assumptions-Output Override'!$H$60+'Assumptions-Output Override'!$H$61)/('Assumptions-Output Override'!$F$60+'Assumptions-Output Override'!$F$61))*'HRA Balance Calc'!$I$5*12)+($K$8*(($I$8*12)))</f>
        <v>-288.26087712588196</v>
      </c>
      <c r="V24" s="489">
        <f>'Winners-Losers Values PMPM'!AV12*(1-$I$9)*12+$L$8*(($I$8*12)*IFERROR((('Winners-Losers Values PMPM'!AY12*12)/('Winners-Losers Values PMPM'!AY$107*12)),0))</f>
        <v>0</v>
      </c>
      <c r="W24" s="489">
        <f>('Winners-Losers Values PMPM'!AW12*12)*(1-$I$10)+$M$8*(($I$8*12)*IFERROR((('Winners-Losers Values PMPM'!AY12*12)/('Winners-Losers Values PMPM'!AY$107*12)),0))</f>
        <v>0</v>
      </c>
      <c r="X24" s="489">
        <f>('Winners-Losers Values PMPM'!AT12*12)*(1-$I$11)+$N$8*(($I$8*12)*IFERROR((('Winners-Losers Values PMPM'!AY12*12)/('Winners-Losers Values PMPM'!AY$107*12)),0))</f>
        <v>0</v>
      </c>
      <c r="Y24" s="510">
        <f t="shared" si="10"/>
        <v>-288.26087712588196</v>
      </c>
      <c r="AA24" s="510">
        <f t="shared" si="11"/>
        <v>4443.3239894938342</v>
      </c>
      <c r="AB24" s="510">
        <f t="shared" si="11"/>
        <v>0</v>
      </c>
      <c r="AC24" s="510">
        <f t="shared" si="11"/>
        <v>0</v>
      </c>
      <c r="AD24" s="510">
        <f t="shared" si="11"/>
        <v>0</v>
      </c>
      <c r="AE24" s="510">
        <f t="shared" si="12"/>
        <v>471.98996185153999</v>
      </c>
      <c r="AF24" s="510">
        <f t="shared" si="13"/>
        <v>4915.3139513453743</v>
      </c>
      <c r="AG24" s="510">
        <f t="shared" si="14"/>
        <v>3.3645726154408369E+22</v>
      </c>
      <c r="AH24" s="510">
        <f t="shared" si="15"/>
        <v>3.3645726154408369E+22</v>
      </c>
      <c r="AJ24" s="510">
        <f t="shared" si="16"/>
        <v>-288.26087712588196</v>
      </c>
      <c r="AK24" s="510">
        <f t="shared" si="17"/>
        <v>0</v>
      </c>
      <c r="AL24" s="510">
        <f t="shared" si="17"/>
        <v>0</v>
      </c>
      <c r="AM24" s="510">
        <f t="shared" si="17"/>
        <v>0</v>
      </c>
      <c r="AN24" s="510">
        <f t="shared" si="18"/>
        <v>0</v>
      </c>
      <c r="AO24" s="510">
        <f t="shared" si="19"/>
        <v>-288.26087712588196</v>
      </c>
      <c r="AQ24" s="510">
        <f t="shared" si="20"/>
        <v>4155.0631123679523</v>
      </c>
      <c r="AR24" s="510">
        <f t="shared" si="20"/>
        <v>0</v>
      </c>
      <c r="AS24" s="510">
        <f t="shared" si="20"/>
        <v>0</v>
      </c>
      <c r="AT24" s="510">
        <f t="shared" si="20"/>
        <v>0</v>
      </c>
      <c r="AU24" s="510">
        <f t="shared" si="20"/>
        <v>471.98996185153999</v>
      </c>
      <c r="AV24" s="510">
        <f t="shared" si="21"/>
        <v>4627.0530742194924</v>
      </c>
      <c r="AW24" s="510">
        <f t="shared" si="22"/>
        <v>3.3645726154408369E+22</v>
      </c>
      <c r="AX24" s="510">
        <f t="shared" si="23"/>
        <v>3.3645726154408369E+22</v>
      </c>
      <c r="AY24" s="510">
        <f t="shared" si="24"/>
        <v>3.3645726154408369E+22</v>
      </c>
      <c r="AZ24" s="490">
        <f t="shared" si="25"/>
        <v>-3.3645726154408369E+22</v>
      </c>
      <c r="BA24" s="510">
        <f t="shared" si="26"/>
        <v>6.7291452308816738E+22</v>
      </c>
    </row>
    <row r="25" spans="1:53" x14ac:dyDescent="0.2">
      <c r="A25">
        <f t="shared" si="27"/>
        <v>8</v>
      </c>
      <c r="B25" s="510">
        <f>'Assumptions-Output Target'!$D$12*'Assumptions-Output Override'!$D$11*$I$2*12</f>
        <v>3935.8341983467963</v>
      </c>
      <c r="C25" s="510">
        <f t="shared" si="1"/>
        <v>-3.3645726154408369E+22</v>
      </c>
      <c r="D25" s="510">
        <f t="shared" si="2"/>
        <v>0</v>
      </c>
      <c r="E25" s="510">
        <f t="shared" si="0"/>
        <v>471.98996185153999</v>
      </c>
      <c r="F25" s="510">
        <f t="shared" si="3"/>
        <v>3.3645726154408369E+22</v>
      </c>
      <c r="G25" s="510">
        <f>$I$5*'Assumptions-Output Override'!$D$12*12</f>
        <v>4443.3239894938342</v>
      </c>
      <c r="H25" s="489">
        <f>'Winners-Losers Values PMPM'!AV13*$I$9*12</f>
        <v>0</v>
      </c>
      <c r="I25" s="489">
        <f>('Winners-Losers Values PMPM'!AW13*12)*$I$10</f>
        <v>0</v>
      </c>
      <c r="J25" s="489">
        <f>('Winners-Losers Values PMPM'!AT13*12)*$I$11</f>
        <v>0</v>
      </c>
      <c r="K25" s="510">
        <f t="shared" si="4"/>
        <v>4443.3239894938342</v>
      </c>
      <c r="L25" s="510">
        <f t="shared" si="5"/>
        <v>3.3645726154408369E+22</v>
      </c>
      <c r="M25" s="510">
        <f t="shared" si="6"/>
        <v>0</v>
      </c>
      <c r="N25" s="489">
        <f>'Winners-Losers Values PMPM'!AP13*12</f>
        <v>0</v>
      </c>
      <c r="O25" s="489">
        <f>'Winners-Losers Values PMPM'!AQ13*12</f>
        <v>0</v>
      </c>
      <c r="P25" s="489">
        <f>'Winners-Losers Values PMPM'!AR13*12</f>
        <v>0</v>
      </c>
      <c r="Q25" s="489">
        <f>'Winners-Losers Values PMPM'!AO13*12</f>
        <v>0</v>
      </c>
      <c r="R25" s="510">
        <f t="shared" si="7"/>
        <v>0</v>
      </c>
      <c r="S25" s="489">
        <f t="shared" si="8"/>
        <v>0</v>
      </c>
      <c r="T25" s="489">
        <f t="shared" si="9"/>
        <v>0</v>
      </c>
      <c r="U25" s="510">
        <f>((('Assumptions-Output Override'!$H$60+'Assumptions-Output Override'!$H$61)/('Assumptions-Output Override'!$F$60+'Assumptions-Output Override'!$F$61))*'HRA Balance Calc'!$I$5*12)+($K$8*(($I$8*12)))</f>
        <v>-288.26087712588196</v>
      </c>
      <c r="V25" s="489">
        <f>'Winners-Losers Values PMPM'!AV13*(1-$I$9)*12+$L$8*(($I$8*12)*IFERROR((('Winners-Losers Values PMPM'!AY13*12)/('Winners-Losers Values PMPM'!AY$107*12)),0))</f>
        <v>0</v>
      </c>
      <c r="W25" s="489">
        <f>('Winners-Losers Values PMPM'!AW13*12)*(1-$I$10)+$M$8*(($I$8*12)*IFERROR((('Winners-Losers Values PMPM'!AY13*12)/('Winners-Losers Values PMPM'!AY$107*12)),0))</f>
        <v>0</v>
      </c>
      <c r="X25" s="489">
        <f>('Winners-Losers Values PMPM'!AT13*12)*(1-$I$11)+$N$8*(($I$8*12)*IFERROR((('Winners-Losers Values PMPM'!AY13*12)/('Winners-Losers Values PMPM'!AY$107*12)),0))</f>
        <v>0</v>
      </c>
      <c r="Y25" s="510">
        <f t="shared" si="10"/>
        <v>-288.26087712588196</v>
      </c>
      <c r="AA25" s="510">
        <f t="shared" si="11"/>
        <v>4443.3239894938342</v>
      </c>
      <c r="AB25" s="510">
        <f t="shared" si="11"/>
        <v>0</v>
      </c>
      <c r="AC25" s="510">
        <f t="shared" si="11"/>
        <v>0</v>
      </c>
      <c r="AD25" s="510">
        <f t="shared" si="11"/>
        <v>0</v>
      </c>
      <c r="AE25" s="510">
        <f t="shared" si="12"/>
        <v>471.98996185153999</v>
      </c>
      <c r="AF25" s="510">
        <f t="shared" si="13"/>
        <v>4915.3139513453743</v>
      </c>
      <c r="AG25" s="510">
        <f t="shared" si="14"/>
        <v>3.3645726154408369E+22</v>
      </c>
      <c r="AH25" s="510">
        <f t="shared" si="15"/>
        <v>3.3645726154408369E+22</v>
      </c>
      <c r="AJ25" s="510">
        <f t="shared" si="16"/>
        <v>-288.26087712588196</v>
      </c>
      <c r="AK25" s="510">
        <f t="shared" si="17"/>
        <v>0</v>
      </c>
      <c r="AL25" s="510">
        <f t="shared" si="17"/>
        <v>0</v>
      </c>
      <c r="AM25" s="510">
        <f t="shared" si="17"/>
        <v>0</v>
      </c>
      <c r="AN25" s="510">
        <f t="shared" si="18"/>
        <v>0</v>
      </c>
      <c r="AO25" s="510">
        <f t="shared" si="19"/>
        <v>-288.26087712588196</v>
      </c>
      <c r="AQ25" s="510">
        <f t="shared" si="20"/>
        <v>4155.0631123679523</v>
      </c>
      <c r="AR25" s="510">
        <f t="shared" si="20"/>
        <v>0</v>
      </c>
      <c r="AS25" s="510">
        <f t="shared" si="20"/>
        <v>0</v>
      </c>
      <c r="AT25" s="510">
        <f t="shared" si="20"/>
        <v>0</v>
      </c>
      <c r="AU25" s="510">
        <f t="shared" si="20"/>
        <v>471.98996185153999</v>
      </c>
      <c r="AV25" s="510">
        <f t="shared" si="21"/>
        <v>4627.0530742194924</v>
      </c>
      <c r="AW25" s="510">
        <f t="shared" si="22"/>
        <v>3.3645726154408369E+22</v>
      </c>
      <c r="AX25" s="510">
        <f t="shared" si="23"/>
        <v>3.3645726154408369E+22</v>
      </c>
      <c r="AY25" s="510">
        <f t="shared" si="24"/>
        <v>3.3645726154408369E+22</v>
      </c>
      <c r="AZ25" s="490">
        <f t="shared" si="25"/>
        <v>-3.3645726154408369E+22</v>
      </c>
      <c r="BA25" s="510">
        <f t="shared" si="26"/>
        <v>6.7291452308816738E+22</v>
      </c>
    </row>
    <row r="26" spans="1:53" x14ac:dyDescent="0.2">
      <c r="A26">
        <f t="shared" si="27"/>
        <v>9</v>
      </c>
      <c r="B26" s="510">
        <f>'Assumptions-Output Target'!$D$12*'Assumptions-Output Override'!$D$11*$I$2*12</f>
        <v>3935.8341983467963</v>
      </c>
      <c r="C26" s="510">
        <f t="shared" si="1"/>
        <v>-3.3645726154408369E+22</v>
      </c>
      <c r="D26" s="510">
        <f t="shared" si="2"/>
        <v>0</v>
      </c>
      <c r="E26" s="510">
        <f t="shared" si="0"/>
        <v>471.98996185153999</v>
      </c>
      <c r="F26" s="510">
        <f t="shared" si="3"/>
        <v>3.3645726154408369E+22</v>
      </c>
      <c r="G26" s="510">
        <f>$I$5*'Assumptions-Output Override'!$D$12*12</f>
        <v>4443.3239894938342</v>
      </c>
      <c r="H26" s="489">
        <f>'Winners-Losers Values PMPM'!AV14*$I$9*12</f>
        <v>0</v>
      </c>
      <c r="I26" s="489">
        <f>('Winners-Losers Values PMPM'!AW14*12)*$I$10</f>
        <v>0</v>
      </c>
      <c r="J26" s="489">
        <f>('Winners-Losers Values PMPM'!AT14*12)*$I$11</f>
        <v>0</v>
      </c>
      <c r="K26" s="510">
        <f t="shared" si="4"/>
        <v>4443.3239894938342</v>
      </c>
      <c r="L26" s="510">
        <f t="shared" si="5"/>
        <v>3.3645726154408369E+22</v>
      </c>
      <c r="M26" s="510">
        <f t="shared" si="6"/>
        <v>0</v>
      </c>
      <c r="N26" s="489">
        <f>'Winners-Losers Values PMPM'!AP14*12</f>
        <v>0</v>
      </c>
      <c r="O26" s="489">
        <f>'Winners-Losers Values PMPM'!AQ14*12</f>
        <v>0</v>
      </c>
      <c r="P26" s="489">
        <f>'Winners-Losers Values PMPM'!AR14*12</f>
        <v>0</v>
      </c>
      <c r="Q26" s="489">
        <f>'Winners-Losers Values PMPM'!AO14*12</f>
        <v>0</v>
      </c>
      <c r="R26" s="510">
        <f t="shared" si="7"/>
        <v>0</v>
      </c>
      <c r="S26" s="489">
        <f t="shared" si="8"/>
        <v>0</v>
      </c>
      <c r="T26" s="489">
        <f t="shared" si="9"/>
        <v>0</v>
      </c>
      <c r="U26" s="510">
        <f>((('Assumptions-Output Override'!$H$60+'Assumptions-Output Override'!$H$61)/('Assumptions-Output Override'!$F$60+'Assumptions-Output Override'!$F$61))*'HRA Balance Calc'!$I$5*12)+($K$8*(($I$8*12)))</f>
        <v>-288.26087712588196</v>
      </c>
      <c r="V26" s="489">
        <f>'Winners-Losers Values PMPM'!AV14*(1-$I$9)*12+$L$8*(($I$8*12)*IFERROR((('Winners-Losers Values PMPM'!AY14*12)/('Winners-Losers Values PMPM'!AY$107*12)),0))</f>
        <v>0</v>
      </c>
      <c r="W26" s="489">
        <f>('Winners-Losers Values PMPM'!AW14*12)*(1-$I$10)+$M$8*(($I$8*12)*IFERROR((('Winners-Losers Values PMPM'!AY14*12)/('Winners-Losers Values PMPM'!AY$107*12)),0))</f>
        <v>0</v>
      </c>
      <c r="X26" s="489">
        <f>('Winners-Losers Values PMPM'!AT14*12)*(1-$I$11)+$N$8*(($I$8*12)*IFERROR((('Winners-Losers Values PMPM'!AY14*12)/('Winners-Losers Values PMPM'!AY$107*12)),0))</f>
        <v>0</v>
      </c>
      <c r="Y26" s="510">
        <f t="shared" si="10"/>
        <v>-288.26087712588196</v>
      </c>
      <c r="AA26" s="510">
        <f t="shared" si="11"/>
        <v>4443.3239894938342</v>
      </c>
      <c r="AB26" s="510">
        <f t="shared" si="11"/>
        <v>0</v>
      </c>
      <c r="AC26" s="510">
        <f t="shared" si="11"/>
        <v>0</v>
      </c>
      <c r="AD26" s="510">
        <f t="shared" si="11"/>
        <v>0</v>
      </c>
      <c r="AE26" s="510">
        <f t="shared" si="12"/>
        <v>471.98996185153999</v>
      </c>
      <c r="AF26" s="510">
        <f t="shared" si="13"/>
        <v>4915.3139513453743</v>
      </c>
      <c r="AG26" s="510">
        <f t="shared" si="14"/>
        <v>3.3645726154408369E+22</v>
      </c>
      <c r="AH26" s="510">
        <f t="shared" si="15"/>
        <v>3.3645726154408369E+22</v>
      </c>
      <c r="AJ26" s="510">
        <f t="shared" si="16"/>
        <v>-288.26087712588196</v>
      </c>
      <c r="AK26" s="510">
        <f t="shared" si="17"/>
        <v>0</v>
      </c>
      <c r="AL26" s="510">
        <f t="shared" si="17"/>
        <v>0</v>
      </c>
      <c r="AM26" s="510">
        <f t="shared" si="17"/>
        <v>0</v>
      </c>
      <c r="AN26" s="510">
        <f t="shared" si="18"/>
        <v>0</v>
      </c>
      <c r="AO26" s="510">
        <f t="shared" si="19"/>
        <v>-288.26087712588196</v>
      </c>
      <c r="AQ26" s="510">
        <f t="shared" si="20"/>
        <v>4155.0631123679523</v>
      </c>
      <c r="AR26" s="510">
        <f t="shared" si="20"/>
        <v>0</v>
      </c>
      <c r="AS26" s="510">
        <f t="shared" si="20"/>
        <v>0</v>
      </c>
      <c r="AT26" s="510">
        <f t="shared" si="20"/>
        <v>0</v>
      </c>
      <c r="AU26" s="510">
        <f t="shared" si="20"/>
        <v>471.98996185153999</v>
      </c>
      <c r="AV26" s="510">
        <f t="shared" si="21"/>
        <v>4627.0530742194924</v>
      </c>
      <c r="AW26" s="510">
        <f t="shared" si="22"/>
        <v>3.3645726154408369E+22</v>
      </c>
      <c r="AX26" s="510">
        <f t="shared" si="23"/>
        <v>3.3645726154408369E+22</v>
      </c>
      <c r="AY26" s="510">
        <f t="shared" si="24"/>
        <v>3.3645726154408369E+22</v>
      </c>
      <c r="AZ26" s="490">
        <f t="shared" si="25"/>
        <v>-3.3645726154408369E+22</v>
      </c>
      <c r="BA26" s="510">
        <f t="shared" si="26"/>
        <v>6.7291452308816738E+22</v>
      </c>
    </row>
    <row r="27" spans="1:53" x14ac:dyDescent="0.2">
      <c r="A27">
        <f t="shared" si="27"/>
        <v>10</v>
      </c>
      <c r="B27" s="510">
        <f>'Assumptions-Output Target'!$D$12*'Assumptions-Output Override'!$D$11*$I$2*12</f>
        <v>3935.8341983467963</v>
      </c>
      <c r="C27" s="510">
        <f t="shared" si="1"/>
        <v>-3.3645726154408369E+22</v>
      </c>
      <c r="D27" s="510">
        <f t="shared" si="2"/>
        <v>0</v>
      </c>
      <c r="E27" s="510">
        <f t="shared" si="0"/>
        <v>471.98996185153999</v>
      </c>
      <c r="F27" s="510">
        <f t="shared" si="3"/>
        <v>3.3645726154408369E+22</v>
      </c>
      <c r="G27" s="510">
        <f>$I$5*'Assumptions-Output Override'!$D$12*12</f>
        <v>4443.3239894938342</v>
      </c>
      <c r="H27" s="489">
        <f>'Winners-Losers Values PMPM'!AV15*$I$9*12</f>
        <v>0</v>
      </c>
      <c r="I27" s="489">
        <f>('Winners-Losers Values PMPM'!AW15*12)*$I$10</f>
        <v>0</v>
      </c>
      <c r="J27" s="489">
        <f>('Winners-Losers Values PMPM'!AT15*12)*$I$11</f>
        <v>0</v>
      </c>
      <c r="K27" s="510">
        <f t="shared" si="4"/>
        <v>4443.3239894938342</v>
      </c>
      <c r="L27" s="510">
        <f t="shared" si="5"/>
        <v>3.3645726154408369E+22</v>
      </c>
      <c r="M27" s="510">
        <f t="shared" si="6"/>
        <v>0</v>
      </c>
      <c r="N27" s="489">
        <f>'Winners-Losers Values PMPM'!AP15*12</f>
        <v>0</v>
      </c>
      <c r="O27" s="489">
        <f>'Winners-Losers Values PMPM'!AQ15*12</f>
        <v>0</v>
      </c>
      <c r="P27" s="489">
        <f>'Winners-Losers Values PMPM'!AR15*12</f>
        <v>0</v>
      </c>
      <c r="Q27" s="489">
        <f>'Winners-Losers Values PMPM'!AO15*12</f>
        <v>0</v>
      </c>
      <c r="R27" s="510">
        <f t="shared" si="7"/>
        <v>0</v>
      </c>
      <c r="S27" s="489">
        <f t="shared" si="8"/>
        <v>0</v>
      </c>
      <c r="T27" s="489">
        <f t="shared" si="9"/>
        <v>0</v>
      </c>
      <c r="U27" s="510">
        <f>((('Assumptions-Output Override'!$H$60+'Assumptions-Output Override'!$H$61)/('Assumptions-Output Override'!$F$60+'Assumptions-Output Override'!$F$61))*'HRA Balance Calc'!$I$5*12)+($K$8*(($I$8*12)))</f>
        <v>-288.26087712588196</v>
      </c>
      <c r="V27" s="489">
        <f>'Winners-Losers Values PMPM'!AV15*(1-$I$9)*12+$L$8*(($I$8*12)*IFERROR((('Winners-Losers Values PMPM'!AY15*12)/('Winners-Losers Values PMPM'!AY$107*12)),0))</f>
        <v>0</v>
      </c>
      <c r="W27" s="489">
        <f>('Winners-Losers Values PMPM'!AW15*12)*(1-$I$10)+$M$8*(($I$8*12)*IFERROR((('Winners-Losers Values PMPM'!AY15*12)/('Winners-Losers Values PMPM'!AY$107*12)),0))</f>
        <v>0</v>
      </c>
      <c r="X27" s="489">
        <f>('Winners-Losers Values PMPM'!AT15*12)*(1-$I$11)+$N$8*(($I$8*12)*IFERROR((('Winners-Losers Values PMPM'!AY15*12)/('Winners-Losers Values PMPM'!AY$107*12)),0))</f>
        <v>0</v>
      </c>
      <c r="Y27" s="510">
        <f t="shared" si="10"/>
        <v>-288.26087712588196</v>
      </c>
      <c r="AA27" s="510">
        <f t="shared" si="11"/>
        <v>4443.3239894938342</v>
      </c>
      <c r="AB27" s="510">
        <f t="shared" si="11"/>
        <v>0</v>
      </c>
      <c r="AC27" s="510">
        <f t="shared" si="11"/>
        <v>0</v>
      </c>
      <c r="AD27" s="510">
        <f t="shared" si="11"/>
        <v>0</v>
      </c>
      <c r="AE27" s="510">
        <f t="shared" si="12"/>
        <v>471.98996185153999</v>
      </c>
      <c r="AF27" s="510">
        <f t="shared" si="13"/>
        <v>4915.3139513453743</v>
      </c>
      <c r="AG27" s="510">
        <f t="shared" si="14"/>
        <v>3.3645726154408369E+22</v>
      </c>
      <c r="AH27" s="510">
        <f t="shared" si="15"/>
        <v>3.3645726154408369E+22</v>
      </c>
      <c r="AJ27" s="510">
        <f t="shared" si="16"/>
        <v>-288.26087712588196</v>
      </c>
      <c r="AK27" s="510">
        <f t="shared" si="17"/>
        <v>0</v>
      </c>
      <c r="AL27" s="510">
        <f t="shared" si="17"/>
        <v>0</v>
      </c>
      <c r="AM27" s="510">
        <f t="shared" si="17"/>
        <v>0</v>
      </c>
      <c r="AN27" s="510">
        <f t="shared" si="18"/>
        <v>0</v>
      </c>
      <c r="AO27" s="510">
        <f t="shared" si="19"/>
        <v>-288.26087712588196</v>
      </c>
      <c r="AQ27" s="510">
        <f t="shared" si="20"/>
        <v>4155.0631123679523</v>
      </c>
      <c r="AR27" s="510">
        <f t="shared" si="20"/>
        <v>0</v>
      </c>
      <c r="AS27" s="510">
        <f t="shared" si="20"/>
        <v>0</v>
      </c>
      <c r="AT27" s="510">
        <f t="shared" si="20"/>
        <v>0</v>
      </c>
      <c r="AU27" s="510">
        <f t="shared" si="20"/>
        <v>471.98996185153999</v>
      </c>
      <c r="AV27" s="510">
        <f t="shared" si="21"/>
        <v>4627.0530742194924</v>
      </c>
      <c r="AW27" s="510">
        <f t="shared" si="22"/>
        <v>3.3645726154408369E+22</v>
      </c>
      <c r="AX27" s="510">
        <f t="shared" si="23"/>
        <v>3.3645726154408369E+22</v>
      </c>
      <c r="AY27" s="510">
        <f t="shared" si="24"/>
        <v>3.3645726154408369E+22</v>
      </c>
      <c r="AZ27" s="490">
        <f t="shared" si="25"/>
        <v>-3.3645726154408369E+22</v>
      </c>
      <c r="BA27" s="510">
        <f t="shared" si="26"/>
        <v>6.7291452308816738E+22</v>
      </c>
    </row>
    <row r="28" spans="1:53" x14ac:dyDescent="0.2">
      <c r="A28">
        <f t="shared" si="27"/>
        <v>11</v>
      </c>
      <c r="B28" s="510">
        <f>'Assumptions-Output Target'!$D$12*'Assumptions-Output Override'!$D$11*$I$2*12</f>
        <v>3935.8341983467963</v>
      </c>
      <c r="C28" s="510">
        <f t="shared" si="1"/>
        <v>-3.3645726154408369E+22</v>
      </c>
      <c r="D28" s="510">
        <f t="shared" si="2"/>
        <v>0</v>
      </c>
      <c r="E28" s="510">
        <f t="shared" si="0"/>
        <v>471.98996185153999</v>
      </c>
      <c r="F28" s="510">
        <f t="shared" si="3"/>
        <v>3.3645726154408369E+22</v>
      </c>
      <c r="G28" s="510">
        <f>$I$5*'Assumptions-Output Override'!$D$12*12</f>
        <v>4443.3239894938342</v>
      </c>
      <c r="H28" s="489">
        <f>'Winners-Losers Values PMPM'!AV16*$I$9*12</f>
        <v>0</v>
      </c>
      <c r="I28" s="489">
        <f>('Winners-Losers Values PMPM'!AW16*12)*$I$10</f>
        <v>0</v>
      </c>
      <c r="J28" s="489">
        <f>('Winners-Losers Values PMPM'!AT16*12)*$I$11</f>
        <v>0</v>
      </c>
      <c r="K28" s="510">
        <f t="shared" si="4"/>
        <v>4443.3239894938342</v>
      </c>
      <c r="L28" s="510">
        <f t="shared" si="5"/>
        <v>3.3645726154408369E+22</v>
      </c>
      <c r="M28" s="510">
        <f t="shared" si="6"/>
        <v>0</v>
      </c>
      <c r="N28" s="489">
        <f>'Winners-Losers Values PMPM'!AP16*12</f>
        <v>0</v>
      </c>
      <c r="O28" s="489">
        <f>'Winners-Losers Values PMPM'!AQ16*12</f>
        <v>0</v>
      </c>
      <c r="P28" s="489">
        <f>'Winners-Losers Values PMPM'!AR16*12</f>
        <v>0</v>
      </c>
      <c r="Q28" s="489">
        <f>'Winners-Losers Values PMPM'!AO16*12</f>
        <v>0</v>
      </c>
      <c r="R28" s="510">
        <f t="shared" si="7"/>
        <v>0</v>
      </c>
      <c r="S28" s="489">
        <f t="shared" si="8"/>
        <v>0</v>
      </c>
      <c r="T28" s="489">
        <f t="shared" si="9"/>
        <v>0</v>
      </c>
      <c r="U28" s="510">
        <f>((('Assumptions-Output Override'!$H$60+'Assumptions-Output Override'!$H$61)/('Assumptions-Output Override'!$F$60+'Assumptions-Output Override'!$F$61))*'HRA Balance Calc'!$I$5*12)+($K$8*(($I$8*12)))</f>
        <v>-288.26087712588196</v>
      </c>
      <c r="V28" s="489">
        <f>'Winners-Losers Values PMPM'!AV16*(1-$I$9)*12+$L$8*(($I$8*12)*IFERROR((('Winners-Losers Values PMPM'!AY16*12)/('Winners-Losers Values PMPM'!AY$107*12)),0))</f>
        <v>0</v>
      </c>
      <c r="W28" s="489">
        <f>('Winners-Losers Values PMPM'!AW16*12)*(1-$I$10)+$M$8*(($I$8*12)*IFERROR((('Winners-Losers Values PMPM'!AY16*12)/('Winners-Losers Values PMPM'!AY$107*12)),0))</f>
        <v>0</v>
      </c>
      <c r="X28" s="489">
        <f>('Winners-Losers Values PMPM'!AT16*12)*(1-$I$11)+$N$8*(($I$8*12)*IFERROR((('Winners-Losers Values PMPM'!AY16*12)/('Winners-Losers Values PMPM'!AY$107*12)),0))</f>
        <v>0</v>
      </c>
      <c r="Y28" s="510">
        <f t="shared" si="10"/>
        <v>-288.26087712588196</v>
      </c>
      <c r="AA28" s="510">
        <f t="shared" si="11"/>
        <v>4443.3239894938342</v>
      </c>
      <c r="AB28" s="510">
        <f t="shared" si="11"/>
        <v>0</v>
      </c>
      <c r="AC28" s="510">
        <f t="shared" si="11"/>
        <v>0</v>
      </c>
      <c r="AD28" s="510">
        <f t="shared" si="11"/>
        <v>0</v>
      </c>
      <c r="AE28" s="510">
        <f t="shared" si="12"/>
        <v>471.98996185153999</v>
      </c>
      <c r="AF28" s="510">
        <f t="shared" si="13"/>
        <v>4915.3139513453743</v>
      </c>
      <c r="AG28" s="510">
        <f t="shared" si="14"/>
        <v>3.3645726154408369E+22</v>
      </c>
      <c r="AH28" s="510">
        <f t="shared" si="15"/>
        <v>3.3645726154408369E+22</v>
      </c>
      <c r="AJ28" s="510">
        <f t="shared" si="16"/>
        <v>-288.26087712588196</v>
      </c>
      <c r="AK28" s="510">
        <f t="shared" si="17"/>
        <v>0</v>
      </c>
      <c r="AL28" s="510">
        <f t="shared" si="17"/>
        <v>0</v>
      </c>
      <c r="AM28" s="510">
        <f t="shared" si="17"/>
        <v>0</v>
      </c>
      <c r="AN28" s="510">
        <f t="shared" si="18"/>
        <v>0</v>
      </c>
      <c r="AO28" s="510">
        <f t="shared" si="19"/>
        <v>-288.26087712588196</v>
      </c>
      <c r="AQ28" s="510">
        <f t="shared" si="20"/>
        <v>4155.0631123679523</v>
      </c>
      <c r="AR28" s="510">
        <f t="shared" si="20"/>
        <v>0</v>
      </c>
      <c r="AS28" s="510">
        <f t="shared" si="20"/>
        <v>0</v>
      </c>
      <c r="AT28" s="510">
        <f t="shared" si="20"/>
        <v>0</v>
      </c>
      <c r="AU28" s="510">
        <f t="shared" si="20"/>
        <v>471.98996185153999</v>
      </c>
      <c r="AV28" s="510">
        <f t="shared" si="21"/>
        <v>4627.0530742194924</v>
      </c>
      <c r="AW28" s="510">
        <f t="shared" si="22"/>
        <v>3.3645726154408369E+22</v>
      </c>
      <c r="AX28" s="510">
        <f t="shared" si="23"/>
        <v>3.3645726154408369E+22</v>
      </c>
      <c r="AY28" s="510">
        <f t="shared" si="24"/>
        <v>3.3645726154408369E+22</v>
      </c>
      <c r="AZ28" s="490">
        <f t="shared" si="25"/>
        <v>-3.3645726154408369E+22</v>
      </c>
      <c r="BA28" s="510">
        <f t="shared" si="26"/>
        <v>6.7291452308816738E+22</v>
      </c>
    </row>
    <row r="29" spans="1:53" x14ac:dyDescent="0.2">
      <c r="A29">
        <f t="shared" si="27"/>
        <v>12</v>
      </c>
      <c r="B29" s="510">
        <f>'Assumptions-Output Target'!$D$12*'Assumptions-Output Override'!$D$11*$I$2*12</f>
        <v>3935.8341983467963</v>
      </c>
      <c r="C29" s="510">
        <f t="shared" si="1"/>
        <v>-3.3645726154408369E+22</v>
      </c>
      <c r="D29" s="510">
        <f t="shared" si="2"/>
        <v>0</v>
      </c>
      <c r="E29" s="510">
        <f t="shared" si="0"/>
        <v>471.98996185153999</v>
      </c>
      <c r="F29" s="510">
        <f t="shared" si="3"/>
        <v>3.3645726154408369E+22</v>
      </c>
      <c r="G29" s="510">
        <f>$I$5*'Assumptions-Output Override'!$D$12*12</f>
        <v>4443.3239894938342</v>
      </c>
      <c r="H29" s="489">
        <f>'Winners-Losers Values PMPM'!AV17*$I$9*12</f>
        <v>0</v>
      </c>
      <c r="I29" s="489">
        <f>('Winners-Losers Values PMPM'!AW17*12)*$I$10</f>
        <v>0</v>
      </c>
      <c r="J29" s="489">
        <f>('Winners-Losers Values PMPM'!AT17*12)*$I$11</f>
        <v>0</v>
      </c>
      <c r="K29" s="510">
        <f t="shared" si="4"/>
        <v>4443.3239894938342</v>
      </c>
      <c r="L29" s="510">
        <f t="shared" si="5"/>
        <v>3.3645726154408369E+22</v>
      </c>
      <c r="M29" s="510">
        <f t="shared" si="6"/>
        <v>0</v>
      </c>
      <c r="N29" s="489">
        <f>'Winners-Losers Values PMPM'!AP17*12</f>
        <v>0</v>
      </c>
      <c r="O29" s="489">
        <f>'Winners-Losers Values PMPM'!AQ17*12</f>
        <v>0</v>
      </c>
      <c r="P29" s="489">
        <f>'Winners-Losers Values PMPM'!AR17*12</f>
        <v>0</v>
      </c>
      <c r="Q29" s="489">
        <f>'Winners-Losers Values PMPM'!AO17*12</f>
        <v>0</v>
      </c>
      <c r="R29" s="510">
        <f t="shared" si="7"/>
        <v>0</v>
      </c>
      <c r="S29" s="489">
        <f t="shared" si="8"/>
        <v>0</v>
      </c>
      <c r="T29" s="489">
        <f t="shared" si="9"/>
        <v>0</v>
      </c>
      <c r="U29" s="510">
        <f>((('Assumptions-Output Override'!$H$60+'Assumptions-Output Override'!$H$61)/('Assumptions-Output Override'!$F$60+'Assumptions-Output Override'!$F$61))*'HRA Balance Calc'!$I$5*12)+($K$8*(($I$8*12)))</f>
        <v>-288.26087712588196</v>
      </c>
      <c r="V29" s="489">
        <f>'Winners-Losers Values PMPM'!AV17*(1-$I$9)*12+$L$8*(($I$8*12)*IFERROR((('Winners-Losers Values PMPM'!AY17*12)/('Winners-Losers Values PMPM'!AY$107*12)),0))</f>
        <v>0</v>
      </c>
      <c r="W29" s="489">
        <f>('Winners-Losers Values PMPM'!AW17*12)*(1-$I$10)+$M$8*(($I$8*12)*IFERROR((('Winners-Losers Values PMPM'!AY17*12)/('Winners-Losers Values PMPM'!AY$107*12)),0))</f>
        <v>0</v>
      </c>
      <c r="X29" s="489">
        <f>('Winners-Losers Values PMPM'!AT17*12)*(1-$I$11)+$N$8*(($I$8*12)*IFERROR((('Winners-Losers Values PMPM'!AY17*12)/('Winners-Losers Values PMPM'!AY$107*12)),0))</f>
        <v>0</v>
      </c>
      <c r="Y29" s="510">
        <f t="shared" si="10"/>
        <v>-288.26087712588196</v>
      </c>
      <c r="AA29" s="510">
        <f t="shared" si="11"/>
        <v>4443.3239894938342</v>
      </c>
      <c r="AB29" s="510">
        <f t="shared" si="11"/>
        <v>0</v>
      </c>
      <c r="AC29" s="510">
        <f t="shared" si="11"/>
        <v>0</v>
      </c>
      <c r="AD29" s="510">
        <f t="shared" si="11"/>
        <v>0</v>
      </c>
      <c r="AE29" s="510">
        <f t="shared" si="12"/>
        <v>471.98996185153999</v>
      </c>
      <c r="AF29" s="510">
        <f t="shared" si="13"/>
        <v>4915.3139513453743</v>
      </c>
      <c r="AG29" s="510">
        <f t="shared" si="14"/>
        <v>3.3645726154408369E+22</v>
      </c>
      <c r="AH29" s="510">
        <f t="shared" si="15"/>
        <v>3.3645726154408369E+22</v>
      </c>
      <c r="AJ29" s="510">
        <f t="shared" si="16"/>
        <v>-288.26087712588196</v>
      </c>
      <c r="AK29" s="510">
        <f t="shared" si="17"/>
        <v>0</v>
      </c>
      <c r="AL29" s="510">
        <f t="shared" si="17"/>
        <v>0</v>
      </c>
      <c r="AM29" s="510">
        <f t="shared" si="17"/>
        <v>0</v>
      </c>
      <c r="AN29" s="510">
        <f t="shared" si="18"/>
        <v>0</v>
      </c>
      <c r="AO29" s="510">
        <f t="shared" si="19"/>
        <v>-288.26087712588196</v>
      </c>
      <c r="AQ29" s="510">
        <f t="shared" si="20"/>
        <v>4155.0631123679523</v>
      </c>
      <c r="AR29" s="510">
        <f t="shared" si="20"/>
        <v>0</v>
      </c>
      <c r="AS29" s="510">
        <f t="shared" si="20"/>
        <v>0</v>
      </c>
      <c r="AT29" s="510">
        <f t="shared" si="20"/>
        <v>0</v>
      </c>
      <c r="AU29" s="510">
        <f t="shared" si="20"/>
        <v>471.98996185153999</v>
      </c>
      <c r="AV29" s="510">
        <f t="shared" si="21"/>
        <v>4627.0530742194924</v>
      </c>
      <c r="AW29" s="510">
        <f t="shared" si="22"/>
        <v>3.3645726154408369E+22</v>
      </c>
      <c r="AX29" s="510">
        <f t="shared" si="23"/>
        <v>3.3645726154408369E+22</v>
      </c>
      <c r="AY29" s="510">
        <f t="shared" si="24"/>
        <v>3.3645726154408369E+22</v>
      </c>
      <c r="AZ29" s="490">
        <f t="shared" si="25"/>
        <v>-3.3645726154408369E+22</v>
      </c>
      <c r="BA29" s="510">
        <f t="shared" si="26"/>
        <v>6.7291452308816738E+22</v>
      </c>
    </row>
    <row r="30" spans="1:53" x14ac:dyDescent="0.2">
      <c r="A30">
        <f t="shared" si="27"/>
        <v>13</v>
      </c>
      <c r="B30" s="510">
        <f>'Assumptions-Output Target'!$D$12*'Assumptions-Output Override'!$D$11*$I$2*12</f>
        <v>3935.8341983467963</v>
      </c>
      <c r="C30" s="510">
        <f t="shared" si="1"/>
        <v>-3.3645726154408369E+22</v>
      </c>
      <c r="D30" s="510">
        <f t="shared" si="2"/>
        <v>0</v>
      </c>
      <c r="E30" s="510">
        <f t="shared" si="0"/>
        <v>471.98996185153999</v>
      </c>
      <c r="F30" s="510">
        <f t="shared" si="3"/>
        <v>3.3645726154408369E+22</v>
      </c>
      <c r="G30" s="510">
        <f>$I$5*'Assumptions-Output Override'!$D$12*12</f>
        <v>4443.3239894938342</v>
      </c>
      <c r="H30" s="489">
        <f>'Winners-Losers Values PMPM'!AV18*$I$9*12</f>
        <v>0</v>
      </c>
      <c r="I30" s="489">
        <f>('Winners-Losers Values PMPM'!AW18*12)*$I$10</f>
        <v>0</v>
      </c>
      <c r="J30" s="489">
        <f>('Winners-Losers Values PMPM'!AT18*12)*$I$11</f>
        <v>0</v>
      </c>
      <c r="K30" s="510">
        <f t="shared" si="4"/>
        <v>4443.3239894938342</v>
      </c>
      <c r="L30" s="510">
        <f t="shared" si="5"/>
        <v>3.3645726154408369E+22</v>
      </c>
      <c r="M30" s="510">
        <f t="shared" si="6"/>
        <v>0</v>
      </c>
      <c r="N30" s="489">
        <f>'Winners-Losers Values PMPM'!AP18*12</f>
        <v>0</v>
      </c>
      <c r="O30" s="489">
        <f>'Winners-Losers Values PMPM'!AQ18*12</f>
        <v>0</v>
      </c>
      <c r="P30" s="489">
        <f>'Winners-Losers Values PMPM'!AR18*12</f>
        <v>0</v>
      </c>
      <c r="Q30" s="489">
        <f>'Winners-Losers Values PMPM'!AO18*12</f>
        <v>0</v>
      </c>
      <c r="R30" s="510">
        <f t="shared" si="7"/>
        <v>0</v>
      </c>
      <c r="S30" s="489">
        <f t="shared" si="8"/>
        <v>0</v>
      </c>
      <c r="T30" s="489">
        <f t="shared" si="9"/>
        <v>0</v>
      </c>
      <c r="U30" s="510">
        <f>((('Assumptions-Output Override'!$H$60+'Assumptions-Output Override'!$H$61)/('Assumptions-Output Override'!$F$60+'Assumptions-Output Override'!$F$61))*'HRA Balance Calc'!$I$5*12)+($K$8*(($I$8*12)))</f>
        <v>-288.26087712588196</v>
      </c>
      <c r="V30" s="489">
        <f>'Winners-Losers Values PMPM'!AV18*(1-$I$9)*12+$L$8*(($I$8*12)*IFERROR((('Winners-Losers Values PMPM'!AY18*12)/('Winners-Losers Values PMPM'!AY$107*12)),0))</f>
        <v>0</v>
      </c>
      <c r="W30" s="489">
        <f>('Winners-Losers Values PMPM'!AW18*12)*(1-$I$10)+$M$8*(($I$8*12)*IFERROR((('Winners-Losers Values PMPM'!AY18*12)/('Winners-Losers Values PMPM'!AY$107*12)),0))</f>
        <v>0</v>
      </c>
      <c r="X30" s="489">
        <f>('Winners-Losers Values PMPM'!AT18*12)*(1-$I$11)+$N$8*(($I$8*12)*IFERROR((('Winners-Losers Values PMPM'!AY18*12)/('Winners-Losers Values PMPM'!AY$107*12)),0))</f>
        <v>0</v>
      </c>
      <c r="Y30" s="510">
        <f t="shared" si="10"/>
        <v>-288.26087712588196</v>
      </c>
      <c r="AA30" s="510">
        <f t="shared" si="11"/>
        <v>4443.3239894938342</v>
      </c>
      <c r="AB30" s="510">
        <f t="shared" si="11"/>
        <v>0</v>
      </c>
      <c r="AC30" s="510">
        <f t="shared" si="11"/>
        <v>0</v>
      </c>
      <c r="AD30" s="510">
        <f t="shared" si="11"/>
        <v>0</v>
      </c>
      <c r="AE30" s="510">
        <f t="shared" si="12"/>
        <v>471.98996185153999</v>
      </c>
      <c r="AF30" s="510">
        <f t="shared" si="13"/>
        <v>4915.3139513453743</v>
      </c>
      <c r="AG30" s="510">
        <f t="shared" si="14"/>
        <v>3.3645726154408369E+22</v>
      </c>
      <c r="AH30" s="510">
        <f t="shared" si="15"/>
        <v>3.3645726154408369E+22</v>
      </c>
      <c r="AJ30" s="510">
        <f t="shared" si="16"/>
        <v>-288.26087712588196</v>
      </c>
      <c r="AK30" s="510">
        <f t="shared" si="17"/>
        <v>0</v>
      </c>
      <c r="AL30" s="510">
        <f t="shared" si="17"/>
        <v>0</v>
      </c>
      <c r="AM30" s="510">
        <f t="shared" si="17"/>
        <v>0</v>
      </c>
      <c r="AN30" s="510">
        <f t="shared" si="18"/>
        <v>0</v>
      </c>
      <c r="AO30" s="510">
        <f t="shared" si="19"/>
        <v>-288.26087712588196</v>
      </c>
      <c r="AQ30" s="510">
        <f t="shared" si="20"/>
        <v>4155.0631123679523</v>
      </c>
      <c r="AR30" s="510">
        <f t="shared" si="20"/>
        <v>0</v>
      </c>
      <c r="AS30" s="510">
        <f t="shared" si="20"/>
        <v>0</v>
      </c>
      <c r="AT30" s="510">
        <f t="shared" si="20"/>
        <v>0</v>
      </c>
      <c r="AU30" s="510">
        <f t="shared" si="20"/>
        <v>471.98996185153999</v>
      </c>
      <c r="AV30" s="510">
        <f t="shared" si="21"/>
        <v>4627.0530742194924</v>
      </c>
      <c r="AW30" s="510">
        <f t="shared" si="22"/>
        <v>3.3645726154408369E+22</v>
      </c>
      <c r="AX30" s="510">
        <f t="shared" si="23"/>
        <v>3.3645726154408369E+22</v>
      </c>
      <c r="AY30" s="510">
        <f t="shared" si="24"/>
        <v>3.3645726154408369E+22</v>
      </c>
      <c r="AZ30" s="490">
        <f t="shared" si="25"/>
        <v>-3.3645726154408369E+22</v>
      </c>
      <c r="BA30" s="510">
        <f t="shared" si="26"/>
        <v>6.7291452308816738E+22</v>
      </c>
    </row>
    <row r="31" spans="1:53" x14ac:dyDescent="0.2">
      <c r="A31">
        <f t="shared" si="27"/>
        <v>14</v>
      </c>
      <c r="B31" s="510">
        <f>'Assumptions-Output Target'!$D$12*'Assumptions-Output Override'!$D$11*$I$2*12</f>
        <v>3935.8341983467963</v>
      </c>
      <c r="C31" s="510">
        <f t="shared" si="1"/>
        <v>-3.3645726154408369E+22</v>
      </c>
      <c r="D31" s="510">
        <f t="shared" si="2"/>
        <v>0</v>
      </c>
      <c r="E31" s="510">
        <f t="shared" si="0"/>
        <v>471.98996185153999</v>
      </c>
      <c r="F31" s="510">
        <f t="shared" si="3"/>
        <v>3.3645726154408369E+22</v>
      </c>
      <c r="G31" s="510">
        <f>$I$5*'Assumptions-Output Override'!$D$12*12</f>
        <v>4443.3239894938342</v>
      </c>
      <c r="H31" s="489">
        <f>'Winners-Losers Values PMPM'!AV19*$I$9*12</f>
        <v>0</v>
      </c>
      <c r="I31" s="489">
        <f>('Winners-Losers Values PMPM'!AW19*12)*$I$10</f>
        <v>0</v>
      </c>
      <c r="J31" s="489">
        <f>('Winners-Losers Values PMPM'!AT19*12)*$I$11</f>
        <v>0</v>
      </c>
      <c r="K31" s="510">
        <f t="shared" si="4"/>
        <v>4443.3239894938342</v>
      </c>
      <c r="L31" s="510">
        <f t="shared" si="5"/>
        <v>3.3645726154408369E+22</v>
      </c>
      <c r="M31" s="510">
        <f t="shared" si="6"/>
        <v>0</v>
      </c>
      <c r="N31" s="489">
        <f>'Winners-Losers Values PMPM'!AP19*12</f>
        <v>0</v>
      </c>
      <c r="O31" s="489">
        <f>'Winners-Losers Values PMPM'!AQ19*12</f>
        <v>0</v>
      </c>
      <c r="P31" s="489">
        <f>'Winners-Losers Values PMPM'!AR19*12</f>
        <v>0</v>
      </c>
      <c r="Q31" s="489">
        <f>'Winners-Losers Values PMPM'!AO19*12</f>
        <v>0</v>
      </c>
      <c r="R31" s="510">
        <f t="shared" si="7"/>
        <v>0</v>
      </c>
      <c r="S31" s="489">
        <f t="shared" si="8"/>
        <v>0</v>
      </c>
      <c r="T31" s="489">
        <f t="shared" si="9"/>
        <v>0</v>
      </c>
      <c r="U31" s="510">
        <f>((('Assumptions-Output Override'!$H$60+'Assumptions-Output Override'!$H$61)/('Assumptions-Output Override'!$F$60+'Assumptions-Output Override'!$F$61))*'HRA Balance Calc'!$I$5*12)+($K$8*(($I$8*12)))</f>
        <v>-288.26087712588196</v>
      </c>
      <c r="V31" s="489">
        <f>'Winners-Losers Values PMPM'!AV19*(1-$I$9)*12+$L$8*(($I$8*12)*IFERROR((('Winners-Losers Values PMPM'!AY19*12)/('Winners-Losers Values PMPM'!AY$107*12)),0))</f>
        <v>0</v>
      </c>
      <c r="W31" s="489">
        <f>('Winners-Losers Values PMPM'!AW19*12)*(1-$I$10)+$M$8*(($I$8*12)*IFERROR((('Winners-Losers Values PMPM'!AY19*12)/('Winners-Losers Values PMPM'!AY$107*12)),0))</f>
        <v>0</v>
      </c>
      <c r="X31" s="489">
        <f>('Winners-Losers Values PMPM'!AT19*12)*(1-$I$11)+$N$8*(($I$8*12)*IFERROR((('Winners-Losers Values PMPM'!AY19*12)/('Winners-Losers Values PMPM'!AY$107*12)),0))</f>
        <v>0</v>
      </c>
      <c r="Y31" s="510">
        <f t="shared" si="10"/>
        <v>-288.26087712588196</v>
      </c>
      <c r="AA31" s="510">
        <f t="shared" si="11"/>
        <v>4443.3239894938342</v>
      </c>
      <c r="AB31" s="510">
        <f t="shared" si="11"/>
        <v>0</v>
      </c>
      <c r="AC31" s="510">
        <f t="shared" si="11"/>
        <v>0</v>
      </c>
      <c r="AD31" s="510">
        <f t="shared" si="11"/>
        <v>0</v>
      </c>
      <c r="AE31" s="510">
        <f t="shared" si="12"/>
        <v>471.98996185153999</v>
      </c>
      <c r="AF31" s="510">
        <f t="shared" si="13"/>
        <v>4915.3139513453743</v>
      </c>
      <c r="AG31" s="510">
        <f t="shared" si="14"/>
        <v>3.3645726154408369E+22</v>
      </c>
      <c r="AH31" s="510">
        <f t="shared" si="15"/>
        <v>3.3645726154408369E+22</v>
      </c>
      <c r="AJ31" s="510">
        <f t="shared" si="16"/>
        <v>-288.26087712588196</v>
      </c>
      <c r="AK31" s="510">
        <f t="shared" si="17"/>
        <v>0</v>
      </c>
      <c r="AL31" s="510">
        <f t="shared" si="17"/>
        <v>0</v>
      </c>
      <c r="AM31" s="510">
        <f t="shared" si="17"/>
        <v>0</v>
      </c>
      <c r="AN31" s="510">
        <f t="shared" si="18"/>
        <v>0</v>
      </c>
      <c r="AO31" s="510">
        <f t="shared" si="19"/>
        <v>-288.26087712588196</v>
      </c>
      <c r="AQ31" s="510">
        <f t="shared" si="20"/>
        <v>4155.0631123679523</v>
      </c>
      <c r="AR31" s="510">
        <f t="shared" si="20"/>
        <v>0</v>
      </c>
      <c r="AS31" s="510">
        <f t="shared" si="20"/>
        <v>0</v>
      </c>
      <c r="AT31" s="510">
        <f t="shared" si="20"/>
        <v>0</v>
      </c>
      <c r="AU31" s="510">
        <f t="shared" si="20"/>
        <v>471.98996185153999</v>
      </c>
      <c r="AV31" s="510">
        <f t="shared" si="21"/>
        <v>4627.0530742194924</v>
      </c>
      <c r="AW31" s="510">
        <f t="shared" si="22"/>
        <v>3.3645726154408369E+22</v>
      </c>
      <c r="AX31" s="510">
        <f t="shared" si="23"/>
        <v>3.3645726154408369E+22</v>
      </c>
      <c r="AY31" s="510">
        <f t="shared" si="24"/>
        <v>3.3645726154408369E+22</v>
      </c>
      <c r="AZ31" s="490">
        <f t="shared" si="25"/>
        <v>-3.3645726154408369E+22</v>
      </c>
      <c r="BA31" s="510">
        <f t="shared" si="26"/>
        <v>6.7291452308816738E+22</v>
      </c>
    </row>
    <row r="32" spans="1:53" x14ac:dyDescent="0.2">
      <c r="A32">
        <f t="shared" si="27"/>
        <v>15</v>
      </c>
      <c r="B32" s="510">
        <f>'Assumptions-Output Target'!$D$12*'Assumptions-Output Override'!$D$11*$I$2*12</f>
        <v>3935.8341983467963</v>
      </c>
      <c r="C32" s="510">
        <f t="shared" si="1"/>
        <v>-3.3645726154408369E+22</v>
      </c>
      <c r="D32" s="510">
        <f t="shared" si="2"/>
        <v>0</v>
      </c>
      <c r="E32" s="510">
        <f t="shared" si="0"/>
        <v>471.98996185153999</v>
      </c>
      <c r="F32" s="510">
        <f t="shared" si="3"/>
        <v>3.3645726154408369E+22</v>
      </c>
      <c r="G32" s="510">
        <f>$I$5*'Assumptions-Output Override'!$D$12*12</f>
        <v>4443.3239894938342</v>
      </c>
      <c r="H32" s="489">
        <f>'Winners-Losers Values PMPM'!AV20*$I$9*12</f>
        <v>0</v>
      </c>
      <c r="I32" s="489">
        <f>('Winners-Losers Values PMPM'!AW20*12)*$I$10</f>
        <v>0</v>
      </c>
      <c r="J32" s="489">
        <f>('Winners-Losers Values PMPM'!AT20*12)*$I$11</f>
        <v>0</v>
      </c>
      <c r="K32" s="510">
        <f t="shared" si="4"/>
        <v>4443.3239894938342</v>
      </c>
      <c r="L32" s="510">
        <f t="shared" si="5"/>
        <v>3.3645726154408369E+22</v>
      </c>
      <c r="M32" s="510">
        <f t="shared" si="6"/>
        <v>0</v>
      </c>
      <c r="N32" s="489">
        <f>'Winners-Losers Values PMPM'!AP20*12</f>
        <v>0</v>
      </c>
      <c r="O32" s="489">
        <f>'Winners-Losers Values PMPM'!AQ20*12</f>
        <v>0</v>
      </c>
      <c r="P32" s="489">
        <f>'Winners-Losers Values PMPM'!AR20*12</f>
        <v>0</v>
      </c>
      <c r="Q32" s="489">
        <f>'Winners-Losers Values PMPM'!AO20*12</f>
        <v>0</v>
      </c>
      <c r="R32" s="510">
        <f t="shared" si="7"/>
        <v>0</v>
      </c>
      <c r="S32" s="489">
        <f t="shared" si="8"/>
        <v>0</v>
      </c>
      <c r="T32" s="489">
        <f t="shared" si="9"/>
        <v>0</v>
      </c>
      <c r="U32" s="510">
        <f>((('Assumptions-Output Override'!$H$60+'Assumptions-Output Override'!$H$61)/('Assumptions-Output Override'!$F$60+'Assumptions-Output Override'!$F$61))*'HRA Balance Calc'!$I$5*12)+($K$8*(($I$8*12)))</f>
        <v>-288.26087712588196</v>
      </c>
      <c r="V32" s="489">
        <f>'Winners-Losers Values PMPM'!AV20*(1-$I$9)*12+$L$8*(($I$8*12)*IFERROR((('Winners-Losers Values PMPM'!AY20*12)/('Winners-Losers Values PMPM'!AY$107*12)),0))</f>
        <v>0</v>
      </c>
      <c r="W32" s="489">
        <f>('Winners-Losers Values PMPM'!AW20*12)*(1-$I$10)+$M$8*(($I$8*12)*IFERROR((('Winners-Losers Values PMPM'!AY20*12)/('Winners-Losers Values PMPM'!AY$107*12)),0))</f>
        <v>0</v>
      </c>
      <c r="X32" s="489">
        <f>('Winners-Losers Values PMPM'!AT20*12)*(1-$I$11)+$N$8*(($I$8*12)*IFERROR((('Winners-Losers Values PMPM'!AY20*12)/('Winners-Losers Values PMPM'!AY$107*12)),0))</f>
        <v>0</v>
      </c>
      <c r="Y32" s="510">
        <f t="shared" si="10"/>
        <v>-288.26087712588196</v>
      </c>
      <c r="AA32" s="510">
        <f t="shared" si="11"/>
        <v>4443.3239894938342</v>
      </c>
      <c r="AB32" s="510">
        <f t="shared" si="11"/>
        <v>0</v>
      </c>
      <c r="AC32" s="510">
        <f t="shared" si="11"/>
        <v>0</v>
      </c>
      <c r="AD32" s="510">
        <f t="shared" si="11"/>
        <v>0</v>
      </c>
      <c r="AE32" s="510">
        <f t="shared" si="12"/>
        <v>471.98996185153999</v>
      </c>
      <c r="AF32" s="510">
        <f t="shared" si="13"/>
        <v>4915.3139513453743</v>
      </c>
      <c r="AG32" s="510">
        <f t="shared" si="14"/>
        <v>3.3645726154408369E+22</v>
      </c>
      <c r="AH32" s="510">
        <f t="shared" si="15"/>
        <v>3.3645726154408369E+22</v>
      </c>
      <c r="AJ32" s="510">
        <f t="shared" si="16"/>
        <v>-288.26087712588196</v>
      </c>
      <c r="AK32" s="510">
        <f t="shared" si="17"/>
        <v>0</v>
      </c>
      <c r="AL32" s="510">
        <f t="shared" si="17"/>
        <v>0</v>
      </c>
      <c r="AM32" s="510">
        <f t="shared" si="17"/>
        <v>0</v>
      </c>
      <c r="AN32" s="510">
        <f t="shared" si="18"/>
        <v>0</v>
      </c>
      <c r="AO32" s="510">
        <f t="shared" si="19"/>
        <v>-288.26087712588196</v>
      </c>
      <c r="AQ32" s="510">
        <f t="shared" si="20"/>
        <v>4155.0631123679523</v>
      </c>
      <c r="AR32" s="510">
        <f t="shared" si="20"/>
        <v>0</v>
      </c>
      <c r="AS32" s="510">
        <f t="shared" si="20"/>
        <v>0</v>
      </c>
      <c r="AT32" s="510">
        <f t="shared" si="20"/>
        <v>0</v>
      </c>
      <c r="AU32" s="510">
        <f t="shared" si="20"/>
        <v>471.98996185153999</v>
      </c>
      <c r="AV32" s="510">
        <f t="shared" si="21"/>
        <v>4627.0530742194924</v>
      </c>
      <c r="AW32" s="510">
        <f t="shared" si="22"/>
        <v>3.3645726154408369E+22</v>
      </c>
      <c r="AX32" s="510">
        <f t="shared" si="23"/>
        <v>3.3645726154408369E+22</v>
      </c>
      <c r="AY32" s="510">
        <f t="shared" si="24"/>
        <v>3.3645726154408369E+22</v>
      </c>
      <c r="AZ32" s="490">
        <f t="shared" si="25"/>
        <v>-3.3645726154408369E+22</v>
      </c>
      <c r="BA32" s="510">
        <f t="shared" si="26"/>
        <v>6.7291452308816738E+22</v>
      </c>
    </row>
    <row r="33" spans="1:53" x14ac:dyDescent="0.2">
      <c r="A33">
        <f t="shared" si="27"/>
        <v>16</v>
      </c>
      <c r="B33" s="510">
        <f>'Assumptions-Output Target'!$D$12*'Assumptions-Output Override'!$D$11*$I$2*12</f>
        <v>3935.8341983467963</v>
      </c>
      <c r="C33" s="510">
        <f t="shared" si="1"/>
        <v>-3.3645726154408369E+22</v>
      </c>
      <c r="D33" s="510">
        <f t="shared" si="2"/>
        <v>0</v>
      </c>
      <c r="E33" s="510">
        <f t="shared" si="0"/>
        <v>471.98996185153999</v>
      </c>
      <c r="F33" s="510">
        <f t="shared" si="3"/>
        <v>3.3645726154408369E+22</v>
      </c>
      <c r="G33" s="510">
        <f>$I$5*'Assumptions-Output Override'!$D$12*12</f>
        <v>4443.3239894938342</v>
      </c>
      <c r="H33" s="489">
        <f>'Winners-Losers Values PMPM'!AV21*$I$9*12</f>
        <v>0</v>
      </c>
      <c r="I33" s="489">
        <f>('Winners-Losers Values PMPM'!AW21*12)*$I$10</f>
        <v>0</v>
      </c>
      <c r="J33" s="489">
        <f>('Winners-Losers Values PMPM'!AT21*12)*$I$11</f>
        <v>0</v>
      </c>
      <c r="K33" s="510">
        <f t="shared" si="4"/>
        <v>4443.3239894938342</v>
      </c>
      <c r="L33" s="510">
        <f t="shared" si="5"/>
        <v>3.3645726154408369E+22</v>
      </c>
      <c r="M33" s="510">
        <f t="shared" si="6"/>
        <v>0</v>
      </c>
      <c r="N33" s="489">
        <f>'Winners-Losers Values PMPM'!AP21*12</f>
        <v>0</v>
      </c>
      <c r="O33" s="489">
        <f>'Winners-Losers Values PMPM'!AQ21*12</f>
        <v>0</v>
      </c>
      <c r="P33" s="489">
        <f>'Winners-Losers Values PMPM'!AR21*12</f>
        <v>0</v>
      </c>
      <c r="Q33" s="489">
        <f>'Winners-Losers Values PMPM'!AO21*12</f>
        <v>0</v>
      </c>
      <c r="R33" s="510">
        <f t="shared" si="7"/>
        <v>0</v>
      </c>
      <c r="S33" s="489">
        <f t="shared" si="8"/>
        <v>0</v>
      </c>
      <c r="T33" s="489">
        <f t="shared" si="9"/>
        <v>0</v>
      </c>
      <c r="U33" s="510">
        <f>((('Assumptions-Output Override'!$H$60+'Assumptions-Output Override'!$H$61)/('Assumptions-Output Override'!$F$60+'Assumptions-Output Override'!$F$61))*'HRA Balance Calc'!$I$5*12)+($K$8*(($I$8*12)))</f>
        <v>-288.26087712588196</v>
      </c>
      <c r="V33" s="489">
        <f>'Winners-Losers Values PMPM'!AV21*(1-$I$9)*12+$L$8*(($I$8*12)*IFERROR((('Winners-Losers Values PMPM'!AY21*12)/('Winners-Losers Values PMPM'!AY$107*12)),0))</f>
        <v>0</v>
      </c>
      <c r="W33" s="489">
        <f>('Winners-Losers Values PMPM'!AW21*12)*(1-$I$10)+$M$8*(($I$8*12)*IFERROR((('Winners-Losers Values PMPM'!AY21*12)/('Winners-Losers Values PMPM'!AY$107*12)),0))</f>
        <v>0</v>
      </c>
      <c r="X33" s="489">
        <f>('Winners-Losers Values PMPM'!AT21*12)*(1-$I$11)+$N$8*(($I$8*12)*IFERROR((('Winners-Losers Values PMPM'!AY21*12)/('Winners-Losers Values PMPM'!AY$107*12)),0))</f>
        <v>0</v>
      </c>
      <c r="Y33" s="510">
        <f t="shared" si="10"/>
        <v>-288.26087712588196</v>
      </c>
      <c r="AA33" s="510">
        <f t="shared" si="11"/>
        <v>4443.3239894938342</v>
      </c>
      <c r="AB33" s="510">
        <f t="shared" si="11"/>
        <v>0</v>
      </c>
      <c r="AC33" s="510">
        <f t="shared" si="11"/>
        <v>0</v>
      </c>
      <c r="AD33" s="510">
        <f t="shared" si="11"/>
        <v>0</v>
      </c>
      <c r="AE33" s="510">
        <f t="shared" si="12"/>
        <v>471.98996185153999</v>
      </c>
      <c r="AF33" s="510">
        <f t="shared" si="13"/>
        <v>4915.3139513453743</v>
      </c>
      <c r="AG33" s="510">
        <f t="shared" si="14"/>
        <v>3.3645726154408369E+22</v>
      </c>
      <c r="AH33" s="510">
        <f t="shared" si="15"/>
        <v>3.3645726154408369E+22</v>
      </c>
      <c r="AJ33" s="510">
        <f t="shared" si="16"/>
        <v>-288.26087712588196</v>
      </c>
      <c r="AK33" s="510">
        <f t="shared" si="17"/>
        <v>0</v>
      </c>
      <c r="AL33" s="510">
        <f t="shared" si="17"/>
        <v>0</v>
      </c>
      <c r="AM33" s="510">
        <f t="shared" si="17"/>
        <v>0</v>
      </c>
      <c r="AN33" s="510">
        <f t="shared" si="18"/>
        <v>0</v>
      </c>
      <c r="AO33" s="510">
        <f t="shared" si="19"/>
        <v>-288.26087712588196</v>
      </c>
      <c r="AQ33" s="510">
        <f t="shared" si="20"/>
        <v>4155.0631123679523</v>
      </c>
      <c r="AR33" s="510">
        <f t="shared" si="20"/>
        <v>0</v>
      </c>
      <c r="AS33" s="510">
        <f t="shared" si="20"/>
        <v>0</v>
      </c>
      <c r="AT33" s="510">
        <f t="shared" si="20"/>
        <v>0</v>
      </c>
      <c r="AU33" s="510">
        <f t="shared" si="20"/>
        <v>471.98996185153999</v>
      </c>
      <c r="AV33" s="510">
        <f t="shared" si="21"/>
        <v>4627.0530742194924</v>
      </c>
      <c r="AW33" s="510">
        <f t="shared" si="22"/>
        <v>3.3645726154408369E+22</v>
      </c>
      <c r="AX33" s="510">
        <f t="shared" si="23"/>
        <v>3.3645726154408369E+22</v>
      </c>
      <c r="AY33" s="510">
        <f t="shared" si="24"/>
        <v>3.3645726154408369E+22</v>
      </c>
      <c r="AZ33" s="490">
        <f t="shared" si="25"/>
        <v>-3.3645726154408369E+22</v>
      </c>
      <c r="BA33" s="510">
        <f t="shared" si="26"/>
        <v>6.7291452308816738E+22</v>
      </c>
    </row>
    <row r="34" spans="1:53" x14ac:dyDescent="0.2">
      <c r="A34">
        <f t="shared" si="27"/>
        <v>17</v>
      </c>
      <c r="B34" s="510">
        <f>'Assumptions-Output Target'!$D$12*'Assumptions-Output Override'!$D$11*$I$2*12</f>
        <v>3935.8341983467963</v>
      </c>
      <c r="C34" s="510">
        <f t="shared" si="1"/>
        <v>-3.3645726154408369E+22</v>
      </c>
      <c r="D34" s="510">
        <f t="shared" si="2"/>
        <v>0</v>
      </c>
      <c r="E34" s="510">
        <f t="shared" si="0"/>
        <v>471.98996185153999</v>
      </c>
      <c r="F34" s="510">
        <f t="shared" si="3"/>
        <v>3.3645726154408369E+22</v>
      </c>
      <c r="G34" s="510">
        <f>$I$5*'Assumptions-Output Override'!$D$12*12</f>
        <v>4443.3239894938342</v>
      </c>
      <c r="H34" s="489">
        <f>'Winners-Losers Values PMPM'!AV22*$I$9*12</f>
        <v>0</v>
      </c>
      <c r="I34" s="489">
        <f>('Winners-Losers Values PMPM'!AW22*12)*$I$10</f>
        <v>0</v>
      </c>
      <c r="J34" s="489">
        <f>('Winners-Losers Values PMPM'!AT22*12)*$I$11</f>
        <v>0</v>
      </c>
      <c r="K34" s="510">
        <f t="shared" si="4"/>
        <v>4443.3239894938342</v>
      </c>
      <c r="L34" s="510">
        <f t="shared" si="5"/>
        <v>3.3645726154408369E+22</v>
      </c>
      <c r="M34" s="510">
        <f t="shared" si="6"/>
        <v>0</v>
      </c>
      <c r="N34" s="489">
        <f>'Winners-Losers Values PMPM'!AP22*12</f>
        <v>0</v>
      </c>
      <c r="O34" s="489">
        <f>'Winners-Losers Values PMPM'!AQ22*12</f>
        <v>0</v>
      </c>
      <c r="P34" s="489">
        <f>'Winners-Losers Values PMPM'!AR22*12</f>
        <v>0</v>
      </c>
      <c r="Q34" s="489">
        <f>'Winners-Losers Values PMPM'!AO22*12</f>
        <v>0</v>
      </c>
      <c r="R34" s="510">
        <f t="shared" si="7"/>
        <v>0</v>
      </c>
      <c r="S34" s="489">
        <f t="shared" si="8"/>
        <v>0</v>
      </c>
      <c r="T34" s="489">
        <f t="shared" si="9"/>
        <v>0</v>
      </c>
      <c r="U34" s="510">
        <f>((('Assumptions-Output Override'!$H$60+'Assumptions-Output Override'!$H$61)/('Assumptions-Output Override'!$F$60+'Assumptions-Output Override'!$F$61))*'HRA Balance Calc'!$I$5*12)+($K$8*(($I$8*12)))</f>
        <v>-288.26087712588196</v>
      </c>
      <c r="V34" s="489">
        <f>'Winners-Losers Values PMPM'!AV22*(1-$I$9)*12+$L$8*(($I$8*12)*IFERROR((('Winners-Losers Values PMPM'!AY22*12)/('Winners-Losers Values PMPM'!AY$107*12)),0))</f>
        <v>0</v>
      </c>
      <c r="W34" s="489">
        <f>('Winners-Losers Values PMPM'!AW22*12)*(1-$I$10)+$M$8*(($I$8*12)*IFERROR((('Winners-Losers Values PMPM'!AY22*12)/('Winners-Losers Values PMPM'!AY$107*12)),0))</f>
        <v>0</v>
      </c>
      <c r="X34" s="489">
        <f>('Winners-Losers Values PMPM'!AT22*12)*(1-$I$11)+$N$8*(($I$8*12)*IFERROR((('Winners-Losers Values PMPM'!AY22*12)/('Winners-Losers Values PMPM'!AY$107*12)),0))</f>
        <v>0</v>
      </c>
      <c r="Y34" s="510">
        <f t="shared" si="10"/>
        <v>-288.26087712588196</v>
      </c>
      <c r="AA34" s="510">
        <f t="shared" si="11"/>
        <v>4443.3239894938342</v>
      </c>
      <c r="AB34" s="510">
        <f t="shared" si="11"/>
        <v>0</v>
      </c>
      <c r="AC34" s="510">
        <f t="shared" si="11"/>
        <v>0</v>
      </c>
      <c r="AD34" s="510">
        <f t="shared" si="11"/>
        <v>0</v>
      </c>
      <c r="AE34" s="510">
        <f t="shared" si="12"/>
        <v>471.98996185153999</v>
      </c>
      <c r="AF34" s="510">
        <f t="shared" si="13"/>
        <v>4915.3139513453743</v>
      </c>
      <c r="AG34" s="510">
        <f t="shared" si="14"/>
        <v>3.3645726154408369E+22</v>
      </c>
      <c r="AH34" s="510">
        <f t="shared" si="15"/>
        <v>3.3645726154408369E+22</v>
      </c>
      <c r="AJ34" s="510">
        <f t="shared" si="16"/>
        <v>-288.26087712588196</v>
      </c>
      <c r="AK34" s="510">
        <f t="shared" si="17"/>
        <v>0</v>
      </c>
      <c r="AL34" s="510">
        <f t="shared" si="17"/>
        <v>0</v>
      </c>
      <c r="AM34" s="510">
        <f t="shared" si="17"/>
        <v>0</v>
      </c>
      <c r="AN34" s="510">
        <f t="shared" si="18"/>
        <v>0</v>
      </c>
      <c r="AO34" s="510">
        <f t="shared" si="19"/>
        <v>-288.26087712588196</v>
      </c>
      <c r="AQ34" s="510">
        <f t="shared" si="20"/>
        <v>4155.0631123679523</v>
      </c>
      <c r="AR34" s="510">
        <f t="shared" si="20"/>
        <v>0</v>
      </c>
      <c r="AS34" s="510">
        <f t="shared" si="20"/>
        <v>0</v>
      </c>
      <c r="AT34" s="510">
        <f t="shared" si="20"/>
        <v>0</v>
      </c>
      <c r="AU34" s="510">
        <f t="shared" si="20"/>
        <v>471.98996185153999</v>
      </c>
      <c r="AV34" s="510">
        <f t="shared" si="21"/>
        <v>4627.0530742194924</v>
      </c>
      <c r="AW34" s="510">
        <f t="shared" si="22"/>
        <v>3.3645726154408369E+22</v>
      </c>
      <c r="AX34" s="510">
        <f t="shared" si="23"/>
        <v>3.3645726154408369E+22</v>
      </c>
      <c r="AY34" s="510">
        <f t="shared" si="24"/>
        <v>3.3645726154408369E+22</v>
      </c>
      <c r="AZ34" s="490">
        <f t="shared" si="25"/>
        <v>-3.3645726154408369E+22</v>
      </c>
      <c r="BA34" s="510">
        <f t="shared" si="26"/>
        <v>6.7291452308816738E+22</v>
      </c>
    </row>
    <row r="35" spans="1:53" x14ac:dyDescent="0.2">
      <c r="A35">
        <f t="shared" si="27"/>
        <v>18</v>
      </c>
      <c r="B35" s="510">
        <f>'Assumptions-Output Target'!$D$12*'Assumptions-Output Override'!$D$11*$I$2*12</f>
        <v>3935.8341983467963</v>
      </c>
      <c r="C35" s="510">
        <f t="shared" si="1"/>
        <v>-3.3645726154408369E+22</v>
      </c>
      <c r="D35" s="510">
        <f t="shared" si="2"/>
        <v>0</v>
      </c>
      <c r="E35" s="510">
        <f t="shared" si="0"/>
        <v>471.98996185153999</v>
      </c>
      <c r="F35" s="510">
        <f t="shared" si="3"/>
        <v>3.3645726154408369E+22</v>
      </c>
      <c r="G35" s="510">
        <f>$I$5*'Assumptions-Output Override'!$D$12*12</f>
        <v>4443.3239894938342</v>
      </c>
      <c r="H35" s="489">
        <f>'Winners-Losers Values PMPM'!AV23*$I$9*12</f>
        <v>0</v>
      </c>
      <c r="I35" s="489">
        <f>('Winners-Losers Values PMPM'!AW23*12)*$I$10</f>
        <v>0</v>
      </c>
      <c r="J35" s="489">
        <f>('Winners-Losers Values PMPM'!AT23*12)*$I$11</f>
        <v>0</v>
      </c>
      <c r="K35" s="510">
        <f t="shared" si="4"/>
        <v>4443.3239894938342</v>
      </c>
      <c r="L35" s="510">
        <f t="shared" si="5"/>
        <v>3.3645726154408369E+22</v>
      </c>
      <c r="M35" s="510">
        <f t="shared" si="6"/>
        <v>0</v>
      </c>
      <c r="N35" s="489">
        <f>'Winners-Losers Values PMPM'!AP23*12</f>
        <v>0</v>
      </c>
      <c r="O35" s="489">
        <f>'Winners-Losers Values PMPM'!AQ23*12</f>
        <v>0</v>
      </c>
      <c r="P35" s="489">
        <f>'Winners-Losers Values PMPM'!AR23*12</f>
        <v>0</v>
      </c>
      <c r="Q35" s="489">
        <f>'Winners-Losers Values PMPM'!AO23*12</f>
        <v>0</v>
      </c>
      <c r="R35" s="510">
        <f t="shared" si="7"/>
        <v>0</v>
      </c>
      <c r="S35" s="489">
        <f t="shared" si="8"/>
        <v>0</v>
      </c>
      <c r="T35" s="489">
        <f t="shared" si="9"/>
        <v>0</v>
      </c>
      <c r="U35" s="510">
        <f>((('Assumptions-Output Override'!$H$60+'Assumptions-Output Override'!$H$61)/('Assumptions-Output Override'!$F$60+'Assumptions-Output Override'!$F$61))*'HRA Balance Calc'!$I$5*12)+($K$8*(($I$8*12)))</f>
        <v>-288.26087712588196</v>
      </c>
      <c r="V35" s="489">
        <f>'Winners-Losers Values PMPM'!AV23*(1-$I$9)*12+$L$8*(($I$8*12)*IFERROR((('Winners-Losers Values PMPM'!AY23*12)/('Winners-Losers Values PMPM'!AY$107*12)),0))</f>
        <v>0</v>
      </c>
      <c r="W35" s="489">
        <f>('Winners-Losers Values PMPM'!AW23*12)*(1-$I$10)+$M$8*(($I$8*12)*IFERROR((('Winners-Losers Values PMPM'!AY23*12)/('Winners-Losers Values PMPM'!AY$107*12)),0))</f>
        <v>0</v>
      </c>
      <c r="X35" s="489">
        <f>('Winners-Losers Values PMPM'!AT23*12)*(1-$I$11)+$N$8*(($I$8*12)*IFERROR((('Winners-Losers Values PMPM'!AY23*12)/('Winners-Losers Values PMPM'!AY$107*12)),0))</f>
        <v>0</v>
      </c>
      <c r="Y35" s="510">
        <f t="shared" si="10"/>
        <v>-288.26087712588196</v>
      </c>
      <c r="AA35" s="510">
        <f t="shared" si="11"/>
        <v>4443.3239894938342</v>
      </c>
      <c r="AB35" s="510">
        <f t="shared" si="11"/>
        <v>0</v>
      </c>
      <c r="AC35" s="510">
        <f t="shared" si="11"/>
        <v>0</v>
      </c>
      <c r="AD35" s="510">
        <f t="shared" si="11"/>
        <v>0</v>
      </c>
      <c r="AE35" s="510">
        <f t="shared" si="12"/>
        <v>471.98996185153999</v>
      </c>
      <c r="AF35" s="510">
        <f t="shared" si="13"/>
        <v>4915.3139513453743</v>
      </c>
      <c r="AG35" s="510">
        <f t="shared" si="14"/>
        <v>3.3645726154408369E+22</v>
      </c>
      <c r="AH35" s="510">
        <f t="shared" si="15"/>
        <v>3.3645726154408369E+22</v>
      </c>
      <c r="AJ35" s="510">
        <f t="shared" si="16"/>
        <v>-288.26087712588196</v>
      </c>
      <c r="AK35" s="510">
        <f t="shared" si="17"/>
        <v>0</v>
      </c>
      <c r="AL35" s="510">
        <f t="shared" si="17"/>
        <v>0</v>
      </c>
      <c r="AM35" s="510">
        <f t="shared" si="17"/>
        <v>0</v>
      </c>
      <c r="AN35" s="510">
        <f t="shared" si="18"/>
        <v>0</v>
      </c>
      <c r="AO35" s="510">
        <f t="shared" si="19"/>
        <v>-288.26087712588196</v>
      </c>
      <c r="AQ35" s="510">
        <f t="shared" si="20"/>
        <v>4155.0631123679523</v>
      </c>
      <c r="AR35" s="510">
        <f t="shared" si="20"/>
        <v>0</v>
      </c>
      <c r="AS35" s="510">
        <f t="shared" si="20"/>
        <v>0</v>
      </c>
      <c r="AT35" s="510">
        <f t="shared" si="20"/>
        <v>0</v>
      </c>
      <c r="AU35" s="510">
        <f t="shared" si="20"/>
        <v>471.98996185153999</v>
      </c>
      <c r="AV35" s="510">
        <f t="shared" si="21"/>
        <v>4627.0530742194924</v>
      </c>
      <c r="AW35" s="510">
        <f t="shared" si="22"/>
        <v>3.3645726154408369E+22</v>
      </c>
      <c r="AX35" s="510">
        <f t="shared" si="23"/>
        <v>3.3645726154408369E+22</v>
      </c>
      <c r="AY35" s="510">
        <f t="shared" si="24"/>
        <v>3.3645726154408369E+22</v>
      </c>
      <c r="AZ35" s="490">
        <f t="shared" si="25"/>
        <v>-3.3645726154408369E+22</v>
      </c>
      <c r="BA35" s="510">
        <f t="shared" si="26"/>
        <v>6.7291452308816738E+22</v>
      </c>
    </row>
    <row r="36" spans="1:53" x14ac:dyDescent="0.2">
      <c r="A36">
        <f t="shared" si="27"/>
        <v>19</v>
      </c>
      <c r="B36" s="510">
        <f>'Assumptions-Output Target'!$D$12*'Assumptions-Output Override'!$D$11*$I$2*12</f>
        <v>3935.8341983467963</v>
      </c>
      <c r="C36" s="510">
        <f t="shared" si="1"/>
        <v>-3.3645726154408369E+22</v>
      </c>
      <c r="D36" s="510">
        <f t="shared" si="2"/>
        <v>0</v>
      </c>
      <c r="E36" s="510">
        <f t="shared" si="0"/>
        <v>471.98996185153999</v>
      </c>
      <c r="F36" s="510">
        <f t="shared" si="3"/>
        <v>3.3645726154408369E+22</v>
      </c>
      <c r="G36" s="510">
        <f>$I$5*'Assumptions-Output Override'!$D$12*12</f>
        <v>4443.3239894938342</v>
      </c>
      <c r="H36" s="489">
        <f>'Winners-Losers Values PMPM'!AV24*$I$9*12</f>
        <v>0</v>
      </c>
      <c r="I36" s="489">
        <f>('Winners-Losers Values PMPM'!AW24*12)*$I$10</f>
        <v>0</v>
      </c>
      <c r="J36" s="489">
        <f>('Winners-Losers Values PMPM'!AT24*12)*$I$11</f>
        <v>0</v>
      </c>
      <c r="K36" s="510">
        <f t="shared" si="4"/>
        <v>4443.3239894938342</v>
      </c>
      <c r="L36" s="510">
        <f t="shared" si="5"/>
        <v>3.3645726154408369E+22</v>
      </c>
      <c r="M36" s="510">
        <f t="shared" si="6"/>
        <v>0</v>
      </c>
      <c r="N36" s="489">
        <f>'Winners-Losers Values PMPM'!AP24*12</f>
        <v>0</v>
      </c>
      <c r="O36" s="489">
        <f>'Winners-Losers Values PMPM'!AQ24*12</f>
        <v>0</v>
      </c>
      <c r="P36" s="489">
        <f>'Winners-Losers Values PMPM'!AR24*12</f>
        <v>0</v>
      </c>
      <c r="Q36" s="489">
        <f>'Winners-Losers Values PMPM'!AO24*12</f>
        <v>0</v>
      </c>
      <c r="R36" s="510">
        <f t="shared" si="7"/>
        <v>0</v>
      </c>
      <c r="S36" s="489">
        <f t="shared" si="8"/>
        <v>0</v>
      </c>
      <c r="T36" s="489">
        <f t="shared" si="9"/>
        <v>0</v>
      </c>
      <c r="U36" s="510">
        <f>((('Assumptions-Output Override'!$H$60+'Assumptions-Output Override'!$H$61)/('Assumptions-Output Override'!$F$60+'Assumptions-Output Override'!$F$61))*'HRA Balance Calc'!$I$5*12)+($K$8*(($I$8*12)))</f>
        <v>-288.26087712588196</v>
      </c>
      <c r="V36" s="489">
        <f>'Winners-Losers Values PMPM'!AV24*(1-$I$9)*12+$L$8*(($I$8*12)*IFERROR((('Winners-Losers Values PMPM'!AY24*12)/('Winners-Losers Values PMPM'!AY$107*12)),0))</f>
        <v>0</v>
      </c>
      <c r="W36" s="489">
        <f>('Winners-Losers Values PMPM'!AW24*12)*(1-$I$10)+$M$8*(($I$8*12)*IFERROR((('Winners-Losers Values PMPM'!AY24*12)/('Winners-Losers Values PMPM'!AY$107*12)),0))</f>
        <v>0</v>
      </c>
      <c r="X36" s="489">
        <f>('Winners-Losers Values PMPM'!AT24*12)*(1-$I$11)+$N$8*(($I$8*12)*IFERROR((('Winners-Losers Values PMPM'!AY24*12)/('Winners-Losers Values PMPM'!AY$107*12)),0))</f>
        <v>0</v>
      </c>
      <c r="Y36" s="510">
        <f t="shared" si="10"/>
        <v>-288.26087712588196</v>
      </c>
      <c r="AA36" s="510">
        <f t="shared" si="11"/>
        <v>4443.3239894938342</v>
      </c>
      <c r="AB36" s="510">
        <f t="shared" si="11"/>
        <v>0</v>
      </c>
      <c r="AC36" s="510">
        <f t="shared" si="11"/>
        <v>0</v>
      </c>
      <c r="AD36" s="510">
        <f t="shared" si="11"/>
        <v>0</v>
      </c>
      <c r="AE36" s="510">
        <f t="shared" si="12"/>
        <v>471.98996185153999</v>
      </c>
      <c r="AF36" s="510">
        <f t="shared" si="13"/>
        <v>4915.3139513453743</v>
      </c>
      <c r="AG36" s="510">
        <f t="shared" si="14"/>
        <v>3.3645726154408369E+22</v>
      </c>
      <c r="AH36" s="510">
        <f t="shared" si="15"/>
        <v>3.3645726154408369E+22</v>
      </c>
      <c r="AJ36" s="510">
        <f t="shared" si="16"/>
        <v>-288.26087712588196</v>
      </c>
      <c r="AK36" s="510">
        <f t="shared" si="17"/>
        <v>0</v>
      </c>
      <c r="AL36" s="510">
        <f t="shared" si="17"/>
        <v>0</v>
      </c>
      <c r="AM36" s="510">
        <f t="shared" si="17"/>
        <v>0</v>
      </c>
      <c r="AN36" s="510">
        <f t="shared" si="18"/>
        <v>0</v>
      </c>
      <c r="AO36" s="510">
        <f t="shared" si="19"/>
        <v>-288.26087712588196</v>
      </c>
      <c r="AQ36" s="510">
        <f t="shared" si="20"/>
        <v>4155.0631123679523</v>
      </c>
      <c r="AR36" s="510">
        <f t="shared" si="20"/>
        <v>0</v>
      </c>
      <c r="AS36" s="510">
        <f t="shared" si="20"/>
        <v>0</v>
      </c>
      <c r="AT36" s="510">
        <f t="shared" si="20"/>
        <v>0</v>
      </c>
      <c r="AU36" s="510">
        <f t="shared" si="20"/>
        <v>471.98996185153999</v>
      </c>
      <c r="AV36" s="510">
        <f t="shared" si="21"/>
        <v>4627.0530742194924</v>
      </c>
      <c r="AW36" s="510">
        <f t="shared" si="22"/>
        <v>3.3645726154408369E+22</v>
      </c>
      <c r="AX36" s="510">
        <f t="shared" si="23"/>
        <v>3.3645726154408369E+22</v>
      </c>
      <c r="AY36" s="510">
        <f t="shared" si="24"/>
        <v>3.3645726154408369E+22</v>
      </c>
      <c r="AZ36" s="490">
        <f t="shared" si="25"/>
        <v>-3.3645726154408369E+22</v>
      </c>
      <c r="BA36" s="510">
        <f t="shared" si="26"/>
        <v>6.7291452308816738E+22</v>
      </c>
    </row>
    <row r="37" spans="1:53" x14ac:dyDescent="0.2">
      <c r="A37">
        <f t="shared" si="27"/>
        <v>20</v>
      </c>
      <c r="B37" s="510">
        <f>'Assumptions-Output Target'!$D$12*'Assumptions-Output Override'!$D$11*$I$2*12</f>
        <v>3935.8341983467963</v>
      </c>
      <c r="C37" s="510">
        <f t="shared" si="1"/>
        <v>-3.3645726154408369E+22</v>
      </c>
      <c r="D37" s="510">
        <f t="shared" si="2"/>
        <v>0</v>
      </c>
      <c r="E37" s="510">
        <f t="shared" si="0"/>
        <v>471.98996185153999</v>
      </c>
      <c r="F37" s="510">
        <f t="shared" si="3"/>
        <v>3.3645726154408369E+22</v>
      </c>
      <c r="G37" s="510">
        <f>$I$5*'Assumptions-Output Override'!$D$12*12</f>
        <v>4443.3239894938342</v>
      </c>
      <c r="H37" s="489">
        <f>'Winners-Losers Values PMPM'!AV25*$I$9*12</f>
        <v>0</v>
      </c>
      <c r="I37" s="489">
        <f>('Winners-Losers Values PMPM'!AW25*12)*$I$10</f>
        <v>0</v>
      </c>
      <c r="J37" s="489">
        <f>('Winners-Losers Values PMPM'!AT25*12)*$I$11</f>
        <v>0</v>
      </c>
      <c r="K37" s="510">
        <f t="shared" si="4"/>
        <v>4443.3239894938342</v>
      </c>
      <c r="L37" s="510">
        <f t="shared" si="5"/>
        <v>3.3645726154408369E+22</v>
      </c>
      <c r="M37" s="510">
        <f t="shared" si="6"/>
        <v>0</v>
      </c>
      <c r="N37" s="489">
        <f>'Winners-Losers Values PMPM'!AP25*12</f>
        <v>0</v>
      </c>
      <c r="O37" s="489">
        <f>'Winners-Losers Values PMPM'!AQ25*12</f>
        <v>0</v>
      </c>
      <c r="P37" s="489">
        <f>'Winners-Losers Values PMPM'!AR25*12</f>
        <v>0</v>
      </c>
      <c r="Q37" s="489">
        <f>'Winners-Losers Values PMPM'!AO25*12</f>
        <v>0</v>
      </c>
      <c r="R37" s="510">
        <f t="shared" si="7"/>
        <v>0</v>
      </c>
      <c r="S37" s="489">
        <f t="shared" si="8"/>
        <v>0</v>
      </c>
      <c r="T37" s="489">
        <f t="shared" si="9"/>
        <v>0</v>
      </c>
      <c r="U37" s="510">
        <f>((('Assumptions-Output Override'!$H$60+'Assumptions-Output Override'!$H$61)/('Assumptions-Output Override'!$F$60+'Assumptions-Output Override'!$F$61))*'HRA Balance Calc'!$I$5*12)+($K$8*(($I$8*12)))</f>
        <v>-288.26087712588196</v>
      </c>
      <c r="V37" s="489">
        <f>'Winners-Losers Values PMPM'!AV25*(1-$I$9)*12+$L$8*(($I$8*12)*IFERROR((('Winners-Losers Values PMPM'!AY25*12)/('Winners-Losers Values PMPM'!AY$107*12)),0))</f>
        <v>0</v>
      </c>
      <c r="W37" s="489">
        <f>('Winners-Losers Values PMPM'!AW25*12)*(1-$I$10)+$M$8*(($I$8*12)*IFERROR((('Winners-Losers Values PMPM'!AY25*12)/('Winners-Losers Values PMPM'!AY$107*12)),0))</f>
        <v>0</v>
      </c>
      <c r="X37" s="489">
        <f>('Winners-Losers Values PMPM'!AT25*12)*(1-$I$11)+$N$8*(($I$8*12)*IFERROR((('Winners-Losers Values PMPM'!AY25*12)/('Winners-Losers Values PMPM'!AY$107*12)),0))</f>
        <v>0</v>
      </c>
      <c r="Y37" s="510">
        <f t="shared" si="10"/>
        <v>-288.26087712588196</v>
      </c>
      <c r="AA37" s="510">
        <f t="shared" si="11"/>
        <v>4443.3239894938342</v>
      </c>
      <c r="AB37" s="510">
        <f t="shared" si="11"/>
        <v>0</v>
      </c>
      <c r="AC37" s="510">
        <f t="shared" si="11"/>
        <v>0</v>
      </c>
      <c r="AD37" s="510">
        <f t="shared" si="11"/>
        <v>0</v>
      </c>
      <c r="AE37" s="510">
        <f t="shared" si="12"/>
        <v>471.98996185153999</v>
      </c>
      <c r="AF37" s="510">
        <f t="shared" si="13"/>
        <v>4915.3139513453743</v>
      </c>
      <c r="AG37" s="510">
        <f t="shared" si="14"/>
        <v>3.3645726154408369E+22</v>
      </c>
      <c r="AH37" s="510">
        <f t="shared" si="15"/>
        <v>3.3645726154408369E+22</v>
      </c>
      <c r="AJ37" s="510">
        <f t="shared" si="16"/>
        <v>-288.26087712588196</v>
      </c>
      <c r="AK37" s="510">
        <f t="shared" si="17"/>
        <v>0</v>
      </c>
      <c r="AL37" s="510">
        <f t="shared" si="17"/>
        <v>0</v>
      </c>
      <c r="AM37" s="510">
        <f t="shared" si="17"/>
        <v>0</v>
      </c>
      <c r="AN37" s="510">
        <f t="shared" si="18"/>
        <v>0</v>
      </c>
      <c r="AO37" s="510">
        <f t="shared" si="19"/>
        <v>-288.26087712588196</v>
      </c>
      <c r="AQ37" s="510">
        <f t="shared" si="20"/>
        <v>4155.0631123679523</v>
      </c>
      <c r="AR37" s="510">
        <f t="shared" si="20"/>
        <v>0</v>
      </c>
      <c r="AS37" s="510">
        <f t="shared" si="20"/>
        <v>0</v>
      </c>
      <c r="AT37" s="510">
        <f t="shared" si="20"/>
        <v>0</v>
      </c>
      <c r="AU37" s="510">
        <f t="shared" si="20"/>
        <v>471.98996185153999</v>
      </c>
      <c r="AV37" s="510">
        <f t="shared" si="21"/>
        <v>4627.0530742194924</v>
      </c>
      <c r="AW37" s="510">
        <f t="shared" si="22"/>
        <v>3.3645726154408369E+22</v>
      </c>
      <c r="AX37" s="510">
        <f t="shared" si="23"/>
        <v>3.3645726154408369E+22</v>
      </c>
      <c r="AY37" s="510">
        <f t="shared" si="24"/>
        <v>3.3645726154408369E+22</v>
      </c>
      <c r="AZ37" s="490">
        <f t="shared" si="25"/>
        <v>-3.3645726154408369E+22</v>
      </c>
      <c r="BA37" s="510">
        <f t="shared" si="26"/>
        <v>6.7291452308816738E+22</v>
      </c>
    </row>
    <row r="38" spans="1:53" x14ac:dyDescent="0.2">
      <c r="A38">
        <f t="shared" si="27"/>
        <v>21</v>
      </c>
      <c r="B38" s="510">
        <f>'Assumptions-Output Target'!$D$12*'Assumptions-Output Override'!$D$11*$I$2*12</f>
        <v>3935.8341983467963</v>
      </c>
      <c r="C38" s="510">
        <f t="shared" si="1"/>
        <v>-3.3645726154408369E+22</v>
      </c>
      <c r="D38" s="510">
        <f t="shared" si="2"/>
        <v>0</v>
      </c>
      <c r="E38" s="510">
        <f t="shared" si="0"/>
        <v>471.98996185153999</v>
      </c>
      <c r="F38" s="510">
        <f t="shared" si="3"/>
        <v>3.3645726154408369E+22</v>
      </c>
      <c r="G38" s="510">
        <f>$I$5*'Assumptions-Output Override'!$D$12*12</f>
        <v>4443.3239894938342</v>
      </c>
      <c r="H38" s="489">
        <f>'Winners-Losers Values PMPM'!AV26*$I$9*12</f>
        <v>0</v>
      </c>
      <c r="I38" s="489">
        <f>('Winners-Losers Values PMPM'!AW26*12)*$I$10</f>
        <v>0</v>
      </c>
      <c r="J38" s="489">
        <f>('Winners-Losers Values PMPM'!AT26*12)*$I$11</f>
        <v>0</v>
      </c>
      <c r="K38" s="510">
        <f t="shared" si="4"/>
        <v>4443.3239894938342</v>
      </c>
      <c r="L38" s="510">
        <f t="shared" si="5"/>
        <v>3.3645726154408369E+22</v>
      </c>
      <c r="M38" s="510">
        <f t="shared" si="6"/>
        <v>0</v>
      </c>
      <c r="N38" s="489">
        <f>'Winners-Losers Values PMPM'!AP26*12</f>
        <v>0</v>
      </c>
      <c r="O38" s="489">
        <f>'Winners-Losers Values PMPM'!AQ26*12</f>
        <v>0</v>
      </c>
      <c r="P38" s="489">
        <f>'Winners-Losers Values PMPM'!AR26*12</f>
        <v>0</v>
      </c>
      <c r="Q38" s="489">
        <f>'Winners-Losers Values PMPM'!AO26*12</f>
        <v>0</v>
      </c>
      <c r="R38" s="510">
        <f t="shared" si="7"/>
        <v>0</v>
      </c>
      <c r="S38" s="489">
        <f t="shared" si="8"/>
        <v>0</v>
      </c>
      <c r="T38" s="489">
        <f t="shared" si="9"/>
        <v>0</v>
      </c>
      <c r="U38" s="510">
        <f>((('Assumptions-Output Override'!$H$60+'Assumptions-Output Override'!$H$61)/('Assumptions-Output Override'!$F$60+'Assumptions-Output Override'!$F$61))*'HRA Balance Calc'!$I$5*12)+($K$8*(($I$8*12)))</f>
        <v>-288.26087712588196</v>
      </c>
      <c r="V38" s="489">
        <f>'Winners-Losers Values PMPM'!AV26*(1-$I$9)*12+$L$8*(($I$8*12)*IFERROR((('Winners-Losers Values PMPM'!AY26*12)/('Winners-Losers Values PMPM'!AY$107*12)),0))</f>
        <v>0</v>
      </c>
      <c r="W38" s="489">
        <f>('Winners-Losers Values PMPM'!AW26*12)*(1-$I$10)+$M$8*(($I$8*12)*IFERROR((('Winners-Losers Values PMPM'!AY26*12)/('Winners-Losers Values PMPM'!AY$107*12)),0))</f>
        <v>0</v>
      </c>
      <c r="X38" s="489">
        <f>('Winners-Losers Values PMPM'!AT26*12)*(1-$I$11)+$N$8*(($I$8*12)*IFERROR((('Winners-Losers Values PMPM'!AY26*12)/('Winners-Losers Values PMPM'!AY$107*12)),0))</f>
        <v>0</v>
      </c>
      <c r="Y38" s="510">
        <f t="shared" si="10"/>
        <v>-288.26087712588196</v>
      </c>
      <c r="AA38" s="510">
        <f t="shared" si="11"/>
        <v>4443.3239894938342</v>
      </c>
      <c r="AB38" s="510">
        <f t="shared" si="11"/>
        <v>0</v>
      </c>
      <c r="AC38" s="510">
        <f t="shared" si="11"/>
        <v>0</v>
      </c>
      <c r="AD38" s="510">
        <f t="shared" si="11"/>
        <v>0</v>
      </c>
      <c r="AE38" s="510">
        <f t="shared" si="12"/>
        <v>471.98996185153999</v>
      </c>
      <c r="AF38" s="510">
        <f t="shared" si="13"/>
        <v>4915.3139513453743</v>
      </c>
      <c r="AG38" s="510">
        <f t="shared" si="14"/>
        <v>3.3645726154408369E+22</v>
      </c>
      <c r="AH38" s="510">
        <f t="shared" si="15"/>
        <v>3.3645726154408369E+22</v>
      </c>
      <c r="AJ38" s="510">
        <f t="shared" si="16"/>
        <v>-288.26087712588196</v>
      </c>
      <c r="AK38" s="510">
        <f t="shared" si="17"/>
        <v>0</v>
      </c>
      <c r="AL38" s="510">
        <f t="shared" si="17"/>
        <v>0</v>
      </c>
      <c r="AM38" s="510">
        <f t="shared" si="17"/>
        <v>0</v>
      </c>
      <c r="AN38" s="510">
        <f t="shared" si="18"/>
        <v>0</v>
      </c>
      <c r="AO38" s="510">
        <f t="shared" si="19"/>
        <v>-288.26087712588196</v>
      </c>
      <c r="AQ38" s="510">
        <f t="shared" si="20"/>
        <v>4155.0631123679523</v>
      </c>
      <c r="AR38" s="510">
        <f t="shared" si="20"/>
        <v>0</v>
      </c>
      <c r="AS38" s="510">
        <f t="shared" si="20"/>
        <v>0</v>
      </c>
      <c r="AT38" s="510">
        <f t="shared" si="20"/>
        <v>0</v>
      </c>
      <c r="AU38" s="510">
        <f t="shared" si="20"/>
        <v>471.98996185153999</v>
      </c>
      <c r="AV38" s="510">
        <f t="shared" si="21"/>
        <v>4627.0530742194924</v>
      </c>
      <c r="AW38" s="510">
        <f t="shared" si="22"/>
        <v>3.3645726154408369E+22</v>
      </c>
      <c r="AX38" s="510">
        <f t="shared" si="23"/>
        <v>3.3645726154408369E+22</v>
      </c>
      <c r="AY38" s="510">
        <f t="shared" si="24"/>
        <v>3.3645726154408369E+22</v>
      </c>
      <c r="AZ38" s="490">
        <f t="shared" si="25"/>
        <v>-3.3645726154408369E+22</v>
      </c>
      <c r="BA38" s="510">
        <f t="shared" si="26"/>
        <v>6.7291452308816738E+22</v>
      </c>
    </row>
    <row r="39" spans="1:53" x14ac:dyDescent="0.2">
      <c r="A39">
        <v>22</v>
      </c>
      <c r="B39" s="510">
        <f>'Assumptions-Output Target'!$D$12*'Assumptions-Output Override'!$D$11*$I$2*12</f>
        <v>3935.8341983467963</v>
      </c>
      <c r="C39" s="510">
        <f t="shared" si="1"/>
        <v>-3.3645726154408369E+22</v>
      </c>
      <c r="D39" s="510">
        <f t="shared" si="2"/>
        <v>0</v>
      </c>
      <c r="E39" s="510">
        <f t="shared" si="0"/>
        <v>471.98996185153999</v>
      </c>
      <c r="F39" s="510">
        <f t="shared" si="3"/>
        <v>3.3645726154408369E+22</v>
      </c>
      <c r="G39" s="510">
        <f>$I$5*'Assumptions-Output Override'!$D$12*12</f>
        <v>4443.3239894938342</v>
      </c>
      <c r="H39" s="489">
        <f>'Winners-Losers Values PMPM'!AV27*$I$9*12</f>
        <v>-42.193797948904795</v>
      </c>
      <c r="I39" s="489">
        <f>('Winners-Losers Values PMPM'!AW27*12)*$I$10</f>
        <v>0</v>
      </c>
      <c r="J39" s="489">
        <f>('Winners-Losers Values PMPM'!AT27*12)*$I$11</f>
        <v>0</v>
      </c>
      <c r="K39" s="510">
        <f t="shared" si="4"/>
        <v>4401.1301915449294</v>
      </c>
      <c r="L39" s="510">
        <f t="shared" si="5"/>
        <v>3.3645726154408369E+22</v>
      </c>
      <c r="M39" s="510">
        <f t="shared" si="6"/>
        <v>0</v>
      </c>
      <c r="N39" s="489">
        <f>'Winners-Losers Values PMPM'!AP27*12</f>
        <v>0</v>
      </c>
      <c r="O39" s="489">
        <f>'Winners-Losers Values PMPM'!AQ27*12</f>
        <v>75.638195764485175</v>
      </c>
      <c r="P39" s="489">
        <f>'Winners-Losers Values PMPM'!AR27*12</f>
        <v>0</v>
      </c>
      <c r="Q39" s="489">
        <f>'Winners-Losers Values PMPM'!AO27*12</f>
        <v>0</v>
      </c>
      <c r="R39" s="510">
        <f t="shared" si="7"/>
        <v>75.638195764485175</v>
      </c>
      <c r="S39" s="489">
        <f t="shared" si="8"/>
        <v>68.192231420560802</v>
      </c>
      <c r="T39" s="489">
        <f t="shared" si="9"/>
        <v>68.192231420560802</v>
      </c>
      <c r="U39" s="510">
        <f>((('Assumptions-Output Override'!$H$60+'Assumptions-Output Override'!$H$61)/('Assumptions-Output Override'!$F$60+'Assumptions-Output Override'!$F$61))*'HRA Balance Calc'!$I$5*12)+($K$8*(($I$8*12)))</f>
        <v>-288.26087712588196</v>
      </c>
      <c r="V39" s="489">
        <f>'Winners-Losers Values PMPM'!AV27*(1-$I$9)*12+$L$8*(($I$8*12)*IFERROR((('Winners-Losers Values PMPM'!AY27*12)/('Winners-Losers Values PMPM'!AY$107*12)),0))</f>
        <v>-7.445964343924377</v>
      </c>
      <c r="W39" s="489">
        <f>('Winners-Losers Values PMPM'!AW27*12)*(1-$I$10)+$M$8*(($I$8*12)*IFERROR((('Winners-Losers Values PMPM'!AY27*12)/('Winners-Losers Values PMPM'!AY$107*12)),0))</f>
        <v>0</v>
      </c>
      <c r="X39" s="489">
        <f>('Winners-Losers Values PMPM'!AT27*12)*(1-$I$11)+$N$8*(($I$8*12)*IFERROR((('Winners-Losers Values PMPM'!AY27*12)/('Winners-Losers Values PMPM'!AY$107*12)),0))</f>
        <v>0</v>
      </c>
      <c r="Y39" s="510">
        <f t="shared" si="10"/>
        <v>-295.70684146980636</v>
      </c>
      <c r="AA39" s="510">
        <f t="shared" si="11"/>
        <v>4443.3239894938342</v>
      </c>
      <c r="AB39" s="510">
        <f t="shared" si="11"/>
        <v>-42.193797948904795</v>
      </c>
      <c r="AC39" s="510">
        <f t="shared" si="11"/>
        <v>0</v>
      </c>
      <c r="AD39" s="510">
        <f t="shared" si="11"/>
        <v>0</v>
      </c>
      <c r="AE39" s="510">
        <f t="shared" si="12"/>
        <v>471.98996185153999</v>
      </c>
      <c r="AF39" s="510">
        <f t="shared" si="13"/>
        <v>4873.1201533964695</v>
      </c>
      <c r="AG39" s="510">
        <f t="shared" si="14"/>
        <v>3.3645726154408369E+22</v>
      </c>
      <c r="AH39" s="510">
        <f t="shared" si="15"/>
        <v>3.3645726154408369E+22</v>
      </c>
      <c r="AJ39" s="510">
        <f t="shared" si="16"/>
        <v>-288.26087712588196</v>
      </c>
      <c r="AK39" s="510">
        <f t="shared" si="17"/>
        <v>68.192231420560802</v>
      </c>
      <c r="AL39" s="510">
        <f t="shared" si="17"/>
        <v>0</v>
      </c>
      <c r="AM39" s="510">
        <f t="shared" si="17"/>
        <v>0</v>
      </c>
      <c r="AN39" s="510">
        <f t="shared" si="18"/>
        <v>0</v>
      </c>
      <c r="AO39" s="510">
        <f t="shared" si="19"/>
        <v>-220.06864570532116</v>
      </c>
      <c r="AQ39" s="510">
        <f t="shared" si="20"/>
        <v>4155.0631123679523</v>
      </c>
      <c r="AR39" s="510">
        <f t="shared" si="20"/>
        <v>25.998433471656007</v>
      </c>
      <c r="AS39" s="510">
        <f t="shared" si="20"/>
        <v>0</v>
      </c>
      <c r="AT39" s="510">
        <f t="shared" si="20"/>
        <v>0</v>
      </c>
      <c r="AU39" s="510">
        <f t="shared" si="20"/>
        <v>471.98996185153999</v>
      </c>
      <c r="AV39" s="510">
        <f t="shared" si="21"/>
        <v>4653.0515076911488</v>
      </c>
      <c r="AW39" s="510">
        <f t="shared" si="22"/>
        <v>3.3645726154408369E+22</v>
      </c>
      <c r="AX39" s="510">
        <f t="shared" si="23"/>
        <v>3.3645726154408369E+22</v>
      </c>
      <c r="AY39" s="510">
        <f t="shared" si="24"/>
        <v>3.3645726154408369E+22</v>
      </c>
      <c r="AZ39" s="490">
        <f t="shared" si="25"/>
        <v>-3.3645726154408369E+22</v>
      </c>
      <c r="BA39" s="510">
        <f t="shared" si="26"/>
        <v>6.7291452308816738E+22</v>
      </c>
    </row>
    <row r="40" spans="1:53" x14ac:dyDescent="0.2">
      <c r="A40">
        <v>23</v>
      </c>
      <c r="B40" s="510">
        <f>'Assumptions-Output Target'!$D$12*'Assumptions-Output Override'!$D$11*$I$2*12</f>
        <v>3935.8341983467963</v>
      </c>
      <c r="C40" s="510">
        <f t="shared" si="1"/>
        <v>-3.3645726154408369E+22</v>
      </c>
      <c r="D40" s="510">
        <f t="shared" si="2"/>
        <v>0</v>
      </c>
      <c r="E40" s="510">
        <f t="shared" si="0"/>
        <v>471.98996185153999</v>
      </c>
      <c r="F40" s="510">
        <f t="shared" si="3"/>
        <v>3.3645726154408369E+22</v>
      </c>
      <c r="G40" s="510">
        <f>$I$5*'Assumptions-Output Override'!$D$12*12</f>
        <v>4443.3239894938342</v>
      </c>
      <c r="H40" s="489">
        <f>'Winners-Losers Values PMPM'!AV28*$I$9*12</f>
        <v>44.543231252825855</v>
      </c>
      <c r="I40" s="489">
        <f>('Winners-Losers Values PMPM'!AW28*12)*$I$10</f>
        <v>1.6900420509952427E-2</v>
      </c>
      <c r="J40" s="489">
        <f>('Winners-Losers Values PMPM'!AT28*12)*$I$11</f>
        <v>4.6432425282165311E-4</v>
      </c>
      <c r="K40" s="510">
        <f t="shared" si="4"/>
        <v>4487.8845854914225</v>
      </c>
      <c r="L40" s="510">
        <f t="shared" si="5"/>
        <v>3.3645726154408369E+22</v>
      </c>
      <c r="M40" s="510">
        <f t="shared" si="6"/>
        <v>0</v>
      </c>
      <c r="N40" s="489">
        <f>'Winners-Losers Values PMPM'!AP28*12</f>
        <v>151.03100205053593</v>
      </c>
      <c r="O40" s="489">
        <f>'Winners-Losers Values PMPM'!AQ28*12</f>
        <v>99.263423438784685</v>
      </c>
      <c r="P40" s="489">
        <f>'Winners-Losers Values PMPM'!AR28*12</f>
        <v>6.8731368211382609E-4</v>
      </c>
      <c r="Q40" s="489">
        <f>'Winners-Losers Values PMPM'!AO28*12</f>
        <v>0</v>
      </c>
      <c r="R40" s="510">
        <f t="shared" si="7"/>
        <v>250.29511280300272</v>
      </c>
      <c r="S40" s="489">
        <f t="shared" si="8"/>
        <v>258.15972522095359</v>
      </c>
      <c r="T40" s="489">
        <f t="shared" si="9"/>
        <v>258.15972522095359</v>
      </c>
      <c r="U40" s="510">
        <f>((('Assumptions-Output Override'!$H$60+'Assumptions-Output Override'!$H$61)/('Assumptions-Output Override'!$F$60+'Assumptions-Output Override'!$F$61))*'HRA Balance Calc'!$I$5*12)+($K$8*(($I$8*12)))</f>
        <v>-288.26087712588196</v>
      </c>
      <c r="V40" s="489">
        <f>'Winners-Losers Values PMPM'!AV28*(1-$I$9)*12+$L$8*(($I$8*12)*IFERROR((('Winners-Losers Values PMPM'!AY28*12)/('Winners-Losers Values PMPM'!AY$107*12)),0))</f>
        <v>7.8605702210869168</v>
      </c>
      <c r="W40" s="489">
        <f>('Winners-Losers Values PMPM'!AW28*12)*(1-$I$10)+$M$8*(($I$8*12)*IFERROR((('Winners-Losers Values PMPM'!AY28*12)/('Winners-Losers Values PMPM'!AY$107*12)),0))</f>
        <v>2.9824271488151344E-3</v>
      </c>
      <c r="X40" s="489">
        <f>('Winners-Losers Values PMPM'!AT28*12)*(1-$I$11)+$N$8*(($I$8*12)*IFERROR((('Winners-Losers Values PMPM'!AY28*12)/('Winners-Losers Values PMPM'!AY$107*12)),0))</f>
        <v>1.059769715129564E-3</v>
      </c>
      <c r="Y40" s="510">
        <f t="shared" si="10"/>
        <v>-280.3962647079311</v>
      </c>
      <c r="AA40" s="510">
        <f t="shared" si="11"/>
        <v>4443.3239894938342</v>
      </c>
      <c r="AB40" s="510">
        <f t="shared" si="11"/>
        <v>44.543231252825855</v>
      </c>
      <c r="AC40" s="510">
        <f t="shared" si="11"/>
        <v>1.6900420509952427E-2</v>
      </c>
      <c r="AD40" s="510">
        <f t="shared" si="11"/>
        <v>4.6432425282165311E-4</v>
      </c>
      <c r="AE40" s="510">
        <f t="shared" si="12"/>
        <v>471.98996185153999</v>
      </c>
      <c r="AF40" s="510">
        <f t="shared" si="13"/>
        <v>4959.8745473429626</v>
      </c>
      <c r="AG40" s="510">
        <f t="shared" si="14"/>
        <v>3.3645726154408369E+22</v>
      </c>
      <c r="AH40" s="510">
        <f t="shared" si="15"/>
        <v>3.3645726154408369E+22</v>
      </c>
      <c r="AJ40" s="510">
        <f t="shared" si="16"/>
        <v>-137.22987507534603</v>
      </c>
      <c r="AK40" s="510">
        <f t="shared" si="17"/>
        <v>107.1239936598716</v>
      </c>
      <c r="AL40" s="510">
        <f t="shared" si="17"/>
        <v>3.6697408309289605E-3</v>
      </c>
      <c r="AM40" s="510">
        <f t="shared" si="17"/>
        <v>1.059769715129564E-3</v>
      </c>
      <c r="AN40" s="510">
        <f t="shared" si="18"/>
        <v>0</v>
      </c>
      <c r="AO40" s="510">
        <f t="shared" si="19"/>
        <v>-30.101151904928368</v>
      </c>
      <c r="AQ40" s="510">
        <f t="shared" si="20"/>
        <v>4306.0941144184881</v>
      </c>
      <c r="AR40" s="510">
        <f t="shared" si="20"/>
        <v>151.66722491269746</v>
      </c>
      <c r="AS40" s="510">
        <f t="shared" si="20"/>
        <v>2.0570161340881389E-2</v>
      </c>
      <c r="AT40" s="510">
        <f t="shared" si="20"/>
        <v>1.524093967951217E-3</v>
      </c>
      <c r="AU40" s="510">
        <f t="shared" si="20"/>
        <v>471.98996185153999</v>
      </c>
      <c r="AV40" s="510">
        <f t="shared" si="21"/>
        <v>4929.7733954380355</v>
      </c>
      <c r="AW40" s="510">
        <f t="shared" si="22"/>
        <v>3.3645726154408369E+22</v>
      </c>
      <c r="AX40" s="510">
        <f t="shared" si="23"/>
        <v>3.3645726154408369E+22</v>
      </c>
      <c r="AY40" s="510">
        <f t="shared" si="24"/>
        <v>3.3645726154408369E+22</v>
      </c>
      <c r="AZ40" s="490">
        <f t="shared" si="25"/>
        <v>-3.3645726154408369E+22</v>
      </c>
      <c r="BA40" s="510">
        <f t="shared" si="26"/>
        <v>6.7291452308816738E+22</v>
      </c>
    </row>
    <row r="41" spans="1:53" x14ac:dyDescent="0.2">
      <c r="A41">
        <v>24</v>
      </c>
      <c r="B41" s="510">
        <f>'Assumptions-Output Target'!$D$12*'Assumptions-Output Override'!$D$11*$I$2*12</f>
        <v>3935.8341983467963</v>
      </c>
      <c r="C41" s="510">
        <f t="shared" si="1"/>
        <v>-3.3645726154408369E+22</v>
      </c>
      <c r="D41" s="510">
        <f t="shared" si="2"/>
        <v>0</v>
      </c>
      <c r="E41" s="510">
        <f t="shared" si="0"/>
        <v>471.98996185153999</v>
      </c>
      <c r="F41" s="510">
        <f t="shared" si="3"/>
        <v>3.3645726154408369E+22</v>
      </c>
      <c r="G41" s="510">
        <f>$I$5*'Assumptions-Output Override'!$D$12*12</f>
        <v>4443.3239894938342</v>
      </c>
      <c r="H41" s="489">
        <f>'Winners-Losers Values PMPM'!AV29*$I$9*12</f>
        <v>7.0572868600546901</v>
      </c>
      <c r="I41" s="489">
        <f>('Winners-Losers Values PMPM'!AW29*12)*$I$10</f>
        <v>0</v>
      </c>
      <c r="J41" s="489">
        <f>('Winners-Losers Values PMPM'!AT29*12)*$I$11</f>
        <v>0.1830302367566147</v>
      </c>
      <c r="K41" s="510">
        <f t="shared" si="4"/>
        <v>4450.5643065906452</v>
      </c>
      <c r="L41" s="510">
        <f t="shared" si="5"/>
        <v>3.3645726154408369E+22</v>
      </c>
      <c r="M41" s="510">
        <f t="shared" si="6"/>
        <v>0</v>
      </c>
      <c r="N41" s="489">
        <f>'Winners-Losers Values PMPM'!AP29*12</f>
        <v>224.21417678462666</v>
      </c>
      <c r="O41" s="489">
        <f>'Winners-Losers Values PMPM'!AQ29*12</f>
        <v>14.695664560337367</v>
      </c>
      <c r="P41" s="489">
        <f>'Winners-Losers Values PMPM'!AR29*12</f>
        <v>0</v>
      </c>
      <c r="Q41" s="489">
        <f>'Winners-Losers Values PMPM'!AO29*12</f>
        <v>0</v>
      </c>
      <c r="R41" s="510">
        <f t="shared" si="7"/>
        <v>238.90984134496404</v>
      </c>
      <c r="S41" s="489">
        <f t="shared" si="8"/>
        <v>240.57299156009176</v>
      </c>
      <c r="T41" s="489">
        <f t="shared" si="9"/>
        <v>240.57299156009176</v>
      </c>
      <c r="U41" s="510">
        <f>((('Assumptions-Output Override'!$H$60+'Assumptions-Output Override'!$H$61)/('Assumptions-Output Override'!$F$60+'Assumptions-Output Override'!$F$61))*'HRA Balance Calc'!$I$5*12)+($K$8*(($I$8*12)))</f>
        <v>-288.26087712588196</v>
      </c>
      <c r="V41" s="489">
        <f>'Winners-Losers Values PMPM'!AV29*(1-$I$9)*12+$L$8*(($I$8*12)*IFERROR((('Winners-Losers Values PMPM'!AY29*12)/('Winners-Losers Values PMPM'!AY$107*12)),0))</f>
        <v>1.245403563539063</v>
      </c>
      <c r="W41" s="489">
        <f>('Winners-Losers Values PMPM'!AW29*12)*(1-$I$10)+$M$8*(($I$8*12)*IFERROR((('Winners-Losers Values PMPM'!AY29*12)/('Winners-Losers Values PMPM'!AY$107*12)),0))</f>
        <v>0</v>
      </c>
      <c r="X41" s="489">
        <f>('Winners-Losers Values PMPM'!AT29*12)*(1-$I$11)+$N$8*(($I$8*12)*IFERROR((('Winners-Losers Values PMPM'!AY29*12)/('Winners-Losers Values PMPM'!AY$107*12)),0))</f>
        <v>0.41774665158866481</v>
      </c>
      <c r="Y41" s="510">
        <f t="shared" si="10"/>
        <v>-286.5977269107542</v>
      </c>
      <c r="AA41" s="510">
        <f t="shared" si="11"/>
        <v>4443.3239894938342</v>
      </c>
      <c r="AB41" s="510">
        <f t="shared" si="11"/>
        <v>7.0572868600546901</v>
      </c>
      <c r="AC41" s="510">
        <f t="shared" si="11"/>
        <v>0</v>
      </c>
      <c r="AD41" s="510">
        <f t="shared" si="11"/>
        <v>0.1830302367566147</v>
      </c>
      <c r="AE41" s="510">
        <f t="shared" si="12"/>
        <v>471.98996185153999</v>
      </c>
      <c r="AF41" s="510">
        <f t="shared" si="13"/>
        <v>4922.5542684421853</v>
      </c>
      <c r="AG41" s="510">
        <f t="shared" si="14"/>
        <v>3.3645726154408369E+22</v>
      </c>
      <c r="AH41" s="510">
        <f t="shared" si="15"/>
        <v>3.3645726154408369E+22</v>
      </c>
      <c r="AJ41" s="510">
        <f t="shared" si="16"/>
        <v>-64.046700341255303</v>
      </c>
      <c r="AK41" s="510">
        <f t="shared" si="17"/>
        <v>15.94106812387643</v>
      </c>
      <c r="AL41" s="510">
        <f t="shared" si="17"/>
        <v>0</v>
      </c>
      <c r="AM41" s="510">
        <f t="shared" si="17"/>
        <v>0.41774665158866481</v>
      </c>
      <c r="AN41" s="510">
        <f t="shared" si="18"/>
        <v>0</v>
      </c>
      <c r="AO41" s="510">
        <f t="shared" si="19"/>
        <v>-47.687885565790204</v>
      </c>
      <c r="AQ41" s="510">
        <f t="shared" si="20"/>
        <v>4379.2772891525792</v>
      </c>
      <c r="AR41" s="510">
        <f t="shared" si="20"/>
        <v>22.998354983931122</v>
      </c>
      <c r="AS41" s="510">
        <f t="shared" si="20"/>
        <v>0</v>
      </c>
      <c r="AT41" s="510">
        <f t="shared" si="20"/>
        <v>0.60077688834527954</v>
      </c>
      <c r="AU41" s="510">
        <f t="shared" si="20"/>
        <v>471.98996185153999</v>
      </c>
      <c r="AV41" s="510">
        <f t="shared" si="21"/>
        <v>4874.8663828763956</v>
      </c>
      <c r="AW41" s="510">
        <f t="shared" si="22"/>
        <v>3.3645726154408369E+22</v>
      </c>
      <c r="AX41" s="510">
        <f t="shared" si="23"/>
        <v>3.3645726154408369E+22</v>
      </c>
      <c r="AY41" s="510">
        <f t="shared" si="24"/>
        <v>3.3645726154408369E+22</v>
      </c>
      <c r="AZ41" s="490">
        <f t="shared" si="25"/>
        <v>-3.3645726154408369E+22</v>
      </c>
      <c r="BA41" s="510">
        <f t="shared" si="26"/>
        <v>6.7291452308816738E+22</v>
      </c>
    </row>
    <row r="42" spans="1:53" x14ac:dyDescent="0.2">
      <c r="A42">
        <v>25</v>
      </c>
      <c r="B42" s="510">
        <f>'Assumptions-Output Target'!$D$12*'Assumptions-Output Override'!$D$11*$I$2*12</f>
        <v>3935.8341983467963</v>
      </c>
      <c r="C42" s="510">
        <f t="shared" si="1"/>
        <v>-3.3645726154408369E+22</v>
      </c>
      <c r="D42" s="510">
        <f t="shared" si="2"/>
        <v>0</v>
      </c>
      <c r="E42" s="510">
        <f t="shared" si="0"/>
        <v>471.98996185153999</v>
      </c>
      <c r="F42" s="510">
        <f t="shared" si="3"/>
        <v>3.3645726154408369E+22</v>
      </c>
      <c r="G42" s="510">
        <f>$I$5*'Assumptions-Output Override'!$D$12*12</f>
        <v>4443.3239894938342</v>
      </c>
      <c r="H42" s="489">
        <f>'Winners-Losers Values PMPM'!AV30*$I$9*12</f>
        <v>7.2239852841717767</v>
      </c>
      <c r="I42" s="489">
        <f>('Winners-Losers Values PMPM'!AW30*12)*$I$10</f>
        <v>0</v>
      </c>
      <c r="J42" s="489">
        <f>('Winners-Losers Values PMPM'!AT30*12)*$I$11</f>
        <v>0.88834540139294071</v>
      </c>
      <c r="K42" s="510">
        <f t="shared" si="4"/>
        <v>4451.4363201793994</v>
      </c>
      <c r="L42" s="510">
        <f t="shared" si="5"/>
        <v>3.3645726154408369E+22</v>
      </c>
      <c r="M42" s="510">
        <f t="shared" si="6"/>
        <v>0</v>
      </c>
      <c r="N42" s="489">
        <f>'Winners-Losers Values PMPM'!AP30*12</f>
        <v>237.3790737091407</v>
      </c>
      <c r="O42" s="489">
        <f>'Winners-Losers Values PMPM'!AQ30*12</f>
        <v>16.263297167027869</v>
      </c>
      <c r="P42" s="489">
        <f>'Winners-Losers Values PMPM'!AR30*12</f>
        <v>0</v>
      </c>
      <c r="Q42" s="489">
        <f>'Winners-Losers Values PMPM'!AO30*12</f>
        <v>0</v>
      </c>
      <c r="R42" s="510">
        <f t="shared" si="7"/>
        <v>253.64237087616857</v>
      </c>
      <c r="S42" s="489">
        <f t="shared" si="8"/>
        <v>256.94474377747105</v>
      </c>
      <c r="T42" s="489">
        <f t="shared" si="9"/>
        <v>256.94474377747105</v>
      </c>
      <c r="U42" s="510">
        <f>((('Assumptions-Output Override'!$H$60+'Assumptions-Output Override'!$H$61)/('Assumptions-Output Override'!$F$60+'Assumptions-Output Override'!$F$61))*'HRA Balance Calc'!$I$5*12)+($K$8*(($I$8*12)))</f>
        <v>-288.26087712588196</v>
      </c>
      <c r="V42" s="489">
        <f>'Winners-Losers Values PMPM'!AV30*(1-$I$9)*12+$L$8*(($I$8*12)*IFERROR((('Winners-Losers Values PMPM'!AY30*12)/('Winners-Losers Values PMPM'!AY$107*12)),0))</f>
        <v>1.2748209325009021</v>
      </c>
      <c r="W42" s="489">
        <f>('Winners-Losers Values PMPM'!AW30*12)*(1-$I$10)+$M$8*(($I$8*12)*IFERROR((('Winners-Losers Values PMPM'!AY30*12)/('Winners-Losers Values PMPM'!AY$107*12)),0))</f>
        <v>0</v>
      </c>
      <c r="X42" s="489">
        <f>('Winners-Losers Values PMPM'!AT30*12)*(1-$I$11)+$N$8*(($I$8*12)*IFERROR((('Winners-Losers Values PMPM'!AY30*12)/('Winners-Losers Values PMPM'!AY$107*12)),0))</f>
        <v>2.027551968801558</v>
      </c>
      <c r="Y42" s="510">
        <f t="shared" si="10"/>
        <v>-284.95850422457949</v>
      </c>
      <c r="AA42" s="510">
        <f t="shared" si="11"/>
        <v>4443.3239894938342</v>
      </c>
      <c r="AB42" s="510">
        <f t="shared" si="11"/>
        <v>7.2239852841717767</v>
      </c>
      <c r="AC42" s="510">
        <f t="shared" si="11"/>
        <v>0</v>
      </c>
      <c r="AD42" s="510">
        <f t="shared" si="11"/>
        <v>0.88834540139294071</v>
      </c>
      <c r="AE42" s="510">
        <f t="shared" si="12"/>
        <v>471.98996185153999</v>
      </c>
      <c r="AF42" s="510">
        <f t="shared" si="13"/>
        <v>4923.4262820309395</v>
      </c>
      <c r="AG42" s="510">
        <f t="shared" si="14"/>
        <v>3.3645726154408369E+22</v>
      </c>
      <c r="AH42" s="510">
        <f t="shared" si="15"/>
        <v>3.3645726154408369E+22</v>
      </c>
      <c r="AJ42" s="510">
        <f t="shared" si="16"/>
        <v>-50.881803416741263</v>
      </c>
      <c r="AK42" s="510">
        <f t="shared" si="17"/>
        <v>17.53811809952877</v>
      </c>
      <c r="AL42" s="510">
        <f t="shared" si="17"/>
        <v>0</v>
      </c>
      <c r="AM42" s="510">
        <f t="shared" si="17"/>
        <v>2.027551968801558</v>
      </c>
      <c r="AN42" s="510">
        <f t="shared" si="18"/>
        <v>0</v>
      </c>
      <c r="AO42" s="510">
        <f t="shared" si="19"/>
        <v>-31.316133348410933</v>
      </c>
      <c r="AQ42" s="510">
        <f t="shared" si="20"/>
        <v>4392.4421860770926</v>
      </c>
      <c r="AR42" s="510">
        <f t="shared" si="20"/>
        <v>24.762103383700548</v>
      </c>
      <c r="AS42" s="510">
        <f t="shared" si="20"/>
        <v>0</v>
      </c>
      <c r="AT42" s="510">
        <f t="shared" si="20"/>
        <v>2.9158973701944988</v>
      </c>
      <c r="AU42" s="510">
        <f t="shared" si="20"/>
        <v>471.98996185153999</v>
      </c>
      <c r="AV42" s="510">
        <f t="shared" si="21"/>
        <v>4892.1101486825273</v>
      </c>
      <c r="AW42" s="510">
        <f t="shared" si="22"/>
        <v>3.3645726154408369E+22</v>
      </c>
      <c r="AX42" s="510">
        <f t="shared" si="23"/>
        <v>3.3645726154408369E+22</v>
      </c>
      <c r="AY42" s="510">
        <f t="shared" si="24"/>
        <v>3.3645726154408369E+22</v>
      </c>
      <c r="AZ42" s="490">
        <f t="shared" si="25"/>
        <v>-3.3645726154408369E+22</v>
      </c>
      <c r="BA42" s="510">
        <f t="shared" si="26"/>
        <v>6.7291452308816738E+22</v>
      </c>
    </row>
    <row r="43" spans="1:53" x14ac:dyDescent="0.2">
      <c r="A43">
        <v>26</v>
      </c>
      <c r="B43" s="510">
        <f>'Assumptions-Output Target'!$D$12*'Assumptions-Output Override'!$D$11*$I$2*12</f>
        <v>3935.8341983467963</v>
      </c>
      <c r="C43" s="510">
        <f t="shared" si="1"/>
        <v>-3.3645726154408369E+22</v>
      </c>
      <c r="D43" s="510">
        <f t="shared" si="2"/>
        <v>0</v>
      </c>
      <c r="E43" s="510">
        <f t="shared" si="0"/>
        <v>471.98996185153999</v>
      </c>
      <c r="F43" s="510">
        <f t="shared" si="3"/>
        <v>3.3645726154408369E+22</v>
      </c>
      <c r="G43" s="510">
        <f>$I$5*'Assumptions-Output Override'!$D$12*12</f>
        <v>4443.3239894938342</v>
      </c>
      <c r="H43" s="489">
        <f>'Winners-Losers Values PMPM'!AV31*$I$9*12</f>
        <v>7.0250423761701386</v>
      </c>
      <c r="I43" s="489">
        <f>('Winners-Losers Values PMPM'!AW31*12)*$I$10</f>
        <v>9.1770311196527239E-3</v>
      </c>
      <c r="J43" s="489">
        <f>('Winners-Losers Values PMPM'!AT31*12)*$I$11</f>
        <v>2.1340181260331974</v>
      </c>
      <c r="K43" s="510">
        <f t="shared" si="4"/>
        <v>4452.4922270271572</v>
      </c>
      <c r="L43" s="510">
        <f t="shared" si="5"/>
        <v>3.3645726154408369E+22</v>
      </c>
      <c r="M43" s="510">
        <f t="shared" si="6"/>
        <v>0</v>
      </c>
      <c r="N43" s="489">
        <f>'Winners-Losers Values PMPM'!AP31*12</f>
        <v>256.96399129486787</v>
      </c>
      <c r="O43" s="489">
        <f>'Winners-Losers Values PMPM'!AQ31*12</f>
        <v>16.646001121842495</v>
      </c>
      <c r="P43" s="489">
        <f>'Winners-Losers Values PMPM'!AR31*12</f>
        <v>3.7321550940151358E-4</v>
      </c>
      <c r="Q43" s="489">
        <f>'Winners-Losers Values PMPM'!AO31*12</f>
        <v>0</v>
      </c>
      <c r="R43" s="510">
        <f t="shared" si="7"/>
        <v>273.61036563221978</v>
      </c>
      <c r="S43" s="489">
        <f t="shared" si="8"/>
        <v>279.72236324188555</v>
      </c>
      <c r="T43" s="489">
        <f t="shared" si="9"/>
        <v>279.72236324188555</v>
      </c>
      <c r="U43" s="510">
        <f>((('Assumptions-Output Override'!$H$60+'Assumptions-Output Override'!$H$61)/('Assumptions-Output Override'!$F$60+'Assumptions-Output Override'!$F$61))*'HRA Balance Calc'!$I$5*12)+($K$8*(($I$8*12)))</f>
        <v>-288.26087712588196</v>
      </c>
      <c r="V43" s="489">
        <f>'Winners-Losers Values PMPM'!AV31*(1-$I$9)*12+$L$8*(($I$8*12)*IFERROR((('Winners-Losers Values PMPM'!AY31*12)/('Winners-Losers Values PMPM'!AY$107*12)),0))</f>
        <v>1.239713360500613</v>
      </c>
      <c r="W43" s="489">
        <f>('Winners-Losers Values PMPM'!AW31*12)*(1-$I$10)+$M$8*(($I$8*12)*IFERROR((('Winners-Losers Values PMPM'!AY31*12)/('Winners-Losers Values PMPM'!AY$107*12)),0))</f>
        <v>1.6194760799387164E-3</v>
      </c>
      <c r="X43" s="489">
        <f>('Winners-Losers Values PMPM'!AT31*12)*(1-$I$11)+$N$8*(($I$8*12)*IFERROR((('Winners-Losers Values PMPM'!AY31*12)/('Winners-Losers Values PMPM'!AY$107*12)),0))</f>
        <v>4.8706647730851911</v>
      </c>
      <c r="Y43" s="510">
        <f t="shared" si="10"/>
        <v>-282.1488795162162</v>
      </c>
      <c r="AA43" s="510">
        <f t="shared" si="11"/>
        <v>4443.3239894938342</v>
      </c>
      <c r="AB43" s="510">
        <f t="shared" si="11"/>
        <v>7.0250423761701386</v>
      </c>
      <c r="AC43" s="510">
        <f t="shared" si="11"/>
        <v>9.1770311196527239E-3</v>
      </c>
      <c r="AD43" s="510">
        <f t="shared" si="11"/>
        <v>2.1340181260331974</v>
      </c>
      <c r="AE43" s="510">
        <f t="shared" si="12"/>
        <v>471.98996185153999</v>
      </c>
      <c r="AF43" s="510">
        <f t="shared" si="13"/>
        <v>4924.4821888786973</v>
      </c>
      <c r="AG43" s="510">
        <f t="shared" si="14"/>
        <v>3.3645726154408369E+22</v>
      </c>
      <c r="AH43" s="510">
        <f t="shared" si="15"/>
        <v>3.3645726154408369E+22</v>
      </c>
      <c r="AJ43" s="510">
        <f t="shared" si="16"/>
        <v>-31.296885831014094</v>
      </c>
      <c r="AK43" s="510">
        <f t="shared" si="17"/>
        <v>17.885714482343108</v>
      </c>
      <c r="AL43" s="510">
        <f t="shared" si="17"/>
        <v>1.9926915893402298E-3</v>
      </c>
      <c r="AM43" s="510">
        <f t="shared" si="17"/>
        <v>4.8706647730851911</v>
      </c>
      <c r="AN43" s="510">
        <f t="shared" si="18"/>
        <v>0</v>
      </c>
      <c r="AO43" s="510">
        <f t="shared" si="19"/>
        <v>-8.5385138839964547</v>
      </c>
      <c r="AQ43" s="510">
        <f t="shared" si="20"/>
        <v>4412.0271036628201</v>
      </c>
      <c r="AR43" s="510">
        <f t="shared" si="20"/>
        <v>24.910756858513246</v>
      </c>
      <c r="AS43" s="510">
        <f t="shared" si="20"/>
        <v>1.1169722708992955E-2</v>
      </c>
      <c r="AT43" s="510">
        <f t="shared" si="20"/>
        <v>7.0046828991183885</v>
      </c>
      <c r="AU43" s="510">
        <f t="shared" si="20"/>
        <v>471.98996185153999</v>
      </c>
      <c r="AV43" s="510">
        <f t="shared" si="21"/>
        <v>4915.9436749947008</v>
      </c>
      <c r="AW43" s="510">
        <f t="shared" si="22"/>
        <v>3.3645726154408369E+22</v>
      </c>
      <c r="AX43" s="510">
        <f t="shared" si="23"/>
        <v>3.3645726154408369E+22</v>
      </c>
      <c r="AY43" s="510">
        <f t="shared" si="24"/>
        <v>3.3645726154408369E+22</v>
      </c>
      <c r="AZ43" s="490">
        <f t="shared" si="25"/>
        <v>-3.3645726154408369E+22</v>
      </c>
      <c r="BA43" s="510">
        <f t="shared" si="26"/>
        <v>6.7291452308816738E+22</v>
      </c>
    </row>
    <row r="44" spans="1:53" x14ac:dyDescent="0.2">
      <c r="A44">
        <v>27</v>
      </c>
      <c r="B44" s="510">
        <f>'Assumptions-Output Target'!$D$12*'Assumptions-Output Override'!$D$11*$I$2*12</f>
        <v>3935.8341983467963</v>
      </c>
      <c r="C44" s="510">
        <f t="shared" si="1"/>
        <v>-3.3645726154408369E+22</v>
      </c>
      <c r="D44" s="510">
        <f t="shared" si="2"/>
        <v>0</v>
      </c>
      <c r="E44" s="510">
        <f t="shared" si="0"/>
        <v>471.98996185153999</v>
      </c>
      <c r="F44" s="510">
        <f t="shared" si="3"/>
        <v>3.3645726154408369E+22</v>
      </c>
      <c r="G44" s="510">
        <f>$I$5*'Assumptions-Output Override'!$D$12*12</f>
        <v>4443.3239894938342</v>
      </c>
      <c r="H44" s="489">
        <f>'Winners-Losers Values PMPM'!AV32*$I$9*12</f>
        <v>7.2372475935271989</v>
      </c>
      <c r="I44" s="489">
        <f>('Winners-Losers Values PMPM'!AW32*12)*$I$10</f>
        <v>0</v>
      </c>
      <c r="J44" s="489">
        <f>('Winners-Losers Values PMPM'!AT32*12)*$I$11</f>
        <v>3.149435163762933</v>
      </c>
      <c r="K44" s="510">
        <f t="shared" si="4"/>
        <v>4453.7106722511244</v>
      </c>
      <c r="L44" s="510">
        <f t="shared" si="5"/>
        <v>3.3645726154408369E+22</v>
      </c>
      <c r="M44" s="510">
        <f t="shared" si="6"/>
        <v>0</v>
      </c>
      <c r="N44" s="489">
        <f>'Winners-Losers Values PMPM'!AP32*12</f>
        <v>265.90276236500682</v>
      </c>
      <c r="O44" s="489">
        <f>'Winners-Losers Values PMPM'!AQ32*12</f>
        <v>17.608453667857809</v>
      </c>
      <c r="P44" s="489">
        <f>'Winners-Losers Values PMPM'!AR32*12</f>
        <v>0</v>
      </c>
      <c r="Q44" s="489">
        <f>'Winners-Losers Values PMPM'!AO32*12</f>
        <v>0</v>
      </c>
      <c r="R44" s="510">
        <f t="shared" si="7"/>
        <v>283.51121603286464</v>
      </c>
      <c r="S44" s="489">
        <f t="shared" si="8"/>
        <v>291.9766213339613</v>
      </c>
      <c r="T44" s="489">
        <f t="shared" si="9"/>
        <v>291.9766213339613</v>
      </c>
      <c r="U44" s="510">
        <f>((('Assumptions-Output Override'!$H$60+'Assumptions-Output Override'!$H$61)/('Assumptions-Output Override'!$F$60+'Assumptions-Output Override'!$F$61))*'HRA Balance Calc'!$I$5*12)+($K$8*(($I$8*12)))</f>
        <v>-288.26087712588196</v>
      </c>
      <c r="V44" s="489">
        <f>'Winners-Losers Values PMPM'!AV32*(1-$I$9)*12+$L$8*(($I$8*12)*IFERROR((('Winners-Losers Values PMPM'!AY32*12)/('Winners-Losers Values PMPM'!AY$107*12)),0))</f>
        <v>1.2771613400342119</v>
      </c>
      <c r="W44" s="489">
        <f>('Winners-Losers Values PMPM'!AW32*12)*(1-$I$10)+$M$8*(($I$8*12)*IFERROR((('Winners-Losers Values PMPM'!AY32*12)/('Winners-Losers Values PMPM'!AY$107*12)),0))</f>
        <v>0</v>
      </c>
      <c r="X44" s="489">
        <f>('Winners-Losers Values PMPM'!AT32*12)*(1-$I$11)+$N$8*(($I$8*12)*IFERROR((('Winners-Losers Values PMPM'!AY32*12)/('Winners-Losers Values PMPM'!AY$107*12)),0))</f>
        <v>7.1882439610624358</v>
      </c>
      <c r="Y44" s="510">
        <f t="shared" si="10"/>
        <v>-279.7954718247853</v>
      </c>
      <c r="AA44" s="510">
        <f t="shared" si="11"/>
        <v>4443.3239894938342</v>
      </c>
      <c r="AB44" s="510">
        <f t="shared" si="11"/>
        <v>7.2372475935271989</v>
      </c>
      <c r="AC44" s="510">
        <f t="shared" si="11"/>
        <v>0</v>
      </c>
      <c r="AD44" s="510">
        <f t="shared" si="11"/>
        <v>3.149435163762933</v>
      </c>
      <c r="AE44" s="510">
        <f t="shared" si="12"/>
        <v>471.98996185153999</v>
      </c>
      <c r="AF44" s="510">
        <f t="shared" si="13"/>
        <v>4925.7006341026645</v>
      </c>
      <c r="AG44" s="510">
        <f t="shared" si="14"/>
        <v>3.3645726154408369E+22</v>
      </c>
      <c r="AH44" s="510">
        <f t="shared" si="15"/>
        <v>3.3645726154408369E+22</v>
      </c>
      <c r="AJ44" s="510">
        <f t="shared" si="16"/>
        <v>-22.358114760875139</v>
      </c>
      <c r="AK44" s="510">
        <f t="shared" si="17"/>
        <v>18.885615007892021</v>
      </c>
      <c r="AL44" s="510">
        <f t="shared" si="17"/>
        <v>0</v>
      </c>
      <c r="AM44" s="510">
        <f t="shared" si="17"/>
        <v>7.1882439610624358</v>
      </c>
      <c r="AN44" s="510">
        <f t="shared" si="18"/>
        <v>0</v>
      </c>
      <c r="AO44" s="510">
        <f t="shared" si="19"/>
        <v>3.7157442080793173</v>
      </c>
      <c r="AQ44" s="510">
        <f t="shared" si="20"/>
        <v>4420.9658747329595</v>
      </c>
      <c r="AR44" s="510">
        <f t="shared" si="20"/>
        <v>26.122862601419222</v>
      </c>
      <c r="AS44" s="510">
        <f t="shared" si="20"/>
        <v>0</v>
      </c>
      <c r="AT44" s="510">
        <f t="shared" si="20"/>
        <v>10.337679124825369</v>
      </c>
      <c r="AU44" s="510">
        <f t="shared" si="20"/>
        <v>471.98996185153999</v>
      </c>
      <c r="AV44" s="510">
        <f t="shared" si="21"/>
        <v>4929.4163783107442</v>
      </c>
      <c r="AW44" s="510">
        <f t="shared" si="22"/>
        <v>3.3645726154408369E+22</v>
      </c>
      <c r="AX44" s="510">
        <f t="shared" si="23"/>
        <v>3.3645726154408369E+22</v>
      </c>
      <c r="AY44" s="510">
        <f t="shared" si="24"/>
        <v>3.3645726154408369E+22</v>
      </c>
      <c r="AZ44" s="490">
        <f t="shared" si="25"/>
        <v>-3.3645726154408369E+22</v>
      </c>
      <c r="BA44" s="510">
        <f t="shared" si="26"/>
        <v>6.7291452308816738E+22</v>
      </c>
    </row>
    <row r="45" spans="1:53" x14ac:dyDescent="0.2">
      <c r="A45">
        <v>28</v>
      </c>
      <c r="B45" s="510">
        <f>'Assumptions-Output Target'!$D$12*'Assumptions-Output Override'!$D$11*$I$2*12</f>
        <v>3935.8341983467963</v>
      </c>
      <c r="C45" s="510">
        <f t="shared" si="1"/>
        <v>-3.3645726154408369E+22</v>
      </c>
      <c r="D45" s="510">
        <f t="shared" si="2"/>
        <v>0</v>
      </c>
      <c r="E45" s="510">
        <f t="shared" si="0"/>
        <v>471.98996185153999</v>
      </c>
      <c r="F45" s="510">
        <f t="shared" si="3"/>
        <v>3.3645726154408369E+22</v>
      </c>
      <c r="G45" s="510">
        <f>$I$5*'Assumptions-Output Override'!$D$12*12</f>
        <v>4443.3239894938342</v>
      </c>
      <c r="H45" s="489">
        <f>'Winners-Losers Values PMPM'!AV33*$I$9*12</f>
        <v>8.0119688479453526</v>
      </c>
      <c r="I45" s="489">
        <f>('Winners-Losers Values PMPM'!AW33*12)*$I$10</f>
        <v>0</v>
      </c>
      <c r="J45" s="489">
        <f>('Winners-Losers Values PMPM'!AT33*12)*$I$11</f>
        <v>2.9526805620289527</v>
      </c>
      <c r="K45" s="510">
        <f t="shared" si="4"/>
        <v>4454.2886389038085</v>
      </c>
      <c r="L45" s="510">
        <f t="shared" si="5"/>
        <v>3.3645726154408369E+22</v>
      </c>
      <c r="M45" s="510">
        <f t="shared" si="6"/>
        <v>0</v>
      </c>
      <c r="N45" s="489">
        <f>'Winners-Losers Values PMPM'!AP33*12</f>
        <v>279.76555347283966</v>
      </c>
      <c r="O45" s="489">
        <f>'Winners-Losers Values PMPM'!AQ33*12</f>
        <v>19.496564066563984</v>
      </c>
      <c r="P45" s="489">
        <f>'Winners-Losers Values PMPM'!AR33*12</f>
        <v>0</v>
      </c>
      <c r="Q45" s="489">
        <f>'Winners-Losers Values PMPM'!AO33*12</f>
        <v>0</v>
      </c>
      <c r="R45" s="510">
        <f t="shared" si="7"/>
        <v>299.26211753940362</v>
      </c>
      <c r="S45" s="489">
        <f t="shared" si="8"/>
        <v>307.41516733080692</v>
      </c>
      <c r="T45" s="489">
        <f t="shared" si="9"/>
        <v>307.41516733080692</v>
      </c>
      <c r="U45" s="510">
        <f>((('Assumptions-Output Override'!$H$60+'Assumptions-Output Override'!$H$61)/('Assumptions-Output Override'!$F$60+'Assumptions-Output Override'!$F$61))*'HRA Balance Calc'!$I$5*12)+($K$8*(($I$8*12)))</f>
        <v>-288.26087712588196</v>
      </c>
      <c r="V45" s="489">
        <f>'Winners-Losers Values PMPM'!AV33*(1-$I$9)*12+$L$8*(($I$8*12)*IFERROR((('Winners-Losers Values PMPM'!AY33*12)/('Winners-Losers Values PMPM'!AY$107*12)),0))</f>
        <v>1.4138768555197685</v>
      </c>
      <c r="W45" s="489">
        <f>('Winners-Losers Values PMPM'!AW33*12)*(1-$I$10)+$M$8*(($I$8*12)*IFERROR((('Winners-Losers Values PMPM'!AY33*12)/('Winners-Losers Values PMPM'!AY$107*12)),0))</f>
        <v>0</v>
      </c>
      <c r="X45" s="489">
        <f>('Winners-Losers Values PMPM'!AT33*12)*(1-$I$11)+$N$8*(($I$8*12)*IFERROR((('Winners-Losers Values PMPM'!AY33*12)/('Winners-Losers Values PMPM'!AY$107*12)),0))</f>
        <v>6.7391729358835262</v>
      </c>
      <c r="Y45" s="510">
        <f t="shared" si="10"/>
        <v>-280.10782733447866</v>
      </c>
      <c r="AA45" s="510">
        <f t="shared" si="11"/>
        <v>4443.3239894938342</v>
      </c>
      <c r="AB45" s="510">
        <f t="shared" si="11"/>
        <v>8.0119688479453526</v>
      </c>
      <c r="AC45" s="510">
        <f t="shared" si="11"/>
        <v>0</v>
      </c>
      <c r="AD45" s="510">
        <f t="shared" si="11"/>
        <v>2.9526805620289527</v>
      </c>
      <c r="AE45" s="510">
        <f t="shared" si="12"/>
        <v>471.98996185153999</v>
      </c>
      <c r="AF45" s="510">
        <f t="shared" si="13"/>
        <v>4926.2786007553486</v>
      </c>
      <c r="AG45" s="510">
        <f t="shared" si="14"/>
        <v>3.3645726154408369E+22</v>
      </c>
      <c r="AH45" s="510">
        <f t="shared" si="15"/>
        <v>3.3645726154408369E+22</v>
      </c>
      <c r="AJ45" s="510">
        <f t="shared" si="16"/>
        <v>-8.4953236530423055</v>
      </c>
      <c r="AK45" s="510">
        <f t="shared" si="17"/>
        <v>20.910440922083751</v>
      </c>
      <c r="AL45" s="510">
        <f t="shared" si="17"/>
        <v>0</v>
      </c>
      <c r="AM45" s="510">
        <f t="shared" si="17"/>
        <v>6.7391729358835262</v>
      </c>
      <c r="AN45" s="510">
        <f t="shared" si="18"/>
        <v>0</v>
      </c>
      <c r="AO45" s="510">
        <f t="shared" si="19"/>
        <v>19.154290204924973</v>
      </c>
      <c r="AQ45" s="510">
        <f t="shared" si="20"/>
        <v>4434.8286658407924</v>
      </c>
      <c r="AR45" s="510">
        <f t="shared" si="20"/>
        <v>28.922409770029105</v>
      </c>
      <c r="AS45" s="510">
        <f t="shared" si="20"/>
        <v>0</v>
      </c>
      <c r="AT45" s="510">
        <f t="shared" si="20"/>
        <v>9.6918534979124793</v>
      </c>
      <c r="AU45" s="510">
        <f t="shared" si="20"/>
        <v>471.98996185153999</v>
      </c>
      <c r="AV45" s="510">
        <f t="shared" si="21"/>
        <v>4945.4328909602737</v>
      </c>
      <c r="AW45" s="510">
        <f t="shared" si="22"/>
        <v>3.3645726154408369E+22</v>
      </c>
      <c r="AX45" s="510">
        <f t="shared" si="23"/>
        <v>3.3645726154408369E+22</v>
      </c>
      <c r="AY45" s="510">
        <f t="shared" si="24"/>
        <v>3.3645726154408369E+22</v>
      </c>
      <c r="AZ45" s="490">
        <f t="shared" si="25"/>
        <v>-3.3645726154408369E+22</v>
      </c>
      <c r="BA45" s="510">
        <f t="shared" si="26"/>
        <v>6.7291452308816738E+22</v>
      </c>
    </row>
    <row r="46" spans="1:53" x14ac:dyDescent="0.2">
      <c r="A46">
        <v>29</v>
      </c>
      <c r="B46" s="510">
        <f>'Assumptions-Output Target'!$D$12*'Assumptions-Output Override'!$D$11*$I$2*12</f>
        <v>3935.8341983467963</v>
      </c>
      <c r="C46" s="510">
        <f t="shared" si="1"/>
        <v>-3.3645726154408369E+22</v>
      </c>
      <c r="D46" s="510">
        <f t="shared" si="2"/>
        <v>0</v>
      </c>
      <c r="E46" s="510">
        <f t="shared" si="0"/>
        <v>471.98996185153999</v>
      </c>
      <c r="F46" s="510">
        <f t="shared" si="3"/>
        <v>3.3645726154408369E+22</v>
      </c>
      <c r="G46" s="510">
        <f>$I$5*'Assumptions-Output Override'!$D$12*12</f>
        <v>4443.3239894938342</v>
      </c>
      <c r="H46" s="489">
        <f>'Winners-Losers Values PMPM'!AV34*$I$9*12</f>
        <v>9.1202238757554053</v>
      </c>
      <c r="I46" s="489">
        <f>('Winners-Losers Values PMPM'!AW34*12)*$I$10</f>
        <v>0</v>
      </c>
      <c r="J46" s="489">
        <f>('Winners-Losers Values PMPM'!AT34*12)*$I$11</f>
        <v>3.1154543370821317</v>
      </c>
      <c r="K46" s="510">
        <f t="shared" si="4"/>
        <v>4455.5596677066715</v>
      </c>
      <c r="L46" s="510">
        <f t="shared" si="5"/>
        <v>3.3645726154408369E+22</v>
      </c>
      <c r="M46" s="510">
        <f t="shared" si="6"/>
        <v>0</v>
      </c>
      <c r="N46" s="489">
        <f>'Winners-Losers Values PMPM'!AP34*12</f>
        <v>295.30507472460761</v>
      </c>
      <c r="O46" s="489">
        <f>'Winners-Losers Values PMPM'!AQ34*12</f>
        <v>20.358826799521943</v>
      </c>
      <c r="P46" s="489">
        <f>'Winners-Losers Values PMPM'!AR34*12</f>
        <v>0</v>
      </c>
      <c r="Q46" s="489">
        <f>'Winners-Losers Values PMPM'!AO34*12</f>
        <v>0</v>
      </c>
      <c r="R46" s="510">
        <f t="shared" si="7"/>
        <v>315.66390152412953</v>
      </c>
      <c r="S46" s="489">
        <f t="shared" si="8"/>
        <v>324.38403920833827</v>
      </c>
      <c r="T46" s="489">
        <f t="shared" si="9"/>
        <v>324.38403920833827</v>
      </c>
      <c r="U46" s="510">
        <f>((('Assumptions-Output Override'!$H$60+'Assumptions-Output Override'!$H$61)/('Assumptions-Output Override'!$F$60+'Assumptions-Output Override'!$F$61))*'HRA Balance Calc'!$I$5*12)+($K$8*(($I$8*12)))</f>
        <v>-288.26087712588196</v>
      </c>
      <c r="V46" s="489">
        <f>'Winners-Losers Values PMPM'!AV34*(1-$I$9)*12+$L$8*(($I$8*12)*IFERROR((('Winners-Losers Values PMPM'!AY34*12)/('Winners-Losers Values PMPM'!AY$107*12)),0))</f>
        <v>1.6094512721921306</v>
      </c>
      <c r="W46" s="489">
        <f>('Winners-Losers Values PMPM'!AW34*12)*(1-$I$10)+$M$8*(($I$8*12)*IFERROR((('Winners-Losers Values PMPM'!AY34*12)/('Winners-Losers Values PMPM'!AY$107*12)),0))</f>
        <v>0</v>
      </c>
      <c r="X46" s="489">
        <f>('Winners-Losers Values PMPM'!AT34*12)*(1-$I$11)+$N$8*(($I$8*12)*IFERROR((('Winners-Losers Values PMPM'!AY34*12)/('Winners-Losers Values PMPM'!AY$107*12)),0))</f>
        <v>7.110686412016614</v>
      </c>
      <c r="Y46" s="510">
        <f t="shared" si="10"/>
        <v>-279.54073944167322</v>
      </c>
      <c r="AA46" s="510">
        <f t="shared" si="11"/>
        <v>4443.3239894938342</v>
      </c>
      <c r="AB46" s="510">
        <f t="shared" si="11"/>
        <v>9.1202238757554053</v>
      </c>
      <c r="AC46" s="510">
        <f t="shared" si="11"/>
        <v>0</v>
      </c>
      <c r="AD46" s="510">
        <f t="shared" si="11"/>
        <v>3.1154543370821317</v>
      </c>
      <c r="AE46" s="510">
        <f t="shared" si="12"/>
        <v>471.98996185153999</v>
      </c>
      <c r="AF46" s="510">
        <f t="shared" si="13"/>
        <v>4927.5496295582116</v>
      </c>
      <c r="AG46" s="510">
        <f t="shared" si="14"/>
        <v>3.3645726154408369E+22</v>
      </c>
      <c r="AH46" s="510">
        <f t="shared" si="15"/>
        <v>3.3645726154408369E+22</v>
      </c>
      <c r="AJ46" s="510">
        <f t="shared" si="16"/>
        <v>7.0441975987256455</v>
      </c>
      <c r="AK46" s="510">
        <f t="shared" si="17"/>
        <v>21.968278071714074</v>
      </c>
      <c r="AL46" s="510">
        <f t="shared" si="17"/>
        <v>0</v>
      </c>
      <c r="AM46" s="510">
        <f t="shared" si="17"/>
        <v>7.110686412016614</v>
      </c>
      <c r="AN46" s="510">
        <f t="shared" si="18"/>
        <v>0</v>
      </c>
      <c r="AO46" s="510">
        <f t="shared" si="19"/>
        <v>36.123162082456332</v>
      </c>
      <c r="AQ46" s="510">
        <f t="shared" si="20"/>
        <v>4450.3681870925602</v>
      </c>
      <c r="AR46" s="510">
        <f t="shared" si="20"/>
        <v>31.088501947469481</v>
      </c>
      <c r="AS46" s="510">
        <f t="shared" si="20"/>
        <v>0</v>
      </c>
      <c r="AT46" s="510">
        <f t="shared" si="20"/>
        <v>10.226140749098747</v>
      </c>
      <c r="AU46" s="510">
        <f t="shared" si="20"/>
        <v>471.98996185153999</v>
      </c>
      <c r="AV46" s="510">
        <f t="shared" si="21"/>
        <v>4963.6727916406689</v>
      </c>
      <c r="AW46" s="510">
        <f t="shared" si="22"/>
        <v>3.3645726154408369E+22</v>
      </c>
      <c r="AX46" s="510">
        <f t="shared" si="23"/>
        <v>3.3645726154408369E+22</v>
      </c>
      <c r="AY46" s="510">
        <f t="shared" si="24"/>
        <v>3.3645726154408369E+22</v>
      </c>
      <c r="AZ46" s="490">
        <f t="shared" si="25"/>
        <v>-3.3645726154408369E+22</v>
      </c>
      <c r="BA46" s="510">
        <f t="shared" si="26"/>
        <v>6.7291452308816738E+22</v>
      </c>
    </row>
    <row r="47" spans="1:53" x14ac:dyDescent="0.2">
      <c r="A47">
        <v>30</v>
      </c>
      <c r="B47" s="510">
        <f>'Assumptions-Output Target'!$D$12*'Assumptions-Output Override'!$D$11*$I$2*12</f>
        <v>3935.8341983467963</v>
      </c>
      <c r="C47" s="510">
        <f t="shared" si="1"/>
        <v>-3.3645726154408369E+22</v>
      </c>
      <c r="D47" s="510">
        <f t="shared" si="2"/>
        <v>0</v>
      </c>
      <c r="E47" s="510">
        <f t="shared" si="0"/>
        <v>471.98996185153999</v>
      </c>
      <c r="F47" s="510">
        <f t="shared" si="3"/>
        <v>3.3645726154408369E+22</v>
      </c>
      <c r="G47" s="510">
        <f>$I$5*'Assumptions-Output Override'!$D$12*12</f>
        <v>4443.3239894938342</v>
      </c>
      <c r="H47" s="489">
        <f>'Winners-Losers Values PMPM'!AV35*$I$9*12</f>
        <v>9.4172011424659203</v>
      </c>
      <c r="I47" s="489">
        <f>('Winners-Losers Values PMPM'!AW35*12)*$I$10</f>
        <v>1.1724116106912317E-2</v>
      </c>
      <c r="J47" s="489">
        <f>('Winners-Losers Values PMPM'!AT35*12)*$I$11</f>
        <v>3.0200394972164832</v>
      </c>
      <c r="K47" s="510">
        <f t="shared" si="4"/>
        <v>4455.7729542496236</v>
      </c>
      <c r="L47" s="510">
        <f t="shared" si="5"/>
        <v>3.3645726154408369E+22</v>
      </c>
      <c r="M47" s="510">
        <f t="shared" si="6"/>
        <v>0</v>
      </c>
      <c r="N47" s="489">
        <f>'Winners-Losers Values PMPM'!AP35*12</f>
        <v>304.4071254617474</v>
      </c>
      <c r="O47" s="489">
        <f>'Winners-Losers Values PMPM'!AQ35*12</f>
        <v>22.160504567718469</v>
      </c>
      <c r="P47" s="489">
        <f>'Winners-Losers Values PMPM'!AR35*12</f>
        <v>4.7680147403590277E-4</v>
      </c>
      <c r="Q47" s="489">
        <f>'Winners-Losers Values PMPM'!AO35*12</f>
        <v>0</v>
      </c>
      <c r="R47" s="510">
        <f t="shared" si="7"/>
        <v>326.56810683093988</v>
      </c>
      <c r="S47" s="489">
        <f t="shared" si="8"/>
        <v>335.12494721290119</v>
      </c>
      <c r="T47" s="489">
        <f t="shared" si="9"/>
        <v>335.12494721290119</v>
      </c>
      <c r="U47" s="510">
        <f>((('Assumptions-Output Override'!$H$60+'Assumptions-Output Override'!$H$61)/('Assumptions-Output Override'!$F$60+'Assumptions-Output Override'!$F$61))*'HRA Balance Calc'!$I$5*12)+($K$8*(($I$8*12)))</f>
        <v>-288.26087712588196</v>
      </c>
      <c r="V47" s="489">
        <f>'Winners-Losers Values PMPM'!AV35*(1-$I$9)*12+$L$8*(($I$8*12)*IFERROR((('Winners-Losers Values PMPM'!AY35*12)/('Winners-Losers Values PMPM'!AY$107*12)),0))</f>
        <v>1.661859025141045</v>
      </c>
      <c r="W47" s="489">
        <f>('Winners-Losers Values PMPM'!AW35*12)*(1-$I$10)+$M$8*(($I$8*12)*IFERROR((('Winners-Losers Values PMPM'!AY35*12)/('Winners-Losers Values PMPM'!AY$107*12)),0))</f>
        <v>2.0689616659257033E-3</v>
      </c>
      <c r="X47" s="489">
        <f>('Winners-Losers Values PMPM'!AT35*12)*(1-$I$11)+$N$8*(($I$8*12)*IFERROR((('Winners-Losers Values PMPM'!AY35*12)/('Winners-Losers Values PMPM'!AY$107*12)),0))</f>
        <v>6.8929123951543279</v>
      </c>
      <c r="Y47" s="510">
        <f t="shared" si="10"/>
        <v>-279.70403674392065</v>
      </c>
      <c r="AA47" s="510">
        <f t="shared" si="11"/>
        <v>4443.3239894938342</v>
      </c>
      <c r="AB47" s="510">
        <f t="shared" si="11"/>
        <v>9.4172011424659203</v>
      </c>
      <c r="AC47" s="510">
        <f t="shared" si="11"/>
        <v>1.1724116106912317E-2</v>
      </c>
      <c r="AD47" s="510">
        <f t="shared" si="11"/>
        <v>3.0200394972164832</v>
      </c>
      <c r="AE47" s="510">
        <f t="shared" si="12"/>
        <v>471.98996185153999</v>
      </c>
      <c r="AF47" s="510">
        <f t="shared" si="13"/>
        <v>4927.7629161011637</v>
      </c>
      <c r="AG47" s="510">
        <f t="shared" si="14"/>
        <v>3.3645726154408369E+22</v>
      </c>
      <c r="AH47" s="510">
        <f t="shared" si="15"/>
        <v>3.3645726154408369E+22</v>
      </c>
      <c r="AJ47" s="510">
        <f t="shared" si="16"/>
        <v>16.146248335865437</v>
      </c>
      <c r="AK47" s="510">
        <f t="shared" si="17"/>
        <v>23.822363592859514</v>
      </c>
      <c r="AL47" s="510">
        <f t="shared" si="17"/>
        <v>2.545763139961606E-3</v>
      </c>
      <c r="AM47" s="510">
        <f t="shared" si="17"/>
        <v>6.8929123951543279</v>
      </c>
      <c r="AN47" s="510">
        <f t="shared" si="18"/>
        <v>0</v>
      </c>
      <c r="AO47" s="510">
        <f t="shared" si="19"/>
        <v>46.864070087019243</v>
      </c>
      <c r="AQ47" s="510">
        <f t="shared" si="20"/>
        <v>4459.4702378296997</v>
      </c>
      <c r="AR47" s="510">
        <f t="shared" si="20"/>
        <v>33.23956473532543</v>
      </c>
      <c r="AS47" s="510">
        <f t="shared" si="20"/>
        <v>1.4269879246873923E-2</v>
      </c>
      <c r="AT47" s="510">
        <f t="shared" si="20"/>
        <v>9.9129518923708115</v>
      </c>
      <c r="AU47" s="510">
        <f t="shared" si="20"/>
        <v>471.98996185153999</v>
      </c>
      <c r="AV47" s="510">
        <f t="shared" si="21"/>
        <v>4974.6269861881829</v>
      </c>
      <c r="AW47" s="510">
        <f t="shared" si="22"/>
        <v>3.3645726154408369E+22</v>
      </c>
      <c r="AX47" s="510">
        <f t="shared" si="23"/>
        <v>3.3645726154408369E+22</v>
      </c>
      <c r="AY47" s="510">
        <f t="shared" si="24"/>
        <v>3.3645726154408369E+22</v>
      </c>
      <c r="AZ47" s="490">
        <f t="shared" si="25"/>
        <v>-3.3645726154408369E+22</v>
      </c>
      <c r="BA47" s="510">
        <f t="shared" si="26"/>
        <v>6.7291452308816738E+22</v>
      </c>
    </row>
    <row r="48" spans="1:53" x14ac:dyDescent="0.2">
      <c r="A48">
        <v>31</v>
      </c>
      <c r="B48" s="510">
        <f>'Assumptions-Output Target'!$D$12*'Assumptions-Output Override'!$D$11*$I$2*12</f>
        <v>3935.8341983467963</v>
      </c>
      <c r="C48" s="510">
        <f t="shared" si="1"/>
        <v>-3.3645726154408369E+22</v>
      </c>
      <c r="D48" s="510">
        <f t="shared" si="2"/>
        <v>0</v>
      </c>
      <c r="E48" s="510">
        <f t="shared" si="0"/>
        <v>471.98996185153999</v>
      </c>
      <c r="F48" s="510">
        <f t="shared" si="3"/>
        <v>3.3645726154408369E+22</v>
      </c>
      <c r="G48" s="510">
        <f>$I$5*'Assumptions-Output Override'!$D$12*12</f>
        <v>4443.3239894938342</v>
      </c>
      <c r="H48" s="489">
        <f>'Winners-Losers Values PMPM'!AV36*$I$9*12</f>
        <v>9.3762131665786175</v>
      </c>
      <c r="I48" s="489">
        <f>('Winners-Losers Values PMPM'!AW36*12)*$I$10</f>
        <v>0</v>
      </c>
      <c r="J48" s="489">
        <f>('Winners-Losers Values PMPM'!AT36*12)*$I$11</f>
        <v>2.9840569572392717</v>
      </c>
      <c r="K48" s="510">
        <f t="shared" si="4"/>
        <v>4455.6842596176521</v>
      </c>
      <c r="L48" s="510">
        <f t="shared" si="5"/>
        <v>3.3645726154408369E+22</v>
      </c>
      <c r="M48" s="510">
        <f t="shared" si="6"/>
        <v>0</v>
      </c>
      <c r="N48" s="489">
        <f>'Winners-Losers Values PMPM'!AP36*12</f>
        <v>314.93477807718983</v>
      </c>
      <c r="O48" s="489">
        <f>'Winners-Losers Values PMPM'!AQ36*12</f>
        <v>21.988388598623413</v>
      </c>
      <c r="P48" s="489">
        <f>'Winners-Losers Values PMPM'!AR36*12</f>
        <v>0</v>
      </c>
      <c r="Q48" s="489">
        <f>'Winners-Losers Values PMPM'!AO36*12</f>
        <v>0</v>
      </c>
      <c r="R48" s="510">
        <f t="shared" si="7"/>
        <v>336.92316667581326</v>
      </c>
      <c r="S48" s="489">
        <f t="shared" si="8"/>
        <v>345.38857868148921</v>
      </c>
      <c r="T48" s="489">
        <f t="shared" si="9"/>
        <v>345.38857868148921</v>
      </c>
      <c r="U48" s="510">
        <f>((('Assumptions-Output Override'!$H$60+'Assumptions-Output Override'!$H$61)/('Assumptions-Output Override'!$F$60+'Assumptions-Output Override'!$F$61))*'HRA Balance Calc'!$I$5*12)+($K$8*(($I$8*12)))</f>
        <v>-288.26087712588196</v>
      </c>
      <c r="V48" s="489">
        <f>'Winners-Losers Values PMPM'!AV36*(1-$I$9)*12+$L$8*(($I$8*12)*IFERROR((('Winners-Losers Values PMPM'!AY36*12)/('Winners-Losers Values PMPM'!AY$107*12)),0))</f>
        <v>1.6546258529256388</v>
      </c>
      <c r="W48" s="489">
        <f>('Winners-Losers Values PMPM'!AW36*12)*(1-$I$10)+$M$8*(($I$8*12)*IFERROR((('Winners-Losers Values PMPM'!AY36*12)/('Winners-Losers Values PMPM'!AY$107*12)),0))</f>
        <v>0</v>
      </c>
      <c r="X48" s="489">
        <f>('Winners-Losers Values PMPM'!AT36*12)*(1-$I$11)+$N$8*(($I$8*12)*IFERROR((('Winners-Losers Values PMPM'!AY36*12)/('Winners-Losers Values PMPM'!AY$107*12)),0))</f>
        <v>6.8107861527503264</v>
      </c>
      <c r="Y48" s="510">
        <f t="shared" si="10"/>
        <v>-279.79546512020602</v>
      </c>
      <c r="AA48" s="510">
        <f t="shared" si="11"/>
        <v>4443.3239894938342</v>
      </c>
      <c r="AB48" s="510">
        <f t="shared" si="11"/>
        <v>9.3762131665786175</v>
      </c>
      <c r="AC48" s="510">
        <f t="shared" si="11"/>
        <v>0</v>
      </c>
      <c r="AD48" s="510">
        <f t="shared" si="11"/>
        <v>2.9840569572392717</v>
      </c>
      <c r="AE48" s="510">
        <f t="shared" si="12"/>
        <v>471.98996185153999</v>
      </c>
      <c r="AF48" s="510">
        <f t="shared" si="13"/>
        <v>4927.6742214691922</v>
      </c>
      <c r="AG48" s="510">
        <f t="shared" si="14"/>
        <v>3.3645726154408369E+22</v>
      </c>
      <c r="AH48" s="510">
        <f t="shared" si="15"/>
        <v>3.3645726154408369E+22</v>
      </c>
      <c r="AJ48" s="510">
        <f t="shared" si="16"/>
        <v>26.673900951307871</v>
      </c>
      <c r="AK48" s="510">
        <f t="shared" si="17"/>
        <v>23.64301445154905</v>
      </c>
      <c r="AL48" s="510">
        <f t="shared" si="17"/>
        <v>0</v>
      </c>
      <c r="AM48" s="510">
        <f t="shared" si="17"/>
        <v>6.8107861527503264</v>
      </c>
      <c r="AN48" s="510">
        <f t="shared" si="18"/>
        <v>0</v>
      </c>
      <c r="AO48" s="510">
        <f t="shared" si="19"/>
        <v>57.127701555607246</v>
      </c>
      <c r="AQ48" s="510">
        <f t="shared" si="20"/>
        <v>4469.9978904451418</v>
      </c>
      <c r="AR48" s="510">
        <f t="shared" si="20"/>
        <v>33.019227618127665</v>
      </c>
      <c r="AS48" s="510">
        <f t="shared" si="20"/>
        <v>0</v>
      </c>
      <c r="AT48" s="510">
        <f t="shared" si="20"/>
        <v>9.7948431099895981</v>
      </c>
      <c r="AU48" s="510">
        <f t="shared" si="20"/>
        <v>471.98996185153999</v>
      </c>
      <c r="AV48" s="510">
        <f t="shared" si="21"/>
        <v>4984.8019230247992</v>
      </c>
      <c r="AW48" s="510">
        <f t="shared" si="22"/>
        <v>3.3645726154408369E+22</v>
      </c>
      <c r="AX48" s="510">
        <f t="shared" si="23"/>
        <v>3.3645726154408369E+22</v>
      </c>
      <c r="AY48" s="510">
        <f t="shared" si="24"/>
        <v>3.3645726154408369E+22</v>
      </c>
      <c r="AZ48" s="490">
        <f t="shared" si="25"/>
        <v>-3.3645726154408369E+22</v>
      </c>
      <c r="BA48" s="510">
        <f t="shared" si="26"/>
        <v>6.7291452308816738E+22</v>
      </c>
    </row>
    <row r="49" spans="1:53" x14ac:dyDescent="0.2">
      <c r="A49">
        <v>32</v>
      </c>
      <c r="B49" s="510">
        <f>'Assumptions-Output Target'!$D$12*'Assumptions-Output Override'!$D$11*$I$2*12</f>
        <v>3935.8341983467963</v>
      </c>
      <c r="C49" s="510">
        <f t="shared" si="1"/>
        <v>-3.3645726154408369E+22</v>
      </c>
      <c r="D49" s="510">
        <f t="shared" si="2"/>
        <v>0</v>
      </c>
      <c r="E49" s="510">
        <f t="shared" si="0"/>
        <v>471.98996185153999</v>
      </c>
      <c r="F49" s="510">
        <f t="shared" si="3"/>
        <v>3.3645726154408369E+22</v>
      </c>
      <c r="G49" s="510">
        <f>$I$5*'Assumptions-Output Override'!$D$12*12</f>
        <v>4443.3239894938342</v>
      </c>
      <c r="H49" s="489">
        <f>'Winners-Losers Values PMPM'!AV37*$I$9*12</f>
        <v>11.642988844457765</v>
      </c>
      <c r="I49" s="489">
        <f>('Winners-Losers Values PMPM'!AW37*12)*$I$10</f>
        <v>0</v>
      </c>
      <c r="J49" s="489">
        <f>('Winners-Losers Values PMPM'!AT37*12)*$I$11</f>
        <v>2.9014649344827039</v>
      </c>
      <c r="K49" s="510">
        <f t="shared" si="4"/>
        <v>4457.868443272775</v>
      </c>
      <c r="L49" s="510">
        <f t="shared" si="5"/>
        <v>3.3645726154408369E+22</v>
      </c>
      <c r="M49" s="510">
        <f t="shared" si="6"/>
        <v>0</v>
      </c>
      <c r="N49" s="489">
        <f>'Winners-Losers Values PMPM'!AP37*12</f>
        <v>328.2277374207946</v>
      </c>
      <c r="O49" s="489">
        <f>'Winners-Losers Values PMPM'!AQ37*12</f>
        <v>25.875872938341644</v>
      </c>
      <c r="P49" s="489">
        <f>'Winners-Losers Values PMPM'!AR37*12</f>
        <v>0</v>
      </c>
      <c r="Q49" s="489">
        <f>'Winners-Losers Values PMPM'!AO37*12</f>
        <v>0</v>
      </c>
      <c r="R49" s="510">
        <f t="shared" si="7"/>
        <v>354.10361035913627</v>
      </c>
      <c r="S49" s="489">
        <f t="shared" si="8"/>
        <v>362.78053427364631</v>
      </c>
      <c r="T49" s="489">
        <f t="shared" si="9"/>
        <v>362.78053427364631</v>
      </c>
      <c r="U49" s="510">
        <f>((('Assumptions-Output Override'!$H$60+'Assumptions-Output Override'!$H$61)/('Assumptions-Output Override'!$F$60+'Assumptions-Output Override'!$F$61))*'HRA Balance Calc'!$I$5*12)+($K$8*(($I$8*12)))</f>
        <v>-288.26087712588196</v>
      </c>
      <c r="V49" s="489">
        <f>'Winners-Losers Values PMPM'!AV37*(1-$I$9)*12+$L$8*(($I$8*12)*IFERROR((('Winners-Losers Values PMPM'!AY37*12)/('Winners-Losers Values PMPM'!AY$107*12)),0))</f>
        <v>2.0546450901984294</v>
      </c>
      <c r="W49" s="489">
        <f>('Winners-Losers Values PMPM'!AW37*12)*(1-$I$10)+$M$8*(($I$8*12)*IFERROR((('Winners-Losers Values PMPM'!AY37*12)/('Winners-Losers Values PMPM'!AY$107*12)),0))</f>
        <v>0</v>
      </c>
      <c r="X49" s="489">
        <f>('Winners-Losers Values PMPM'!AT37*12)*(1-$I$11)+$N$8*(($I$8*12)*IFERROR((('Winners-Losers Values PMPM'!AY37*12)/('Winners-Losers Values PMPM'!AY$107*12)),0))</f>
        <v>6.6222788243116328</v>
      </c>
      <c r="Y49" s="510">
        <f t="shared" si="10"/>
        <v>-279.58395321137186</v>
      </c>
      <c r="AA49" s="510">
        <f t="shared" si="11"/>
        <v>4443.3239894938342</v>
      </c>
      <c r="AB49" s="510">
        <f t="shared" si="11"/>
        <v>11.642988844457765</v>
      </c>
      <c r="AC49" s="510">
        <f t="shared" si="11"/>
        <v>0</v>
      </c>
      <c r="AD49" s="510">
        <f t="shared" si="11"/>
        <v>2.9014649344827039</v>
      </c>
      <c r="AE49" s="510">
        <f t="shared" si="12"/>
        <v>471.98996185153999</v>
      </c>
      <c r="AF49" s="510">
        <f t="shared" si="13"/>
        <v>4929.8584051243151</v>
      </c>
      <c r="AG49" s="510">
        <f t="shared" si="14"/>
        <v>3.3645726154408369E+22</v>
      </c>
      <c r="AH49" s="510">
        <f t="shared" si="15"/>
        <v>3.3645726154408369E+22</v>
      </c>
      <c r="AJ49" s="510">
        <f t="shared" si="16"/>
        <v>39.966860294912635</v>
      </c>
      <c r="AK49" s="510">
        <f t="shared" si="17"/>
        <v>27.930518028540074</v>
      </c>
      <c r="AL49" s="510">
        <f t="shared" si="17"/>
        <v>0</v>
      </c>
      <c r="AM49" s="510">
        <f t="shared" si="17"/>
        <v>6.6222788243116328</v>
      </c>
      <c r="AN49" s="510">
        <f t="shared" si="18"/>
        <v>0</v>
      </c>
      <c r="AO49" s="510">
        <f t="shared" si="19"/>
        <v>74.519657147764349</v>
      </c>
      <c r="AQ49" s="510">
        <f t="shared" si="20"/>
        <v>4483.2908497887465</v>
      </c>
      <c r="AR49" s="510">
        <f t="shared" si="20"/>
        <v>39.573506872997839</v>
      </c>
      <c r="AS49" s="510">
        <f t="shared" si="20"/>
        <v>0</v>
      </c>
      <c r="AT49" s="510">
        <f t="shared" si="20"/>
        <v>9.5237437587943372</v>
      </c>
      <c r="AU49" s="510">
        <f t="shared" si="20"/>
        <v>471.98996185153999</v>
      </c>
      <c r="AV49" s="510">
        <f t="shared" si="21"/>
        <v>5004.3780622720788</v>
      </c>
      <c r="AW49" s="510">
        <f t="shared" si="22"/>
        <v>3.3645726154408369E+22</v>
      </c>
      <c r="AX49" s="510">
        <f t="shared" si="23"/>
        <v>3.3645726154408369E+22</v>
      </c>
      <c r="AY49" s="510">
        <f t="shared" si="24"/>
        <v>3.3645726154408369E+22</v>
      </c>
      <c r="AZ49" s="490">
        <f t="shared" si="25"/>
        <v>-3.3645726154408369E+22</v>
      </c>
      <c r="BA49" s="510">
        <f t="shared" si="26"/>
        <v>6.7291452308816738E+22</v>
      </c>
    </row>
    <row r="50" spans="1:53" x14ac:dyDescent="0.2">
      <c r="A50">
        <v>33</v>
      </c>
      <c r="B50" s="510">
        <f>'Assumptions-Output Target'!$D$12*'Assumptions-Output Override'!$D$11*$I$2*12</f>
        <v>3935.8341983467963</v>
      </c>
      <c r="C50" s="510">
        <f t="shared" si="1"/>
        <v>-3.3645726154408369E+22</v>
      </c>
      <c r="D50" s="510">
        <f t="shared" si="2"/>
        <v>0</v>
      </c>
      <c r="E50" s="510">
        <f t="shared" si="0"/>
        <v>471.98996185153999</v>
      </c>
      <c r="F50" s="510">
        <f t="shared" si="3"/>
        <v>3.3645726154408369E+22</v>
      </c>
      <c r="G50" s="510">
        <f>$I$5*'Assumptions-Output Override'!$D$12*12</f>
        <v>4443.3239894938342</v>
      </c>
      <c r="H50" s="489">
        <f>'Winners-Losers Values PMPM'!AV38*$I$9*12</f>
        <v>12.24990716963927</v>
      </c>
      <c r="I50" s="489">
        <f>('Winners-Losers Values PMPM'!AW38*12)*$I$10</f>
        <v>0</v>
      </c>
      <c r="J50" s="489">
        <f>('Winners-Losers Values PMPM'!AT38*12)*$I$11</f>
        <v>2.6897800496340465</v>
      </c>
      <c r="K50" s="510">
        <f t="shared" si="4"/>
        <v>4458.263676713108</v>
      </c>
      <c r="L50" s="510">
        <f t="shared" si="5"/>
        <v>3.3645726154408369E+22</v>
      </c>
      <c r="M50" s="510">
        <f t="shared" si="6"/>
        <v>0</v>
      </c>
      <c r="N50" s="489">
        <f>'Winners-Losers Values PMPM'!AP38*12</f>
        <v>338.25937242196238</v>
      </c>
      <c r="O50" s="489">
        <f>'Winners-Losers Values PMPM'!AQ38*12</f>
        <v>26.867288477875704</v>
      </c>
      <c r="P50" s="489">
        <f>'Winners-Losers Values PMPM'!AR38*12</f>
        <v>0</v>
      </c>
      <c r="Q50" s="489">
        <f>'Winners-Losers Values PMPM'!AO38*12</f>
        <v>0</v>
      </c>
      <c r="R50" s="510">
        <f t="shared" si="7"/>
        <v>365.1266608998381</v>
      </c>
      <c r="S50" s="489">
        <f t="shared" si="8"/>
        <v>373.42754027216142</v>
      </c>
      <c r="T50" s="489">
        <f t="shared" si="9"/>
        <v>373.42754027216142</v>
      </c>
      <c r="U50" s="510">
        <f>((('Assumptions-Output Override'!$H$60+'Assumptions-Output Override'!$H$61)/('Assumptions-Output Override'!$F$60+'Assumptions-Output Override'!$F$61))*'HRA Balance Calc'!$I$5*12)+($K$8*(($I$8*12)))</f>
        <v>-288.26087712588196</v>
      </c>
      <c r="V50" s="489">
        <f>'Winners-Losers Values PMPM'!AV38*(1-$I$9)*12+$L$8*(($I$8*12)*IFERROR((('Winners-Losers Values PMPM'!AY38*12)/('Winners-Losers Values PMPM'!AY$107*12)),0))</f>
        <v>2.1617483240539892</v>
      </c>
      <c r="W50" s="489">
        <f>('Winners-Losers Values PMPM'!AW38*12)*(1-$I$10)+$M$8*(($I$8*12)*IFERROR((('Winners-Losers Values PMPM'!AY38*12)/('Winners-Losers Values PMPM'!AY$107*12)),0))</f>
        <v>0</v>
      </c>
      <c r="X50" s="489">
        <f>('Winners-Losers Values PMPM'!AT38*12)*(1-$I$11)+$N$8*(($I$8*12)*IFERROR((('Winners-Losers Values PMPM'!AY38*12)/('Winners-Losers Values PMPM'!AY$107*12)),0))</f>
        <v>6.1391310482693076</v>
      </c>
      <c r="Y50" s="510">
        <f t="shared" si="10"/>
        <v>-279.9599977535587</v>
      </c>
      <c r="AA50" s="510">
        <f t="shared" si="11"/>
        <v>4443.3239894938342</v>
      </c>
      <c r="AB50" s="510">
        <f t="shared" si="11"/>
        <v>12.24990716963927</v>
      </c>
      <c r="AC50" s="510">
        <f t="shared" si="11"/>
        <v>0</v>
      </c>
      <c r="AD50" s="510">
        <f t="shared" si="11"/>
        <v>2.6897800496340465</v>
      </c>
      <c r="AE50" s="510">
        <f t="shared" si="12"/>
        <v>471.98996185153999</v>
      </c>
      <c r="AF50" s="510">
        <f t="shared" si="13"/>
        <v>4930.2536385646481</v>
      </c>
      <c r="AG50" s="510">
        <f t="shared" si="14"/>
        <v>3.3645726154408369E+22</v>
      </c>
      <c r="AH50" s="510">
        <f t="shared" si="15"/>
        <v>3.3645726154408369E+22</v>
      </c>
      <c r="AJ50" s="510">
        <f t="shared" si="16"/>
        <v>49.998495296080421</v>
      </c>
      <c r="AK50" s="510">
        <f t="shared" si="17"/>
        <v>29.029036801929692</v>
      </c>
      <c r="AL50" s="510">
        <f t="shared" si="17"/>
        <v>0</v>
      </c>
      <c r="AM50" s="510">
        <f t="shared" si="17"/>
        <v>6.1391310482693076</v>
      </c>
      <c r="AN50" s="510">
        <f t="shared" si="18"/>
        <v>0</v>
      </c>
      <c r="AO50" s="510">
        <f t="shared" si="19"/>
        <v>85.166663146279419</v>
      </c>
      <c r="AQ50" s="510">
        <f t="shared" si="20"/>
        <v>4493.3224847899146</v>
      </c>
      <c r="AR50" s="510">
        <f t="shared" si="20"/>
        <v>41.278943971568964</v>
      </c>
      <c r="AS50" s="510">
        <f t="shared" si="20"/>
        <v>0</v>
      </c>
      <c r="AT50" s="510">
        <f t="shared" si="20"/>
        <v>8.8289110979033545</v>
      </c>
      <c r="AU50" s="510">
        <f t="shared" si="20"/>
        <v>471.98996185153999</v>
      </c>
      <c r="AV50" s="510">
        <f t="shared" si="21"/>
        <v>5015.4203017109267</v>
      </c>
      <c r="AW50" s="510">
        <f t="shared" si="22"/>
        <v>3.3645726154408369E+22</v>
      </c>
      <c r="AX50" s="510">
        <f t="shared" si="23"/>
        <v>3.3645726154408369E+22</v>
      </c>
      <c r="AY50" s="510">
        <f t="shared" si="24"/>
        <v>3.3645726154408369E+22</v>
      </c>
      <c r="AZ50" s="490">
        <f t="shared" si="25"/>
        <v>-3.3645726154408369E+22</v>
      </c>
      <c r="BA50" s="510">
        <f t="shared" si="26"/>
        <v>6.7291452308816738E+22</v>
      </c>
    </row>
    <row r="51" spans="1:53" x14ac:dyDescent="0.2">
      <c r="A51">
        <v>34</v>
      </c>
      <c r="B51" s="510">
        <f>'Assumptions-Output Target'!$D$12*'Assumptions-Output Override'!$D$11*$I$2*12</f>
        <v>3935.8341983467963</v>
      </c>
      <c r="C51" s="510">
        <f t="shared" si="1"/>
        <v>-3.3645726154408369E+22</v>
      </c>
      <c r="D51" s="510">
        <f t="shared" si="2"/>
        <v>0</v>
      </c>
      <c r="E51" s="510">
        <f t="shared" si="0"/>
        <v>471.98996185153999</v>
      </c>
      <c r="F51" s="510">
        <f t="shared" si="3"/>
        <v>3.3645726154408369E+22</v>
      </c>
      <c r="G51" s="510">
        <f>$I$5*'Assumptions-Output Override'!$D$12*12</f>
        <v>4443.3239894938342</v>
      </c>
      <c r="H51" s="489">
        <f>'Winners-Losers Values PMPM'!AV39*$I$9*12</f>
        <v>13.723932898550409</v>
      </c>
      <c r="I51" s="489">
        <f>('Winners-Losers Values PMPM'!AW39*12)*$I$10</f>
        <v>0</v>
      </c>
      <c r="J51" s="489">
        <f>('Winners-Losers Values PMPM'!AT39*12)*$I$11</f>
        <v>2.5388652725794163</v>
      </c>
      <c r="K51" s="510">
        <f t="shared" si="4"/>
        <v>4459.5867876649645</v>
      </c>
      <c r="L51" s="510">
        <f t="shared" si="5"/>
        <v>3.3645726154408369E+22</v>
      </c>
      <c r="M51" s="510">
        <f t="shared" si="6"/>
        <v>0</v>
      </c>
      <c r="N51" s="489">
        <f>'Winners-Losers Values PMPM'!AP39*12</f>
        <v>347.38519139956406</v>
      </c>
      <c r="O51" s="489">
        <f>'Winners-Losers Values PMPM'!AQ39*12</f>
        <v>29.094041935535081</v>
      </c>
      <c r="P51" s="489">
        <f>'Winners-Losers Values PMPM'!AR39*12</f>
        <v>0</v>
      </c>
      <c r="Q51" s="489">
        <f>'Winners-Losers Values PMPM'!AO39*12</f>
        <v>0</v>
      </c>
      <c r="R51" s="510">
        <f t="shared" si="7"/>
        <v>376.47923333509914</v>
      </c>
      <c r="S51" s="489">
        <f t="shared" si="8"/>
        <v>384.69578829464888</v>
      </c>
      <c r="T51" s="489">
        <f t="shared" si="9"/>
        <v>384.69578829464888</v>
      </c>
      <c r="U51" s="510">
        <f>((('Assumptions-Output Override'!$H$60+'Assumptions-Output Override'!$H$61)/('Assumptions-Output Override'!$F$60+'Assumptions-Output Override'!$F$61))*'HRA Balance Calc'!$I$5*12)+($K$8*(($I$8*12)))</f>
        <v>-288.26087712588196</v>
      </c>
      <c r="V51" s="489">
        <f>'Winners-Losers Values PMPM'!AV39*(1-$I$9)*12+$L$8*(($I$8*12)*IFERROR((('Winners-Losers Values PMPM'!AY39*12)/('Winners-Losers Values PMPM'!AY$107*12)),0))</f>
        <v>2.4218705115088959</v>
      </c>
      <c r="W51" s="489">
        <f>('Winners-Losers Values PMPM'!AW39*12)*(1-$I$10)+$M$8*(($I$8*12)*IFERROR((('Winners-Losers Values PMPM'!AY39*12)/('Winners-Losers Values PMPM'!AY$107*12)),0))</f>
        <v>0</v>
      </c>
      <c r="X51" s="489">
        <f>('Winners-Losers Values PMPM'!AT39*12)*(1-$I$11)+$N$8*(($I$8*12)*IFERROR((('Winners-Losers Values PMPM'!AY39*12)/('Winners-Losers Values PMPM'!AY$107*12)),0))</f>
        <v>5.7946844480408712</v>
      </c>
      <c r="Y51" s="510">
        <f t="shared" si="10"/>
        <v>-280.04432216633222</v>
      </c>
      <c r="AA51" s="510">
        <f t="shared" si="11"/>
        <v>4443.3239894938342</v>
      </c>
      <c r="AB51" s="510">
        <f t="shared" si="11"/>
        <v>13.723932898550409</v>
      </c>
      <c r="AC51" s="510">
        <f t="shared" si="11"/>
        <v>0</v>
      </c>
      <c r="AD51" s="510">
        <f t="shared" si="11"/>
        <v>2.5388652725794163</v>
      </c>
      <c r="AE51" s="510">
        <f t="shared" si="12"/>
        <v>471.98996185153999</v>
      </c>
      <c r="AF51" s="510">
        <f t="shared" si="13"/>
        <v>4931.5767495165046</v>
      </c>
      <c r="AG51" s="510">
        <f t="shared" si="14"/>
        <v>3.3645726154408369E+22</v>
      </c>
      <c r="AH51" s="510">
        <f t="shared" si="15"/>
        <v>3.3645726154408369E+22</v>
      </c>
      <c r="AJ51" s="510">
        <f t="shared" si="16"/>
        <v>59.124314273682103</v>
      </c>
      <c r="AK51" s="510">
        <f t="shared" si="17"/>
        <v>31.515912447043977</v>
      </c>
      <c r="AL51" s="510">
        <f t="shared" si="17"/>
        <v>0</v>
      </c>
      <c r="AM51" s="510">
        <f t="shared" si="17"/>
        <v>5.7946844480408712</v>
      </c>
      <c r="AN51" s="510">
        <f t="shared" si="18"/>
        <v>0</v>
      </c>
      <c r="AO51" s="510">
        <f t="shared" si="19"/>
        <v>96.434911168766945</v>
      </c>
      <c r="AQ51" s="510">
        <f t="shared" si="20"/>
        <v>4502.4483037675163</v>
      </c>
      <c r="AR51" s="510">
        <f t="shared" si="20"/>
        <v>45.239845345594389</v>
      </c>
      <c r="AS51" s="510">
        <f t="shared" si="20"/>
        <v>0</v>
      </c>
      <c r="AT51" s="510">
        <f t="shared" si="20"/>
        <v>8.3335497206202866</v>
      </c>
      <c r="AU51" s="510">
        <f t="shared" si="20"/>
        <v>471.98996185153999</v>
      </c>
      <c r="AV51" s="510">
        <f t="shared" si="21"/>
        <v>5028.0116606852707</v>
      </c>
      <c r="AW51" s="510">
        <f t="shared" si="22"/>
        <v>3.3645726154408369E+22</v>
      </c>
      <c r="AX51" s="510">
        <f t="shared" si="23"/>
        <v>3.3645726154408369E+22</v>
      </c>
      <c r="AY51" s="510">
        <f t="shared" si="24"/>
        <v>3.3645726154408369E+22</v>
      </c>
      <c r="AZ51" s="490">
        <f t="shared" si="25"/>
        <v>-3.3645726154408369E+22</v>
      </c>
      <c r="BA51" s="510">
        <f t="shared" si="26"/>
        <v>6.7291452308816738E+22</v>
      </c>
    </row>
    <row r="52" spans="1:53" x14ac:dyDescent="0.2">
      <c r="A52">
        <v>35</v>
      </c>
      <c r="B52" s="510">
        <f>'Assumptions-Output Target'!$D$12*'Assumptions-Output Override'!$D$11*$I$2*12</f>
        <v>3935.8341983467963</v>
      </c>
      <c r="C52" s="510">
        <f t="shared" si="1"/>
        <v>-3.3645726154408369E+22</v>
      </c>
      <c r="D52" s="510">
        <f t="shared" si="2"/>
        <v>0</v>
      </c>
      <c r="E52" s="510">
        <f t="shared" si="0"/>
        <v>471.98996185153999</v>
      </c>
      <c r="F52" s="510">
        <f t="shared" si="3"/>
        <v>3.3645726154408369E+22</v>
      </c>
      <c r="G52" s="510">
        <f>$I$5*'Assumptions-Output Override'!$D$12*12</f>
        <v>4443.3239894938342</v>
      </c>
      <c r="H52" s="489">
        <f>'Winners-Losers Values PMPM'!AV40*$I$9*12</f>
        <v>14.549398809416518</v>
      </c>
      <c r="I52" s="489">
        <f>('Winners-Losers Values PMPM'!AW40*12)*$I$10</f>
        <v>1.6000612608670462E-2</v>
      </c>
      <c r="J52" s="489">
        <f>('Winners-Losers Values PMPM'!AT40*12)*$I$11</f>
        <v>2.1039531607748225</v>
      </c>
      <c r="K52" s="510">
        <f t="shared" si="4"/>
        <v>4459.9933420766347</v>
      </c>
      <c r="L52" s="510">
        <f t="shared" si="5"/>
        <v>3.3645726154408369E+22</v>
      </c>
      <c r="M52" s="510">
        <f t="shared" si="6"/>
        <v>0</v>
      </c>
      <c r="N52" s="489">
        <f>'Winners-Losers Values PMPM'!AP40*12</f>
        <v>363.561376320916</v>
      </c>
      <c r="O52" s="489">
        <f>'Winners-Losers Values PMPM'!AQ40*12</f>
        <v>29.67505759671436</v>
      </c>
      <c r="P52" s="489">
        <f>'Winners-Losers Values PMPM'!AR40*12</f>
        <v>6.5071990141700713E-4</v>
      </c>
      <c r="Q52" s="489">
        <f>'Winners-Losers Values PMPM'!AO40*12</f>
        <v>0</v>
      </c>
      <c r="R52" s="510">
        <f t="shared" si="7"/>
        <v>393.23708463753178</v>
      </c>
      <c r="S52" s="489">
        <f t="shared" si="8"/>
        <v>400.60949399417609</v>
      </c>
      <c r="T52" s="489">
        <f t="shared" si="9"/>
        <v>400.60949399417609</v>
      </c>
      <c r="U52" s="510">
        <f>((('Assumptions-Output Override'!$H$60+'Assumptions-Output Override'!$H$61)/('Assumptions-Output Override'!$F$60+'Assumptions-Output Override'!$F$61))*'HRA Balance Calc'!$I$5*12)+($K$8*(($I$8*12)))</f>
        <v>-288.26087712588196</v>
      </c>
      <c r="V52" s="489">
        <f>'Winners-Losers Values PMPM'!AV40*(1-$I$9)*12+$L$8*(($I$8*12)*IFERROR((('Winners-Losers Values PMPM'!AY40*12)/('Winners-Losers Values PMPM'!AY$107*12)),0))</f>
        <v>2.5675409663676212</v>
      </c>
      <c r="W52" s="489">
        <f>('Winners-Losers Values PMPM'!AW40*12)*(1-$I$10)+$M$8*(($I$8*12)*IFERROR((('Winners-Losers Values PMPM'!AY40*12)/('Winners-Losers Values PMPM'!AY$107*12)),0))</f>
        <v>2.8236375191771405E-3</v>
      </c>
      <c r="X52" s="489">
        <f>('Winners-Losers Values PMPM'!AT40*12)*(1-$I$11)+$N$8*(($I$8*12)*IFERROR((('Winners-Losers Values PMPM'!AY40*12)/('Winners-Losers Values PMPM'!AY$107*12)),0))</f>
        <v>4.8020447527575287</v>
      </c>
      <c r="Y52" s="510">
        <f t="shared" si="10"/>
        <v>-280.88846776923765</v>
      </c>
      <c r="AA52" s="510">
        <f t="shared" si="11"/>
        <v>4443.3239894938342</v>
      </c>
      <c r="AB52" s="510">
        <f t="shared" si="11"/>
        <v>14.549398809416518</v>
      </c>
      <c r="AC52" s="510">
        <f t="shared" si="11"/>
        <v>1.6000612608670462E-2</v>
      </c>
      <c r="AD52" s="510">
        <f t="shared" si="11"/>
        <v>2.1039531607748225</v>
      </c>
      <c r="AE52" s="510">
        <f t="shared" si="12"/>
        <v>471.98996185153999</v>
      </c>
      <c r="AF52" s="510">
        <f t="shared" si="13"/>
        <v>4931.9833039281748</v>
      </c>
      <c r="AG52" s="510">
        <f t="shared" si="14"/>
        <v>3.3645726154408369E+22</v>
      </c>
      <c r="AH52" s="510">
        <f t="shared" si="15"/>
        <v>3.3645726154408369E+22</v>
      </c>
      <c r="AJ52" s="510">
        <f t="shared" si="16"/>
        <v>75.300499195034035</v>
      </c>
      <c r="AK52" s="510">
        <f t="shared" si="17"/>
        <v>32.242598563081984</v>
      </c>
      <c r="AL52" s="510">
        <f t="shared" si="17"/>
        <v>3.4743574205941476E-3</v>
      </c>
      <c r="AM52" s="510">
        <f t="shared" si="17"/>
        <v>4.8020447527575287</v>
      </c>
      <c r="AN52" s="510">
        <f t="shared" si="18"/>
        <v>0</v>
      </c>
      <c r="AO52" s="510">
        <f t="shared" si="19"/>
        <v>112.34861686829414</v>
      </c>
      <c r="AQ52" s="510">
        <f t="shared" si="20"/>
        <v>4518.624488688868</v>
      </c>
      <c r="AR52" s="510">
        <f t="shared" si="20"/>
        <v>46.7919973724985</v>
      </c>
      <c r="AS52" s="510">
        <f t="shared" si="20"/>
        <v>1.9474970029264609E-2</v>
      </c>
      <c r="AT52" s="510">
        <f t="shared" si="20"/>
        <v>6.9059979135323513</v>
      </c>
      <c r="AU52" s="510">
        <f t="shared" si="20"/>
        <v>471.98996185153999</v>
      </c>
      <c r="AV52" s="510">
        <f t="shared" si="21"/>
        <v>5044.3319207964687</v>
      </c>
      <c r="AW52" s="510">
        <f t="shared" si="22"/>
        <v>3.3645726154408369E+22</v>
      </c>
      <c r="AX52" s="510">
        <f t="shared" si="23"/>
        <v>3.3645726154408369E+22</v>
      </c>
      <c r="AY52" s="510">
        <f t="shared" si="24"/>
        <v>3.3645726154408369E+22</v>
      </c>
      <c r="AZ52" s="490">
        <f t="shared" si="25"/>
        <v>-3.3645726154408369E+22</v>
      </c>
      <c r="BA52" s="510">
        <f t="shared" si="26"/>
        <v>6.7291452308816738E+22</v>
      </c>
    </row>
    <row r="53" spans="1:53" x14ac:dyDescent="0.2">
      <c r="A53">
        <v>36</v>
      </c>
      <c r="B53" s="510">
        <f>'Assumptions-Output Target'!$D$12*'Assumptions-Output Override'!$D$11*$I$2*12</f>
        <v>3935.8341983467963</v>
      </c>
      <c r="C53" s="510">
        <f t="shared" si="1"/>
        <v>-3.3645726154408369E+22</v>
      </c>
      <c r="D53" s="510">
        <f t="shared" si="2"/>
        <v>0</v>
      </c>
      <c r="E53" s="510">
        <f t="shared" si="0"/>
        <v>471.98996185153999</v>
      </c>
      <c r="F53" s="510">
        <f t="shared" si="3"/>
        <v>3.3645726154408369E+22</v>
      </c>
      <c r="G53" s="510">
        <f>$I$5*'Assumptions-Output Override'!$D$12*12</f>
        <v>4443.3239894938342</v>
      </c>
      <c r="H53" s="489">
        <f>'Winners-Losers Values PMPM'!AV41*$I$9*12</f>
        <v>15.74901274351104</v>
      </c>
      <c r="I53" s="489">
        <f>('Winners-Losers Values PMPM'!AW41*12)*$I$10</f>
        <v>0</v>
      </c>
      <c r="J53" s="489">
        <f>('Winners-Losers Values PMPM'!AT41*12)*$I$11</f>
        <v>2.3846917944456285</v>
      </c>
      <c r="K53" s="510">
        <f t="shared" si="4"/>
        <v>4461.4576940317911</v>
      </c>
      <c r="L53" s="510">
        <f t="shared" si="5"/>
        <v>3.3645726154408369E+22</v>
      </c>
      <c r="M53" s="510">
        <f t="shared" si="6"/>
        <v>0</v>
      </c>
      <c r="N53" s="489">
        <f>'Winners-Losers Values PMPM'!AP41*12</f>
        <v>378.20952698099319</v>
      </c>
      <c r="O53" s="489">
        <f>'Winners-Losers Values PMPM'!AQ41*12</f>
        <v>31.856645446121561</v>
      </c>
      <c r="P53" s="489">
        <f>'Winners-Losers Values PMPM'!AR41*12</f>
        <v>0</v>
      </c>
      <c r="Q53" s="489">
        <f>'Winners-Losers Values PMPM'!AO41*12</f>
        <v>0</v>
      </c>
      <c r="R53" s="510">
        <f t="shared" si="7"/>
        <v>410.06617242711474</v>
      </c>
      <c r="S53" s="489">
        <f t="shared" si="8"/>
        <v>418.28821018634511</v>
      </c>
      <c r="T53" s="489">
        <f t="shared" si="9"/>
        <v>418.28821018634511</v>
      </c>
      <c r="U53" s="510">
        <f>((('Assumptions-Output Override'!$H$60+'Assumptions-Output Override'!$H$61)/('Assumptions-Output Override'!$F$60+'Assumptions-Output Override'!$F$61))*'HRA Balance Calc'!$I$5*12)+($K$8*(($I$8*12)))</f>
        <v>-288.26087712588196</v>
      </c>
      <c r="V53" s="489">
        <f>'Winners-Losers Values PMPM'!AV41*(1-$I$9)*12+$L$8*(($I$8*12)*IFERROR((('Winners-Losers Values PMPM'!AY41*12)/('Winners-Losers Values PMPM'!AY$107*12)),0))</f>
        <v>2.7792375429725369</v>
      </c>
      <c r="W53" s="489">
        <f>('Winners-Losers Values PMPM'!AW41*12)*(1-$I$10)+$M$8*(($I$8*12)*IFERROR((('Winners-Losers Values PMPM'!AY41*12)/('Winners-Losers Values PMPM'!AY$107*12)),0))</f>
        <v>0</v>
      </c>
      <c r="X53" s="489">
        <f>('Winners-Losers Values PMPM'!AT41*12)*(1-$I$11)+$N$8*(($I$8*12)*IFERROR((('Winners-Losers Values PMPM'!AY41*12)/('Winners-Losers Values PMPM'!AY$107*12)),0))</f>
        <v>5.4428002162578384</v>
      </c>
      <c r="Y53" s="510">
        <f t="shared" si="10"/>
        <v>-280.03883936665159</v>
      </c>
      <c r="AA53" s="510">
        <f t="shared" si="11"/>
        <v>4443.3239894938342</v>
      </c>
      <c r="AB53" s="510">
        <f t="shared" si="11"/>
        <v>15.74901274351104</v>
      </c>
      <c r="AC53" s="510">
        <f t="shared" si="11"/>
        <v>0</v>
      </c>
      <c r="AD53" s="510">
        <f t="shared" si="11"/>
        <v>2.3846917944456285</v>
      </c>
      <c r="AE53" s="510">
        <f t="shared" si="12"/>
        <v>471.98996185153999</v>
      </c>
      <c r="AF53" s="510">
        <f t="shared" si="13"/>
        <v>4933.4476558833312</v>
      </c>
      <c r="AG53" s="510">
        <f t="shared" si="14"/>
        <v>3.3645726154408369E+22</v>
      </c>
      <c r="AH53" s="510">
        <f t="shared" si="15"/>
        <v>3.3645726154408369E+22</v>
      </c>
      <c r="AJ53" s="510">
        <f t="shared" si="16"/>
        <v>89.948649855111228</v>
      </c>
      <c r="AK53" s="510">
        <f t="shared" si="17"/>
        <v>34.6358829890941</v>
      </c>
      <c r="AL53" s="510">
        <f t="shared" si="17"/>
        <v>0</v>
      </c>
      <c r="AM53" s="510">
        <f t="shared" si="17"/>
        <v>5.4428002162578384</v>
      </c>
      <c r="AN53" s="510">
        <f t="shared" si="18"/>
        <v>0</v>
      </c>
      <c r="AO53" s="510">
        <f t="shared" si="19"/>
        <v>130.02733306046318</v>
      </c>
      <c r="AQ53" s="510">
        <f t="shared" si="20"/>
        <v>4533.2726393489456</v>
      </c>
      <c r="AR53" s="510">
        <f t="shared" si="20"/>
        <v>50.384895732605138</v>
      </c>
      <c r="AS53" s="510">
        <f t="shared" si="20"/>
        <v>0</v>
      </c>
      <c r="AT53" s="510">
        <f t="shared" si="20"/>
        <v>7.8274920107034669</v>
      </c>
      <c r="AU53" s="510">
        <f t="shared" si="20"/>
        <v>471.98996185153999</v>
      </c>
      <c r="AV53" s="510">
        <f t="shared" si="21"/>
        <v>5063.4749889437944</v>
      </c>
      <c r="AW53" s="510">
        <f t="shared" si="22"/>
        <v>3.3645726154408369E+22</v>
      </c>
      <c r="AX53" s="510">
        <f t="shared" si="23"/>
        <v>3.3645726154408369E+22</v>
      </c>
      <c r="AY53" s="510">
        <f t="shared" si="24"/>
        <v>3.3645726154408369E+22</v>
      </c>
      <c r="AZ53" s="490">
        <f t="shared" si="25"/>
        <v>-3.3645726154408369E+22</v>
      </c>
      <c r="BA53" s="510">
        <f t="shared" si="26"/>
        <v>6.7291452308816738E+22</v>
      </c>
    </row>
    <row r="54" spans="1:53" x14ac:dyDescent="0.2">
      <c r="A54">
        <v>37</v>
      </c>
      <c r="B54" s="510">
        <f>'Assumptions-Output Target'!$D$12*'Assumptions-Output Override'!$D$11*$I$2*12</f>
        <v>3935.8341983467963</v>
      </c>
      <c r="C54" s="510">
        <f t="shared" si="1"/>
        <v>-3.3645726154408369E+22</v>
      </c>
      <c r="D54" s="510">
        <f t="shared" si="2"/>
        <v>0</v>
      </c>
      <c r="E54" s="510">
        <f t="shared" si="0"/>
        <v>471.98996185153999</v>
      </c>
      <c r="F54" s="510">
        <f t="shared" si="3"/>
        <v>3.3645726154408369E+22</v>
      </c>
      <c r="G54" s="510">
        <f>$I$5*'Assumptions-Output Override'!$D$12*12</f>
        <v>4443.3239894938342</v>
      </c>
      <c r="H54" s="489">
        <f>'Winners-Losers Values PMPM'!AV42*$I$9*12</f>
        <v>16.888021482344161</v>
      </c>
      <c r="I54" s="489">
        <f>('Winners-Losers Values PMPM'!AW42*12)*$I$10</f>
        <v>3.5836306522243844E-2</v>
      </c>
      <c r="J54" s="489">
        <f>('Winners-Losers Values PMPM'!AT42*12)*$I$11</f>
        <v>2.5496056767164683</v>
      </c>
      <c r="K54" s="510">
        <f t="shared" si="4"/>
        <v>4462.7974529594167</v>
      </c>
      <c r="L54" s="510">
        <f t="shared" si="5"/>
        <v>3.3645726154408369E+22</v>
      </c>
      <c r="M54" s="510">
        <f t="shared" si="6"/>
        <v>0</v>
      </c>
      <c r="N54" s="489">
        <f>'Winners-Losers Values PMPM'!AP42*12</f>
        <v>395.55558223215792</v>
      </c>
      <c r="O54" s="489">
        <f>'Winners-Losers Values PMPM'!AQ42*12</f>
        <v>35.247323688586569</v>
      </c>
      <c r="P54" s="489">
        <f>'Winners-Losers Values PMPM'!AR42*12</f>
        <v>1.4574065642129087E-3</v>
      </c>
      <c r="Q54" s="489">
        <f>'Winners-Losers Values PMPM'!AO42*12</f>
        <v>0</v>
      </c>
      <c r="R54" s="510">
        <f t="shared" si="7"/>
        <v>430.80436332730869</v>
      </c>
      <c r="S54" s="489">
        <f t="shared" si="8"/>
        <v>439.61012472137526</v>
      </c>
      <c r="T54" s="489">
        <f t="shared" si="9"/>
        <v>439.61012472137526</v>
      </c>
      <c r="U54" s="510">
        <f>((('Assumptions-Output Override'!$H$60+'Assumptions-Output Override'!$H$61)/('Assumptions-Output Override'!$F$60+'Assumptions-Output Override'!$F$61))*'HRA Balance Calc'!$I$5*12)+($K$8*(($I$8*12)))</f>
        <v>-288.26087712588196</v>
      </c>
      <c r="V54" s="489">
        <f>'Winners-Losers Values PMPM'!AV42*(1-$I$9)*12+$L$8*(($I$8*12)*IFERROR((('Winners-Losers Values PMPM'!AY42*12)/('Winners-Losers Values PMPM'!AY$107*12)),0))</f>
        <v>2.9802390851195586</v>
      </c>
      <c r="W54" s="489">
        <f>('Winners-Losers Values PMPM'!AW42*12)*(1-$I$10)+$M$8*(($I$8*12)*IFERROR((('Winners-Losers Values PMPM'!AY42*12)/('Winners-Losers Values PMPM'!AY$107*12)),0))</f>
        <v>6.3240540921606792E-3</v>
      </c>
      <c r="X54" s="489">
        <f>('Winners-Losers Values PMPM'!AT42*12)*(1-$I$11)+$N$8*(($I$8*12)*IFERROR((('Winners-Losers Values PMPM'!AY42*12)/('Winners-Losers Values PMPM'!AY$107*12)),0))</f>
        <v>5.8191982548548182</v>
      </c>
      <c r="Y54" s="510">
        <f t="shared" si="10"/>
        <v>-279.45511573181545</v>
      </c>
      <c r="AA54" s="510">
        <f t="shared" si="11"/>
        <v>4443.3239894938342</v>
      </c>
      <c r="AB54" s="510">
        <f t="shared" si="11"/>
        <v>16.888021482344161</v>
      </c>
      <c r="AC54" s="510">
        <f t="shared" si="11"/>
        <v>3.5836306522243844E-2</v>
      </c>
      <c r="AD54" s="510">
        <f t="shared" si="11"/>
        <v>2.5496056767164683</v>
      </c>
      <c r="AE54" s="510">
        <f t="shared" si="12"/>
        <v>471.98996185153999</v>
      </c>
      <c r="AF54" s="510">
        <f t="shared" si="13"/>
        <v>4934.7874148109568</v>
      </c>
      <c r="AG54" s="510">
        <f t="shared" si="14"/>
        <v>3.3645726154408369E+22</v>
      </c>
      <c r="AH54" s="510">
        <f t="shared" si="15"/>
        <v>3.3645726154408369E+22</v>
      </c>
      <c r="AJ54" s="510">
        <f t="shared" si="16"/>
        <v>107.29470510627596</v>
      </c>
      <c r="AK54" s="510">
        <f t="shared" si="17"/>
        <v>38.227562773706126</v>
      </c>
      <c r="AL54" s="510">
        <f t="shared" si="17"/>
        <v>7.7814606563735879E-3</v>
      </c>
      <c r="AM54" s="510">
        <f t="shared" si="17"/>
        <v>5.8191982548548182</v>
      </c>
      <c r="AN54" s="510">
        <f t="shared" si="18"/>
        <v>0</v>
      </c>
      <c r="AO54" s="510">
        <f t="shared" si="19"/>
        <v>151.34924759549327</v>
      </c>
      <c r="AQ54" s="510">
        <f t="shared" si="20"/>
        <v>4550.6186946001098</v>
      </c>
      <c r="AR54" s="510">
        <f t="shared" si="20"/>
        <v>55.115584256050283</v>
      </c>
      <c r="AS54" s="510">
        <f t="shared" si="20"/>
        <v>4.3617767178617428E-2</v>
      </c>
      <c r="AT54" s="510">
        <f t="shared" si="20"/>
        <v>8.3688039315712857</v>
      </c>
      <c r="AU54" s="510">
        <f t="shared" si="20"/>
        <v>471.98996185153999</v>
      </c>
      <c r="AV54" s="510">
        <f t="shared" si="21"/>
        <v>5086.1366624064503</v>
      </c>
      <c r="AW54" s="510">
        <f t="shared" si="22"/>
        <v>3.3645726154408369E+22</v>
      </c>
      <c r="AX54" s="510">
        <f t="shared" si="23"/>
        <v>3.3645726154408369E+22</v>
      </c>
      <c r="AY54" s="510">
        <f t="shared" si="24"/>
        <v>3.3645726154408369E+22</v>
      </c>
      <c r="AZ54" s="490">
        <f t="shared" si="25"/>
        <v>-3.3645726154408369E+22</v>
      </c>
      <c r="BA54" s="510">
        <f t="shared" si="26"/>
        <v>6.7291452308816738E+22</v>
      </c>
    </row>
    <row r="55" spans="1:53" x14ac:dyDescent="0.2">
      <c r="A55">
        <v>38</v>
      </c>
      <c r="B55" s="510">
        <f>'Assumptions-Output Target'!$D$12*'Assumptions-Output Override'!$D$11*$I$2*12</f>
        <v>3935.8341983467963</v>
      </c>
      <c r="C55" s="510">
        <f t="shared" si="1"/>
        <v>-3.3645726154408369E+22</v>
      </c>
      <c r="D55" s="510">
        <f t="shared" si="2"/>
        <v>0</v>
      </c>
      <c r="E55" s="510">
        <f t="shared" si="0"/>
        <v>471.98996185153999</v>
      </c>
      <c r="F55" s="510">
        <f t="shared" si="3"/>
        <v>3.3645726154408369E+22</v>
      </c>
      <c r="G55" s="510">
        <f>$I$5*'Assumptions-Output Override'!$D$12*12</f>
        <v>4443.3239894938342</v>
      </c>
      <c r="H55" s="489">
        <f>'Winners-Losers Values PMPM'!AV43*$I$9*12</f>
        <v>19.78541617901773</v>
      </c>
      <c r="I55" s="489">
        <f>('Winners-Losers Values PMPM'!AW43*12)*$I$10</f>
        <v>0</v>
      </c>
      <c r="J55" s="489">
        <f>('Winners-Losers Values PMPM'!AT43*12)*$I$11</f>
        <v>2.7996449493209483</v>
      </c>
      <c r="K55" s="510">
        <f t="shared" si="4"/>
        <v>4465.9090506221728</v>
      </c>
      <c r="L55" s="510">
        <f t="shared" si="5"/>
        <v>3.3645726154408369E+22</v>
      </c>
      <c r="M55" s="510">
        <f t="shared" si="6"/>
        <v>0</v>
      </c>
      <c r="N55" s="489">
        <f>'Winners-Losers Values PMPM'!AP43*12</f>
        <v>405.79138549998379</v>
      </c>
      <c r="O55" s="489">
        <f>'Winners-Losers Values PMPM'!AQ43*12</f>
        <v>35.330610039660911</v>
      </c>
      <c r="P55" s="489">
        <f>'Winners-Losers Values PMPM'!AR43*12</f>
        <v>0</v>
      </c>
      <c r="Q55" s="489">
        <f>'Winners-Losers Values PMPM'!AO43*12</f>
        <v>0</v>
      </c>
      <c r="R55" s="510">
        <f t="shared" si="7"/>
        <v>441.12199553964467</v>
      </c>
      <c r="S55" s="489">
        <f t="shared" si="8"/>
        <v>451.00342532968125</v>
      </c>
      <c r="T55" s="489">
        <f t="shared" si="9"/>
        <v>451.00342532968125</v>
      </c>
      <c r="U55" s="510">
        <f>((('Assumptions-Output Override'!$H$60+'Assumptions-Output Override'!$H$61)/('Assumptions-Output Override'!$F$60+'Assumptions-Output Override'!$F$61))*'HRA Balance Calc'!$I$5*12)+($K$8*(($I$8*12)))</f>
        <v>-288.26087712588196</v>
      </c>
      <c r="V55" s="489">
        <f>'Winners-Losers Values PMPM'!AV43*(1-$I$9)*12+$L$8*(($I$8*12)*IFERROR((('Winners-Losers Values PMPM'!AY43*12)/('Winners-Losers Values PMPM'!AY$107*12)),0))</f>
        <v>3.4915440315913648</v>
      </c>
      <c r="W55" s="489">
        <f>('Winners-Losers Values PMPM'!AW43*12)*(1-$I$10)+$M$8*(($I$8*12)*IFERROR((('Winners-Losers Values PMPM'!AY43*12)/('Winners-Losers Values PMPM'!AY$107*12)),0))</f>
        <v>0</v>
      </c>
      <c r="X55" s="489">
        <f>('Winners-Losers Values PMPM'!AT43*12)*(1-$I$11)+$N$8*(($I$8*12)*IFERROR((('Winners-Losers Values PMPM'!AY43*12)/('Winners-Losers Values PMPM'!AY$107*12)),0))</f>
        <v>6.389885758445188</v>
      </c>
      <c r="Y55" s="510">
        <f t="shared" si="10"/>
        <v>-278.37944733584538</v>
      </c>
      <c r="AA55" s="510">
        <f t="shared" si="11"/>
        <v>4443.3239894938342</v>
      </c>
      <c r="AB55" s="510">
        <f t="shared" si="11"/>
        <v>19.78541617901773</v>
      </c>
      <c r="AC55" s="510">
        <f t="shared" si="11"/>
        <v>0</v>
      </c>
      <c r="AD55" s="510">
        <f t="shared" si="11"/>
        <v>2.7996449493209483</v>
      </c>
      <c r="AE55" s="510">
        <f t="shared" si="12"/>
        <v>471.98996185153999</v>
      </c>
      <c r="AF55" s="510">
        <f t="shared" si="13"/>
        <v>4937.8990124737129</v>
      </c>
      <c r="AG55" s="510">
        <f t="shared" si="14"/>
        <v>3.3645726154408369E+22</v>
      </c>
      <c r="AH55" s="510">
        <f t="shared" si="15"/>
        <v>3.3645726154408369E+22</v>
      </c>
      <c r="AJ55" s="510">
        <f t="shared" si="16"/>
        <v>117.53050837410183</v>
      </c>
      <c r="AK55" s="510">
        <f t="shared" si="17"/>
        <v>38.822154071252278</v>
      </c>
      <c r="AL55" s="510">
        <f t="shared" si="17"/>
        <v>0</v>
      </c>
      <c r="AM55" s="510">
        <f t="shared" si="17"/>
        <v>6.389885758445188</v>
      </c>
      <c r="AN55" s="510">
        <f t="shared" si="18"/>
        <v>0</v>
      </c>
      <c r="AO55" s="510">
        <f t="shared" si="19"/>
        <v>162.74254820379929</v>
      </c>
      <c r="AQ55" s="510">
        <f t="shared" si="20"/>
        <v>4560.8544978679365</v>
      </c>
      <c r="AR55" s="510">
        <f t="shared" si="20"/>
        <v>58.607570250270008</v>
      </c>
      <c r="AS55" s="510">
        <f t="shared" si="20"/>
        <v>0</v>
      </c>
      <c r="AT55" s="510">
        <f t="shared" si="20"/>
        <v>9.1895307077661368</v>
      </c>
      <c r="AU55" s="510">
        <f t="shared" si="20"/>
        <v>471.98996185153999</v>
      </c>
      <c r="AV55" s="510">
        <f t="shared" si="21"/>
        <v>5100.6415606775126</v>
      </c>
      <c r="AW55" s="510">
        <f t="shared" si="22"/>
        <v>3.3645726154408369E+22</v>
      </c>
      <c r="AX55" s="510">
        <f t="shared" si="23"/>
        <v>3.3645726154408369E+22</v>
      </c>
      <c r="AY55" s="510">
        <f t="shared" si="24"/>
        <v>3.3645726154408369E+22</v>
      </c>
      <c r="AZ55" s="490">
        <f t="shared" si="25"/>
        <v>-3.3645726154408369E+22</v>
      </c>
      <c r="BA55" s="510">
        <f t="shared" si="26"/>
        <v>6.7291452308816738E+22</v>
      </c>
    </row>
    <row r="56" spans="1:53" x14ac:dyDescent="0.2">
      <c r="A56">
        <v>39</v>
      </c>
      <c r="B56" s="510">
        <f>'Assumptions-Output Target'!$D$12*'Assumptions-Output Override'!$D$11*$I$2*12</f>
        <v>3935.8341983467963</v>
      </c>
      <c r="C56" s="510">
        <f t="shared" si="1"/>
        <v>-3.3645726154408369E+22</v>
      </c>
      <c r="D56" s="510">
        <f t="shared" si="2"/>
        <v>0</v>
      </c>
      <c r="E56" s="510">
        <f t="shared" si="0"/>
        <v>471.98996185153999</v>
      </c>
      <c r="F56" s="510">
        <f t="shared" si="3"/>
        <v>3.3645726154408369E+22</v>
      </c>
      <c r="G56" s="510">
        <f>$I$5*'Assumptions-Output Override'!$D$12*12</f>
        <v>4443.3239894938342</v>
      </c>
      <c r="H56" s="489">
        <f>'Winners-Losers Values PMPM'!AV44*$I$9*12</f>
        <v>21.111874682327219</v>
      </c>
      <c r="I56" s="489">
        <f>('Winners-Losers Values PMPM'!AW44*12)*$I$10</f>
        <v>6.1056623445273205E-2</v>
      </c>
      <c r="J56" s="489">
        <f>('Winners-Losers Values PMPM'!AT44*12)*$I$11</f>
        <v>3.5373029781182179</v>
      </c>
      <c r="K56" s="510">
        <f t="shared" si="4"/>
        <v>4468.0342237777259</v>
      </c>
      <c r="L56" s="510">
        <f t="shared" si="5"/>
        <v>3.3645726154408369E+22</v>
      </c>
      <c r="M56" s="510">
        <f t="shared" si="6"/>
        <v>0</v>
      </c>
      <c r="N56" s="489">
        <f>'Winners-Losers Values PMPM'!AP44*12</f>
        <v>421.16080917706751</v>
      </c>
      <c r="O56" s="489">
        <f>'Winners-Losers Values PMPM'!AQ44*12</f>
        <v>39.357012543703604</v>
      </c>
      <c r="P56" s="489">
        <f>'Winners-Losers Values PMPM'!AR44*12</f>
        <v>2.4830774271501375E-3</v>
      </c>
      <c r="Q56" s="489">
        <f>'Winners-Losers Values PMPM'!AO44*12</f>
        <v>0</v>
      </c>
      <c r="R56" s="510">
        <f t="shared" si="7"/>
        <v>460.52030479819825</v>
      </c>
      <c r="S56" s="489">
        <f t="shared" si="8"/>
        <v>472.33021459340966</v>
      </c>
      <c r="T56" s="489">
        <f t="shared" si="9"/>
        <v>472.33021459340966</v>
      </c>
      <c r="U56" s="510">
        <f>((('Assumptions-Output Override'!$H$60+'Assumptions-Output Override'!$H$61)/('Assumptions-Output Override'!$F$60+'Assumptions-Output Override'!$F$61))*'HRA Balance Calc'!$I$5*12)+($K$8*(($I$8*12)))</f>
        <v>-288.26087712588196</v>
      </c>
      <c r="V56" s="489">
        <f>'Winners-Losers Values PMPM'!AV44*(1-$I$9)*12+$L$8*(($I$8*12)*IFERROR((('Winners-Losers Values PMPM'!AY44*12)/('Winners-Losers Values PMPM'!AY$107*12)),0))</f>
        <v>3.7256249439400984</v>
      </c>
      <c r="W56" s="489">
        <f>('Winners-Losers Values PMPM'!AW44*12)*(1-$I$10)+$M$8*(($I$8*12)*IFERROR((('Winners-Losers Values PMPM'!AY44*12)/('Winners-Losers Values PMPM'!AY$107*12)),0))</f>
        <v>1.0774698255048214E-2</v>
      </c>
      <c r="X56" s="489">
        <f>('Winners-Losers Values PMPM'!AT44*12)*(1-$I$11)+$N$8*(($I$8*12)*IFERROR((('Winners-Losers Values PMPM'!AY44*12)/('Winners-Losers Values PMPM'!AY$107*12)),0))</f>
        <v>8.0735101530162545</v>
      </c>
      <c r="Y56" s="510">
        <f t="shared" si="10"/>
        <v>-276.45096733067061</v>
      </c>
      <c r="AA56" s="510">
        <f t="shared" si="11"/>
        <v>4443.3239894938342</v>
      </c>
      <c r="AB56" s="510">
        <f t="shared" si="11"/>
        <v>21.111874682327219</v>
      </c>
      <c r="AC56" s="510">
        <f t="shared" si="11"/>
        <v>6.1056623445273205E-2</v>
      </c>
      <c r="AD56" s="510">
        <f t="shared" si="11"/>
        <v>3.5373029781182179</v>
      </c>
      <c r="AE56" s="510">
        <f t="shared" si="12"/>
        <v>471.98996185153999</v>
      </c>
      <c r="AF56" s="510">
        <f t="shared" si="13"/>
        <v>4940.024185629266</v>
      </c>
      <c r="AG56" s="510">
        <f t="shared" si="14"/>
        <v>3.3645726154408369E+22</v>
      </c>
      <c r="AH56" s="510">
        <f t="shared" si="15"/>
        <v>3.3645726154408369E+22</v>
      </c>
      <c r="AJ56" s="510">
        <f t="shared" si="16"/>
        <v>132.89993205118554</v>
      </c>
      <c r="AK56" s="510">
        <f t="shared" si="17"/>
        <v>43.082637487643701</v>
      </c>
      <c r="AL56" s="510">
        <f t="shared" si="17"/>
        <v>1.3257775682198353E-2</v>
      </c>
      <c r="AM56" s="510">
        <f t="shared" si="17"/>
        <v>8.0735101530162545</v>
      </c>
      <c r="AN56" s="510">
        <f t="shared" si="18"/>
        <v>0</v>
      </c>
      <c r="AO56" s="510">
        <f t="shared" si="19"/>
        <v>184.0693374675277</v>
      </c>
      <c r="AQ56" s="510">
        <f t="shared" si="20"/>
        <v>4576.2239215450199</v>
      </c>
      <c r="AR56" s="510">
        <f t="shared" si="20"/>
        <v>64.19451216997092</v>
      </c>
      <c r="AS56" s="510">
        <f t="shared" si="20"/>
        <v>7.4314399127471564E-2</v>
      </c>
      <c r="AT56" s="510">
        <f t="shared" si="20"/>
        <v>11.610813131134472</v>
      </c>
      <c r="AU56" s="510">
        <f t="shared" si="20"/>
        <v>471.98996185153999</v>
      </c>
      <c r="AV56" s="510">
        <f t="shared" si="21"/>
        <v>5124.0935230967934</v>
      </c>
      <c r="AW56" s="510">
        <f t="shared" si="22"/>
        <v>3.3645726154408369E+22</v>
      </c>
      <c r="AX56" s="510">
        <f t="shared" si="23"/>
        <v>3.3645726154408369E+22</v>
      </c>
      <c r="AY56" s="510">
        <f t="shared" si="24"/>
        <v>3.3645726154408369E+22</v>
      </c>
      <c r="AZ56" s="490">
        <f t="shared" si="25"/>
        <v>-3.3645726154408369E+22</v>
      </c>
      <c r="BA56" s="510">
        <f t="shared" si="26"/>
        <v>6.7291452308816738E+22</v>
      </c>
    </row>
    <row r="57" spans="1:53" x14ac:dyDescent="0.2">
      <c r="A57">
        <v>40</v>
      </c>
      <c r="B57" s="510">
        <f>'Assumptions-Output Target'!$D$12*'Assumptions-Output Override'!$D$11*$I$2*12</f>
        <v>3935.8341983467963</v>
      </c>
      <c r="C57" s="510">
        <f t="shared" si="1"/>
        <v>-3.3645726154408369E+22</v>
      </c>
      <c r="D57" s="510">
        <f t="shared" si="2"/>
        <v>0</v>
      </c>
      <c r="E57" s="510">
        <f t="shared" si="0"/>
        <v>471.98996185153999</v>
      </c>
      <c r="F57" s="510">
        <f t="shared" si="3"/>
        <v>3.3645726154408369E+22</v>
      </c>
      <c r="G57" s="510">
        <f>$I$5*'Assumptions-Output Override'!$D$12*12</f>
        <v>4443.3239894938342</v>
      </c>
      <c r="H57" s="489">
        <f>'Winners-Losers Values PMPM'!AV45*$I$9*12</f>
        <v>23.253971020878744</v>
      </c>
      <c r="I57" s="489">
        <f>('Winners-Losers Values PMPM'!AW45*12)*$I$10</f>
        <v>0</v>
      </c>
      <c r="J57" s="489">
        <f>('Winners-Losers Values PMPM'!AT45*12)*$I$11</f>
        <v>3.918468865086858</v>
      </c>
      <c r="K57" s="510">
        <f t="shared" si="4"/>
        <v>4470.4964293797993</v>
      </c>
      <c r="L57" s="510">
        <f t="shared" si="5"/>
        <v>3.3645726154408369E+22</v>
      </c>
      <c r="M57" s="510">
        <f t="shared" si="6"/>
        <v>0</v>
      </c>
      <c r="N57" s="489">
        <f>'Winners-Losers Values PMPM'!AP45*12</f>
        <v>439.75001300114479</v>
      </c>
      <c r="O57" s="489">
        <f>'Winners-Losers Values PMPM'!AQ45*12</f>
        <v>39.497895336212366</v>
      </c>
      <c r="P57" s="489">
        <f>'Winners-Losers Values PMPM'!AR45*12</f>
        <v>0</v>
      </c>
      <c r="Q57" s="489">
        <f>'Winners-Losers Values PMPM'!AO45*12</f>
        <v>0</v>
      </c>
      <c r="R57" s="510">
        <f t="shared" si="7"/>
        <v>479.24790833735716</v>
      </c>
      <c r="S57" s="489">
        <f t="shared" si="8"/>
        <v>492.29503020527136</v>
      </c>
      <c r="T57" s="489">
        <f t="shared" si="9"/>
        <v>492.29503020527136</v>
      </c>
      <c r="U57" s="510">
        <f>((('Assumptions-Output Override'!$H$60+'Assumptions-Output Override'!$H$61)/('Assumptions-Output Override'!$F$60+'Assumptions-Output Override'!$F$61))*'HRA Balance Calc'!$I$5*12)+($K$8*(($I$8*12)))</f>
        <v>-288.26087712588196</v>
      </c>
      <c r="V57" s="489">
        <f>'Winners-Losers Values PMPM'!AV45*(1-$I$9)*12+$L$8*(($I$8*12)*IFERROR((('Winners-Losers Values PMPM'!AY45*12)/('Winners-Losers Values PMPM'!AY$107*12)),0))</f>
        <v>4.1036419448609553</v>
      </c>
      <c r="W57" s="489">
        <f>('Winners-Losers Values PMPM'!AW45*12)*(1-$I$10)+$M$8*(($I$8*12)*IFERROR((('Winners-Losers Values PMPM'!AY45*12)/('Winners-Losers Values PMPM'!AY$107*12)),0))</f>
        <v>0</v>
      </c>
      <c r="X57" s="489">
        <f>('Winners-Losers Values PMPM'!AT45*12)*(1-$I$11)+$N$8*(($I$8*12)*IFERROR((('Winners-Losers Values PMPM'!AY45*12)/('Winners-Losers Values PMPM'!AY$107*12)),0))</f>
        <v>8.9434799230532711</v>
      </c>
      <c r="Y57" s="510">
        <f t="shared" si="10"/>
        <v>-275.21375525796776</v>
      </c>
      <c r="AA57" s="510">
        <f t="shared" si="11"/>
        <v>4443.3239894938342</v>
      </c>
      <c r="AB57" s="510">
        <f t="shared" si="11"/>
        <v>23.253971020878744</v>
      </c>
      <c r="AC57" s="510">
        <f t="shared" si="11"/>
        <v>0</v>
      </c>
      <c r="AD57" s="510">
        <f t="shared" si="11"/>
        <v>3.918468865086858</v>
      </c>
      <c r="AE57" s="510">
        <f t="shared" si="12"/>
        <v>471.98996185153999</v>
      </c>
      <c r="AF57" s="510">
        <f t="shared" si="13"/>
        <v>4942.4863912313394</v>
      </c>
      <c r="AG57" s="510">
        <f t="shared" si="14"/>
        <v>3.3645726154408369E+22</v>
      </c>
      <c r="AH57" s="510">
        <f t="shared" si="15"/>
        <v>3.3645726154408369E+22</v>
      </c>
      <c r="AJ57" s="510">
        <f t="shared" si="16"/>
        <v>151.48913587526283</v>
      </c>
      <c r="AK57" s="510">
        <f t="shared" si="17"/>
        <v>43.60153728107332</v>
      </c>
      <c r="AL57" s="510">
        <f t="shared" si="17"/>
        <v>0</v>
      </c>
      <c r="AM57" s="510">
        <f t="shared" si="17"/>
        <v>8.9434799230532711</v>
      </c>
      <c r="AN57" s="510">
        <f t="shared" si="18"/>
        <v>0</v>
      </c>
      <c r="AO57" s="510">
        <f t="shared" si="19"/>
        <v>204.03415307938943</v>
      </c>
      <c r="AQ57" s="510">
        <f t="shared" si="20"/>
        <v>4594.8131253690972</v>
      </c>
      <c r="AR57" s="510">
        <f t="shared" si="20"/>
        <v>66.855508301952057</v>
      </c>
      <c r="AS57" s="510">
        <f t="shared" si="20"/>
        <v>0</v>
      </c>
      <c r="AT57" s="510">
        <f t="shared" si="20"/>
        <v>12.861948788140129</v>
      </c>
      <c r="AU57" s="510">
        <f t="shared" si="20"/>
        <v>471.98996185153999</v>
      </c>
      <c r="AV57" s="510">
        <f t="shared" si="21"/>
        <v>5146.5205443107297</v>
      </c>
      <c r="AW57" s="510">
        <f t="shared" si="22"/>
        <v>3.3645726154408369E+22</v>
      </c>
      <c r="AX57" s="510">
        <f t="shared" si="23"/>
        <v>3.3645726154408369E+22</v>
      </c>
      <c r="AY57" s="510">
        <f t="shared" si="24"/>
        <v>3.3645726154408369E+22</v>
      </c>
      <c r="AZ57" s="490">
        <f t="shared" si="25"/>
        <v>-3.3645726154408369E+22</v>
      </c>
      <c r="BA57" s="510">
        <f t="shared" si="26"/>
        <v>6.7291452308816738E+22</v>
      </c>
    </row>
    <row r="58" spans="1:53" x14ac:dyDescent="0.2">
      <c r="A58">
        <v>41</v>
      </c>
      <c r="B58" s="510">
        <f>'Assumptions-Output Target'!$D$12*'Assumptions-Output Override'!$D$11*$I$2*12</f>
        <v>3935.8341983467963</v>
      </c>
      <c r="C58" s="510">
        <f t="shared" si="1"/>
        <v>-3.3645726154408369E+22</v>
      </c>
      <c r="D58" s="510">
        <f t="shared" si="2"/>
        <v>0</v>
      </c>
      <c r="E58" s="510">
        <f t="shared" si="0"/>
        <v>471.98996185153999</v>
      </c>
      <c r="F58" s="510">
        <f t="shared" si="3"/>
        <v>3.3645726154408369E+22</v>
      </c>
      <c r="G58" s="510">
        <f>$I$5*'Assumptions-Output Override'!$D$12*12</f>
        <v>4443.3239894938342</v>
      </c>
      <c r="H58" s="489">
        <f>'Winners-Losers Values PMPM'!AV46*$I$9*12</f>
        <v>25.644524929586343</v>
      </c>
      <c r="I58" s="489">
        <f>('Winners-Losers Values PMPM'!AW46*12)*$I$10</f>
        <v>0</v>
      </c>
      <c r="J58" s="489">
        <f>('Winners-Losers Values PMPM'!AT46*12)*$I$11</f>
        <v>4.385356235962993</v>
      </c>
      <c r="K58" s="510">
        <f t="shared" si="4"/>
        <v>4473.3538706593836</v>
      </c>
      <c r="L58" s="510">
        <f t="shared" si="5"/>
        <v>3.3645726154408369E+22</v>
      </c>
      <c r="M58" s="510">
        <f t="shared" si="6"/>
        <v>0</v>
      </c>
      <c r="N58" s="489">
        <f>'Winners-Losers Values PMPM'!AP46*12</f>
        <v>453.09860685956392</v>
      </c>
      <c r="O58" s="489">
        <f>'Winners-Losers Values PMPM'!AQ46*12</f>
        <v>42.891981530896885</v>
      </c>
      <c r="P58" s="489">
        <f>'Winners-Losers Values PMPM'!AR46*12</f>
        <v>0</v>
      </c>
      <c r="Q58" s="489">
        <f>'Winners-Losers Values PMPM'!AO46*12</f>
        <v>0</v>
      </c>
      <c r="R58" s="510">
        <f t="shared" si="7"/>
        <v>495.9905883904608</v>
      </c>
      <c r="S58" s="489">
        <f t="shared" si="8"/>
        <v>510.52519246677303</v>
      </c>
      <c r="T58" s="489">
        <f t="shared" si="9"/>
        <v>510.52519246677303</v>
      </c>
      <c r="U58" s="510">
        <f>((('Assumptions-Output Override'!$H$60+'Assumptions-Output Override'!$H$61)/('Assumptions-Output Override'!$F$60+'Assumptions-Output Override'!$F$61))*'HRA Balance Calc'!$I$5*12)+($K$8*(($I$8*12)))</f>
        <v>-288.26087712588196</v>
      </c>
      <c r="V58" s="489">
        <f>'Winners-Losers Values PMPM'!AV46*(1-$I$9)*12+$L$8*(($I$8*12)*IFERROR((('Winners-Losers Values PMPM'!AY46*12)/('Winners-Losers Values PMPM'!AY$107*12)),0))</f>
        <v>4.525504399338768</v>
      </c>
      <c r="W58" s="489">
        <f>('Winners-Losers Values PMPM'!AW46*12)*(1-$I$10)+$M$8*(($I$8*12)*IFERROR((('Winners-Losers Values PMPM'!AY46*12)/('Winners-Losers Values PMPM'!AY$107*12)),0))</f>
        <v>0</v>
      </c>
      <c r="X58" s="489">
        <f>('Winners-Losers Values PMPM'!AT46*12)*(1-$I$11)+$N$8*(($I$8*12)*IFERROR((('Winners-Losers Values PMPM'!AY46*12)/('Winners-Losers Values PMPM'!AY$107*12)),0))</f>
        <v>10.009099676973475</v>
      </c>
      <c r="Y58" s="510">
        <f t="shared" si="10"/>
        <v>-273.72627304956973</v>
      </c>
      <c r="AA58" s="510">
        <f t="shared" si="11"/>
        <v>4443.3239894938342</v>
      </c>
      <c r="AB58" s="510">
        <f t="shared" si="11"/>
        <v>25.644524929586343</v>
      </c>
      <c r="AC58" s="510">
        <f t="shared" si="11"/>
        <v>0</v>
      </c>
      <c r="AD58" s="510">
        <f t="shared" si="11"/>
        <v>4.385356235962993</v>
      </c>
      <c r="AE58" s="510">
        <f t="shared" si="12"/>
        <v>471.98996185153999</v>
      </c>
      <c r="AF58" s="510">
        <f t="shared" si="13"/>
        <v>4945.3438325109237</v>
      </c>
      <c r="AG58" s="510">
        <f t="shared" si="14"/>
        <v>3.3645726154408369E+22</v>
      </c>
      <c r="AH58" s="510">
        <f t="shared" si="15"/>
        <v>3.3645726154408369E+22</v>
      </c>
      <c r="AJ58" s="510">
        <f t="shared" si="16"/>
        <v>164.83772973368195</v>
      </c>
      <c r="AK58" s="510">
        <f t="shared" si="17"/>
        <v>47.417485930235657</v>
      </c>
      <c r="AL58" s="510">
        <f t="shared" si="17"/>
        <v>0</v>
      </c>
      <c r="AM58" s="510">
        <f t="shared" si="17"/>
        <v>10.009099676973475</v>
      </c>
      <c r="AN58" s="510">
        <f t="shared" si="18"/>
        <v>0</v>
      </c>
      <c r="AO58" s="510">
        <f t="shared" si="19"/>
        <v>222.2643153408911</v>
      </c>
      <c r="AQ58" s="510">
        <f t="shared" si="20"/>
        <v>4608.1617192275162</v>
      </c>
      <c r="AR58" s="510">
        <f t="shared" si="20"/>
        <v>73.062010859821996</v>
      </c>
      <c r="AS58" s="510">
        <f t="shared" si="20"/>
        <v>0</v>
      </c>
      <c r="AT58" s="510">
        <f t="shared" si="20"/>
        <v>14.394455912936468</v>
      </c>
      <c r="AU58" s="510">
        <f t="shared" si="20"/>
        <v>471.98996185153999</v>
      </c>
      <c r="AV58" s="510">
        <f t="shared" si="21"/>
        <v>5167.6081478518154</v>
      </c>
      <c r="AW58" s="510">
        <f t="shared" si="22"/>
        <v>3.3645726154408369E+22</v>
      </c>
      <c r="AX58" s="510">
        <f t="shared" si="23"/>
        <v>3.3645726154408369E+22</v>
      </c>
      <c r="AY58" s="510">
        <f t="shared" si="24"/>
        <v>3.3645726154408369E+22</v>
      </c>
      <c r="AZ58" s="490">
        <f t="shared" si="25"/>
        <v>-3.3645726154408369E+22</v>
      </c>
      <c r="BA58" s="510">
        <f t="shared" si="26"/>
        <v>6.7291452308816738E+22</v>
      </c>
    </row>
    <row r="59" spans="1:53" x14ac:dyDescent="0.2">
      <c r="A59">
        <v>42</v>
      </c>
      <c r="B59" s="510">
        <f>'Assumptions-Output Target'!$D$12*'Assumptions-Output Override'!$D$11*$I$2*12</f>
        <v>3935.8341983467963</v>
      </c>
      <c r="C59" s="510">
        <f t="shared" si="1"/>
        <v>-3.3645726154408369E+22</v>
      </c>
      <c r="D59" s="510">
        <f t="shared" si="2"/>
        <v>0</v>
      </c>
      <c r="E59" s="510">
        <f t="shared" si="0"/>
        <v>471.98996185153999</v>
      </c>
      <c r="F59" s="510">
        <f t="shared" si="3"/>
        <v>3.3645726154408369E+22</v>
      </c>
      <c r="G59" s="510">
        <f>$I$5*'Assumptions-Output Override'!$D$12*12</f>
        <v>4443.3239894938342</v>
      </c>
      <c r="H59" s="489">
        <f>'Winners-Losers Values PMPM'!AV47*$I$9*12</f>
        <v>28.39704653822842</v>
      </c>
      <c r="I59" s="489">
        <f>('Winners-Losers Values PMPM'!AW47*12)*$I$10</f>
        <v>0</v>
      </c>
      <c r="J59" s="489">
        <f>('Winners-Losers Values PMPM'!AT47*12)*$I$11</f>
        <v>5.1190961148395742</v>
      </c>
      <c r="K59" s="510">
        <f t="shared" si="4"/>
        <v>4476.8401321469019</v>
      </c>
      <c r="L59" s="510">
        <f t="shared" si="5"/>
        <v>3.3645726154408369E+22</v>
      </c>
      <c r="M59" s="510">
        <f t="shared" si="6"/>
        <v>0</v>
      </c>
      <c r="N59" s="489">
        <f>'Winners-Losers Values PMPM'!AP47*12</f>
        <v>463.93723201631826</v>
      </c>
      <c r="O59" s="489">
        <f>'Winners-Losers Values PMPM'!AQ47*12</f>
        <v>46.027419424752075</v>
      </c>
      <c r="P59" s="489">
        <f>'Winners-Losers Values PMPM'!AR47*12</f>
        <v>0</v>
      </c>
      <c r="Q59" s="489">
        <f>'Winners-Losers Values PMPM'!AO47*12</f>
        <v>0</v>
      </c>
      <c r="R59" s="510">
        <f t="shared" si="7"/>
        <v>509.96465144107032</v>
      </c>
      <c r="S59" s="489">
        <f t="shared" si="8"/>
        <v>526.65967626739393</v>
      </c>
      <c r="T59" s="489">
        <f t="shared" si="9"/>
        <v>526.65967626739393</v>
      </c>
      <c r="U59" s="510">
        <f>((('Assumptions-Output Override'!$H$60+'Assumptions-Output Override'!$H$61)/('Assumptions-Output Override'!$F$60+'Assumptions-Output Override'!$F$61))*'HRA Balance Calc'!$I$5*12)+($K$8*(($I$8*12)))</f>
        <v>-288.26087712588196</v>
      </c>
      <c r="V59" s="489">
        <f>'Winners-Losers Values PMPM'!AV47*(1-$I$9)*12+$L$8*(($I$8*12)*IFERROR((('Winners-Losers Values PMPM'!AY47*12)/('Winners-Losers Values PMPM'!AY$107*12)),0))</f>
        <v>5.0112435067461929</v>
      </c>
      <c r="W59" s="489">
        <f>('Winners-Losers Values PMPM'!AW47*12)*(1-$I$10)+$M$8*(($I$8*12)*IFERROR((('Winners-Losers Values PMPM'!AY47*12)/('Winners-Losers Values PMPM'!AY$107*12)),0))</f>
        <v>0</v>
      </c>
      <c r="X59" s="489">
        <f>('Winners-Losers Values PMPM'!AT47*12)*(1-$I$11)+$N$8*(($I$8*12)*IFERROR((('Winners-Losers Values PMPM'!AY47*12)/('Winners-Losers Values PMPM'!AY$107*12)),0))</f>
        <v>11.683781319577463</v>
      </c>
      <c r="Y59" s="510">
        <f t="shared" si="10"/>
        <v>-271.56585229955829</v>
      </c>
      <c r="AA59" s="510">
        <f t="shared" si="11"/>
        <v>4443.3239894938342</v>
      </c>
      <c r="AB59" s="510">
        <f t="shared" si="11"/>
        <v>28.39704653822842</v>
      </c>
      <c r="AC59" s="510">
        <f t="shared" si="11"/>
        <v>0</v>
      </c>
      <c r="AD59" s="510">
        <f t="shared" si="11"/>
        <v>5.1190961148395742</v>
      </c>
      <c r="AE59" s="510">
        <f t="shared" si="12"/>
        <v>471.98996185153999</v>
      </c>
      <c r="AF59" s="510">
        <f t="shared" si="13"/>
        <v>4948.830093998442</v>
      </c>
      <c r="AG59" s="510">
        <f t="shared" si="14"/>
        <v>3.3645726154408369E+22</v>
      </c>
      <c r="AH59" s="510">
        <f t="shared" si="15"/>
        <v>3.3645726154408369E+22</v>
      </c>
      <c r="AJ59" s="510">
        <f t="shared" si="16"/>
        <v>175.6763548904363</v>
      </c>
      <c r="AK59" s="510">
        <f t="shared" si="17"/>
        <v>51.038662931498266</v>
      </c>
      <c r="AL59" s="510">
        <f t="shared" si="17"/>
        <v>0</v>
      </c>
      <c r="AM59" s="510">
        <f t="shared" si="17"/>
        <v>11.683781319577463</v>
      </c>
      <c r="AN59" s="510">
        <f t="shared" si="18"/>
        <v>0</v>
      </c>
      <c r="AO59" s="510">
        <f t="shared" si="19"/>
        <v>238.39879914151203</v>
      </c>
      <c r="AQ59" s="510">
        <f t="shared" si="20"/>
        <v>4619.0003443842706</v>
      </c>
      <c r="AR59" s="510">
        <f t="shared" si="20"/>
        <v>79.435709469726689</v>
      </c>
      <c r="AS59" s="510">
        <f t="shared" si="20"/>
        <v>0</v>
      </c>
      <c r="AT59" s="510">
        <f t="shared" si="20"/>
        <v>16.802877434417038</v>
      </c>
      <c r="AU59" s="510">
        <f t="shared" si="20"/>
        <v>471.98996185153999</v>
      </c>
      <c r="AV59" s="510">
        <f t="shared" si="21"/>
        <v>5187.2288931399544</v>
      </c>
      <c r="AW59" s="510">
        <f t="shared" si="22"/>
        <v>3.3645726154408369E+22</v>
      </c>
      <c r="AX59" s="510">
        <f t="shared" si="23"/>
        <v>3.3645726154408369E+22</v>
      </c>
      <c r="AY59" s="510">
        <f t="shared" si="24"/>
        <v>3.3645726154408369E+22</v>
      </c>
      <c r="AZ59" s="490">
        <f t="shared" si="25"/>
        <v>-3.3645726154408369E+22</v>
      </c>
      <c r="BA59" s="510">
        <f t="shared" si="26"/>
        <v>6.7291452308816738E+22</v>
      </c>
    </row>
    <row r="60" spans="1:53" x14ac:dyDescent="0.2">
      <c r="A60">
        <v>43</v>
      </c>
      <c r="B60" s="510">
        <f>'Assumptions-Output Target'!$D$12*'Assumptions-Output Override'!$D$11*$I$2*12</f>
        <v>3935.8341983467963</v>
      </c>
      <c r="C60" s="510">
        <f t="shared" si="1"/>
        <v>-3.3645726154408369E+22</v>
      </c>
      <c r="D60" s="510">
        <f t="shared" si="2"/>
        <v>0</v>
      </c>
      <c r="E60" s="510">
        <f t="shared" si="0"/>
        <v>471.98996185153999</v>
      </c>
      <c r="F60" s="510">
        <f t="shared" si="3"/>
        <v>3.3645726154408369E+22</v>
      </c>
      <c r="G60" s="510">
        <f>$I$5*'Assumptions-Output Override'!$D$12*12</f>
        <v>4443.3239894938342</v>
      </c>
      <c r="H60" s="489">
        <f>'Winners-Losers Values PMPM'!AV48*$I$9*12</f>
        <v>28.831620521724393</v>
      </c>
      <c r="I60" s="489">
        <f>('Winners-Losers Values PMPM'!AW48*12)*$I$10</f>
        <v>2.4594443400669273E-2</v>
      </c>
      <c r="J60" s="489">
        <f>('Winners-Losers Values PMPM'!AT48*12)*$I$11</f>
        <v>5.5942025670033866</v>
      </c>
      <c r="K60" s="510">
        <f t="shared" si="4"/>
        <v>4477.7744070259632</v>
      </c>
      <c r="L60" s="510">
        <f t="shared" si="5"/>
        <v>3.3645726154408369E+22</v>
      </c>
      <c r="M60" s="510">
        <f t="shared" si="6"/>
        <v>0</v>
      </c>
      <c r="N60" s="489">
        <f>'Winners-Losers Values PMPM'!AP48*12</f>
        <v>480.13826326033677</v>
      </c>
      <c r="O60" s="489">
        <f>'Winners-Losers Values PMPM'!AQ48*12</f>
        <v>47.454099612973536</v>
      </c>
      <c r="P60" s="489">
        <f>'Winners-Losers Values PMPM'!AR48*12</f>
        <v>1.0002175651960552E-3</v>
      </c>
      <c r="Q60" s="489">
        <f>'Winners-Losers Values PMPM'!AO48*12</f>
        <v>0</v>
      </c>
      <c r="R60" s="510">
        <f t="shared" si="7"/>
        <v>527.59336309087553</v>
      </c>
      <c r="S60" s="489">
        <f t="shared" si="8"/>
        <v>545.45379655455599</v>
      </c>
      <c r="T60" s="489">
        <f t="shared" si="9"/>
        <v>545.45379655455599</v>
      </c>
      <c r="U60" s="510">
        <f>((('Assumptions-Output Override'!$H$60+'Assumptions-Output Override'!$H$61)/('Assumptions-Output Override'!$F$60+'Assumptions-Output Override'!$F$61))*'HRA Balance Calc'!$I$5*12)+($K$8*(($I$8*12)))</f>
        <v>-288.26087712588196</v>
      </c>
      <c r="V60" s="489">
        <f>'Winners-Losers Values PMPM'!AV48*(1-$I$9)*12+$L$8*(($I$8*12)*IFERROR((('Winners-Losers Values PMPM'!AY48*12)/('Winners-Losers Values PMPM'!AY$107*12)),0))</f>
        <v>5.0879330332454824</v>
      </c>
      <c r="W60" s="489">
        <f>('Winners-Losers Values PMPM'!AW48*12)*(1-$I$10)+$M$8*(($I$8*12)*IFERROR((('Winners-Losers Values PMPM'!AY48*12)/('Winners-Losers Values PMPM'!AY$107*12)),0))</f>
        <v>4.3401958942357547E-3</v>
      </c>
      <c r="X60" s="489">
        <f>('Winners-Losers Values PMPM'!AT48*12)*(1-$I$11)+$N$8*(($I$8*12)*IFERROR((('Winners-Losers Values PMPM'!AY48*12)/('Winners-Losers Values PMPM'!AY$107*12)),0))</f>
        <v>12.768160234540703</v>
      </c>
      <c r="Y60" s="510">
        <f t="shared" si="10"/>
        <v>-270.40044366220155</v>
      </c>
      <c r="AA60" s="510">
        <f t="shared" si="11"/>
        <v>4443.3239894938342</v>
      </c>
      <c r="AB60" s="510">
        <f t="shared" si="11"/>
        <v>28.831620521724393</v>
      </c>
      <c r="AC60" s="510">
        <f t="shared" si="11"/>
        <v>2.4594443400669273E-2</v>
      </c>
      <c r="AD60" s="510">
        <f t="shared" si="11"/>
        <v>5.5942025670033866</v>
      </c>
      <c r="AE60" s="510">
        <f t="shared" si="12"/>
        <v>471.98996185153999</v>
      </c>
      <c r="AF60" s="510">
        <f t="shared" si="13"/>
        <v>4949.7643688775033</v>
      </c>
      <c r="AG60" s="510">
        <f t="shared" si="14"/>
        <v>3.3645726154408369E+22</v>
      </c>
      <c r="AH60" s="510">
        <f t="shared" si="15"/>
        <v>3.3645726154408369E+22</v>
      </c>
      <c r="AJ60" s="510">
        <f t="shared" si="16"/>
        <v>191.87738613445481</v>
      </c>
      <c r="AK60" s="510">
        <f t="shared" si="17"/>
        <v>52.54203264621902</v>
      </c>
      <c r="AL60" s="510">
        <f t="shared" si="17"/>
        <v>5.3404134594318099E-3</v>
      </c>
      <c r="AM60" s="510">
        <f t="shared" si="17"/>
        <v>12.768160234540703</v>
      </c>
      <c r="AN60" s="510">
        <f t="shared" si="18"/>
        <v>0</v>
      </c>
      <c r="AO60" s="510">
        <f t="shared" si="19"/>
        <v>257.19291942867397</v>
      </c>
      <c r="AQ60" s="510">
        <f t="shared" si="20"/>
        <v>4635.2013756282886</v>
      </c>
      <c r="AR60" s="510">
        <f t="shared" si="20"/>
        <v>81.373653167943417</v>
      </c>
      <c r="AS60" s="510">
        <f t="shared" si="20"/>
        <v>2.9934856860101083E-2</v>
      </c>
      <c r="AT60" s="510">
        <f t="shared" si="20"/>
        <v>18.362362801544091</v>
      </c>
      <c r="AU60" s="510">
        <f t="shared" si="20"/>
        <v>471.98996185153999</v>
      </c>
      <c r="AV60" s="510">
        <f t="shared" si="21"/>
        <v>5206.9572883061755</v>
      </c>
      <c r="AW60" s="510">
        <f t="shared" si="22"/>
        <v>3.3645726154408369E+22</v>
      </c>
      <c r="AX60" s="510">
        <f t="shared" si="23"/>
        <v>3.3645726154408369E+22</v>
      </c>
      <c r="AY60" s="510">
        <f t="shared" si="24"/>
        <v>3.3645726154408369E+22</v>
      </c>
      <c r="AZ60" s="490">
        <f t="shared" si="25"/>
        <v>-3.3645726154408369E+22</v>
      </c>
      <c r="BA60" s="510">
        <f t="shared" si="26"/>
        <v>6.7291452308816738E+22</v>
      </c>
    </row>
    <row r="61" spans="1:53" x14ac:dyDescent="0.2">
      <c r="A61">
        <v>44</v>
      </c>
      <c r="B61" s="510">
        <f>'Assumptions-Output Target'!$D$12*'Assumptions-Output Override'!$D$11*$I$2*12</f>
        <v>3935.8341983467963</v>
      </c>
      <c r="C61" s="510">
        <f t="shared" si="1"/>
        <v>-3.3645726154408369E+22</v>
      </c>
      <c r="D61" s="510">
        <f t="shared" si="2"/>
        <v>0</v>
      </c>
      <c r="E61" s="510">
        <f t="shared" si="0"/>
        <v>471.98996185153999</v>
      </c>
      <c r="F61" s="510">
        <f t="shared" si="3"/>
        <v>3.3645726154408369E+22</v>
      </c>
      <c r="G61" s="510">
        <f>$I$5*'Assumptions-Output Override'!$D$12*12</f>
        <v>4443.3239894938342</v>
      </c>
      <c r="H61" s="489">
        <f>'Winners-Losers Values PMPM'!AV49*$I$9*12</f>
        <v>32.746799920523515</v>
      </c>
      <c r="I61" s="489">
        <f>('Winners-Losers Values PMPM'!AW49*12)*$I$10</f>
        <v>0</v>
      </c>
      <c r="J61" s="489">
        <f>('Winners-Losers Values PMPM'!AT49*12)*$I$11</f>
        <v>6.6256377676536298</v>
      </c>
      <c r="K61" s="510">
        <f t="shared" si="4"/>
        <v>4482.6964271820116</v>
      </c>
      <c r="L61" s="510">
        <f t="shared" si="5"/>
        <v>3.3645726154408369E+22</v>
      </c>
      <c r="M61" s="510">
        <f t="shared" si="6"/>
        <v>0</v>
      </c>
      <c r="N61" s="489">
        <f>'Winners-Losers Values PMPM'!AP49*12</f>
        <v>499.56844282751035</v>
      </c>
      <c r="O61" s="489">
        <f>'Winners-Losers Values PMPM'!AQ49*12</f>
        <v>51.998802410214822</v>
      </c>
      <c r="P61" s="489">
        <f>'Winners-Losers Values PMPM'!AR49*12</f>
        <v>0</v>
      </c>
      <c r="Q61" s="489">
        <f>'Winners-Losers Values PMPM'!AO49*12</f>
        <v>0</v>
      </c>
      <c r="R61" s="510">
        <f t="shared" si="7"/>
        <v>551.56724523772516</v>
      </c>
      <c r="S61" s="489">
        <f t="shared" si="8"/>
        <v>572.46839142349677</v>
      </c>
      <c r="T61" s="489">
        <f t="shared" si="9"/>
        <v>572.46839142349677</v>
      </c>
      <c r="U61" s="510">
        <f>((('Assumptions-Output Override'!$H$60+'Assumptions-Output Override'!$H$61)/('Assumptions-Output Override'!$F$60+'Assumptions-Output Override'!$F$61))*'HRA Balance Calc'!$I$5*12)+($K$8*(($I$8*12)))</f>
        <v>-288.26087712588196</v>
      </c>
      <c r="V61" s="489">
        <f>'Winners-Losers Values PMPM'!AV49*(1-$I$9)*12+$L$8*(($I$8*12)*IFERROR((('Winners-Losers Values PMPM'!AY49*12)/('Winners-Losers Values PMPM'!AY$107*12)),0))</f>
        <v>5.7788470447982681</v>
      </c>
      <c r="W61" s="489">
        <f>('Winners-Losers Values PMPM'!AW49*12)*(1-$I$10)+$M$8*(($I$8*12)*IFERROR((('Winners-Losers Values PMPM'!AY49*12)/('Winners-Losers Values PMPM'!AY$107*12)),0))</f>
        <v>0</v>
      </c>
      <c r="X61" s="489">
        <f>('Winners-Losers Values PMPM'!AT49*12)*(1-$I$11)+$N$8*(($I$8*12)*IFERROR((('Winners-Losers Values PMPM'!AY49*12)/('Winners-Losers Values PMPM'!AY$107*12)),0))</f>
        <v>15.122299140973331</v>
      </c>
      <c r="Y61" s="510">
        <f t="shared" si="10"/>
        <v>-267.35973094011035</v>
      </c>
      <c r="AA61" s="510">
        <f t="shared" si="11"/>
        <v>4443.3239894938342</v>
      </c>
      <c r="AB61" s="510">
        <f t="shared" si="11"/>
        <v>32.746799920523515</v>
      </c>
      <c r="AC61" s="510">
        <f t="shared" si="11"/>
        <v>0</v>
      </c>
      <c r="AD61" s="510">
        <f t="shared" si="11"/>
        <v>6.6256377676536298</v>
      </c>
      <c r="AE61" s="510">
        <f t="shared" si="12"/>
        <v>471.98996185153999</v>
      </c>
      <c r="AF61" s="510">
        <f t="shared" si="13"/>
        <v>4954.6863890335517</v>
      </c>
      <c r="AG61" s="510">
        <f t="shared" si="14"/>
        <v>3.3645726154408369E+22</v>
      </c>
      <c r="AH61" s="510">
        <f t="shared" si="15"/>
        <v>3.3645726154408369E+22</v>
      </c>
      <c r="AJ61" s="510">
        <f t="shared" si="16"/>
        <v>211.30756570162839</v>
      </c>
      <c r="AK61" s="510">
        <f t="shared" si="17"/>
        <v>57.777649455013091</v>
      </c>
      <c r="AL61" s="510">
        <f t="shared" si="17"/>
        <v>0</v>
      </c>
      <c r="AM61" s="510">
        <f t="shared" si="17"/>
        <v>15.122299140973331</v>
      </c>
      <c r="AN61" s="510">
        <f t="shared" si="18"/>
        <v>0</v>
      </c>
      <c r="AO61" s="510">
        <f t="shared" si="19"/>
        <v>284.20751429761481</v>
      </c>
      <c r="AQ61" s="510">
        <f t="shared" si="20"/>
        <v>4654.6315551954631</v>
      </c>
      <c r="AR61" s="510">
        <f t="shared" si="20"/>
        <v>90.524449375536605</v>
      </c>
      <c r="AS61" s="510">
        <f t="shared" si="20"/>
        <v>0</v>
      </c>
      <c r="AT61" s="510">
        <f t="shared" si="20"/>
        <v>21.747936908626961</v>
      </c>
      <c r="AU61" s="510">
        <f t="shared" si="20"/>
        <v>471.98996185153999</v>
      </c>
      <c r="AV61" s="510">
        <f t="shared" si="21"/>
        <v>5238.8939033311663</v>
      </c>
      <c r="AW61" s="510">
        <f t="shared" si="22"/>
        <v>3.3645726154408369E+22</v>
      </c>
      <c r="AX61" s="510">
        <f t="shared" si="23"/>
        <v>3.3645726154408369E+22</v>
      </c>
      <c r="AY61" s="510">
        <f t="shared" si="24"/>
        <v>3.3645726154408369E+22</v>
      </c>
      <c r="AZ61" s="490">
        <f t="shared" si="25"/>
        <v>-3.3645726154408369E+22</v>
      </c>
      <c r="BA61" s="510">
        <f t="shared" si="26"/>
        <v>6.7291452308816738E+22</v>
      </c>
    </row>
    <row r="62" spans="1:53" x14ac:dyDescent="0.2">
      <c r="A62">
        <v>45</v>
      </c>
      <c r="B62" s="510">
        <f>'Assumptions-Output Target'!$D$12*'Assumptions-Output Override'!$D$11*$I$2*12</f>
        <v>3935.8341983467963</v>
      </c>
      <c r="C62" s="510">
        <f t="shared" si="1"/>
        <v>-3.3645726154408369E+22</v>
      </c>
      <c r="D62" s="510">
        <f t="shared" si="2"/>
        <v>0</v>
      </c>
      <c r="E62" s="510">
        <f t="shared" si="0"/>
        <v>471.98996185153999</v>
      </c>
      <c r="F62" s="510">
        <f t="shared" si="3"/>
        <v>3.3645726154408369E+22</v>
      </c>
      <c r="G62" s="510">
        <f>$I$5*'Assumptions-Output Override'!$D$12*12</f>
        <v>4443.3239894938342</v>
      </c>
      <c r="H62" s="489">
        <f>'Winners-Losers Values PMPM'!AV50*$I$9*12</f>
        <v>34.870591396298344</v>
      </c>
      <c r="I62" s="489">
        <f>('Winners-Losers Values PMPM'!AW50*12)*$I$10</f>
        <v>0</v>
      </c>
      <c r="J62" s="489">
        <f>('Winners-Losers Values PMPM'!AT50*12)*$I$11</f>
        <v>7.738822341910554</v>
      </c>
      <c r="K62" s="510">
        <f t="shared" si="4"/>
        <v>4485.933403232043</v>
      </c>
      <c r="L62" s="510">
        <f t="shared" si="5"/>
        <v>3.3645726154408369E+22</v>
      </c>
      <c r="M62" s="510">
        <f t="shared" si="6"/>
        <v>0</v>
      </c>
      <c r="N62" s="489">
        <f>'Winners-Losers Values PMPM'!AP50*12</f>
        <v>515.84716308940256</v>
      </c>
      <c r="O62" s="489">
        <f>'Winners-Losers Values PMPM'!AQ50*12</f>
        <v>52.539279405900345</v>
      </c>
      <c r="P62" s="489">
        <f>'Winners-Losers Values PMPM'!AR50*12</f>
        <v>0</v>
      </c>
      <c r="Q62" s="489">
        <f>'Winners-Losers Values PMPM'!AO50*12</f>
        <v>0</v>
      </c>
      <c r="R62" s="510">
        <f t="shared" si="7"/>
        <v>568.38644249530284</v>
      </c>
      <c r="S62" s="489">
        <f t="shared" si="8"/>
        <v>592.2030983917308</v>
      </c>
      <c r="T62" s="489">
        <f t="shared" si="9"/>
        <v>592.2030983917308</v>
      </c>
      <c r="U62" s="510">
        <f>((('Assumptions-Output Override'!$H$60+'Assumptions-Output Override'!$H$61)/('Assumptions-Output Override'!$F$60+'Assumptions-Output Override'!$F$61))*'HRA Balance Calc'!$I$5*12)+($K$8*(($I$8*12)))</f>
        <v>-288.26087712588196</v>
      </c>
      <c r="V62" s="489">
        <f>'Winners-Losers Values PMPM'!AV50*(1-$I$9)*12+$L$8*(($I$8*12)*IFERROR((('Winners-Losers Values PMPM'!AY50*12)/('Winners-Losers Values PMPM'!AY$107*12)),0))</f>
        <v>6.1536337758173554</v>
      </c>
      <c r="W62" s="489">
        <f>('Winners-Losers Values PMPM'!AW50*12)*(1-$I$10)+$M$8*(($I$8*12)*IFERROR((('Winners-Losers Values PMPM'!AY50*12)/('Winners-Losers Values PMPM'!AY$107*12)),0))</f>
        <v>0</v>
      </c>
      <c r="X62" s="489">
        <f>('Winners-Losers Values PMPM'!AT50*12)*(1-$I$11)+$N$8*(($I$8*12)*IFERROR((('Winners-Losers Values PMPM'!AY50*12)/('Winners-Losers Values PMPM'!AY$107*12)),0))</f>
        <v>17.663022120610613</v>
      </c>
      <c r="Y62" s="510">
        <f t="shared" si="10"/>
        <v>-264.444221229454</v>
      </c>
      <c r="AA62" s="510">
        <f t="shared" si="11"/>
        <v>4443.3239894938342</v>
      </c>
      <c r="AB62" s="510">
        <f t="shared" si="11"/>
        <v>34.870591396298344</v>
      </c>
      <c r="AC62" s="510">
        <f t="shared" si="11"/>
        <v>0</v>
      </c>
      <c r="AD62" s="510">
        <f t="shared" si="11"/>
        <v>7.738822341910554</v>
      </c>
      <c r="AE62" s="510">
        <f t="shared" si="12"/>
        <v>471.98996185153999</v>
      </c>
      <c r="AF62" s="510">
        <f t="shared" si="13"/>
        <v>4957.9233650835831</v>
      </c>
      <c r="AG62" s="510">
        <f t="shared" si="14"/>
        <v>3.3645726154408369E+22</v>
      </c>
      <c r="AH62" s="510">
        <f t="shared" si="15"/>
        <v>3.3645726154408369E+22</v>
      </c>
      <c r="AJ62" s="510">
        <f t="shared" si="16"/>
        <v>227.5862859635206</v>
      </c>
      <c r="AK62" s="510">
        <f t="shared" si="17"/>
        <v>58.692913181717699</v>
      </c>
      <c r="AL62" s="510">
        <f t="shared" si="17"/>
        <v>0</v>
      </c>
      <c r="AM62" s="510">
        <f t="shared" si="17"/>
        <v>17.663022120610613</v>
      </c>
      <c r="AN62" s="510">
        <f t="shared" si="18"/>
        <v>0</v>
      </c>
      <c r="AO62" s="510">
        <f t="shared" si="19"/>
        <v>303.9422212658489</v>
      </c>
      <c r="AQ62" s="510">
        <f t="shared" si="20"/>
        <v>4670.9102754573551</v>
      </c>
      <c r="AR62" s="510">
        <f t="shared" si="20"/>
        <v>93.563504578016051</v>
      </c>
      <c r="AS62" s="510">
        <f t="shared" si="20"/>
        <v>0</v>
      </c>
      <c r="AT62" s="510">
        <f t="shared" si="20"/>
        <v>25.401844462521169</v>
      </c>
      <c r="AU62" s="510">
        <f t="shared" si="20"/>
        <v>471.98996185153999</v>
      </c>
      <c r="AV62" s="510">
        <f t="shared" si="21"/>
        <v>5261.8655863494323</v>
      </c>
      <c r="AW62" s="510">
        <f t="shared" si="22"/>
        <v>3.3645726154408369E+22</v>
      </c>
      <c r="AX62" s="510">
        <f t="shared" si="23"/>
        <v>3.3645726154408369E+22</v>
      </c>
      <c r="AY62" s="510">
        <f t="shared" si="24"/>
        <v>3.3645726154408369E+22</v>
      </c>
      <c r="AZ62" s="490">
        <f t="shared" si="25"/>
        <v>-3.3645726154408369E+22</v>
      </c>
      <c r="BA62" s="510">
        <f t="shared" si="26"/>
        <v>6.7291452308816738E+22</v>
      </c>
    </row>
    <row r="63" spans="1:53" x14ac:dyDescent="0.2">
      <c r="A63">
        <v>46</v>
      </c>
      <c r="B63" s="510">
        <f>'Assumptions-Output Target'!$D$12*'Assumptions-Output Override'!$D$11*$I$2*12</f>
        <v>3935.8341983467963</v>
      </c>
      <c r="C63" s="510">
        <f t="shared" si="1"/>
        <v>-3.3645726154408369E+22</v>
      </c>
      <c r="D63" s="510">
        <f t="shared" si="2"/>
        <v>0</v>
      </c>
      <c r="E63" s="510">
        <f t="shared" si="0"/>
        <v>471.98996185153999</v>
      </c>
      <c r="F63" s="510">
        <f t="shared" si="3"/>
        <v>3.3645726154408369E+22</v>
      </c>
      <c r="G63" s="510">
        <f>$I$5*'Assumptions-Output Override'!$D$12*12</f>
        <v>4443.3239894938342</v>
      </c>
      <c r="H63" s="489">
        <f>'Winners-Losers Values PMPM'!AV51*$I$9*12</f>
        <v>38.703302601288925</v>
      </c>
      <c r="I63" s="489">
        <f>('Winners-Losers Values PMPM'!AW51*12)*$I$10</f>
        <v>5.7310559342231081E-2</v>
      </c>
      <c r="J63" s="489">
        <f>('Winners-Losers Values PMPM'!AT51*12)*$I$11</f>
        <v>8.5251896108670184</v>
      </c>
      <c r="K63" s="510">
        <f t="shared" si="4"/>
        <v>4490.6097922653316</v>
      </c>
      <c r="L63" s="510">
        <f t="shared" si="5"/>
        <v>3.3645726154408369E+22</v>
      </c>
      <c r="M63" s="510">
        <f t="shared" si="6"/>
        <v>0</v>
      </c>
      <c r="N63" s="489">
        <f>'Winners-Losers Values PMPM'!AP51*12</f>
        <v>530.98599099392823</v>
      </c>
      <c r="O63" s="489">
        <f>'Winners-Losers Values PMPM'!AQ51*12</f>
        <v>56.210901316333967</v>
      </c>
      <c r="P63" s="489">
        <f>'Winners-Losers Values PMPM'!AR51*12</f>
        <v>2.3307308562124447E-3</v>
      </c>
      <c r="Q63" s="489">
        <f>'Winners-Losers Values PMPM'!AO51*12</f>
        <v>0</v>
      </c>
      <c r="R63" s="510">
        <f t="shared" si="7"/>
        <v>587.19922304111844</v>
      </c>
      <c r="S63" s="489">
        <f t="shared" si="8"/>
        <v>613.49715131549021</v>
      </c>
      <c r="T63" s="489">
        <f t="shared" si="9"/>
        <v>613.49715131549021</v>
      </c>
      <c r="U63" s="510">
        <f>((('Assumptions-Output Override'!$H$60+'Assumptions-Output Override'!$H$61)/('Assumptions-Output Override'!$F$60+'Assumptions-Output Override'!$F$61))*'HRA Balance Calc'!$I$5*12)+($K$8*(($I$8*12)))</f>
        <v>-288.26087712588196</v>
      </c>
      <c r="V63" s="489">
        <f>'Winners-Losers Values PMPM'!AV51*(1-$I$9)*12+$L$8*(($I$8*12)*IFERROR((('Winners-Losers Values PMPM'!AY51*12)/('Winners-Losers Values PMPM'!AY$107*12)),0))</f>
        <v>6.8299945766980468</v>
      </c>
      <c r="W63" s="489">
        <f>('Winners-Losers Values PMPM'!AW51*12)*(1-$I$10)+$M$8*(($I$8*12)*IFERROR((('Winners-Losers Values PMPM'!AY51*12)/('Winners-Losers Values PMPM'!AY$107*12)),0))</f>
        <v>1.0113628119217252E-2</v>
      </c>
      <c r="X63" s="489">
        <f>('Winners-Losers Values PMPM'!AT51*12)*(1-$I$11)+$N$8*(($I$8*12)*IFERROR((('Winners-Losers Values PMPM'!AY51*12)/('Winners-Losers Values PMPM'!AY$107*12)),0))</f>
        <v>19.457820069554497</v>
      </c>
      <c r="Y63" s="510">
        <f t="shared" si="10"/>
        <v>-261.96294885151025</v>
      </c>
      <c r="AA63" s="510">
        <f t="shared" si="11"/>
        <v>4443.3239894938342</v>
      </c>
      <c r="AB63" s="510">
        <f t="shared" si="11"/>
        <v>38.703302601288925</v>
      </c>
      <c r="AC63" s="510">
        <f t="shared" si="11"/>
        <v>5.7310559342231081E-2</v>
      </c>
      <c r="AD63" s="510">
        <f t="shared" si="11"/>
        <v>8.5251896108670184</v>
      </c>
      <c r="AE63" s="510">
        <f t="shared" si="12"/>
        <v>471.98996185153999</v>
      </c>
      <c r="AF63" s="510">
        <f t="shared" si="13"/>
        <v>4962.5997541168717</v>
      </c>
      <c r="AG63" s="510">
        <f t="shared" si="14"/>
        <v>3.3645726154408369E+22</v>
      </c>
      <c r="AH63" s="510">
        <f t="shared" si="15"/>
        <v>3.3645726154408369E+22</v>
      </c>
      <c r="AJ63" s="510">
        <f t="shared" si="16"/>
        <v>242.72511386804626</v>
      </c>
      <c r="AK63" s="510">
        <f t="shared" si="17"/>
        <v>63.040895893032015</v>
      </c>
      <c r="AL63" s="510">
        <f t="shared" si="17"/>
        <v>1.2444358975429696E-2</v>
      </c>
      <c r="AM63" s="510">
        <f t="shared" si="17"/>
        <v>19.457820069554497</v>
      </c>
      <c r="AN63" s="510">
        <f t="shared" si="18"/>
        <v>0</v>
      </c>
      <c r="AO63" s="510">
        <f t="shared" si="19"/>
        <v>325.2362741896082</v>
      </c>
      <c r="AQ63" s="510">
        <f t="shared" si="20"/>
        <v>4686.04910336188</v>
      </c>
      <c r="AR63" s="510">
        <f t="shared" si="20"/>
        <v>101.74419849432094</v>
      </c>
      <c r="AS63" s="510">
        <f t="shared" si="20"/>
        <v>6.9754918317660772E-2</v>
      </c>
      <c r="AT63" s="510">
        <f t="shared" si="20"/>
        <v>27.983009680421517</v>
      </c>
      <c r="AU63" s="510">
        <f t="shared" si="20"/>
        <v>471.98996185153999</v>
      </c>
      <c r="AV63" s="510">
        <f t="shared" si="21"/>
        <v>5287.8360283064803</v>
      </c>
      <c r="AW63" s="510">
        <f t="shared" si="22"/>
        <v>3.3645726154408369E+22</v>
      </c>
      <c r="AX63" s="510">
        <f t="shared" si="23"/>
        <v>3.3645726154408369E+22</v>
      </c>
      <c r="AY63" s="510">
        <f t="shared" si="24"/>
        <v>3.3645726154408369E+22</v>
      </c>
      <c r="AZ63" s="490">
        <f t="shared" si="25"/>
        <v>-3.3645726154408369E+22</v>
      </c>
      <c r="BA63" s="510">
        <f t="shared" si="26"/>
        <v>6.7291452308816738E+22</v>
      </c>
    </row>
    <row r="64" spans="1:53" x14ac:dyDescent="0.2">
      <c r="A64">
        <v>47</v>
      </c>
      <c r="B64" s="510">
        <f>'Assumptions-Output Target'!$D$12*'Assumptions-Output Override'!$D$11*$I$2*12</f>
        <v>3935.8341983467963</v>
      </c>
      <c r="C64" s="510">
        <f t="shared" si="1"/>
        <v>-3.3645726154408369E+22</v>
      </c>
      <c r="D64" s="510">
        <f t="shared" si="2"/>
        <v>0</v>
      </c>
      <c r="E64" s="510">
        <f t="shared" si="0"/>
        <v>471.98996185153999</v>
      </c>
      <c r="F64" s="510">
        <f t="shared" si="3"/>
        <v>3.3645726154408369E+22</v>
      </c>
      <c r="G64" s="510">
        <f>$I$5*'Assumptions-Output Override'!$D$12*12</f>
        <v>4443.3239894938342</v>
      </c>
      <c r="H64" s="489">
        <f>'Winners-Losers Values PMPM'!AV52*$I$9*12</f>
        <v>40.903699459468029</v>
      </c>
      <c r="I64" s="489">
        <f>('Winners-Losers Values PMPM'!AW52*12)*$I$10</f>
        <v>0</v>
      </c>
      <c r="J64" s="489">
        <f>('Winners-Losers Values PMPM'!AT52*12)*$I$11</f>
        <v>9.7783999261017112</v>
      </c>
      <c r="K64" s="510">
        <f t="shared" si="4"/>
        <v>4494.0060888794042</v>
      </c>
      <c r="L64" s="510">
        <f t="shared" si="5"/>
        <v>3.3645726154408369E+22</v>
      </c>
      <c r="M64" s="510">
        <f t="shared" si="6"/>
        <v>0</v>
      </c>
      <c r="N64" s="489">
        <f>'Winners-Losers Values PMPM'!AP52*12</f>
        <v>551.3913324171557</v>
      </c>
      <c r="O64" s="489">
        <f>'Winners-Losers Values PMPM'!AQ52*12</f>
        <v>60.094026772297688</v>
      </c>
      <c r="P64" s="489">
        <f>'Winners-Losers Values PMPM'!AR52*12</f>
        <v>0</v>
      </c>
      <c r="Q64" s="489">
        <f>'Winners-Losers Values PMPM'!AO52*12</f>
        <v>0</v>
      </c>
      <c r="R64" s="510">
        <f t="shared" si="7"/>
        <v>611.48535918945333</v>
      </c>
      <c r="S64" s="489">
        <f t="shared" si="8"/>
        <v>641.02179570039959</v>
      </c>
      <c r="T64" s="489">
        <f t="shared" si="9"/>
        <v>641.02179570039959</v>
      </c>
      <c r="U64" s="510">
        <f>((('Assumptions-Output Override'!$H$60+'Assumptions-Output Override'!$H$61)/('Assumptions-Output Override'!$F$60+'Assumptions-Output Override'!$F$61))*'HRA Balance Calc'!$I$5*12)+($K$8*(($I$8*12)))</f>
        <v>-288.26087712588196</v>
      </c>
      <c r="V64" s="489">
        <f>'Winners-Losers Values PMPM'!AV52*(1-$I$9)*12+$L$8*(($I$8*12)*IFERROR((('Winners-Losers Values PMPM'!AY52*12)/('Winners-Losers Values PMPM'!AY$107*12)),0))</f>
        <v>7.2182999046120067</v>
      </c>
      <c r="W64" s="489">
        <f>('Winners-Losers Values PMPM'!AW52*12)*(1-$I$10)+$M$8*(($I$8*12)*IFERROR((('Winners-Losers Values PMPM'!AY52*12)/('Winners-Losers Values PMPM'!AY$107*12)),0))</f>
        <v>0</v>
      </c>
      <c r="X64" s="489">
        <f>('Winners-Losers Values PMPM'!AT52*12)*(1-$I$11)+$N$8*(($I$8*12)*IFERROR((('Winners-Losers Values PMPM'!AY52*12)/('Winners-Losers Values PMPM'!AY$107*12)),0))</f>
        <v>22.318136606334306</v>
      </c>
      <c r="Y64" s="510">
        <f t="shared" si="10"/>
        <v>-258.72444061493565</v>
      </c>
      <c r="AA64" s="510">
        <f t="shared" si="11"/>
        <v>4443.3239894938342</v>
      </c>
      <c r="AB64" s="510">
        <f t="shared" si="11"/>
        <v>40.903699459468029</v>
      </c>
      <c r="AC64" s="510">
        <f t="shared" si="11"/>
        <v>0</v>
      </c>
      <c r="AD64" s="510">
        <f t="shared" si="11"/>
        <v>9.7783999261017112</v>
      </c>
      <c r="AE64" s="510">
        <f t="shared" si="12"/>
        <v>471.98996185153999</v>
      </c>
      <c r="AF64" s="510">
        <f t="shared" si="13"/>
        <v>4965.9960507309443</v>
      </c>
      <c r="AG64" s="510">
        <f t="shared" si="14"/>
        <v>3.3645726154408369E+22</v>
      </c>
      <c r="AH64" s="510">
        <f t="shared" si="15"/>
        <v>3.3645726154408369E+22</v>
      </c>
      <c r="AJ64" s="510">
        <f t="shared" si="16"/>
        <v>263.13045529127373</v>
      </c>
      <c r="AK64" s="510">
        <f t="shared" si="17"/>
        <v>67.312326676909692</v>
      </c>
      <c r="AL64" s="510">
        <f t="shared" si="17"/>
        <v>0</v>
      </c>
      <c r="AM64" s="510">
        <f t="shared" si="17"/>
        <v>22.318136606334306</v>
      </c>
      <c r="AN64" s="510">
        <f t="shared" si="18"/>
        <v>0</v>
      </c>
      <c r="AO64" s="510">
        <f t="shared" si="19"/>
        <v>352.76091857451775</v>
      </c>
      <c r="AQ64" s="510">
        <f t="shared" si="20"/>
        <v>4706.4544447851076</v>
      </c>
      <c r="AR64" s="510">
        <f t="shared" si="20"/>
        <v>108.21602613637772</v>
      </c>
      <c r="AS64" s="510">
        <f t="shared" si="20"/>
        <v>0</v>
      </c>
      <c r="AT64" s="510">
        <f t="shared" si="20"/>
        <v>32.096536532436019</v>
      </c>
      <c r="AU64" s="510">
        <f t="shared" si="20"/>
        <v>471.98996185153999</v>
      </c>
      <c r="AV64" s="510">
        <f t="shared" si="21"/>
        <v>5318.756969305462</v>
      </c>
      <c r="AW64" s="510">
        <f t="shared" si="22"/>
        <v>3.3645726154408369E+22</v>
      </c>
      <c r="AX64" s="510">
        <f t="shared" si="23"/>
        <v>3.3645726154408369E+22</v>
      </c>
      <c r="AY64" s="510">
        <f t="shared" si="24"/>
        <v>3.3645726154408369E+22</v>
      </c>
      <c r="AZ64" s="490">
        <f t="shared" si="25"/>
        <v>-3.3645726154408369E+22</v>
      </c>
      <c r="BA64" s="510">
        <f t="shared" si="26"/>
        <v>6.7291452308816738E+22</v>
      </c>
    </row>
    <row r="65" spans="1:53" x14ac:dyDescent="0.2">
      <c r="A65">
        <v>48</v>
      </c>
      <c r="B65" s="510">
        <f>'Assumptions-Output Target'!$D$12*'Assumptions-Output Override'!$D$11*$I$2*12</f>
        <v>3935.8341983467963</v>
      </c>
      <c r="C65" s="510">
        <f t="shared" si="1"/>
        <v>-3.3645726154408369E+22</v>
      </c>
      <c r="D65" s="510">
        <f t="shared" si="2"/>
        <v>0</v>
      </c>
      <c r="E65" s="510">
        <f t="shared" si="0"/>
        <v>471.98996185153999</v>
      </c>
      <c r="F65" s="510">
        <f t="shared" si="3"/>
        <v>3.3645726154408369E+22</v>
      </c>
      <c r="G65" s="510">
        <f>$I$5*'Assumptions-Output Override'!$D$12*12</f>
        <v>4443.3239894938342</v>
      </c>
      <c r="H65" s="489">
        <f>'Winners-Losers Values PMPM'!AV53*$I$9*12</f>
        <v>42.953325496846176</v>
      </c>
      <c r="I65" s="489">
        <f>('Winners-Losers Values PMPM'!AW53*12)*$I$10</f>
        <v>3.2211379229981019E-2</v>
      </c>
      <c r="J65" s="489">
        <f>('Winners-Losers Values PMPM'!AT53*12)*$I$11</f>
        <v>11.199851961423436</v>
      </c>
      <c r="K65" s="510">
        <f t="shared" si="4"/>
        <v>4497.5093783313341</v>
      </c>
      <c r="L65" s="510">
        <f t="shared" si="5"/>
        <v>3.3645726154408369E+22</v>
      </c>
      <c r="M65" s="510">
        <f t="shared" si="6"/>
        <v>0</v>
      </c>
      <c r="N65" s="489">
        <f>'Winners-Losers Values PMPM'!AP53*12</f>
        <v>573.22989482867672</v>
      </c>
      <c r="O65" s="489">
        <f>'Winners-Losers Values PMPM'!AQ53*12</f>
        <v>61.572761623929765</v>
      </c>
      <c r="P65" s="489">
        <f>'Winners-Losers Values PMPM'!AR53*12</f>
        <v>1.3099864379993108E-3</v>
      </c>
      <c r="Q65" s="489">
        <f>'Winners-Losers Values PMPM'!AO53*12</f>
        <v>0</v>
      </c>
      <c r="R65" s="510">
        <f t="shared" si="7"/>
        <v>634.80396643904442</v>
      </c>
      <c r="S65" s="489">
        <f t="shared" si="8"/>
        <v>667.95209602754028</v>
      </c>
      <c r="T65" s="489">
        <f t="shared" si="9"/>
        <v>667.95209602754028</v>
      </c>
      <c r="U65" s="510">
        <f>((('Assumptions-Output Override'!$H$60+'Assumptions-Output Override'!$H$61)/('Assumptions-Output Override'!$F$60+'Assumptions-Output Override'!$F$61))*'HRA Balance Calc'!$I$5*12)+($K$8*(($I$8*12)))</f>
        <v>-288.26087712588196</v>
      </c>
      <c r="V65" s="489">
        <f>'Winners-Losers Values PMPM'!AV53*(1-$I$9)*12+$L$8*(($I$8*12)*IFERROR((('Winners-Losers Values PMPM'!AY53*12)/('Winners-Losers Values PMPM'!AY$107*12)),0))</f>
        <v>7.5799986170905029</v>
      </c>
      <c r="W65" s="489">
        <f>('Winners-Losers Values PMPM'!AW53*12)*(1-$I$10)+$M$8*(($I$8*12)*IFERROR((('Winners-Losers Values PMPM'!AY53*12)/('Winners-Losers Values PMPM'!AY$107*12)),0))</f>
        <v>5.6843610405848868E-3</v>
      </c>
      <c r="X65" s="489">
        <f>('Winners-Losers Values PMPM'!AT53*12)*(1-$I$11)+$N$8*(($I$8*12)*IFERROR((('Winners-Losers Values PMPM'!AY53*12)/('Winners-Losers Values PMPM'!AY$107*12)),0))</f>
        <v>25.562446610364734</v>
      </c>
      <c r="Y65" s="510">
        <f t="shared" si="10"/>
        <v>-255.11274753738613</v>
      </c>
      <c r="AA65" s="510">
        <f t="shared" si="11"/>
        <v>4443.3239894938342</v>
      </c>
      <c r="AB65" s="510">
        <f t="shared" si="11"/>
        <v>42.953325496846176</v>
      </c>
      <c r="AC65" s="510">
        <f t="shared" si="11"/>
        <v>3.2211379229981019E-2</v>
      </c>
      <c r="AD65" s="510">
        <f t="shared" si="11"/>
        <v>11.199851961423436</v>
      </c>
      <c r="AE65" s="510">
        <f t="shared" si="12"/>
        <v>471.98996185153999</v>
      </c>
      <c r="AF65" s="510">
        <f t="shared" si="13"/>
        <v>4969.4993401828742</v>
      </c>
      <c r="AG65" s="510">
        <f t="shared" si="14"/>
        <v>3.3645726154408369E+22</v>
      </c>
      <c r="AH65" s="510">
        <f t="shared" si="15"/>
        <v>3.3645726154408369E+22</v>
      </c>
      <c r="AJ65" s="510">
        <f t="shared" si="16"/>
        <v>284.96901770279476</v>
      </c>
      <c r="AK65" s="510">
        <f t="shared" si="17"/>
        <v>69.152760241020275</v>
      </c>
      <c r="AL65" s="510">
        <f t="shared" si="17"/>
        <v>6.994347478584198E-3</v>
      </c>
      <c r="AM65" s="510">
        <f t="shared" si="17"/>
        <v>25.562446610364734</v>
      </c>
      <c r="AN65" s="510">
        <f t="shared" si="18"/>
        <v>0</v>
      </c>
      <c r="AO65" s="510">
        <f t="shared" si="19"/>
        <v>379.69121890165837</v>
      </c>
      <c r="AQ65" s="510">
        <f t="shared" si="20"/>
        <v>4728.2930071966293</v>
      </c>
      <c r="AR65" s="510">
        <f t="shared" si="20"/>
        <v>112.10608573786645</v>
      </c>
      <c r="AS65" s="510">
        <f t="shared" si="20"/>
        <v>3.9205726708565217E-2</v>
      </c>
      <c r="AT65" s="510">
        <f t="shared" si="20"/>
        <v>36.762298571788172</v>
      </c>
      <c r="AU65" s="510">
        <f t="shared" si="20"/>
        <v>471.98996185153999</v>
      </c>
      <c r="AV65" s="510">
        <f t="shared" si="21"/>
        <v>5349.1905590845317</v>
      </c>
      <c r="AW65" s="510">
        <f t="shared" si="22"/>
        <v>3.3645726154408369E+22</v>
      </c>
      <c r="AX65" s="510">
        <f t="shared" si="23"/>
        <v>3.3645726154408369E+22</v>
      </c>
      <c r="AY65" s="510">
        <f t="shared" si="24"/>
        <v>3.3645726154408369E+22</v>
      </c>
      <c r="AZ65" s="490">
        <f t="shared" si="25"/>
        <v>-3.3645726154408369E+22</v>
      </c>
      <c r="BA65" s="510">
        <f t="shared" si="26"/>
        <v>6.7291452308816738E+22</v>
      </c>
    </row>
    <row r="66" spans="1:53" x14ac:dyDescent="0.2">
      <c r="A66">
        <v>49</v>
      </c>
      <c r="B66" s="510">
        <f>'Assumptions-Output Target'!$D$12*'Assumptions-Output Override'!$D$11*$I$2*12</f>
        <v>3935.8341983467963</v>
      </c>
      <c r="C66" s="510">
        <f t="shared" si="1"/>
        <v>-3.3645726154408369E+22</v>
      </c>
      <c r="D66" s="510">
        <f t="shared" si="2"/>
        <v>0</v>
      </c>
      <c r="E66" s="510">
        <f t="shared" si="0"/>
        <v>471.98996185153999</v>
      </c>
      <c r="F66" s="510">
        <f t="shared" si="3"/>
        <v>3.3645726154408369E+22</v>
      </c>
      <c r="G66" s="510">
        <f>$I$5*'Assumptions-Output Override'!$D$12*12</f>
        <v>4443.3239894938342</v>
      </c>
      <c r="H66" s="489">
        <f>'Winners-Losers Values PMPM'!AV54*$I$9*12</f>
        <v>47.459613089420152</v>
      </c>
      <c r="I66" s="489">
        <f>('Winners-Losers Values PMPM'!AW54*12)*$I$10</f>
        <v>0</v>
      </c>
      <c r="J66" s="489">
        <f>('Winners-Losers Values PMPM'!AT54*12)*$I$11</f>
        <v>12.30401684134249</v>
      </c>
      <c r="K66" s="510">
        <f t="shared" si="4"/>
        <v>4503.0876194245975</v>
      </c>
      <c r="L66" s="510">
        <f t="shared" si="5"/>
        <v>3.3645726154408369E+22</v>
      </c>
      <c r="M66" s="510">
        <f t="shared" si="6"/>
        <v>0</v>
      </c>
      <c r="N66" s="489">
        <f>'Winners-Losers Values PMPM'!AP54*12</f>
        <v>590.06890435090941</v>
      </c>
      <c r="O66" s="489">
        <f>'Winners-Losers Values PMPM'!AQ54*12</f>
        <v>65.320390295445748</v>
      </c>
      <c r="P66" s="489">
        <f>'Winners-Losers Values PMPM'!AR54*12</f>
        <v>0</v>
      </c>
      <c r="Q66" s="489">
        <f>'Winners-Losers Values PMPM'!AO54*12</f>
        <v>0</v>
      </c>
      <c r="R66" s="510">
        <f t="shared" si="7"/>
        <v>655.38929464635521</v>
      </c>
      <c r="S66" s="489">
        <f t="shared" si="8"/>
        <v>691.84710360222505</v>
      </c>
      <c r="T66" s="489">
        <f t="shared" si="9"/>
        <v>691.84710360222505</v>
      </c>
      <c r="U66" s="510">
        <f>((('Assumptions-Output Override'!$H$60+'Assumptions-Output Override'!$H$61)/('Assumptions-Output Override'!$F$60+'Assumptions-Output Override'!$F$61))*'HRA Balance Calc'!$I$5*12)+($K$8*(($I$8*12)))</f>
        <v>-288.26087712588196</v>
      </c>
      <c r="V66" s="489">
        <f>'Winners-Losers Values PMPM'!AV54*(1-$I$9)*12+$L$8*(($I$8*12)*IFERROR((('Winners-Losers Values PMPM'!AY54*12)/('Winners-Losers Values PMPM'!AY$107*12)),0))</f>
        <v>8.3752258393094401</v>
      </c>
      <c r="W66" s="489">
        <f>('Winners-Losers Values PMPM'!AW54*12)*(1-$I$10)+$M$8*(($I$8*12)*IFERROR((('Winners-Losers Values PMPM'!AY54*12)/('Winners-Losers Values PMPM'!AY$107*12)),0))</f>
        <v>0</v>
      </c>
      <c r="X66" s="489">
        <f>('Winners-Losers Values PMPM'!AT54*12)*(1-$I$11)+$N$8*(($I$8*12)*IFERROR((('Winners-Losers Values PMPM'!AY54*12)/('Winners-Losers Values PMPM'!AY$107*12)),0))</f>
        <v>28.082583116560425</v>
      </c>
      <c r="Y66" s="510">
        <f t="shared" si="10"/>
        <v>-251.8030681700121</v>
      </c>
      <c r="AA66" s="510">
        <f t="shared" si="11"/>
        <v>4443.3239894938342</v>
      </c>
      <c r="AB66" s="510">
        <f t="shared" si="11"/>
        <v>47.459613089420152</v>
      </c>
      <c r="AC66" s="510">
        <f t="shared" si="11"/>
        <v>0</v>
      </c>
      <c r="AD66" s="510">
        <f t="shared" si="11"/>
        <v>12.30401684134249</v>
      </c>
      <c r="AE66" s="510">
        <f t="shared" si="12"/>
        <v>471.98996185153999</v>
      </c>
      <c r="AF66" s="510">
        <f t="shared" si="13"/>
        <v>4975.0775812761376</v>
      </c>
      <c r="AG66" s="510">
        <f t="shared" si="14"/>
        <v>3.3645726154408369E+22</v>
      </c>
      <c r="AH66" s="510">
        <f t="shared" si="15"/>
        <v>3.3645726154408369E+22</v>
      </c>
      <c r="AJ66" s="510">
        <f t="shared" si="16"/>
        <v>301.80802722502744</v>
      </c>
      <c r="AK66" s="510">
        <f t="shared" si="17"/>
        <v>73.695616134755184</v>
      </c>
      <c r="AL66" s="510">
        <f t="shared" si="17"/>
        <v>0</v>
      </c>
      <c r="AM66" s="510">
        <f t="shared" si="17"/>
        <v>28.082583116560425</v>
      </c>
      <c r="AN66" s="510">
        <f t="shared" si="18"/>
        <v>0</v>
      </c>
      <c r="AO66" s="510">
        <f t="shared" si="19"/>
        <v>403.58622647634309</v>
      </c>
      <c r="AQ66" s="510">
        <f t="shared" si="20"/>
        <v>4745.1320167188615</v>
      </c>
      <c r="AR66" s="510">
        <f t="shared" si="20"/>
        <v>121.15522922417534</v>
      </c>
      <c r="AS66" s="510">
        <f t="shared" si="20"/>
        <v>0</v>
      </c>
      <c r="AT66" s="510">
        <f t="shared" si="20"/>
        <v>40.386599957902916</v>
      </c>
      <c r="AU66" s="510">
        <f t="shared" si="20"/>
        <v>471.98996185153999</v>
      </c>
      <c r="AV66" s="510">
        <f t="shared" si="21"/>
        <v>5378.6638077524794</v>
      </c>
      <c r="AW66" s="510">
        <f t="shared" si="22"/>
        <v>3.3645726154408369E+22</v>
      </c>
      <c r="AX66" s="510">
        <f t="shared" si="23"/>
        <v>3.3645726154408369E+22</v>
      </c>
      <c r="AY66" s="510">
        <f t="shared" si="24"/>
        <v>3.3645726154408369E+22</v>
      </c>
      <c r="AZ66" s="490">
        <f t="shared" si="25"/>
        <v>-3.3645726154408369E+22</v>
      </c>
      <c r="BA66" s="510">
        <f t="shared" si="26"/>
        <v>6.7291452308816738E+22</v>
      </c>
    </row>
    <row r="67" spans="1:53" x14ac:dyDescent="0.2">
      <c r="A67">
        <v>50</v>
      </c>
      <c r="B67" s="510">
        <f>'Assumptions-Output Target'!$D$12*'Assumptions-Output Override'!$D$11*$I$2*12</f>
        <v>3935.8341983467963</v>
      </c>
      <c r="C67" s="510">
        <f t="shared" si="1"/>
        <v>-3.3645726154408369E+22</v>
      </c>
      <c r="D67" s="510">
        <f t="shared" si="2"/>
        <v>0</v>
      </c>
      <c r="E67" s="510">
        <f t="shared" si="0"/>
        <v>471.98996185153999</v>
      </c>
      <c r="F67" s="510">
        <f t="shared" si="3"/>
        <v>3.3645726154408369E+22</v>
      </c>
      <c r="G67" s="510">
        <f>$I$5*'Assumptions-Output Override'!$D$12*12</f>
        <v>4443.3239894938342</v>
      </c>
      <c r="H67" s="489">
        <f>'Winners-Losers Values PMPM'!AV55*$I$9*12</f>
        <v>53.496348772115297</v>
      </c>
      <c r="I67" s="489">
        <f>('Winners-Losers Values PMPM'!AW55*12)*$I$10</f>
        <v>0.13793077772837997</v>
      </c>
      <c r="J67" s="489">
        <f>('Winners-Losers Values PMPM'!AT55*12)*$I$11</f>
        <v>13.315226535239377</v>
      </c>
      <c r="K67" s="510">
        <f t="shared" si="4"/>
        <v>4510.2734955789174</v>
      </c>
      <c r="L67" s="510">
        <f t="shared" si="5"/>
        <v>3.3645726154408369E+22</v>
      </c>
      <c r="M67" s="510">
        <f t="shared" si="6"/>
        <v>0</v>
      </c>
      <c r="N67" s="489">
        <f>'Winners-Losers Values PMPM'!AP55*12</f>
        <v>607.48467694731369</v>
      </c>
      <c r="O67" s="489">
        <f>'Winners-Losers Values PMPM'!AQ55*12</f>
        <v>68.879284882019192</v>
      </c>
      <c r="P67" s="489">
        <f>'Winners-Losers Values PMPM'!AR55*12</f>
        <v>5.6094291063047306E-3</v>
      </c>
      <c r="Q67" s="489">
        <f>'Winners-Losers Values PMPM'!AO55*12</f>
        <v>0</v>
      </c>
      <c r="R67" s="510">
        <f t="shared" si="7"/>
        <v>676.36957125843924</v>
      </c>
      <c r="S67" s="489">
        <f t="shared" si="8"/>
        <v>716.22500361902792</v>
      </c>
      <c r="T67" s="489">
        <f t="shared" si="9"/>
        <v>716.22500361902792</v>
      </c>
      <c r="U67" s="510">
        <f>((('Assumptions-Output Override'!$H$60+'Assumptions-Output Override'!$H$61)/('Assumptions-Output Override'!$F$60+'Assumptions-Output Override'!$F$61))*'HRA Balance Calc'!$I$5*12)+($K$8*(($I$8*12)))</f>
        <v>-288.26087712588196</v>
      </c>
      <c r="V67" s="489">
        <f>'Winners-Losers Values PMPM'!AV55*(1-$I$9)*12+$L$8*(($I$8*12)*IFERROR((('Winners-Losers Values PMPM'!AY55*12)/('Winners-Losers Values PMPM'!AY$107*12)),0))</f>
        <v>9.4405321362556425</v>
      </c>
      <c r="W67" s="489">
        <f>('Winners-Losers Values PMPM'!AW55*12)*(1-$I$10)+$M$8*(($I$8*12)*IFERROR((('Winners-Losers Values PMPM'!AY55*12)/('Winners-Losers Values PMPM'!AY$107*12)),0))</f>
        <v>2.4340725481478826E-2</v>
      </c>
      <c r="X67" s="489">
        <f>('Winners-Losers Values PMPM'!AT55*12)*(1-$I$11)+$N$8*(($I$8*12)*IFERROR((('Winners-Losers Values PMPM'!AY55*12)/('Winners-Losers Values PMPM'!AY$107*12)),0))</f>
        <v>30.390559498851569</v>
      </c>
      <c r="Y67" s="510">
        <f t="shared" si="10"/>
        <v>-248.40544476529331</v>
      </c>
      <c r="AA67" s="510">
        <f t="shared" si="11"/>
        <v>4443.3239894938342</v>
      </c>
      <c r="AB67" s="510">
        <f t="shared" si="11"/>
        <v>53.496348772115297</v>
      </c>
      <c r="AC67" s="510">
        <f t="shared" si="11"/>
        <v>0.13793077772837997</v>
      </c>
      <c r="AD67" s="510">
        <f t="shared" si="11"/>
        <v>13.315226535239377</v>
      </c>
      <c r="AE67" s="510">
        <f t="shared" si="12"/>
        <v>471.98996185153999</v>
      </c>
      <c r="AF67" s="510">
        <f t="shared" si="13"/>
        <v>4982.2634574304575</v>
      </c>
      <c r="AG67" s="510">
        <f t="shared" si="14"/>
        <v>3.3645726154408369E+22</v>
      </c>
      <c r="AH67" s="510">
        <f t="shared" si="15"/>
        <v>3.3645726154408369E+22</v>
      </c>
      <c r="AJ67" s="510">
        <f t="shared" si="16"/>
        <v>319.22379982143173</v>
      </c>
      <c r="AK67" s="510">
        <f t="shared" si="17"/>
        <v>78.319817018274833</v>
      </c>
      <c r="AL67" s="510">
        <f t="shared" si="17"/>
        <v>2.9950154587783558E-2</v>
      </c>
      <c r="AM67" s="510">
        <f t="shared" si="17"/>
        <v>30.390559498851569</v>
      </c>
      <c r="AN67" s="510">
        <f t="shared" si="18"/>
        <v>0</v>
      </c>
      <c r="AO67" s="510">
        <f t="shared" si="19"/>
        <v>427.9641264931459</v>
      </c>
      <c r="AQ67" s="510">
        <f t="shared" si="20"/>
        <v>4762.5477893152656</v>
      </c>
      <c r="AR67" s="510">
        <f t="shared" si="20"/>
        <v>131.81616579039013</v>
      </c>
      <c r="AS67" s="510">
        <f t="shared" si="20"/>
        <v>0.16788093231616352</v>
      </c>
      <c r="AT67" s="510">
        <f t="shared" si="20"/>
        <v>43.705786034090949</v>
      </c>
      <c r="AU67" s="510">
        <f t="shared" si="20"/>
        <v>471.98996185153999</v>
      </c>
      <c r="AV67" s="510">
        <f t="shared" si="21"/>
        <v>5410.2275839236027</v>
      </c>
      <c r="AW67" s="510">
        <f t="shared" si="22"/>
        <v>3.3645726154408369E+22</v>
      </c>
      <c r="AX67" s="510">
        <f t="shared" si="23"/>
        <v>3.3645726154408369E+22</v>
      </c>
      <c r="AY67" s="510">
        <f t="shared" si="24"/>
        <v>3.3645726154408369E+22</v>
      </c>
      <c r="AZ67" s="490">
        <f t="shared" si="25"/>
        <v>-3.3645726154408369E+22</v>
      </c>
      <c r="BA67" s="510">
        <f t="shared" si="26"/>
        <v>6.7291452308816738E+22</v>
      </c>
    </row>
    <row r="68" spans="1:53" x14ac:dyDescent="0.2">
      <c r="A68">
        <v>51</v>
      </c>
      <c r="B68" s="510">
        <f>'Assumptions-Output Target'!$D$12*'Assumptions-Output Override'!$D$11*$I$2*12</f>
        <v>3935.8341983467963</v>
      </c>
      <c r="C68" s="510">
        <f t="shared" si="1"/>
        <v>-3.3645726154408369E+22</v>
      </c>
      <c r="D68" s="510">
        <f t="shared" si="2"/>
        <v>0</v>
      </c>
      <c r="E68" s="510">
        <f t="shared" si="0"/>
        <v>471.98996185153999</v>
      </c>
      <c r="F68" s="510">
        <f t="shared" si="3"/>
        <v>3.3645726154408369E+22</v>
      </c>
      <c r="G68" s="510">
        <f>$I$5*'Assumptions-Output Override'!$D$12*12</f>
        <v>4443.3239894938342</v>
      </c>
      <c r="H68" s="489">
        <f>'Winners-Losers Values PMPM'!AV56*$I$9*12</f>
        <v>57.286213998477066</v>
      </c>
      <c r="I68" s="489">
        <f>('Winners-Losers Values PMPM'!AW56*12)*$I$10</f>
        <v>0</v>
      </c>
      <c r="J68" s="489">
        <f>('Winners-Losers Values PMPM'!AT56*12)*$I$11</f>
        <v>16.180773730379972</v>
      </c>
      <c r="K68" s="510">
        <f t="shared" si="4"/>
        <v>4516.7909772226913</v>
      </c>
      <c r="L68" s="510">
        <f t="shared" si="5"/>
        <v>3.3645726154408369E+22</v>
      </c>
      <c r="M68" s="510">
        <f t="shared" si="6"/>
        <v>0</v>
      </c>
      <c r="N68" s="489">
        <f>'Winners-Losers Values PMPM'!AP56*12</f>
        <v>627.32279187008203</v>
      </c>
      <c r="O68" s="489">
        <f>'Winners-Losers Values PMPM'!AQ56*12</f>
        <v>71.016292995026248</v>
      </c>
      <c r="P68" s="489">
        <f>'Winners-Losers Values PMPM'!AR56*12</f>
        <v>0</v>
      </c>
      <c r="Q68" s="489">
        <f>'Winners-Losers Values PMPM'!AO56*12</f>
        <v>0</v>
      </c>
      <c r="R68" s="510">
        <f t="shared" si="7"/>
        <v>698.33908486510825</v>
      </c>
      <c r="S68" s="489">
        <f t="shared" si="8"/>
        <v>745.37927672836861</v>
      </c>
      <c r="T68" s="489">
        <f t="shared" si="9"/>
        <v>745.37927672836861</v>
      </c>
      <c r="U68" s="510">
        <f>((('Assumptions-Output Override'!$H$60+'Assumptions-Output Override'!$H$61)/('Assumptions-Output Override'!$F$60+'Assumptions-Output Override'!$F$61))*'HRA Balance Calc'!$I$5*12)+($K$8*(($I$8*12)))</f>
        <v>-288.26087712588196</v>
      </c>
      <c r="V68" s="489">
        <f>'Winners-Losers Values PMPM'!AV56*(1-$I$9)*12+$L$8*(($I$8*12)*IFERROR((('Winners-Losers Values PMPM'!AY56*12)/('Winners-Losers Values PMPM'!AY$107*12)),0))</f>
        <v>10.109331882084192</v>
      </c>
      <c r="W68" s="489">
        <f>('Winners-Losers Values PMPM'!AW56*12)*(1-$I$10)+$M$8*(($I$8*12)*IFERROR((('Winners-Losers Values PMPM'!AY56*12)/('Winners-Losers Values PMPM'!AY$107*12)),0))</f>
        <v>0</v>
      </c>
      <c r="X68" s="489">
        <f>('Winners-Losers Values PMPM'!AT56*12)*(1-$I$11)+$N$8*(($I$8*12)*IFERROR((('Winners-Losers Values PMPM'!AY56*12)/('Winners-Losers Values PMPM'!AY$107*12)),0))</f>
        <v>36.930859981176177</v>
      </c>
      <c r="Y68" s="510">
        <f t="shared" si="10"/>
        <v>-241.2206852626216</v>
      </c>
      <c r="AA68" s="510">
        <f t="shared" si="11"/>
        <v>4443.3239894938342</v>
      </c>
      <c r="AB68" s="510">
        <f t="shared" si="11"/>
        <v>57.286213998477066</v>
      </c>
      <c r="AC68" s="510">
        <f t="shared" si="11"/>
        <v>0</v>
      </c>
      <c r="AD68" s="510">
        <f t="shared" si="11"/>
        <v>16.180773730379972</v>
      </c>
      <c r="AE68" s="510">
        <f t="shared" si="12"/>
        <v>471.98996185153999</v>
      </c>
      <c r="AF68" s="510">
        <f t="shared" si="13"/>
        <v>4988.7809390742314</v>
      </c>
      <c r="AG68" s="510">
        <f t="shared" si="14"/>
        <v>3.3645726154408369E+22</v>
      </c>
      <c r="AH68" s="510">
        <f t="shared" si="15"/>
        <v>3.3645726154408369E+22</v>
      </c>
      <c r="AJ68" s="510">
        <f t="shared" si="16"/>
        <v>339.06191474420007</v>
      </c>
      <c r="AK68" s="510">
        <f t="shared" si="17"/>
        <v>81.12562487711044</v>
      </c>
      <c r="AL68" s="510">
        <f t="shared" si="17"/>
        <v>0</v>
      </c>
      <c r="AM68" s="510">
        <f t="shared" si="17"/>
        <v>36.930859981176177</v>
      </c>
      <c r="AN68" s="510">
        <f t="shared" si="18"/>
        <v>0</v>
      </c>
      <c r="AO68" s="510">
        <f t="shared" si="19"/>
        <v>457.1183996024867</v>
      </c>
      <c r="AQ68" s="510">
        <f t="shared" si="20"/>
        <v>4782.3859042380345</v>
      </c>
      <c r="AR68" s="510">
        <f t="shared" si="20"/>
        <v>138.41183887558751</v>
      </c>
      <c r="AS68" s="510">
        <f t="shared" si="20"/>
        <v>0</v>
      </c>
      <c r="AT68" s="510">
        <f t="shared" si="20"/>
        <v>53.111633711556152</v>
      </c>
      <c r="AU68" s="510">
        <f t="shared" si="20"/>
        <v>471.98996185153999</v>
      </c>
      <c r="AV68" s="510">
        <f t="shared" si="21"/>
        <v>5445.8993386767188</v>
      </c>
      <c r="AW68" s="510">
        <f t="shared" si="22"/>
        <v>3.3645726154408369E+22</v>
      </c>
      <c r="AX68" s="510">
        <f t="shared" si="23"/>
        <v>3.3645726154408369E+22</v>
      </c>
      <c r="AY68" s="510">
        <f t="shared" si="24"/>
        <v>3.3645726154408369E+22</v>
      </c>
      <c r="AZ68" s="490">
        <f t="shared" si="25"/>
        <v>-3.3645726154408369E+22</v>
      </c>
      <c r="BA68" s="510">
        <f t="shared" si="26"/>
        <v>6.7291452308816738E+22</v>
      </c>
    </row>
    <row r="69" spans="1:53" x14ac:dyDescent="0.2">
      <c r="A69">
        <v>52</v>
      </c>
      <c r="B69" s="510">
        <f>'Assumptions-Output Target'!$D$12*'Assumptions-Output Override'!$D$11*$I$2*12</f>
        <v>3935.8341983467963</v>
      </c>
      <c r="C69" s="510">
        <f t="shared" si="1"/>
        <v>-3.3645726154408369E+22</v>
      </c>
      <c r="D69" s="510">
        <f t="shared" si="2"/>
        <v>0</v>
      </c>
      <c r="E69" s="510">
        <f t="shared" si="0"/>
        <v>471.98996185153999</v>
      </c>
      <c r="F69" s="510">
        <f t="shared" si="3"/>
        <v>3.3645726154408369E+22</v>
      </c>
      <c r="G69" s="510">
        <f>$I$5*'Assumptions-Output Override'!$D$12*12</f>
        <v>4443.3239894938342</v>
      </c>
      <c r="H69" s="489">
        <f>'Winners-Losers Values PMPM'!AV57*$I$9*12</f>
        <v>59.808346147282109</v>
      </c>
      <c r="I69" s="489">
        <f>('Winners-Losers Values PMPM'!AW57*12)*$I$10</f>
        <v>7.6072999466361216E-2</v>
      </c>
      <c r="J69" s="489">
        <f>('Winners-Losers Values PMPM'!AT57*12)*$I$11</f>
        <v>18.168490691856594</v>
      </c>
      <c r="K69" s="510">
        <f t="shared" si="4"/>
        <v>4521.3768993324393</v>
      </c>
      <c r="L69" s="510">
        <f t="shared" si="5"/>
        <v>3.3645726154408369E+22</v>
      </c>
      <c r="M69" s="510">
        <f t="shared" si="6"/>
        <v>0</v>
      </c>
      <c r="N69" s="489">
        <f>'Winners-Losers Values PMPM'!AP57*12</f>
        <v>647.12096562716408</v>
      </c>
      <c r="O69" s="489">
        <f>'Winners-Losers Values PMPM'!AQ57*12</f>
        <v>74.039124007824981</v>
      </c>
      <c r="P69" s="489">
        <f>'Winners-Losers Values PMPM'!AR57*12</f>
        <v>3.0937699651838449E-3</v>
      </c>
      <c r="Q69" s="489">
        <f>'Winners-Losers Values PMPM'!AO57*12</f>
        <v>0</v>
      </c>
      <c r="R69" s="510">
        <f t="shared" si="7"/>
        <v>721.16318340495422</v>
      </c>
      <c r="S69" s="489">
        <f t="shared" si="8"/>
        <v>773.19863030176589</v>
      </c>
      <c r="T69" s="489">
        <f t="shared" si="9"/>
        <v>773.19863030176589</v>
      </c>
      <c r="U69" s="510">
        <f>((('Assumptions-Output Override'!$H$60+'Assumptions-Output Override'!$H$61)/('Assumptions-Output Override'!$F$60+'Assumptions-Output Override'!$F$61))*'HRA Balance Calc'!$I$5*12)+($K$8*(($I$8*12)))</f>
        <v>-288.26087712588196</v>
      </c>
      <c r="V69" s="489">
        <f>'Winners-Losers Values PMPM'!AV57*(1-$I$9)*12+$L$8*(($I$8*12)*IFERROR((('Winners-Losers Values PMPM'!AY57*12)/('Winners-Losers Values PMPM'!AY$107*12)),0))</f>
        <v>10.554414025990962</v>
      </c>
      <c r="W69" s="489">
        <f>('Winners-Losers Values PMPM'!AW57*12)*(1-$I$10)+$M$8*(($I$8*12)*IFERROR((('Winners-Losers Values PMPM'!AY57*12)/('Winners-Losers Values PMPM'!AY$107*12)),0))</f>
        <v>1.3424646964651982E-2</v>
      </c>
      <c r="X69" s="489">
        <f>('Winners-Losers Values PMPM'!AT57*12)*(1-$I$11)+$N$8*(($I$8*12)*IFERROR((('Winners-Losers Values PMPM'!AY57*12)/('Winners-Losers Values PMPM'!AY$107*12)),0))</f>
        <v>41.467608223856054</v>
      </c>
      <c r="Y69" s="510">
        <f t="shared" si="10"/>
        <v>-236.22543022907027</v>
      </c>
      <c r="AA69" s="510">
        <f t="shared" si="11"/>
        <v>4443.3239894938342</v>
      </c>
      <c r="AB69" s="510">
        <f t="shared" si="11"/>
        <v>59.808346147282109</v>
      </c>
      <c r="AC69" s="510">
        <f t="shared" si="11"/>
        <v>7.6072999466361216E-2</v>
      </c>
      <c r="AD69" s="510">
        <f t="shared" si="11"/>
        <v>18.168490691856594</v>
      </c>
      <c r="AE69" s="510">
        <f t="shared" si="12"/>
        <v>471.98996185153999</v>
      </c>
      <c r="AF69" s="510">
        <f t="shared" si="13"/>
        <v>4993.3668611839794</v>
      </c>
      <c r="AG69" s="510">
        <f t="shared" si="14"/>
        <v>3.3645726154408369E+22</v>
      </c>
      <c r="AH69" s="510">
        <f t="shared" si="15"/>
        <v>3.3645726154408369E+22</v>
      </c>
      <c r="AJ69" s="510">
        <f t="shared" si="16"/>
        <v>358.86008850128212</v>
      </c>
      <c r="AK69" s="510">
        <f t="shared" si="17"/>
        <v>84.593538033815946</v>
      </c>
      <c r="AL69" s="510">
        <f t="shared" si="17"/>
        <v>1.6518416929835827E-2</v>
      </c>
      <c r="AM69" s="510">
        <f t="shared" si="17"/>
        <v>41.467608223856054</v>
      </c>
      <c r="AN69" s="510">
        <f t="shared" si="18"/>
        <v>0</v>
      </c>
      <c r="AO69" s="510">
        <f t="shared" si="19"/>
        <v>484.93775317588398</v>
      </c>
      <c r="AQ69" s="510">
        <f t="shared" si="20"/>
        <v>4802.1840779951162</v>
      </c>
      <c r="AR69" s="510">
        <f t="shared" si="20"/>
        <v>144.40188418109807</v>
      </c>
      <c r="AS69" s="510">
        <f t="shared" si="20"/>
        <v>9.2591416396197043E-2</v>
      </c>
      <c r="AT69" s="510">
        <f t="shared" si="20"/>
        <v>59.636098915712651</v>
      </c>
      <c r="AU69" s="510">
        <f t="shared" si="20"/>
        <v>471.98996185153999</v>
      </c>
      <c r="AV69" s="510">
        <f t="shared" si="21"/>
        <v>5478.304614359864</v>
      </c>
      <c r="AW69" s="510">
        <f t="shared" si="22"/>
        <v>3.3645726154408369E+22</v>
      </c>
      <c r="AX69" s="510">
        <f t="shared" si="23"/>
        <v>3.3645726154408369E+22</v>
      </c>
      <c r="AY69" s="510">
        <f t="shared" si="24"/>
        <v>3.3645726154408369E+22</v>
      </c>
      <c r="AZ69" s="490">
        <f t="shared" si="25"/>
        <v>-3.3645726154408369E+22</v>
      </c>
      <c r="BA69" s="510">
        <f t="shared" si="26"/>
        <v>6.7291452308816738E+22</v>
      </c>
    </row>
    <row r="70" spans="1:53" x14ac:dyDescent="0.2">
      <c r="A70">
        <v>53</v>
      </c>
      <c r="B70" s="510">
        <f>'Assumptions-Output Target'!$D$12*'Assumptions-Output Override'!$D$11*$I$2*12</f>
        <v>3935.8341983467963</v>
      </c>
      <c r="C70" s="510">
        <f t="shared" si="1"/>
        <v>-3.3645726154408369E+22</v>
      </c>
      <c r="D70" s="510">
        <f t="shared" si="2"/>
        <v>0</v>
      </c>
      <c r="E70" s="510">
        <f t="shared" si="0"/>
        <v>471.98996185153999</v>
      </c>
      <c r="F70" s="510">
        <f t="shared" si="3"/>
        <v>3.3645726154408369E+22</v>
      </c>
      <c r="G70" s="510">
        <f>$I$5*'Assumptions-Output Override'!$D$12*12</f>
        <v>4443.3239894938342</v>
      </c>
      <c r="H70" s="489">
        <f>'Winners-Losers Values PMPM'!AV58*$I$9*12</f>
        <v>68.550259576107209</v>
      </c>
      <c r="I70" s="489">
        <f>('Winners-Losers Values PMPM'!AW58*12)*$I$10</f>
        <v>7.9128950829205499E-2</v>
      </c>
      <c r="J70" s="489">
        <f>('Winners-Losers Values PMPM'!AT58*12)*$I$11</f>
        <v>19.285462489844111</v>
      </c>
      <c r="K70" s="510">
        <f t="shared" si="4"/>
        <v>4531.238840510614</v>
      </c>
      <c r="L70" s="510">
        <f t="shared" si="5"/>
        <v>3.3645726154408369E+22</v>
      </c>
      <c r="M70" s="510">
        <f t="shared" si="6"/>
        <v>0</v>
      </c>
      <c r="N70" s="489">
        <f>'Winners-Losers Values PMPM'!AP58*12</f>
        <v>668.67610429081867</v>
      </c>
      <c r="O70" s="489">
        <f>'Winners-Losers Values PMPM'!AQ58*12</f>
        <v>78.969280635147371</v>
      </c>
      <c r="P70" s="489">
        <f>'Winners-Losers Values PMPM'!AR58*12</f>
        <v>3.2180507298145457E-3</v>
      </c>
      <c r="Q70" s="489">
        <f>'Winners-Losers Values PMPM'!AO58*12</f>
        <v>0</v>
      </c>
      <c r="R70" s="510">
        <f t="shared" si="7"/>
        <v>747.64860297669588</v>
      </c>
      <c r="S70" s="489">
        <f t="shared" si="8"/>
        <v>803.77664667091346</v>
      </c>
      <c r="T70" s="489">
        <f t="shared" si="9"/>
        <v>803.77664667091346</v>
      </c>
      <c r="U70" s="510">
        <f>((('Assumptions-Output Override'!$H$60+'Assumptions-Output Override'!$H$61)/('Assumptions-Output Override'!$F$60+'Assumptions-Output Override'!$F$61))*'HRA Balance Calc'!$I$5*12)+($K$8*(($I$8*12)))</f>
        <v>-288.26087712588196</v>
      </c>
      <c r="V70" s="489">
        <f>'Winners-Losers Values PMPM'!AV58*(1-$I$9)*12+$L$8*(($I$8*12)*IFERROR((('Winners-Losers Values PMPM'!AY58*12)/('Winners-Losers Values PMPM'!AY$107*12)),0))</f>
        <v>12.097104631077745</v>
      </c>
      <c r="W70" s="489">
        <f>('Winners-Losers Values PMPM'!AW58*12)*(1-$I$10)+$M$8*(($I$8*12)*IFERROR((('Winners-Losers Values PMPM'!AY58*12)/('Winners-Losers Values PMPM'!AY$107*12)),0))</f>
        <v>1.396393249927156E-2</v>
      </c>
      <c r="X70" s="489">
        <f>('Winners-Losers Values PMPM'!AT58*12)*(1-$I$11)+$N$8*(($I$8*12)*IFERROR((('Winners-Losers Values PMPM'!AY58*12)/('Winners-Losers Values PMPM'!AY$107*12)),0))</f>
        <v>44.01697513064061</v>
      </c>
      <c r="Y70" s="510">
        <f t="shared" si="10"/>
        <v>-232.13283343166432</v>
      </c>
      <c r="AA70" s="510">
        <f t="shared" si="11"/>
        <v>4443.3239894938342</v>
      </c>
      <c r="AB70" s="510">
        <f t="shared" si="11"/>
        <v>68.550259576107209</v>
      </c>
      <c r="AC70" s="510">
        <f t="shared" si="11"/>
        <v>7.9128950829205499E-2</v>
      </c>
      <c r="AD70" s="510">
        <f t="shared" si="11"/>
        <v>19.285462489844111</v>
      </c>
      <c r="AE70" s="510">
        <f t="shared" si="12"/>
        <v>471.98996185153999</v>
      </c>
      <c r="AF70" s="510">
        <f t="shared" si="13"/>
        <v>5003.2288023621541</v>
      </c>
      <c r="AG70" s="510">
        <f t="shared" si="14"/>
        <v>3.3645726154408369E+22</v>
      </c>
      <c r="AH70" s="510">
        <f t="shared" si="15"/>
        <v>3.3645726154408369E+22</v>
      </c>
      <c r="AJ70" s="510">
        <f t="shared" si="16"/>
        <v>380.41522716493671</v>
      </c>
      <c r="AK70" s="510">
        <f t="shared" si="17"/>
        <v>91.066385266225112</v>
      </c>
      <c r="AL70" s="510">
        <f t="shared" si="17"/>
        <v>1.7181983229086106E-2</v>
      </c>
      <c r="AM70" s="510">
        <f t="shared" si="17"/>
        <v>44.01697513064061</v>
      </c>
      <c r="AN70" s="510">
        <f t="shared" si="18"/>
        <v>0</v>
      </c>
      <c r="AO70" s="510">
        <f t="shared" si="19"/>
        <v>515.5157695450315</v>
      </c>
      <c r="AQ70" s="510">
        <f t="shared" ref="AQ70:AU117" si="28">AJ70+AA70</f>
        <v>4823.7392166587706</v>
      </c>
      <c r="AR70" s="510">
        <f t="shared" si="28"/>
        <v>159.61664484233233</v>
      </c>
      <c r="AS70" s="510">
        <f t="shared" si="28"/>
        <v>9.6310934058291608E-2</v>
      </c>
      <c r="AT70" s="510">
        <f t="shared" si="28"/>
        <v>63.302437620484724</v>
      </c>
      <c r="AU70" s="510">
        <f t="shared" si="28"/>
        <v>471.98996185153999</v>
      </c>
      <c r="AV70" s="510">
        <f t="shared" si="21"/>
        <v>5518.7445719071857</v>
      </c>
      <c r="AW70" s="510">
        <f t="shared" si="22"/>
        <v>3.3645726154408369E+22</v>
      </c>
      <c r="AX70" s="510">
        <f t="shared" si="23"/>
        <v>3.3645726154408369E+22</v>
      </c>
      <c r="AY70" s="510">
        <f t="shared" si="24"/>
        <v>3.3645726154408369E+22</v>
      </c>
      <c r="AZ70" s="490">
        <f t="shared" si="25"/>
        <v>-3.3645726154408369E+22</v>
      </c>
      <c r="BA70" s="510">
        <f t="shared" si="26"/>
        <v>6.7291452308816738E+22</v>
      </c>
    </row>
    <row r="71" spans="1:53" x14ac:dyDescent="0.2">
      <c r="A71">
        <v>54</v>
      </c>
      <c r="B71" s="510">
        <f>'Assumptions-Output Target'!$D$12*'Assumptions-Output Override'!$D$11*$I$2*12</f>
        <v>3935.8341983467963</v>
      </c>
      <c r="C71" s="510">
        <f t="shared" si="1"/>
        <v>-3.3645726154408369E+22</v>
      </c>
      <c r="D71" s="510">
        <f t="shared" si="2"/>
        <v>0</v>
      </c>
      <c r="E71" s="510">
        <f t="shared" si="0"/>
        <v>471.98996185153999</v>
      </c>
      <c r="F71" s="510">
        <f t="shared" si="3"/>
        <v>3.3645726154408369E+22</v>
      </c>
      <c r="G71" s="510">
        <f>$I$5*'Assumptions-Output Override'!$D$12*12</f>
        <v>4443.3239894938342</v>
      </c>
      <c r="H71" s="489">
        <f>'Winners-Losers Values PMPM'!AV59*$I$9*12</f>
        <v>73.61768478405196</v>
      </c>
      <c r="I71" s="489">
        <f>('Winners-Losers Values PMPM'!AW59*12)*$I$10</f>
        <v>0</v>
      </c>
      <c r="J71" s="489">
        <f>('Winners-Losers Values PMPM'!AT59*12)*$I$11</f>
        <v>20.826780282708988</v>
      </c>
      <c r="K71" s="510">
        <f t="shared" si="4"/>
        <v>4537.7684545605944</v>
      </c>
      <c r="L71" s="510">
        <f t="shared" si="5"/>
        <v>3.3645726154408369E+22</v>
      </c>
      <c r="M71" s="510">
        <f t="shared" si="6"/>
        <v>0</v>
      </c>
      <c r="N71" s="489">
        <f>'Winners-Losers Values PMPM'!AP59*12</f>
        <v>690.41032996589854</v>
      </c>
      <c r="O71" s="489">
        <f>'Winners-Losers Values PMPM'!AQ59*12</f>
        <v>80.497685395618348</v>
      </c>
      <c r="P71" s="489">
        <f>'Winners-Losers Values PMPM'!AR59*12</f>
        <v>0</v>
      </c>
      <c r="Q71" s="489">
        <f>'Winners-Losers Values PMPM'!AO59*12</f>
        <v>0</v>
      </c>
      <c r="R71" s="510">
        <f t="shared" si="7"/>
        <v>770.90801536151685</v>
      </c>
      <c r="S71" s="489">
        <f t="shared" si="8"/>
        <v>831.43423721741499</v>
      </c>
      <c r="T71" s="489">
        <f t="shared" si="9"/>
        <v>831.43423721741499</v>
      </c>
      <c r="U71" s="510">
        <f>((('Assumptions-Output Override'!$H$60+'Assumptions-Output Override'!$H$61)/('Assumptions-Output Override'!$F$60+'Assumptions-Output Override'!$F$61))*'HRA Balance Calc'!$I$5*12)+($K$8*(($I$8*12)))</f>
        <v>-288.26087712588196</v>
      </c>
      <c r="V71" s="489">
        <f>'Winners-Losers Values PMPM'!AV59*(1-$I$9)*12+$L$8*(($I$8*12)*IFERROR((('Winners-Losers Values PMPM'!AY59*12)/('Winners-Losers Values PMPM'!AY$107*12)),0))</f>
        <v>12.991356138362114</v>
      </c>
      <c r="W71" s="489">
        <f>('Winners-Losers Values PMPM'!AW59*12)*(1-$I$10)+$M$8*(($I$8*12)*IFERROR((('Winners-Losers Values PMPM'!AY59*12)/('Winners-Losers Values PMPM'!AY$107*12)),0))</f>
        <v>0</v>
      </c>
      <c r="X71" s="489">
        <f>('Winners-Losers Values PMPM'!AT59*12)*(1-$I$11)+$N$8*(($I$8*12)*IFERROR((('Winners-Losers Values PMPM'!AY59*12)/('Winners-Losers Values PMPM'!AY$107*12)),0))</f>
        <v>47.534865717536022</v>
      </c>
      <c r="Y71" s="510">
        <f t="shared" si="10"/>
        <v>-227.73465526998382</v>
      </c>
      <c r="AA71" s="510">
        <f t="shared" si="11"/>
        <v>4443.3239894938342</v>
      </c>
      <c r="AB71" s="510">
        <f t="shared" si="11"/>
        <v>73.61768478405196</v>
      </c>
      <c r="AC71" s="510">
        <f t="shared" si="11"/>
        <v>0</v>
      </c>
      <c r="AD71" s="510">
        <f t="shared" si="11"/>
        <v>20.826780282708988</v>
      </c>
      <c r="AE71" s="510">
        <f t="shared" si="12"/>
        <v>471.98996185153999</v>
      </c>
      <c r="AF71" s="510">
        <f t="shared" si="13"/>
        <v>5009.7584164121345</v>
      </c>
      <c r="AG71" s="510">
        <f t="shared" si="14"/>
        <v>3.3645726154408369E+22</v>
      </c>
      <c r="AH71" s="510">
        <f t="shared" si="15"/>
        <v>3.3645726154408369E+22</v>
      </c>
      <c r="AJ71" s="510">
        <f t="shared" si="16"/>
        <v>402.14945284001658</v>
      </c>
      <c r="AK71" s="510">
        <f t="shared" si="17"/>
        <v>93.489041533980469</v>
      </c>
      <c r="AL71" s="510">
        <f t="shared" si="17"/>
        <v>0</v>
      </c>
      <c r="AM71" s="510">
        <f t="shared" si="17"/>
        <v>47.534865717536022</v>
      </c>
      <c r="AN71" s="510">
        <f t="shared" si="18"/>
        <v>0</v>
      </c>
      <c r="AO71" s="510">
        <f t="shared" si="19"/>
        <v>543.17336009153303</v>
      </c>
      <c r="AQ71" s="510">
        <f t="shared" si="28"/>
        <v>4845.4734423338505</v>
      </c>
      <c r="AR71" s="510">
        <f t="shared" si="28"/>
        <v>167.10672631803243</v>
      </c>
      <c r="AS71" s="510">
        <f t="shared" si="28"/>
        <v>0</v>
      </c>
      <c r="AT71" s="510">
        <f t="shared" si="28"/>
        <v>68.361646000245003</v>
      </c>
      <c r="AU71" s="510">
        <f t="shared" si="28"/>
        <v>471.98996185153999</v>
      </c>
      <c r="AV71" s="510">
        <f t="shared" si="21"/>
        <v>5552.9317765036676</v>
      </c>
      <c r="AW71" s="510">
        <f t="shared" si="22"/>
        <v>3.3645726154408369E+22</v>
      </c>
      <c r="AX71" s="510">
        <f t="shared" si="23"/>
        <v>3.3645726154408369E+22</v>
      </c>
      <c r="AY71" s="510">
        <f t="shared" si="24"/>
        <v>3.3645726154408369E+22</v>
      </c>
      <c r="AZ71" s="490">
        <f t="shared" si="25"/>
        <v>-3.3645726154408369E+22</v>
      </c>
      <c r="BA71" s="510">
        <f t="shared" si="26"/>
        <v>6.7291452308816738E+22</v>
      </c>
    </row>
    <row r="72" spans="1:53" x14ac:dyDescent="0.2">
      <c r="A72">
        <v>55</v>
      </c>
      <c r="B72" s="510">
        <f>'Assumptions-Output Target'!$D$12*'Assumptions-Output Override'!$D$11*$I$2*12</f>
        <v>3935.8341983467963</v>
      </c>
      <c r="C72" s="510">
        <f t="shared" si="1"/>
        <v>-3.3645726154408369E+22</v>
      </c>
      <c r="D72" s="510">
        <f t="shared" si="2"/>
        <v>0</v>
      </c>
      <c r="E72" s="510">
        <f t="shared" si="0"/>
        <v>471.98996185153999</v>
      </c>
      <c r="F72" s="510">
        <f t="shared" si="3"/>
        <v>3.3645726154408369E+22</v>
      </c>
      <c r="G72" s="510">
        <f>$I$5*'Assumptions-Output Override'!$D$12*12</f>
        <v>4443.3239894938342</v>
      </c>
      <c r="H72" s="489">
        <f>'Winners-Losers Values PMPM'!AV60*$I$9*12</f>
        <v>75.81642255443019</v>
      </c>
      <c r="I72" s="489">
        <f>('Winners-Losers Values PMPM'!AW60*12)*$I$10</f>
        <v>0.13270170539640222</v>
      </c>
      <c r="J72" s="489">
        <f>('Winners-Losers Values PMPM'!AT60*12)*$I$11</f>
        <v>23.610317576782645</v>
      </c>
      <c r="K72" s="510">
        <f t="shared" si="4"/>
        <v>4542.8834313304442</v>
      </c>
      <c r="L72" s="510">
        <f t="shared" si="5"/>
        <v>3.3645726154408369E+22</v>
      </c>
      <c r="M72" s="510">
        <f t="shared" si="6"/>
        <v>0</v>
      </c>
      <c r="N72" s="489">
        <f>'Winners-Losers Values PMPM'!AP60*12</f>
        <v>703.17339681088231</v>
      </c>
      <c r="O72" s="489">
        <f>'Winners-Losers Values PMPM'!AQ60*12</f>
        <v>81.595685638713462</v>
      </c>
      <c r="P72" s="489">
        <f>'Winners-Losers Values PMPM'!AR60*12</f>
        <v>5.3967709090477628E-3</v>
      </c>
      <c r="Q72" s="489">
        <f>'Winners-Losers Values PMPM'!AO60*12</f>
        <v>0</v>
      </c>
      <c r="R72" s="510">
        <f t="shared" si="7"/>
        <v>784.77447922050487</v>
      </c>
      <c r="S72" s="489">
        <f t="shared" si="8"/>
        <v>852.06525335559422</v>
      </c>
      <c r="T72" s="489">
        <f t="shared" si="9"/>
        <v>852.06525335559422</v>
      </c>
      <c r="U72" s="510">
        <f>((('Assumptions-Output Override'!$H$60+'Assumptions-Output Override'!$H$61)/('Assumptions-Output Override'!$F$60+'Assumptions-Output Override'!$F$61))*'HRA Balance Calc'!$I$5*12)+($K$8*(($I$8*12)))</f>
        <v>-288.26087712588196</v>
      </c>
      <c r="V72" s="489">
        <f>'Winners-Losers Values PMPM'!AV60*(1-$I$9)*12+$L$8*(($I$8*12)*IFERROR((('Winners-Losers Values PMPM'!AY60*12)/('Winners-Losers Values PMPM'!AY$107*12)),0))</f>
        <v>13.379368686075917</v>
      </c>
      <c r="W72" s="489">
        <f>('Winners-Losers Values PMPM'!AW60*12)*(1-$I$10)+$M$8*(($I$8*12)*IFERROR((('Winners-Losers Values PMPM'!AY60*12)/('Winners-Losers Values PMPM'!AY$107*12)),0))</f>
        <v>2.341794801112981E-2</v>
      </c>
      <c r="X72" s="489">
        <f>('Winners-Losers Values PMPM'!AT60*12)*(1-$I$11)+$N$8*(($I$8*12)*IFERROR((('Winners-Losers Values PMPM'!AY60*12)/('Winners-Losers Values PMPM'!AY$107*12)),0))</f>
        <v>53.887987501002314</v>
      </c>
      <c r="Y72" s="510">
        <f t="shared" si="10"/>
        <v>-220.97010299079261</v>
      </c>
      <c r="AA72" s="510">
        <f t="shared" si="11"/>
        <v>4443.3239894938342</v>
      </c>
      <c r="AB72" s="510">
        <f t="shared" si="11"/>
        <v>75.81642255443019</v>
      </c>
      <c r="AC72" s="510">
        <f t="shared" si="11"/>
        <v>0.13270170539640222</v>
      </c>
      <c r="AD72" s="510">
        <f t="shared" si="11"/>
        <v>23.610317576782645</v>
      </c>
      <c r="AE72" s="510">
        <f t="shared" si="12"/>
        <v>471.98996185153999</v>
      </c>
      <c r="AF72" s="510">
        <f t="shared" si="13"/>
        <v>5014.8733931819843</v>
      </c>
      <c r="AG72" s="510">
        <f t="shared" si="14"/>
        <v>3.3645726154408369E+22</v>
      </c>
      <c r="AH72" s="510">
        <f t="shared" si="15"/>
        <v>3.3645726154408369E+22</v>
      </c>
      <c r="AJ72" s="510">
        <f t="shared" si="16"/>
        <v>414.91251968500035</v>
      </c>
      <c r="AK72" s="510">
        <f t="shared" si="17"/>
        <v>94.975054324789383</v>
      </c>
      <c r="AL72" s="510">
        <f t="shared" si="17"/>
        <v>2.8814718920177573E-2</v>
      </c>
      <c r="AM72" s="510">
        <f t="shared" si="17"/>
        <v>53.887987501002314</v>
      </c>
      <c r="AN72" s="510">
        <f t="shared" si="18"/>
        <v>0</v>
      </c>
      <c r="AO72" s="510">
        <f t="shared" si="19"/>
        <v>563.80437622971215</v>
      </c>
      <c r="AQ72" s="510">
        <f t="shared" si="28"/>
        <v>4858.2365091788342</v>
      </c>
      <c r="AR72" s="510">
        <f t="shared" si="28"/>
        <v>170.79147687921957</v>
      </c>
      <c r="AS72" s="510">
        <f t="shared" si="28"/>
        <v>0.16151642431657978</v>
      </c>
      <c r="AT72" s="510">
        <f t="shared" si="28"/>
        <v>77.498305077784963</v>
      </c>
      <c r="AU72" s="510">
        <f t="shared" si="28"/>
        <v>471.98996185153999</v>
      </c>
      <c r="AV72" s="510">
        <f t="shared" si="21"/>
        <v>5578.6777694116954</v>
      </c>
      <c r="AW72" s="510">
        <f t="shared" si="22"/>
        <v>3.3645726154408369E+22</v>
      </c>
      <c r="AX72" s="510">
        <f t="shared" si="23"/>
        <v>3.3645726154408369E+22</v>
      </c>
      <c r="AY72" s="510">
        <f t="shared" si="24"/>
        <v>3.3645726154408369E+22</v>
      </c>
      <c r="AZ72" s="490">
        <f t="shared" si="25"/>
        <v>-3.3645726154408369E+22</v>
      </c>
      <c r="BA72" s="510">
        <f t="shared" si="26"/>
        <v>6.7291452308816738E+22</v>
      </c>
    </row>
    <row r="73" spans="1:53" x14ac:dyDescent="0.2">
      <c r="A73">
        <v>56</v>
      </c>
      <c r="B73" s="510">
        <f>'Assumptions-Output Target'!$D$12*'Assumptions-Output Override'!$D$11*$I$2*12</f>
        <v>3935.8341983467963</v>
      </c>
      <c r="C73" s="510">
        <f t="shared" si="1"/>
        <v>-3.3645726154408369E+22</v>
      </c>
      <c r="D73" s="510">
        <f t="shared" si="2"/>
        <v>0</v>
      </c>
      <c r="E73" s="510">
        <f t="shared" si="0"/>
        <v>471.98996185153999</v>
      </c>
      <c r="F73" s="510">
        <f t="shared" si="3"/>
        <v>3.3645726154408369E+22</v>
      </c>
      <c r="G73" s="510">
        <f>$I$5*'Assumptions-Output Override'!$D$12*12</f>
        <v>4443.3239894938342</v>
      </c>
      <c r="H73" s="489">
        <f>'Winners-Losers Values PMPM'!AV61*$I$9*12</f>
        <v>83.474233990817368</v>
      </c>
      <c r="I73" s="489">
        <f>('Winners-Losers Values PMPM'!AW61*12)*$I$10</f>
        <v>4.5701614975870643E-2</v>
      </c>
      <c r="J73" s="489">
        <f>('Winners-Losers Values PMPM'!AT61*12)*$I$11</f>
        <v>26.33079493987935</v>
      </c>
      <c r="K73" s="510">
        <f t="shared" si="4"/>
        <v>4553.1747200395066</v>
      </c>
      <c r="L73" s="510">
        <f t="shared" si="5"/>
        <v>3.3645726154408369E+22</v>
      </c>
      <c r="M73" s="510">
        <f t="shared" si="6"/>
        <v>0</v>
      </c>
      <c r="N73" s="489">
        <f>'Winners-Losers Values PMPM'!AP61*12</f>
        <v>724.22932094386317</v>
      </c>
      <c r="O73" s="489">
        <f>'Winners-Losers Values PMPM'!AQ61*12</f>
        <v>85.332105928964268</v>
      </c>
      <c r="P73" s="489">
        <f>'Winners-Losers Values PMPM'!AR61*12</f>
        <v>1.8586132368195408E-3</v>
      </c>
      <c r="Q73" s="489">
        <f>'Winners-Losers Values PMPM'!AO61*12</f>
        <v>0</v>
      </c>
      <c r="R73" s="510">
        <f t="shared" si="7"/>
        <v>809.56328548606427</v>
      </c>
      <c r="S73" s="489">
        <f t="shared" si="8"/>
        <v>884.39927948754087</v>
      </c>
      <c r="T73" s="489">
        <f t="shared" si="9"/>
        <v>884.39927948754087</v>
      </c>
      <c r="U73" s="510">
        <f>((('Assumptions-Output Override'!$H$60+'Assumptions-Output Override'!$H$61)/('Assumptions-Output Override'!$F$60+'Assumptions-Output Override'!$F$61))*'HRA Balance Calc'!$I$5*12)+($K$8*(($I$8*12)))</f>
        <v>-288.26087712588196</v>
      </c>
      <c r="V73" s="489">
        <f>'Winners-Losers Values PMPM'!AV61*(1-$I$9)*12+$L$8*(($I$8*12)*IFERROR((('Winners-Losers Values PMPM'!AY61*12)/('Winners-Losers Values PMPM'!AY$107*12)),0))</f>
        <v>14.730747174850126</v>
      </c>
      <c r="W73" s="489">
        <f>('Winners-Losers Values PMPM'!AW61*12)*(1-$I$10)+$M$8*(($I$8*12)*IFERROR((('Winners-Losers Values PMPM'!AY61*12)/('Winners-Losers Values PMPM'!AY$107*12)),0))</f>
        <v>8.0649908780948201E-3</v>
      </c>
      <c r="X73" s="489">
        <f>('Winners-Losers Values PMPM'!AT61*12)*(1-$I$11)+$N$8*(($I$8*12)*IFERROR((('Winners-Losers Values PMPM'!AY61*12)/('Winners-Losers Values PMPM'!AY$107*12)),0))</f>
        <v>60.097181835748415</v>
      </c>
      <c r="Y73" s="510">
        <f t="shared" si="10"/>
        <v>-213.42488312440531</v>
      </c>
      <c r="AA73" s="510">
        <f t="shared" si="11"/>
        <v>4443.3239894938342</v>
      </c>
      <c r="AB73" s="510">
        <f t="shared" si="11"/>
        <v>83.474233990817368</v>
      </c>
      <c r="AC73" s="510">
        <f t="shared" si="11"/>
        <v>4.5701614975870643E-2</v>
      </c>
      <c r="AD73" s="510">
        <f t="shared" si="11"/>
        <v>26.33079493987935</v>
      </c>
      <c r="AE73" s="510">
        <f t="shared" si="12"/>
        <v>471.98996185153999</v>
      </c>
      <c r="AF73" s="510">
        <f t="shared" si="13"/>
        <v>5025.1646818910467</v>
      </c>
      <c r="AG73" s="510">
        <f t="shared" si="14"/>
        <v>3.3645726154408369E+22</v>
      </c>
      <c r="AH73" s="510">
        <f t="shared" si="15"/>
        <v>3.3645726154408369E+22</v>
      </c>
      <c r="AJ73" s="510">
        <f t="shared" si="16"/>
        <v>435.96844381798121</v>
      </c>
      <c r="AK73" s="510">
        <f t="shared" si="17"/>
        <v>100.06285310381439</v>
      </c>
      <c r="AL73" s="510">
        <f t="shared" si="17"/>
        <v>9.9236041149143618E-3</v>
      </c>
      <c r="AM73" s="510">
        <f t="shared" si="17"/>
        <v>60.097181835748415</v>
      </c>
      <c r="AN73" s="510">
        <f t="shared" si="18"/>
        <v>0</v>
      </c>
      <c r="AO73" s="510">
        <f t="shared" si="19"/>
        <v>596.1384023616589</v>
      </c>
      <c r="AQ73" s="510">
        <f t="shared" si="28"/>
        <v>4879.2924333118153</v>
      </c>
      <c r="AR73" s="510">
        <f t="shared" si="28"/>
        <v>183.53708709463177</v>
      </c>
      <c r="AS73" s="510">
        <f t="shared" si="28"/>
        <v>5.5625219090785008E-2</v>
      </c>
      <c r="AT73" s="510">
        <f t="shared" si="28"/>
        <v>86.427976775627769</v>
      </c>
      <c r="AU73" s="510">
        <f t="shared" si="28"/>
        <v>471.98996185153999</v>
      </c>
      <c r="AV73" s="510">
        <f t="shared" si="21"/>
        <v>5621.303084252706</v>
      </c>
      <c r="AW73" s="510">
        <f t="shared" si="22"/>
        <v>3.3645726154408369E+22</v>
      </c>
      <c r="AX73" s="510">
        <f t="shared" si="23"/>
        <v>3.3645726154408369E+22</v>
      </c>
      <c r="AY73" s="510">
        <f t="shared" si="24"/>
        <v>3.3645726154408369E+22</v>
      </c>
      <c r="AZ73" s="490">
        <f t="shared" si="25"/>
        <v>-3.3645726154408369E+22</v>
      </c>
      <c r="BA73" s="510">
        <f t="shared" si="26"/>
        <v>6.7291452308816738E+22</v>
      </c>
    </row>
    <row r="74" spans="1:53" x14ac:dyDescent="0.2">
      <c r="A74">
        <v>57</v>
      </c>
      <c r="B74" s="510">
        <f>'Assumptions-Output Target'!$D$12*'Assumptions-Output Override'!$D$11*$I$2*12</f>
        <v>3935.8341983467963</v>
      </c>
      <c r="C74" s="510">
        <f t="shared" si="1"/>
        <v>-3.3645726154408369E+22</v>
      </c>
      <c r="D74" s="510">
        <f t="shared" si="2"/>
        <v>0</v>
      </c>
      <c r="E74" s="510">
        <f t="shared" si="0"/>
        <v>471.98996185153999</v>
      </c>
      <c r="F74" s="510">
        <f t="shared" si="3"/>
        <v>3.3645726154408369E+22</v>
      </c>
      <c r="G74" s="510">
        <f>$I$5*'Assumptions-Output Override'!$D$12*12</f>
        <v>4443.3239894938342</v>
      </c>
      <c r="H74" s="489">
        <f>'Winners-Losers Values PMPM'!AV62*$I$9*12</f>
        <v>88.392948192581812</v>
      </c>
      <c r="I74" s="489">
        <f>('Winners-Losers Values PMPM'!AW62*12)*$I$10</f>
        <v>9.6817678312335897E-2</v>
      </c>
      <c r="J74" s="489">
        <f>('Winners-Losers Values PMPM'!AT62*12)*$I$11</f>
        <v>30.600597792157611</v>
      </c>
      <c r="K74" s="510">
        <f t="shared" si="4"/>
        <v>4562.4143531568861</v>
      </c>
      <c r="L74" s="510">
        <f t="shared" si="5"/>
        <v>3.3645726154408369E+22</v>
      </c>
      <c r="M74" s="510">
        <f t="shared" si="6"/>
        <v>0</v>
      </c>
      <c r="N74" s="489">
        <f>'Winners-Losers Values PMPM'!AP62*12</f>
        <v>754.67290432402751</v>
      </c>
      <c r="O74" s="489">
        <f>'Winners-Losers Values PMPM'!AQ62*12</f>
        <v>88.061115638530751</v>
      </c>
      <c r="P74" s="489">
        <f>'Winners-Losers Values PMPM'!AR62*12</f>
        <v>3.9374236241859536E-3</v>
      </c>
      <c r="Q74" s="489">
        <f>'Winners-Losers Values PMPM'!AO62*12</f>
        <v>0</v>
      </c>
      <c r="R74" s="510">
        <f t="shared" si="7"/>
        <v>842.73795738618242</v>
      </c>
      <c r="S74" s="489">
        <f t="shared" si="8"/>
        <v>928.1963418774003</v>
      </c>
      <c r="T74" s="489">
        <f t="shared" si="9"/>
        <v>928.1963418774003</v>
      </c>
      <c r="U74" s="510">
        <f>((('Assumptions-Output Override'!$H$60+'Assumptions-Output Override'!$H$61)/('Assumptions-Output Override'!$F$60+'Assumptions-Output Override'!$F$61))*'HRA Balance Calc'!$I$5*12)+($K$8*(($I$8*12)))</f>
        <v>-288.26087712588196</v>
      </c>
      <c r="V74" s="489">
        <f>'Winners-Losers Values PMPM'!AV62*(1-$I$9)*12+$L$8*(($I$8*12)*IFERROR((('Winners-Losers Values PMPM'!AY62*12)/('Winners-Losers Values PMPM'!AY$107*12)),0))</f>
        <v>15.598755563396793</v>
      </c>
      <c r="W74" s="489">
        <f>('Winners-Losers Values PMPM'!AW62*12)*(1-$I$10)+$M$8*(($I$8*12)*IFERROR((('Winners-Losers Values PMPM'!AY62*12)/('Winners-Losers Values PMPM'!AY$107*12)),0))</f>
        <v>1.7085472643353396E-2</v>
      </c>
      <c r="X74" s="489">
        <f>('Winners-Losers Values PMPM'!AT62*12)*(1-$I$11)+$N$8*(($I$8*12)*IFERROR((('Winners-Losers Values PMPM'!AY62*12)/('Winners-Losers Values PMPM'!AY$107*12)),0))</f>
        <v>69.842543455177733</v>
      </c>
      <c r="Y74" s="510">
        <f t="shared" si="10"/>
        <v>-202.80249263466402</v>
      </c>
      <c r="AA74" s="510">
        <f t="shared" si="11"/>
        <v>4443.3239894938342</v>
      </c>
      <c r="AB74" s="510">
        <f t="shared" si="11"/>
        <v>88.392948192581812</v>
      </c>
      <c r="AC74" s="510">
        <f t="shared" si="11"/>
        <v>9.6817678312335897E-2</v>
      </c>
      <c r="AD74" s="510">
        <f t="shared" si="11"/>
        <v>30.600597792157611</v>
      </c>
      <c r="AE74" s="510">
        <f t="shared" si="12"/>
        <v>471.98996185153999</v>
      </c>
      <c r="AF74" s="510">
        <f t="shared" si="13"/>
        <v>5034.4043150084262</v>
      </c>
      <c r="AG74" s="510">
        <f t="shared" si="14"/>
        <v>3.3645726154408369E+22</v>
      </c>
      <c r="AH74" s="510">
        <f t="shared" si="15"/>
        <v>3.3645726154408369E+22</v>
      </c>
      <c r="AJ74" s="510">
        <f t="shared" si="16"/>
        <v>466.41202719814555</v>
      </c>
      <c r="AK74" s="510">
        <f t="shared" si="17"/>
        <v>103.65987120192754</v>
      </c>
      <c r="AL74" s="510">
        <f t="shared" si="17"/>
        <v>2.1022896267539351E-2</v>
      </c>
      <c r="AM74" s="510">
        <f t="shared" si="17"/>
        <v>69.842543455177733</v>
      </c>
      <c r="AN74" s="510">
        <f t="shared" si="18"/>
        <v>0</v>
      </c>
      <c r="AO74" s="510">
        <f t="shared" si="19"/>
        <v>639.93546475151845</v>
      </c>
      <c r="AQ74" s="510">
        <f t="shared" si="28"/>
        <v>4909.7360166919798</v>
      </c>
      <c r="AR74" s="510">
        <f t="shared" si="28"/>
        <v>192.05281939450936</v>
      </c>
      <c r="AS74" s="510">
        <f t="shared" si="28"/>
        <v>0.11784057457987525</v>
      </c>
      <c r="AT74" s="510">
        <f t="shared" si="28"/>
        <v>100.44314124733535</v>
      </c>
      <c r="AU74" s="510">
        <f t="shared" si="28"/>
        <v>471.98996185153999</v>
      </c>
      <c r="AV74" s="510">
        <f t="shared" si="21"/>
        <v>5674.3397797599437</v>
      </c>
      <c r="AW74" s="510">
        <f t="shared" si="22"/>
        <v>3.3645726154408369E+22</v>
      </c>
      <c r="AX74" s="510">
        <f t="shared" si="23"/>
        <v>3.3645726154408369E+22</v>
      </c>
      <c r="AY74" s="510">
        <f t="shared" si="24"/>
        <v>3.3645726154408369E+22</v>
      </c>
      <c r="AZ74" s="490">
        <f t="shared" si="25"/>
        <v>-3.3645726154408369E+22</v>
      </c>
      <c r="BA74" s="510">
        <f t="shared" si="26"/>
        <v>6.7291452308816738E+22</v>
      </c>
    </row>
    <row r="75" spans="1:53" x14ac:dyDescent="0.2">
      <c r="A75">
        <v>58</v>
      </c>
      <c r="B75" s="510">
        <f>'Assumptions-Output Target'!$D$12*'Assumptions-Output Override'!$D$11*$I$2*12</f>
        <v>3935.8341983467963</v>
      </c>
      <c r="C75" s="510">
        <f t="shared" si="1"/>
        <v>-3.3645726154408369E+22</v>
      </c>
      <c r="D75" s="510">
        <f t="shared" si="2"/>
        <v>0</v>
      </c>
      <c r="E75" s="510">
        <f t="shared" si="0"/>
        <v>471.98996185153999</v>
      </c>
      <c r="F75" s="510">
        <f t="shared" si="3"/>
        <v>3.3645726154408369E+22</v>
      </c>
      <c r="G75" s="510">
        <f>$I$5*'Assumptions-Output Override'!$D$12*12</f>
        <v>4443.3239894938342</v>
      </c>
      <c r="H75" s="489">
        <f>'Winners-Losers Values PMPM'!AV63*$I$9*12</f>
        <v>97.029517285348618</v>
      </c>
      <c r="I75" s="489">
        <f>('Winners-Losers Values PMPM'!AW63*12)*$I$10</f>
        <v>0</v>
      </c>
      <c r="J75" s="489">
        <f>('Winners-Losers Values PMPM'!AT63*12)*$I$11</f>
        <v>32.718088022393886</v>
      </c>
      <c r="K75" s="510">
        <f t="shared" si="4"/>
        <v>4573.0715948015768</v>
      </c>
      <c r="L75" s="510">
        <f t="shared" si="5"/>
        <v>3.3645726154408369E+22</v>
      </c>
      <c r="M75" s="510">
        <f t="shared" si="6"/>
        <v>0</v>
      </c>
      <c r="N75" s="489">
        <f>'Winners-Losers Values PMPM'!AP63*12</f>
        <v>780.86830570249504</v>
      </c>
      <c r="O75" s="489">
        <f>'Winners-Losers Values PMPM'!AQ63*12</f>
        <v>92.917156896977573</v>
      </c>
      <c r="P75" s="489">
        <f>'Winners-Losers Values PMPM'!AR63*12</f>
        <v>0</v>
      </c>
      <c r="Q75" s="489">
        <f>'Winners-Losers Values PMPM'!AO63*12</f>
        <v>0</v>
      </c>
      <c r="R75" s="510">
        <f t="shared" si="7"/>
        <v>873.78546259947257</v>
      </c>
      <c r="S75" s="489">
        <f t="shared" si="8"/>
        <v>965.58380369084182</v>
      </c>
      <c r="T75" s="489">
        <f t="shared" si="9"/>
        <v>965.58380369084182</v>
      </c>
      <c r="U75" s="510">
        <f>((('Assumptions-Output Override'!$H$60+'Assumptions-Output Override'!$H$61)/('Assumptions-Output Override'!$F$60+'Assumptions-Output Override'!$F$61))*'HRA Balance Calc'!$I$5*12)+($K$8*(($I$8*12)))</f>
        <v>-288.26087712588196</v>
      </c>
      <c r="V75" s="489">
        <f>'Winners-Losers Values PMPM'!AV63*(1-$I$9)*12+$L$8*(($I$8*12)*IFERROR((('Winners-Losers Values PMPM'!AY63*12)/('Winners-Losers Values PMPM'!AY$107*12)),0))</f>
        <v>17.122855991532113</v>
      </c>
      <c r="W75" s="489">
        <f>('Winners-Losers Values PMPM'!AW63*12)*(1-$I$10)+$M$8*(($I$8*12)*IFERROR((('Winners-Losers Values PMPM'!AY63*12)/('Winners-Losers Values PMPM'!AY$107*12)),0))</f>
        <v>0</v>
      </c>
      <c r="X75" s="489">
        <f>('Winners-Losers Values PMPM'!AT63*12)*(1-$I$11)+$N$8*(($I$8*12)*IFERROR((('Winners-Losers Values PMPM'!AY63*12)/('Winners-Losers Values PMPM'!AY$107*12)),0))</f>
        <v>74.675485099837147</v>
      </c>
      <c r="Y75" s="510">
        <f t="shared" si="10"/>
        <v>-196.46253603451271</v>
      </c>
      <c r="AA75" s="510">
        <f t="shared" si="11"/>
        <v>4443.3239894938342</v>
      </c>
      <c r="AB75" s="510">
        <f t="shared" si="11"/>
        <v>97.029517285348618</v>
      </c>
      <c r="AC75" s="510">
        <f t="shared" si="11"/>
        <v>0</v>
      </c>
      <c r="AD75" s="510">
        <f t="shared" si="11"/>
        <v>32.718088022393886</v>
      </c>
      <c r="AE75" s="510">
        <f t="shared" si="12"/>
        <v>471.98996185153999</v>
      </c>
      <c r="AF75" s="510">
        <f t="shared" si="13"/>
        <v>5045.0615566531169</v>
      </c>
      <c r="AG75" s="510">
        <f t="shared" si="14"/>
        <v>3.3645726154408369E+22</v>
      </c>
      <c r="AH75" s="510">
        <f t="shared" si="15"/>
        <v>3.3645726154408369E+22</v>
      </c>
      <c r="AJ75" s="510">
        <f t="shared" si="16"/>
        <v>492.60742857661307</v>
      </c>
      <c r="AK75" s="510">
        <f t="shared" si="17"/>
        <v>110.04001288850969</v>
      </c>
      <c r="AL75" s="510">
        <f t="shared" si="17"/>
        <v>0</v>
      </c>
      <c r="AM75" s="510">
        <f t="shared" si="17"/>
        <v>74.675485099837147</v>
      </c>
      <c r="AN75" s="510">
        <f t="shared" si="18"/>
        <v>0</v>
      </c>
      <c r="AO75" s="510">
        <f t="shared" si="19"/>
        <v>677.32292656495986</v>
      </c>
      <c r="AQ75" s="510">
        <f t="shared" si="28"/>
        <v>4935.9314180704478</v>
      </c>
      <c r="AR75" s="510">
        <f t="shared" si="28"/>
        <v>207.06953017385831</v>
      </c>
      <c r="AS75" s="510">
        <f t="shared" si="28"/>
        <v>0</v>
      </c>
      <c r="AT75" s="510">
        <f t="shared" si="28"/>
        <v>107.39357312223103</v>
      </c>
      <c r="AU75" s="510">
        <f t="shared" si="28"/>
        <v>471.98996185153999</v>
      </c>
      <c r="AV75" s="510">
        <f t="shared" si="21"/>
        <v>5722.3844832180766</v>
      </c>
      <c r="AW75" s="510">
        <f t="shared" si="22"/>
        <v>3.3645726154408369E+22</v>
      </c>
      <c r="AX75" s="510">
        <f t="shared" si="23"/>
        <v>3.3645726154408369E+22</v>
      </c>
      <c r="AY75" s="510">
        <f t="shared" si="24"/>
        <v>3.3645726154408369E+22</v>
      </c>
      <c r="AZ75" s="490">
        <f t="shared" si="25"/>
        <v>-3.3645726154408369E+22</v>
      </c>
      <c r="BA75" s="510">
        <f t="shared" si="26"/>
        <v>6.7291452308816738E+22</v>
      </c>
    </row>
    <row r="76" spans="1:53" x14ac:dyDescent="0.2">
      <c r="A76">
        <v>59</v>
      </c>
      <c r="B76" s="510">
        <f>'Assumptions-Output Target'!$D$12*'Assumptions-Output Override'!$D$11*$I$2*12</f>
        <v>3935.8341983467963</v>
      </c>
      <c r="C76" s="510">
        <f t="shared" si="1"/>
        <v>-3.3645726154408369E+22</v>
      </c>
      <c r="D76" s="510">
        <f t="shared" si="2"/>
        <v>0</v>
      </c>
      <c r="E76" s="510">
        <f t="shared" si="0"/>
        <v>471.98996185153999</v>
      </c>
      <c r="F76" s="510">
        <f t="shared" si="3"/>
        <v>3.3645726154408369E+22</v>
      </c>
      <c r="G76" s="510">
        <f>$I$5*'Assumptions-Output Override'!$D$12*12</f>
        <v>4443.3239894938342</v>
      </c>
      <c r="H76" s="489">
        <f>'Winners-Losers Values PMPM'!AV64*$I$9*12</f>
        <v>104.29908179145278</v>
      </c>
      <c r="I76" s="489">
        <f>('Winners-Losers Values PMPM'!AW64*12)*$I$10</f>
        <v>0.21680736020179536</v>
      </c>
      <c r="J76" s="489">
        <f>('Winners-Losers Values PMPM'!AT64*12)*$I$11</f>
        <v>35.0863723683199</v>
      </c>
      <c r="K76" s="510">
        <f t="shared" si="4"/>
        <v>4582.9262510138078</v>
      </c>
      <c r="L76" s="510">
        <f t="shared" si="5"/>
        <v>3.3645726154408369E+22</v>
      </c>
      <c r="M76" s="510">
        <f t="shared" si="6"/>
        <v>0</v>
      </c>
      <c r="N76" s="489">
        <f>'Winners-Losers Values PMPM'!AP64*12</f>
        <v>801.34912987827772</v>
      </c>
      <c r="O76" s="489">
        <f>'Winners-Losers Values PMPM'!AQ64*12</f>
        <v>97.05193728021041</v>
      </c>
      <c r="P76" s="489">
        <f>'Winners-Losers Values PMPM'!AR64*12</f>
        <v>8.8172164096107473E-3</v>
      </c>
      <c r="Q76" s="489">
        <f>'Winners-Losers Values PMPM'!AO64*12</f>
        <v>0</v>
      </c>
      <c r="R76" s="510">
        <f t="shared" si="7"/>
        <v>898.40988437489773</v>
      </c>
      <c r="S76" s="489">
        <f t="shared" si="8"/>
        <v>996.93470190893277</v>
      </c>
      <c r="T76" s="489">
        <f t="shared" si="9"/>
        <v>996.93470190893277</v>
      </c>
      <c r="U76" s="510">
        <f>((('Assumptions-Output Override'!$H$60+'Assumptions-Output Override'!$H$61)/('Assumptions-Output Override'!$F$60+'Assumptions-Output Override'!$F$61))*'HRA Balance Calc'!$I$5*12)+($K$8*(($I$8*12)))</f>
        <v>-288.26087712588196</v>
      </c>
      <c r="V76" s="489">
        <f>'Winners-Losers Values PMPM'!AV64*(1-$I$9)*12+$L$8*(($I$8*12)*IFERROR((('Winners-Losers Values PMPM'!AY64*12)/('Winners-Losers Values PMPM'!AY$107*12)),0))</f>
        <v>18.405720316138726</v>
      </c>
      <c r="W76" s="489">
        <f>('Winners-Losers Values PMPM'!AW64*12)*(1-$I$10)+$M$8*(($I$8*12)*IFERROR((('Winners-Losers Values PMPM'!AY64*12)/('Winners-Losers Values PMPM'!AY$107*12)),0))</f>
        <v>3.8260122388552129E-2</v>
      </c>
      <c r="X76" s="489">
        <f>('Winners-Losers Values PMPM'!AT64*12)*(1-$I$11)+$N$8*(($I$8*12)*IFERROR((('Winners-Losers Values PMPM'!AY64*12)/('Winners-Losers Values PMPM'!AY$107*12)),0))</f>
        <v>80.080837095507817</v>
      </c>
      <c r="Y76" s="510">
        <f t="shared" si="10"/>
        <v>-189.73605959184681</v>
      </c>
      <c r="AA76" s="510">
        <f t="shared" si="11"/>
        <v>4443.3239894938342</v>
      </c>
      <c r="AB76" s="510">
        <f t="shared" si="11"/>
        <v>104.29908179145278</v>
      </c>
      <c r="AC76" s="510">
        <f t="shared" si="11"/>
        <v>0.21680736020179536</v>
      </c>
      <c r="AD76" s="510">
        <f t="shared" si="11"/>
        <v>35.0863723683199</v>
      </c>
      <c r="AE76" s="510">
        <f t="shared" si="12"/>
        <v>471.98996185153999</v>
      </c>
      <c r="AF76" s="510">
        <f t="shared" si="13"/>
        <v>5054.9162128653479</v>
      </c>
      <c r="AG76" s="510">
        <f t="shared" si="14"/>
        <v>3.3645726154408369E+22</v>
      </c>
      <c r="AH76" s="510">
        <f t="shared" si="15"/>
        <v>3.3645726154408369E+22</v>
      </c>
      <c r="AJ76" s="510">
        <f t="shared" si="16"/>
        <v>513.08825275239576</v>
      </c>
      <c r="AK76" s="510">
        <f t="shared" si="17"/>
        <v>115.45765759634914</v>
      </c>
      <c r="AL76" s="510">
        <f t="shared" si="17"/>
        <v>4.7077338798162879E-2</v>
      </c>
      <c r="AM76" s="510">
        <f t="shared" si="17"/>
        <v>80.080837095507817</v>
      </c>
      <c r="AN76" s="510">
        <f t="shared" si="18"/>
        <v>0</v>
      </c>
      <c r="AO76" s="510">
        <f t="shared" si="19"/>
        <v>708.67382478305092</v>
      </c>
      <c r="AQ76" s="510">
        <f t="shared" si="28"/>
        <v>4956.4122422462297</v>
      </c>
      <c r="AR76" s="510">
        <f t="shared" si="28"/>
        <v>219.75673938780193</v>
      </c>
      <c r="AS76" s="510">
        <f t="shared" si="28"/>
        <v>0.26388469899995826</v>
      </c>
      <c r="AT76" s="510">
        <f t="shared" si="28"/>
        <v>115.16720946382772</v>
      </c>
      <c r="AU76" s="510">
        <f t="shared" si="28"/>
        <v>471.98996185153999</v>
      </c>
      <c r="AV76" s="510">
        <f t="shared" si="21"/>
        <v>5763.5900376483996</v>
      </c>
      <c r="AW76" s="510">
        <f t="shared" si="22"/>
        <v>3.3645726154408369E+22</v>
      </c>
      <c r="AX76" s="510">
        <f t="shared" si="23"/>
        <v>3.3645726154408369E+22</v>
      </c>
      <c r="AY76" s="510">
        <f t="shared" si="24"/>
        <v>3.3645726154408369E+22</v>
      </c>
      <c r="AZ76" s="490">
        <f t="shared" si="25"/>
        <v>-3.3645726154408369E+22</v>
      </c>
      <c r="BA76" s="510">
        <f t="shared" si="26"/>
        <v>6.7291452308816738E+22</v>
      </c>
    </row>
    <row r="77" spans="1:53" x14ac:dyDescent="0.2">
      <c r="A77">
        <v>60</v>
      </c>
      <c r="B77" s="510">
        <f>'Assumptions-Output Target'!$D$12*'Assumptions-Output Override'!$D$11*$I$2*12</f>
        <v>3935.8341983467963</v>
      </c>
      <c r="C77" s="510">
        <f t="shared" si="1"/>
        <v>-3.3645726154408369E+22</v>
      </c>
      <c r="D77" s="510">
        <f t="shared" si="2"/>
        <v>0</v>
      </c>
      <c r="E77" s="510">
        <f t="shared" si="0"/>
        <v>471.98996185153999</v>
      </c>
      <c r="F77" s="510">
        <f t="shared" si="3"/>
        <v>3.3645726154408369E+22</v>
      </c>
      <c r="G77" s="510">
        <f>$I$5*'Assumptions-Output Override'!$D$12*12</f>
        <v>4443.3239894938342</v>
      </c>
      <c r="H77" s="489">
        <f>'Winners-Losers Values PMPM'!AV65*$I$9*12</f>
        <v>109.02215947498033</v>
      </c>
      <c r="I77" s="489">
        <f>('Winners-Losers Values PMPM'!AW65*12)*$I$10</f>
        <v>16.84861616928206</v>
      </c>
      <c r="J77" s="489">
        <f>('Winners-Losers Values PMPM'!AT65*12)*$I$11</f>
        <v>38.528475504961733</v>
      </c>
      <c r="K77" s="510">
        <f t="shared" si="4"/>
        <v>4607.7232406430576</v>
      </c>
      <c r="L77" s="510">
        <f t="shared" si="5"/>
        <v>3.3645726154408369E+22</v>
      </c>
      <c r="M77" s="510">
        <f t="shared" si="6"/>
        <v>0</v>
      </c>
      <c r="N77" s="489">
        <f>'Winners-Losers Values PMPM'!AP65*12</f>
        <v>826.77950282072425</v>
      </c>
      <c r="O77" s="489">
        <f>'Winners-Losers Values PMPM'!AQ65*12</f>
        <v>96.229548569124049</v>
      </c>
      <c r="P77" s="489">
        <f>'Winners-Losers Values PMPM'!AR65*12</f>
        <v>0.68520688056325751</v>
      </c>
      <c r="Q77" s="489">
        <f>'Winners-Losers Values PMPM'!AO65*12</f>
        <v>0</v>
      </c>
      <c r="R77" s="510">
        <f t="shared" si="7"/>
        <v>923.69425827041152</v>
      </c>
      <c r="S77" s="489">
        <f t="shared" si="8"/>
        <v>1033.8438120321393</v>
      </c>
      <c r="T77" s="489">
        <f t="shared" si="9"/>
        <v>1033.8438120321393</v>
      </c>
      <c r="U77" s="510">
        <f>((('Assumptions-Output Override'!$H$60+'Assumptions-Output Override'!$H$61)/('Assumptions-Output Override'!$F$60+'Assumptions-Output Override'!$F$61))*'HRA Balance Calc'!$I$5*12)+($K$8*(($I$8*12)))</f>
        <v>-288.26087712588196</v>
      </c>
      <c r="V77" s="489">
        <f>'Winners-Losers Values PMPM'!AV65*(1-$I$9)*12+$L$8*(($I$8*12)*IFERROR((('Winners-Losers Values PMPM'!AY65*12)/('Winners-Losers Values PMPM'!AY$107*12)),0))</f>
        <v>19.239204613231827</v>
      </c>
      <c r="W77" s="489">
        <f>('Winners-Losers Values PMPM'!AW65*12)*(1-$I$10)+$M$8*(($I$8*12)*IFERROR((('Winners-Losers Values PMPM'!AY65*12)/('Winners-Losers Values PMPM'!AY$107*12)),0))</f>
        <v>2.9732852063438933</v>
      </c>
      <c r="X77" s="489">
        <f>('Winners-Losers Values PMPM'!AT65*12)*(1-$I$11)+$N$8*(($I$8*12)*IFERROR((('Winners-Losers Values PMPM'!AY65*12)/('Winners-Losers Values PMPM'!AY$107*12)),0))</f>
        <v>87.937063942152051</v>
      </c>
      <c r="Y77" s="510">
        <f t="shared" si="10"/>
        <v>-178.11132336415415</v>
      </c>
      <c r="AA77" s="510">
        <f t="shared" si="11"/>
        <v>4443.3239894938342</v>
      </c>
      <c r="AB77" s="510">
        <f t="shared" si="11"/>
        <v>109.02215947498033</v>
      </c>
      <c r="AC77" s="510">
        <f t="shared" si="11"/>
        <v>16.84861616928206</v>
      </c>
      <c r="AD77" s="510">
        <f t="shared" si="11"/>
        <v>38.528475504961733</v>
      </c>
      <c r="AE77" s="510">
        <f t="shared" si="12"/>
        <v>471.98996185153999</v>
      </c>
      <c r="AF77" s="510">
        <f t="shared" si="13"/>
        <v>5079.7132024945977</v>
      </c>
      <c r="AG77" s="510">
        <f t="shared" si="14"/>
        <v>3.3645726154408369E+22</v>
      </c>
      <c r="AH77" s="510">
        <f t="shared" si="15"/>
        <v>3.3645726154408369E+22</v>
      </c>
      <c r="AJ77" s="510">
        <f t="shared" si="16"/>
        <v>538.51862569484229</v>
      </c>
      <c r="AK77" s="510">
        <f t="shared" si="17"/>
        <v>115.46875318235587</v>
      </c>
      <c r="AL77" s="510">
        <f t="shared" si="17"/>
        <v>3.6584920869071507</v>
      </c>
      <c r="AM77" s="510">
        <f t="shared" si="17"/>
        <v>87.937063942152051</v>
      </c>
      <c r="AN77" s="510">
        <f t="shared" si="18"/>
        <v>0</v>
      </c>
      <c r="AO77" s="510">
        <f t="shared" si="19"/>
        <v>745.58293490625726</v>
      </c>
      <c r="AQ77" s="510">
        <f t="shared" si="28"/>
        <v>4981.8426151886761</v>
      </c>
      <c r="AR77" s="510">
        <f t="shared" si="28"/>
        <v>224.4909126573362</v>
      </c>
      <c r="AS77" s="510">
        <f t="shared" si="28"/>
        <v>20.507108256189213</v>
      </c>
      <c r="AT77" s="510">
        <f t="shared" si="28"/>
        <v>126.46553944711378</v>
      </c>
      <c r="AU77" s="510">
        <f t="shared" si="28"/>
        <v>471.98996185153999</v>
      </c>
      <c r="AV77" s="510">
        <f t="shared" si="21"/>
        <v>5825.2961374008555</v>
      </c>
      <c r="AW77" s="510">
        <f t="shared" si="22"/>
        <v>3.3645726154408369E+22</v>
      </c>
      <c r="AX77" s="510">
        <f t="shared" si="23"/>
        <v>3.3645726154408369E+22</v>
      </c>
      <c r="AY77" s="510">
        <f t="shared" si="24"/>
        <v>3.3645726154408369E+22</v>
      </c>
      <c r="AZ77" s="490">
        <f t="shared" si="25"/>
        <v>-3.3645726154408369E+22</v>
      </c>
      <c r="BA77" s="510">
        <f t="shared" si="26"/>
        <v>6.7291452308816738E+22</v>
      </c>
    </row>
    <row r="78" spans="1:53" x14ac:dyDescent="0.2">
      <c r="A78">
        <v>61</v>
      </c>
      <c r="B78" s="510">
        <f>'Assumptions-Output Target'!$D$12*'Assumptions-Output Override'!$D$11*$I$2*12</f>
        <v>3935.8341983467963</v>
      </c>
      <c r="C78" s="510">
        <f t="shared" si="1"/>
        <v>-3.3645726154408369E+22</v>
      </c>
      <c r="D78" s="510">
        <f t="shared" si="2"/>
        <v>0</v>
      </c>
      <c r="E78" s="510">
        <f t="shared" si="0"/>
        <v>471.98996185153999</v>
      </c>
      <c r="F78" s="510">
        <f t="shared" si="3"/>
        <v>3.3645726154408369E+22</v>
      </c>
      <c r="G78" s="510">
        <f>$I$5*'Assumptions-Output Override'!$D$12*12</f>
        <v>4443.3239894938342</v>
      </c>
      <c r="H78" s="489">
        <f>'Winners-Losers Values PMPM'!AV66*$I$9*12</f>
        <v>119.23420902062909</v>
      </c>
      <c r="I78" s="489">
        <f>('Winners-Losers Values PMPM'!AW66*12)*$I$10</f>
        <v>5.889635031970715E-2</v>
      </c>
      <c r="J78" s="489">
        <f>('Winners-Losers Values PMPM'!AT66*12)*$I$11</f>
        <v>44.463601680558355</v>
      </c>
      <c r="K78" s="510">
        <f t="shared" si="4"/>
        <v>4607.0806965453412</v>
      </c>
      <c r="L78" s="510">
        <f t="shared" si="5"/>
        <v>3.3645726154408369E+22</v>
      </c>
      <c r="M78" s="510">
        <f t="shared" si="6"/>
        <v>0</v>
      </c>
      <c r="N78" s="489">
        <f>'Winners-Losers Values PMPM'!AP66*12</f>
        <v>858.00315485295937</v>
      </c>
      <c r="O78" s="489">
        <f>'Winners-Losers Values PMPM'!AQ66*12</f>
        <v>101.64902130025663</v>
      </c>
      <c r="P78" s="489">
        <f>'Winners-Losers Values PMPM'!AR66*12</f>
        <v>2.3952224962370296E-3</v>
      </c>
      <c r="Q78" s="489">
        <f>'Winners-Losers Values PMPM'!AO66*12</f>
        <v>0</v>
      </c>
      <c r="R78" s="510">
        <f t="shared" si="7"/>
        <v>959.65457137571229</v>
      </c>
      <c r="S78" s="489">
        <f t="shared" si="8"/>
        <v>1082.1896411666692</v>
      </c>
      <c r="T78" s="489">
        <f t="shared" si="9"/>
        <v>1082.1896411666692</v>
      </c>
      <c r="U78" s="510">
        <f>((('Assumptions-Output Override'!$H$60+'Assumptions-Output Override'!$H$61)/('Assumptions-Output Override'!$F$60+'Assumptions-Output Override'!$F$61))*'HRA Balance Calc'!$I$5*12)+($K$8*(($I$8*12)))</f>
        <v>-288.26087712588196</v>
      </c>
      <c r="V78" s="489">
        <f>'Winners-Losers Values PMPM'!AV66*(1-$I$9)*12+$L$8*(($I$8*12)*IFERROR((('Winners-Losers Values PMPM'!AY66*12)/('Winners-Losers Values PMPM'!AY$107*12)),0))</f>
        <v>21.041331003640433</v>
      </c>
      <c r="W78" s="489">
        <f>('Winners-Losers Values PMPM'!AW66*12)*(1-$I$10)+$M$8*(($I$8*12)*IFERROR((('Winners-Losers Values PMPM'!AY66*12)/('Winners-Losers Values PMPM'!AY$107*12)),0))</f>
        <v>1.0393473585830676E-2</v>
      </c>
      <c r="X78" s="489">
        <f>('Winners-Losers Values PMPM'!AT66*12)*(1-$I$11)+$N$8*(($I$8*12)*IFERROR((('Winners-Losers Values PMPM'!AY66*12)/('Winners-Losers Values PMPM'!AY$107*12)),0))</f>
        <v>101.48334531373051</v>
      </c>
      <c r="Y78" s="510">
        <f t="shared" si="10"/>
        <v>-165.72580733492515</v>
      </c>
      <c r="AA78" s="510">
        <f t="shared" si="11"/>
        <v>4443.3239894938342</v>
      </c>
      <c r="AB78" s="510">
        <f t="shared" si="11"/>
        <v>119.23420902062909</v>
      </c>
      <c r="AC78" s="510">
        <f t="shared" si="11"/>
        <v>5.889635031970715E-2</v>
      </c>
      <c r="AD78" s="510">
        <f t="shared" si="11"/>
        <v>44.463601680558355</v>
      </c>
      <c r="AE78" s="510">
        <f t="shared" si="12"/>
        <v>471.98996185153999</v>
      </c>
      <c r="AF78" s="510">
        <f t="shared" si="13"/>
        <v>5079.0706583968813</v>
      </c>
      <c r="AG78" s="510">
        <f t="shared" si="14"/>
        <v>3.3645726154408369E+22</v>
      </c>
      <c r="AH78" s="510">
        <f t="shared" si="15"/>
        <v>3.3645726154408369E+22</v>
      </c>
      <c r="AJ78" s="510">
        <f t="shared" si="16"/>
        <v>569.74227772707741</v>
      </c>
      <c r="AK78" s="510">
        <f t="shared" si="17"/>
        <v>122.69035230389707</v>
      </c>
      <c r="AL78" s="510">
        <f t="shared" si="17"/>
        <v>1.2788696082067706E-2</v>
      </c>
      <c r="AM78" s="510">
        <f t="shared" si="17"/>
        <v>101.48334531373051</v>
      </c>
      <c r="AN78" s="510">
        <f t="shared" si="18"/>
        <v>0</v>
      </c>
      <c r="AO78" s="510">
        <f t="shared" si="19"/>
        <v>793.92876404078709</v>
      </c>
      <c r="AQ78" s="510">
        <f t="shared" si="28"/>
        <v>5013.0662672209119</v>
      </c>
      <c r="AR78" s="510">
        <f t="shared" si="28"/>
        <v>241.92456132452617</v>
      </c>
      <c r="AS78" s="510">
        <f t="shared" si="28"/>
        <v>7.1685046401774852E-2</v>
      </c>
      <c r="AT78" s="510">
        <f t="shared" si="28"/>
        <v>145.94694699428885</v>
      </c>
      <c r="AU78" s="510">
        <f t="shared" si="28"/>
        <v>471.98996185153999</v>
      </c>
      <c r="AV78" s="510">
        <f t="shared" si="21"/>
        <v>5872.9994224376687</v>
      </c>
      <c r="AW78" s="510">
        <f t="shared" si="22"/>
        <v>3.3645726154408369E+22</v>
      </c>
      <c r="AX78" s="510">
        <f t="shared" si="23"/>
        <v>3.3645726154408369E+22</v>
      </c>
      <c r="AY78" s="510">
        <f t="shared" si="24"/>
        <v>3.3645726154408369E+22</v>
      </c>
      <c r="AZ78" s="490">
        <f t="shared" si="25"/>
        <v>-3.3645726154408369E+22</v>
      </c>
      <c r="BA78" s="510">
        <f t="shared" si="26"/>
        <v>6.7291452308816738E+22</v>
      </c>
    </row>
    <row r="79" spans="1:53" x14ac:dyDescent="0.2">
      <c r="A79">
        <v>62</v>
      </c>
      <c r="B79" s="510">
        <f>'Assumptions-Output Target'!$D$12*'Assumptions-Output Override'!$D$11*$I$2*12</f>
        <v>3935.8341983467963</v>
      </c>
      <c r="C79" s="510">
        <f t="shared" si="1"/>
        <v>-3.3645726154408369E+22</v>
      </c>
      <c r="D79" s="510">
        <f t="shared" si="2"/>
        <v>0</v>
      </c>
      <c r="E79" s="510">
        <f t="shared" si="0"/>
        <v>471.98996185153999</v>
      </c>
      <c r="F79" s="510">
        <f t="shared" si="3"/>
        <v>3.3645726154408369E+22</v>
      </c>
      <c r="G79" s="510">
        <f>$I$5*'Assumptions-Output Override'!$D$12*12</f>
        <v>4443.3239894938342</v>
      </c>
      <c r="H79" s="489">
        <f>'Winners-Losers Values PMPM'!AV67*$I$9*12</f>
        <v>128.24070440417566</v>
      </c>
      <c r="I79" s="489">
        <f>('Winners-Losers Values PMPM'!AW67*12)*$I$10</f>
        <v>0</v>
      </c>
      <c r="J79" s="489">
        <f>('Winners-Losers Values PMPM'!AT67*12)*$I$11</f>
        <v>49.110303936359642</v>
      </c>
      <c r="K79" s="510">
        <f t="shared" si="4"/>
        <v>4620.6749978343696</v>
      </c>
      <c r="L79" s="510">
        <f t="shared" si="5"/>
        <v>3.3645726154408369E+22</v>
      </c>
      <c r="M79" s="510">
        <f t="shared" si="6"/>
        <v>0</v>
      </c>
      <c r="N79" s="489">
        <f>'Winners-Losers Values PMPM'!AP67*12</f>
        <v>887.44671339747697</v>
      </c>
      <c r="O79" s="489">
        <f>'Winners-Losers Values PMPM'!AQ67*12</f>
        <v>107.95801783167526</v>
      </c>
      <c r="P79" s="489">
        <f>'Winners-Losers Values PMPM'!AR67*12</f>
        <v>0</v>
      </c>
      <c r="Q79" s="489">
        <f>'Winners-Losers Values PMPM'!AO67*12</f>
        <v>0</v>
      </c>
      <c r="R79" s="510">
        <f t="shared" si="7"/>
        <v>995.40473122915228</v>
      </c>
      <c r="S79" s="489">
        <f t="shared" si="8"/>
        <v>1130.1243826888285</v>
      </c>
      <c r="T79" s="489">
        <f t="shared" si="9"/>
        <v>1130.1243826888285</v>
      </c>
      <c r="U79" s="510">
        <f>((('Assumptions-Output Override'!$H$60+'Assumptions-Output Override'!$H$61)/('Assumptions-Output Override'!$F$60+'Assumptions-Output Override'!$F$61))*'HRA Balance Calc'!$I$5*12)+($K$8*(($I$8*12)))</f>
        <v>-288.26087712588196</v>
      </c>
      <c r="V79" s="489">
        <f>'Winners-Losers Values PMPM'!AV67*(1-$I$9)*12+$L$8*(($I$8*12)*IFERROR((('Winners-Losers Values PMPM'!AY67*12)/('Winners-Losers Values PMPM'!AY$107*12)),0))</f>
        <v>22.630712541913354</v>
      </c>
      <c r="W79" s="489">
        <f>('Winners-Losers Values PMPM'!AW67*12)*(1-$I$10)+$M$8*(($I$8*12)*IFERROR((('Winners-Losers Values PMPM'!AY67*12)/('Winners-Losers Values PMPM'!AY$107*12)),0))</f>
        <v>0</v>
      </c>
      <c r="X79" s="489">
        <f>('Winners-Losers Values PMPM'!AT67*12)*(1-$I$11)+$N$8*(($I$8*12)*IFERROR((('Winners-Losers Values PMPM'!AY67*12)/('Winners-Losers Values PMPM'!AY$107*12)),0))</f>
        <v>112.08893891776289</v>
      </c>
      <c r="Y79" s="510">
        <f t="shared" si="10"/>
        <v>-153.54122566620572</v>
      </c>
      <c r="AA79" s="510">
        <f t="shared" si="11"/>
        <v>4443.3239894938342</v>
      </c>
      <c r="AB79" s="510">
        <f t="shared" si="11"/>
        <v>128.24070440417566</v>
      </c>
      <c r="AC79" s="510">
        <f t="shared" si="11"/>
        <v>0</v>
      </c>
      <c r="AD79" s="510">
        <f t="shared" si="11"/>
        <v>49.110303936359642</v>
      </c>
      <c r="AE79" s="510">
        <f t="shared" si="12"/>
        <v>471.98996185153999</v>
      </c>
      <c r="AF79" s="510">
        <f t="shared" si="13"/>
        <v>5092.6649596859097</v>
      </c>
      <c r="AG79" s="510">
        <f t="shared" si="14"/>
        <v>3.3645726154408369E+22</v>
      </c>
      <c r="AH79" s="510">
        <f t="shared" si="15"/>
        <v>3.3645726154408369E+22</v>
      </c>
      <c r="AJ79" s="510">
        <f t="shared" si="16"/>
        <v>599.18583627159501</v>
      </c>
      <c r="AK79" s="510">
        <f t="shared" si="17"/>
        <v>130.58873037358862</v>
      </c>
      <c r="AL79" s="510">
        <f t="shared" si="17"/>
        <v>0</v>
      </c>
      <c r="AM79" s="510">
        <f t="shared" si="17"/>
        <v>112.08893891776289</v>
      </c>
      <c r="AN79" s="510">
        <f t="shared" si="18"/>
        <v>0</v>
      </c>
      <c r="AO79" s="510">
        <f t="shared" si="19"/>
        <v>841.86350556294656</v>
      </c>
      <c r="AQ79" s="510">
        <f t="shared" si="28"/>
        <v>5042.509825765429</v>
      </c>
      <c r="AR79" s="510">
        <f t="shared" si="28"/>
        <v>258.82943477776428</v>
      </c>
      <c r="AS79" s="510">
        <f t="shared" si="28"/>
        <v>0</v>
      </c>
      <c r="AT79" s="510">
        <f t="shared" si="28"/>
        <v>161.19924285412253</v>
      </c>
      <c r="AU79" s="510">
        <f t="shared" si="28"/>
        <v>471.98996185153999</v>
      </c>
      <c r="AV79" s="510">
        <f t="shared" si="21"/>
        <v>5934.5284652488563</v>
      </c>
      <c r="AW79" s="510">
        <f t="shared" si="22"/>
        <v>3.3645726154408369E+22</v>
      </c>
      <c r="AX79" s="510">
        <f t="shared" si="23"/>
        <v>3.3645726154408369E+22</v>
      </c>
      <c r="AY79" s="510">
        <f t="shared" si="24"/>
        <v>3.3645726154408369E+22</v>
      </c>
      <c r="AZ79" s="490">
        <f t="shared" si="25"/>
        <v>-3.3645726154408369E+22</v>
      </c>
      <c r="BA79" s="510">
        <f t="shared" si="26"/>
        <v>6.7291452308816738E+22</v>
      </c>
    </row>
    <row r="80" spans="1:53" x14ac:dyDescent="0.2">
      <c r="A80">
        <v>63</v>
      </c>
      <c r="B80" s="510">
        <f>'Assumptions-Output Target'!$D$12*'Assumptions-Output Override'!$D$11*$I$2*12</f>
        <v>3935.8341983467963</v>
      </c>
      <c r="C80" s="510">
        <f t="shared" si="1"/>
        <v>-3.3645726154408369E+22</v>
      </c>
      <c r="D80" s="510">
        <f t="shared" si="2"/>
        <v>0</v>
      </c>
      <c r="E80" s="510">
        <f t="shared" si="0"/>
        <v>471.98996185153999</v>
      </c>
      <c r="F80" s="510">
        <f t="shared" si="3"/>
        <v>3.3645726154408369E+22</v>
      </c>
      <c r="G80" s="510">
        <f>$I$5*'Assumptions-Output Override'!$D$12*12</f>
        <v>4443.3239894938342</v>
      </c>
      <c r="H80" s="489">
        <f>'Winners-Losers Values PMPM'!AV68*$I$9*12</f>
        <v>137.86060973369644</v>
      </c>
      <c r="I80" s="489">
        <f>('Winners-Losers Values PMPM'!AW68*12)*$I$10</f>
        <v>6.4390638851043333E-2</v>
      </c>
      <c r="J80" s="489">
        <f>('Winners-Losers Values PMPM'!AT68*12)*$I$11</f>
        <v>54.14716720222242</v>
      </c>
      <c r="K80" s="510">
        <f t="shared" si="4"/>
        <v>4635.3961570686042</v>
      </c>
      <c r="L80" s="510">
        <f t="shared" si="5"/>
        <v>3.3645726154408369E+22</v>
      </c>
      <c r="M80" s="510">
        <f t="shared" si="6"/>
        <v>0</v>
      </c>
      <c r="N80" s="489">
        <f>'Winners-Losers Values PMPM'!AP68*12</f>
        <v>916.3942523516838</v>
      </c>
      <c r="O80" s="489">
        <f>'Winners-Losers Values PMPM'!AQ68*12</f>
        <v>111.08363452744456</v>
      </c>
      <c r="P80" s="489">
        <f>'Winners-Losers Values PMPM'!AR68*12</f>
        <v>2.6186666217157197E-3</v>
      </c>
      <c r="Q80" s="489">
        <f>'Winners-Losers Values PMPM'!AO68*12</f>
        <v>0</v>
      </c>
      <c r="R80" s="510">
        <f t="shared" si="7"/>
        <v>1027.48050554575</v>
      </c>
      <c r="S80" s="489">
        <f t="shared" si="8"/>
        <v>1175.4052441779204</v>
      </c>
      <c r="T80" s="489">
        <f t="shared" si="9"/>
        <v>1175.4052441779204</v>
      </c>
      <c r="U80" s="510">
        <f>((('Assumptions-Output Override'!$H$60+'Assumptions-Output Override'!$H$61)/('Assumptions-Output Override'!$F$60+'Assumptions-Output Override'!$F$61))*'HRA Balance Calc'!$I$5*12)+($K$8*(($I$8*12)))</f>
        <v>-288.26087712588196</v>
      </c>
      <c r="V80" s="489">
        <f>'Winners-Losers Values PMPM'!AV68*(1-$I$9)*12+$L$8*(($I$8*12)*IFERROR((('Winners-Losers Values PMPM'!AY68*12)/('Winners-Losers Values PMPM'!AY$107*12)),0))</f>
        <v>24.328342894181727</v>
      </c>
      <c r="W80" s="489">
        <f>('Winners-Losers Values PMPM'!AW68*12)*(1-$I$10)+$M$8*(($I$8*12)*IFERROR((('Winners-Losers Values PMPM'!AY68*12)/('Winners-Losers Values PMPM'!AY$107*12)),0))</f>
        <v>1.1363053914890004E-2</v>
      </c>
      <c r="X80" s="489">
        <f>('Winners-Losers Values PMPM'!AT68*12)*(1-$I$11)+$N$8*(($I$8*12)*IFERROR((('Winners-Losers Values PMPM'!AY68*12)/('Winners-Losers Values PMPM'!AY$107*12)),0))</f>
        <v>123.58503268407377</v>
      </c>
      <c r="Y80" s="510">
        <f t="shared" si="10"/>
        <v>-140.33613849371159</v>
      </c>
      <c r="AA80" s="510">
        <f t="shared" si="11"/>
        <v>4443.3239894938342</v>
      </c>
      <c r="AB80" s="510">
        <f t="shared" si="11"/>
        <v>137.86060973369644</v>
      </c>
      <c r="AC80" s="510">
        <f t="shared" si="11"/>
        <v>6.4390638851043333E-2</v>
      </c>
      <c r="AD80" s="510">
        <f t="shared" si="11"/>
        <v>54.14716720222242</v>
      </c>
      <c r="AE80" s="510">
        <f t="shared" si="12"/>
        <v>471.98996185153999</v>
      </c>
      <c r="AF80" s="510">
        <f t="shared" si="13"/>
        <v>5107.3861189201443</v>
      </c>
      <c r="AG80" s="510">
        <f t="shared" si="14"/>
        <v>3.3645726154408369E+22</v>
      </c>
      <c r="AH80" s="510">
        <f t="shared" si="15"/>
        <v>3.3645726154408369E+22</v>
      </c>
      <c r="AJ80" s="510">
        <f t="shared" si="16"/>
        <v>628.13337522580184</v>
      </c>
      <c r="AK80" s="510">
        <f t="shared" si="17"/>
        <v>135.41197742162629</v>
      </c>
      <c r="AL80" s="510">
        <f t="shared" si="17"/>
        <v>1.3981720536605723E-2</v>
      </c>
      <c r="AM80" s="510">
        <f t="shared" si="17"/>
        <v>123.58503268407377</v>
      </c>
      <c r="AN80" s="510">
        <f t="shared" si="18"/>
        <v>0</v>
      </c>
      <c r="AO80" s="510">
        <f t="shared" si="19"/>
        <v>887.14436705203855</v>
      </c>
      <c r="AQ80" s="510">
        <f t="shared" si="28"/>
        <v>5071.4573647196357</v>
      </c>
      <c r="AR80" s="510">
        <f t="shared" si="28"/>
        <v>273.27258715532275</v>
      </c>
      <c r="AS80" s="510">
        <f t="shared" si="28"/>
        <v>7.8372359387649054E-2</v>
      </c>
      <c r="AT80" s="510">
        <f t="shared" si="28"/>
        <v>177.7321998862962</v>
      </c>
      <c r="AU80" s="510">
        <f t="shared" si="28"/>
        <v>471.98996185153999</v>
      </c>
      <c r="AV80" s="510">
        <f t="shared" si="21"/>
        <v>5994.5304859721828</v>
      </c>
      <c r="AW80" s="510">
        <f t="shared" si="22"/>
        <v>3.3645726154408369E+22</v>
      </c>
      <c r="AX80" s="510">
        <f t="shared" si="23"/>
        <v>3.3645726154408369E+22</v>
      </c>
      <c r="AY80" s="510">
        <f t="shared" si="24"/>
        <v>3.3645726154408369E+22</v>
      </c>
      <c r="AZ80" s="490">
        <f t="shared" si="25"/>
        <v>-3.3645726154408369E+22</v>
      </c>
      <c r="BA80" s="510">
        <f t="shared" si="26"/>
        <v>6.7291452308816738E+22</v>
      </c>
    </row>
    <row r="81" spans="1:53" x14ac:dyDescent="0.2">
      <c r="A81">
        <v>64</v>
      </c>
      <c r="B81" s="510">
        <f>'Assumptions-Output Target'!$D$12*'Assumptions-Output Override'!$D$11*$I$2*12</f>
        <v>3935.8341983467963</v>
      </c>
      <c r="C81" s="510">
        <f t="shared" si="1"/>
        <v>-3.3645726154408369E+22</v>
      </c>
      <c r="D81" s="510">
        <f t="shared" si="2"/>
        <v>0</v>
      </c>
      <c r="E81" s="510">
        <f t="shared" si="0"/>
        <v>471.98996185153999</v>
      </c>
      <c r="F81" s="510">
        <f t="shared" si="3"/>
        <v>3.3645726154408369E+22</v>
      </c>
      <c r="G81" s="510">
        <f>$I$5*'Assumptions-Output Override'!$D$12*12</f>
        <v>4443.3239894938342</v>
      </c>
      <c r="H81" s="489">
        <f>'Winners-Losers Values PMPM'!AV69*$I$9*12</f>
        <v>150.43906042363847</v>
      </c>
      <c r="I81" s="489">
        <f>('Winners-Losers Values PMPM'!AW69*12)*$I$10</f>
        <v>0</v>
      </c>
      <c r="J81" s="489">
        <f>('Winners-Losers Values PMPM'!AT69*12)*$I$11</f>
        <v>58.16886745366309</v>
      </c>
      <c r="K81" s="510">
        <f t="shared" si="4"/>
        <v>4651.9319173711356</v>
      </c>
      <c r="L81" s="510">
        <f t="shared" si="5"/>
        <v>3.3645726154408369E+22</v>
      </c>
      <c r="M81" s="510">
        <f t="shared" si="6"/>
        <v>0</v>
      </c>
      <c r="N81" s="489">
        <f>'Winners-Losers Values PMPM'!AP69*12</f>
        <v>941.89179822430469</v>
      </c>
      <c r="O81" s="489">
        <f>'Winners-Losers Values PMPM'!AQ69*12</f>
        <v>111.44219889680693</v>
      </c>
      <c r="P81" s="489">
        <f>'Winners-Losers Values PMPM'!AR69*12</f>
        <v>0</v>
      </c>
      <c r="Q81" s="489">
        <f>'Winners-Losers Values PMPM'!AO69*12</f>
        <v>0</v>
      </c>
      <c r="R81" s="510">
        <f t="shared" si="7"/>
        <v>1053.3339971211117</v>
      </c>
      <c r="S81" s="489">
        <f t="shared" si="8"/>
        <v>1212.6461936506746</v>
      </c>
      <c r="T81" s="489">
        <f t="shared" si="9"/>
        <v>1212.6461936506746</v>
      </c>
      <c r="U81" s="510">
        <f>((('Assumptions-Output Override'!$H$60+'Assumptions-Output Override'!$H$61)/('Assumptions-Output Override'!$F$60+'Assumptions-Output Override'!$F$61))*'HRA Balance Calc'!$I$5*12)+($K$8*(($I$8*12)))</f>
        <v>-288.26087712588196</v>
      </c>
      <c r="V81" s="489">
        <f>'Winners-Losers Values PMPM'!AV69*(1-$I$9)*12+$L$8*(($I$8*12)*IFERROR((('Winners-Losers Values PMPM'!AY69*12)/('Winners-Losers Values PMPM'!AY$107*12)),0))</f>
        <v>26.54806948652444</v>
      </c>
      <c r="W81" s="489">
        <f>('Winners-Losers Values PMPM'!AW69*12)*(1-$I$10)+$M$8*(($I$8*12)*IFERROR((('Winners-Losers Values PMPM'!AY69*12)/('Winners-Losers Values PMPM'!AY$107*12)),0))</f>
        <v>0</v>
      </c>
      <c r="X81" s="489">
        <f>('Winners-Losers Values PMPM'!AT69*12)*(1-$I$11)+$N$8*(($I$8*12)*IFERROR((('Winners-Losers Values PMPM'!AY69*12)/('Winners-Losers Values PMPM'!AY$107*12)),0))</f>
        <v>132.76412704303854</v>
      </c>
      <c r="Y81" s="510">
        <f t="shared" si="10"/>
        <v>-128.94868059631895</v>
      </c>
      <c r="AA81" s="510">
        <f t="shared" si="11"/>
        <v>4443.3239894938342</v>
      </c>
      <c r="AB81" s="510">
        <f t="shared" si="11"/>
        <v>150.43906042363847</v>
      </c>
      <c r="AC81" s="510">
        <f t="shared" si="11"/>
        <v>0</v>
      </c>
      <c r="AD81" s="510">
        <f t="shared" si="11"/>
        <v>58.16886745366309</v>
      </c>
      <c r="AE81" s="510">
        <f t="shared" si="12"/>
        <v>471.98996185153999</v>
      </c>
      <c r="AF81" s="510">
        <f t="shared" si="13"/>
        <v>5123.9218792226757</v>
      </c>
      <c r="AG81" s="510">
        <f t="shared" si="14"/>
        <v>3.3645726154408369E+22</v>
      </c>
      <c r="AH81" s="510">
        <f t="shared" si="15"/>
        <v>3.3645726154408369E+22</v>
      </c>
      <c r="AJ81" s="510">
        <f t="shared" si="16"/>
        <v>653.63092109842273</v>
      </c>
      <c r="AK81" s="510">
        <f t="shared" si="17"/>
        <v>137.99026838333137</v>
      </c>
      <c r="AL81" s="510">
        <f t="shared" si="17"/>
        <v>0</v>
      </c>
      <c r="AM81" s="510">
        <f t="shared" si="17"/>
        <v>132.76412704303854</v>
      </c>
      <c r="AN81" s="510">
        <f t="shared" si="18"/>
        <v>0</v>
      </c>
      <c r="AO81" s="510">
        <f t="shared" si="19"/>
        <v>924.38531652479264</v>
      </c>
      <c r="AQ81" s="510">
        <f t="shared" si="28"/>
        <v>5096.954910592257</v>
      </c>
      <c r="AR81" s="510">
        <f t="shared" si="28"/>
        <v>288.42932880696981</v>
      </c>
      <c r="AS81" s="510">
        <f t="shared" si="28"/>
        <v>0</v>
      </c>
      <c r="AT81" s="510">
        <f t="shared" si="28"/>
        <v>190.93299449670164</v>
      </c>
      <c r="AU81" s="510">
        <f t="shared" si="28"/>
        <v>471.98996185153999</v>
      </c>
      <c r="AV81" s="510">
        <f t="shared" si="21"/>
        <v>6048.3071957474685</v>
      </c>
      <c r="AW81" s="510">
        <f t="shared" si="22"/>
        <v>3.3645726154408369E+22</v>
      </c>
      <c r="AX81" s="510">
        <f t="shared" si="23"/>
        <v>3.3645726154408369E+22</v>
      </c>
      <c r="AY81" s="510">
        <f t="shared" si="24"/>
        <v>3.3645726154408369E+22</v>
      </c>
      <c r="AZ81" s="490">
        <f t="shared" si="25"/>
        <v>-3.3645726154408369E+22</v>
      </c>
      <c r="BA81" s="510">
        <f t="shared" si="26"/>
        <v>6.7291452308816738E+22</v>
      </c>
    </row>
    <row r="82" spans="1:53" x14ac:dyDescent="0.2">
      <c r="A82">
        <v>65</v>
      </c>
      <c r="B82" s="510">
        <f>'Assumptions-Output Target'!$D$12*'Assumptions-Output Override'!$D$11*$I$2*12</f>
        <v>3935.8341983467963</v>
      </c>
      <c r="C82" s="510">
        <f t="shared" si="1"/>
        <v>-3.3645726154408369E+22</v>
      </c>
      <c r="D82" s="510">
        <f t="shared" si="2"/>
        <v>0</v>
      </c>
      <c r="E82" s="510">
        <f t="shared" ref="E82:E117" si="29">$I$7*12</f>
        <v>471.98996185153999</v>
      </c>
      <c r="F82" s="510">
        <f t="shared" si="3"/>
        <v>3.3645726154408369E+22</v>
      </c>
      <c r="G82" s="510">
        <f>$I$5*'Assumptions-Output Override'!$D$12*12</f>
        <v>4443.3239894938342</v>
      </c>
      <c r="H82" s="489">
        <f>'Winners-Losers Values PMPM'!AV70*$I$9*12</f>
        <v>159.21543482758068</v>
      </c>
      <c r="I82" s="489">
        <f>('Winners-Losers Values PMPM'!AW70*12)*$I$10</f>
        <v>0.14086742768666921</v>
      </c>
      <c r="J82" s="489">
        <f>('Winners-Losers Values PMPM'!AT70*12)*$I$11</f>
        <v>64.37222887199961</v>
      </c>
      <c r="K82" s="510">
        <f t="shared" si="4"/>
        <v>4667.0525206211014</v>
      </c>
      <c r="L82" s="510">
        <f t="shared" si="5"/>
        <v>3.3645726154408369E+22</v>
      </c>
      <c r="M82" s="510">
        <f t="shared" si="6"/>
        <v>0</v>
      </c>
      <c r="N82" s="489">
        <f>'Winners-Losers Values PMPM'!AP70*12</f>
        <v>975.34793816083288</v>
      </c>
      <c r="O82" s="489">
        <f>'Winners-Losers Values PMPM'!AQ70*12</f>
        <v>118.69538817905915</v>
      </c>
      <c r="P82" s="489">
        <f>'Winners-Losers Values PMPM'!AR70*12</f>
        <v>5.7288580693132286E-3</v>
      </c>
      <c r="Q82" s="489">
        <f>'Winners-Losers Values PMPM'!AO70*12</f>
        <v>0</v>
      </c>
      <c r="R82" s="510">
        <f t="shared" si="7"/>
        <v>1094.0490551979613</v>
      </c>
      <c r="S82" s="489">
        <f t="shared" si="8"/>
        <v>1269.0933818412286</v>
      </c>
      <c r="T82" s="489">
        <f t="shared" si="9"/>
        <v>1269.0933818412286</v>
      </c>
      <c r="U82" s="510">
        <f>((('Assumptions-Output Override'!$H$60+'Assumptions-Output Override'!$H$61)/('Assumptions-Output Override'!$F$60+'Assumptions-Output Override'!$F$61))*'HRA Balance Calc'!$I$5*12)+($K$8*(($I$8*12)))</f>
        <v>-288.26087712588196</v>
      </c>
      <c r="V82" s="489">
        <f>'Winners-Losers Values PMPM'!AV70*(1-$I$9)*12+$L$8*(($I$8*12)*IFERROR((('Winners-Losers Values PMPM'!AY70*12)/('Winners-Losers Values PMPM'!AY$107*12)),0))</f>
        <v>28.096841440161299</v>
      </c>
      <c r="W82" s="489">
        <f>('Winners-Losers Values PMPM'!AW70*12)*(1-$I$10)+$M$8*(($I$8*12)*IFERROR((('Winners-Losers Values PMPM'!AY70*12)/('Winners-Losers Values PMPM'!AY$107*12)),0))</f>
        <v>2.4858957827059276E-2</v>
      </c>
      <c r="X82" s="489">
        <f>('Winners-Losers Values PMPM'!AT70*12)*(1-$I$11)+$N$8*(($I$8*12)*IFERROR((('Winners-Losers Values PMPM'!AY70*12)/('Winners-Losers Values PMPM'!AY$107*12)),0))</f>
        <v>146.92262624527891</v>
      </c>
      <c r="Y82" s="510">
        <f t="shared" si="10"/>
        <v>-113.21655048261468</v>
      </c>
      <c r="AA82" s="510">
        <f t="shared" si="11"/>
        <v>4443.3239894938342</v>
      </c>
      <c r="AB82" s="510">
        <f t="shared" si="11"/>
        <v>159.21543482758068</v>
      </c>
      <c r="AC82" s="510">
        <f t="shared" si="11"/>
        <v>0.14086742768666921</v>
      </c>
      <c r="AD82" s="510">
        <f t="shared" ref="AD82:AD117" si="30">J82</f>
        <v>64.37222887199961</v>
      </c>
      <c r="AE82" s="510">
        <f t="shared" si="12"/>
        <v>471.98996185153999</v>
      </c>
      <c r="AF82" s="510">
        <f t="shared" si="13"/>
        <v>5139.0424824726415</v>
      </c>
      <c r="AG82" s="510">
        <f t="shared" si="14"/>
        <v>3.3645726154408369E+22</v>
      </c>
      <c r="AH82" s="510">
        <f t="shared" si="15"/>
        <v>3.3645726154408369E+22</v>
      </c>
      <c r="AJ82" s="510">
        <f t="shared" si="16"/>
        <v>687.08706103495092</v>
      </c>
      <c r="AK82" s="510">
        <f t="shared" si="17"/>
        <v>146.79222961922045</v>
      </c>
      <c r="AL82" s="510">
        <f t="shared" si="17"/>
        <v>3.0587815896372505E-2</v>
      </c>
      <c r="AM82" s="510">
        <f t="shared" si="17"/>
        <v>146.92262624527891</v>
      </c>
      <c r="AN82" s="510">
        <f t="shared" si="18"/>
        <v>0</v>
      </c>
      <c r="AO82" s="510">
        <f t="shared" si="19"/>
        <v>980.83250471534677</v>
      </c>
      <c r="AQ82" s="510">
        <f t="shared" si="28"/>
        <v>5130.4110505287854</v>
      </c>
      <c r="AR82" s="510">
        <f t="shared" si="28"/>
        <v>306.00766444680113</v>
      </c>
      <c r="AS82" s="510">
        <f t="shared" si="28"/>
        <v>0.17145524358304171</v>
      </c>
      <c r="AT82" s="510">
        <f t="shared" si="28"/>
        <v>211.29485511727853</v>
      </c>
      <c r="AU82" s="510">
        <f t="shared" si="28"/>
        <v>471.98996185153999</v>
      </c>
      <c r="AV82" s="510">
        <f t="shared" si="21"/>
        <v>6119.8749871879882</v>
      </c>
      <c r="AW82" s="510">
        <f t="shared" si="22"/>
        <v>3.3645726154408369E+22</v>
      </c>
      <c r="AX82" s="510">
        <f t="shared" si="23"/>
        <v>3.3645726154408369E+22</v>
      </c>
      <c r="AY82" s="510">
        <f t="shared" si="24"/>
        <v>3.3645726154408369E+22</v>
      </c>
      <c r="AZ82" s="490">
        <f t="shared" si="25"/>
        <v>-3.3645726154408369E+22</v>
      </c>
      <c r="BA82" s="510">
        <f t="shared" si="26"/>
        <v>6.7291452308816738E+22</v>
      </c>
    </row>
    <row r="83" spans="1:53" x14ac:dyDescent="0.2">
      <c r="A83">
        <v>66</v>
      </c>
      <c r="B83" s="510">
        <f>'Assumptions-Output Target'!$D$12*'Assumptions-Output Override'!$D$11*$I$2*12</f>
        <v>3935.8341983467963</v>
      </c>
      <c r="C83" s="510">
        <f t="shared" ref="C83:C117" si="31">AZ83</f>
        <v>-3.3645726154408369E+22</v>
      </c>
      <c r="D83" s="510">
        <f t="shared" ref="D83:D117" si="32">$I$6*12</f>
        <v>0</v>
      </c>
      <c r="E83" s="510">
        <f t="shared" si="29"/>
        <v>471.98996185153999</v>
      </c>
      <c r="F83" s="510">
        <f t="shared" ref="F83:F117" si="33">B83-C83-D83-E83</f>
        <v>3.3645726154408369E+22</v>
      </c>
      <c r="G83" s="510">
        <f>$I$5*'Assumptions-Output Override'!$D$12*12</f>
        <v>4443.3239894938342</v>
      </c>
      <c r="H83" s="489">
        <f>'Winners-Losers Values PMPM'!AV71*$I$9*12</f>
        <v>170.77836594249391</v>
      </c>
      <c r="I83" s="489">
        <f>('Winners-Losers Values PMPM'!AW71*12)*$I$10</f>
        <v>7.5710506737134947E-2</v>
      </c>
      <c r="J83" s="489">
        <f>('Winners-Losers Values PMPM'!AT71*12)*$I$11</f>
        <v>69.040331959083289</v>
      </c>
      <c r="K83" s="510">
        <f t="shared" ref="K83:K117" si="34">SUM(G83:J83)</f>
        <v>4683.2183979021484</v>
      </c>
      <c r="L83" s="510">
        <f t="shared" ref="L83:L117" si="35">F83-K83</f>
        <v>3.3645726154408369E+22</v>
      </c>
      <c r="M83" s="510">
        <f t="shared" ref="M83:M117" si="36">IF($I$12=$K$12,IF(S83&gt;$I$12+U83,S83-$I$12-U83,0),IF($R83&gt;$L$12,$R83-$L$12,0)+IF(($Y83-$U83)&gt;$M$12,$Y83-$U83-$M$12,0))</f>
        <v>0</v>
      </c>
      <c r="N83" s="489">
        <f>'Winners-Losers Values PMPM'!AP71*12</f>
        <v>1003.1501653074115</v>
      </c>
      <c r="O83" s="489">
        <f>'Winners-Losers Values PMPM'!AQ71*12</f>
        <v>122.77843165802847</v>
      </c>
      <c r="P83" s="489">
        <f>'Winners-Losers Values PMPM'!AR71*12</f>
        <v>3.0790279525624853E-3</v>
      </c>
      <c r="Q83" s="489">
        <f>'Winners-Losers Values PMPM'!AO71*12</f>
        <v>0</v>
      </c>
      <c r="R83" s="510">
        <f t="shared" ref="R83:R117" si="37">SUM(N83:Q83)</f>
        <v>1125.9316759933924</v>
      </c>
      <c r="S83" s="489">
        <f t="shared" ref="S83:S117" si="38">IF(L83&gt;0,R83,R83-L83)+SUM(V83:X83)</f>
        <v>1313.6594602909215</v>
      </c>
      <c r="T83" s="489">
        <f t="shared" ref="T83:T117" si="39">IF(S83&gt;$I$12+U83,$I$12+U83,S83)</f>
        <v>1313.6594602909215</v>
      </c>
      <c r="U83" s="510">
        <f>((('Assumptions-Output Override'!$H$60+'Assumptions-Output Override'!$H$61)/('Assumptions-Output Override'!$F$60+'Assumptions-Output Override'!$F$61))*'HRA Balance Calc'!$I$5*12)+($K$8*(($I$8*12)))</f>
        <v>-288.26087712588196</v>
      </c>
      <c r="V83" s="489">
        <f>'Winners-Losers Values PMPM'!AV71*(1-$I$9)*12+$L$8*(($I$8*12)*IFERROR((('Winners-Losers Values PMPM'!AY71*12)/('Winners-Losers Values PMPM'!AY$107*12)),0))</f>
        <v>30.137358695734221</v>
      </c>
      <c r="W83" s="489">
        <f>('Winners-Losers Values PMPM'!AW71*12)*(1-$I$10)+$M$8*(($I$8*12)*IFERROR((('Winners-Losers Values PMPM'!AY71*12)/('Winners-Losers Values PMPM'!AY$107*12)),0))</f>
        <v>1.3360677659494405E-2</v>
      </c>
      <c r="X83" s="489">
        <f>('Winners-Losers Values PMPM'!AT71*12)*(1-$I$11)+$N$8*(($I$8*12)*IFERROR((('Winners-Losers Values PMPM'!AY71*12)/('Winners-Losers Values PMPM'!AY$107*12)),0))</f>
        <v>157.57706492413527</v>
      </c>
      <c r="Y83" s="510">
        <f t="shared" ref="Y83:Y117" si="40">SUM(U83:X83)</f>
        <v>-100.53309282835298</v>
      </c>
      <c r="AA83" s="510">
        <f t="shared" ref="AA83:AC112" si="41">G83</f>
        <v>4443.3239894938342</v>
      </c>
      <c r="AB83" s="510">
        <f t="shared" si="41"/>
        <v>170.77836594249391</v>
      </c>
      <c r="AC83" s="510">
        <f t="shared" si="41"/>
        <v>7.5710506737134947E-2</v>
      </c>
      <c r="AD83" s="510">
        <f t="shared" si="30"/>
        <v>69.040331959083289</v>
      </c>
      <c r="AE83" s="510">
        <f t="shared" ref="AE83:AE117" si="42">D83+E83</f>
        <v>471.98996185153999</v>
      </c>
      <c r="AF83" s="510">
        <f t="shared" ref="AF83:AF117" si="43">SUM(AA83:AE83)</f>
        <v>5155.2083597536885</v>
      </c>
      <c r="AG83" s="510">
        <f t="shared" ref="AG83:AG117" si="44">AY83</f>
        <v>3.3645726154408369E+22</v>
      </c>
      <c r="AH83" s="510">
        <f t="shared" ref="AH83:AH117" si="45">SUM(AF83:AG83)</f>
        <v>3.3645726154408369E+22</v>
      </c>
      <c r="AJ83" s="510">
        <f t="shared" ref="AJ83:AJ117" si="46">N83+U83</f>
        <v>714.88928818152954</v>
      </c>
      <c r="AK83" s="510">
        <f t="shared" ref="AK83:AM117" si="47">V83+O83</f>
        <v>152.9157903537627</v>
      </c>
      <c r="AL83" s="510">
        <f t="shared" si="47"/>
        <v>1.643970561205689E-2</v>
      </c>
      <c r="AM83" s="510">
        <f t="shared" si="47"/>
        <v>157.57706492413527</v>
      </c>
      <c r="AN83" s="510">
        <f t="shared" ref="AN83:AN117" si="48">-M83</f>
        <v>0</v>
      </c>
      <c r="AO83" s="510">
        <f t="shared" ref="AO83:AO117" si="49">SUM(AJ83:AN83)</f>
        <v>1025.3985831650396</v>
      </c>
      <c r="AQ83" s="510">
        <f t="shared" si="28"/>
        <v>5158.2132776753642</v>
      </c>
      <c r="AR83" s="510">
        <f t="shared" si="28"/>
        <v>323.69415629625661</v>
      </c>
      <c r="AS83" s="510">
        <f t="shared" si="28"/>
        <v>9.2150212349191837E-2</v>
      </c>
      <c r="AT83" s="510">
        <f t="shared" si="28"/>
        <v>226.61739688321856</v>
      </c>
      <c r="AU83" s="510">
        <f t="shared" si="28"/>
        <v>471.98996185153999</v>
      </c>
      <c r="AV83" s="510">
        <f t="shared" ref="AV83:AV117" si="50">SUM(AQ83:AU83)</f>
        <v>6180.6069429187282</v>
      </c>
      <c r="AW83" s="510">
        <f t="shared" ref="AW83:AW117" si="51">AG83</f>
        <v>3.3645726154408369E+22</v>
      </c>
      <c r="AX83" s="510">
        <f t="shared" ref="AX83:AX117" si="52">SUM(AV83:AW83)</f>
        <v>3.3645726154408369E+22</v>
      </c>
      <c r="AY83" s="510">
        <f t="shared" ref="AY83:AY117" si="53">IF(L83&gt;0,L83,0)</f>
        <v>3.3645726154408369E+22</v>
      </c>
      <c r="AZ83" s="490">
        <f t="shared" ref="AZ83:AZ117" si="54">$AZ$120/100</f>
        <v>-3.3645726154408369E+22</v>
      </c>
      <c r="BA83" s="510">
        <f t="shared" ref="BA83:BA117" si="55">IF(AY83-AZ83&lt;0,0,AY83-AZ83)</f>
        <v>6.7291452308816738E+22</v>
      </c>
    </row>
    <row r="84" spans="1:53" x14ac:dyDescent="0.2">
      <c r="A84">
        <v>67</v>
      </c>
      <c r="B84" s="510">
        <f>'Assumptions-Output Target'!$D$12*'Assumptions-Output Override'!$D$11*$I$2*12</f>
        <v>3935.8341983467963</v>
      </c>
      <c r="C84" s="510">
        <f t="shared" si="31"/>
        <v>-3.3645726154408369E+22</v>
      </c>
      <c r="D84" s="510">
        <f t="shared" si="32"/>
        <v>0</v>
      </c>
      <c r="E84" s="510">
        <f t="shared" si="29"/>
        <v>471.98996185153999</v>
      </c>
      <c r="F84" s="510">
        <f t="shared" si="33"/>
        <v>3.3645726154408369E+22</v>
      </c>
      <c r="G84" s="510">
        <f>$I$5*'Assumptions-Output Override'!$D$12*12</f>
        <v>4443.3239894938342</v>
      </c>
      <c r="H84" s="489">
        <f>'Winners-Losers Values PMPM'!AV72*$I$9*12</f>
        <v>185.89327726893546</v>
      </c>
      <c r="I84" s="489">
        <f>('Winners-Losers Values PMPM'!AW72*12)*$I$10</f>
        <v>0</v>
      </c>
      <c r="J84" s="489">
        <f>('Winners-Losers Values PMPM'!AT72*12)*$I$11</f>
        <v>72.900384858404664</v>
      </c>
      <c r="K84" s="510">
        <f t="shared" si="34"/>
        <v>4702.1176516211744</v>
      </c>
      <c r="L84" s="510">
        <f t="shared" si="35"/>
        <v>3.3645726154408369E+22</v>
      </c>
      <c r="M84" s="510">
        <f t="shared" si="36"/>
        <v>0</v>
      </c>
      <c r="N84" s="489">
        <f>'Winners-Losers Values PMPM'!AP72*12</f>
        <v>1032.5107375656262</v>
      </c>
      <c r="O84" s="489">
        <f>'Winners-Losers Values PMPM'!AQ72*12</f>
        <v>125.12801888237423</v>
      </c>
      <c r="P84" s="489">
        <f>'Winners-Losers Values PMPM'!AR72*12</f>
        <v>0</v>
      </c>
      <c r="Q84" s="489">
        <f>'Winners-Losers Values PMPM'!AO72*12</f>
        <v>0</v>
      </c>
      <c r="R84" s="510">
        <f t="shared" si="37"/>
        <v>1157.6387564480003</v>
      </c>
      <c r="S84" s="489">
        <f t="shared" si="38"/>
        <v>1356.8306691817018</v>
      </c>
      <c r="T84" s="489">
        <f t="shared" si="39"/>
        <v>1356.8306691817018</v>
      </c>
      <c r="U84" s="510">
        <f>((('Assumptions-Output Override'!$H$60+'Assumptions-Output Override'!$H$61)/('Assumptions-Output Override'!$F$60+'Assumptions-Output Override'!$F$61))*'HRA Balance Calc'!$I$5*12)+($K$8*(($I$8*12)))</f>
        <v>-288.26087712588196</v>
      </c>
      <c r="V84" s="489">
        <f>'Winners-Losers Values PMPM'!AV72*(1-$I$9)*12+$L$8*(($I$8*12)*IFERROR((('Winners-Losers Values PMPM'!AY72*12)/('Winners-Losers Values PMPM'!AY$107*12)),0))</f>
        <v>32.804695988635672</v>
      </c>
      <c r="W84" s="489">
        <f>('Winners-Losers Values PMPM'!AW72*12)*(1-$I$10)+$M$8*(($I$8*12)*IFERROR((('Winners-Losers Values PMPM'!AY72*12)/('Winners-Losers Values PMPM'!AY$107*12)),0))</f>
        <v>0</v>
      </c>
      <c r="X84" s="489">
        <f>('Winners-Losers Values PMPM'!AT72*12)*(1-$I$11)+$N$8*(($I$8*12)*IFERROR((('Winners-Losers Values PMPM'!AY72*12)/('Winners-Losers Values PMPM'!AY$107*12)),0))</f>
        <v>166.38721674506573</v>
      </c>
      <c r="Y84" s="510">
        <f t="shared" si="40"/>
        <v>-89.068964392180561</v>
      </c>
      <c r="AA84" s="510">
        <f t="shared" si="41"/>
        <v>4443.3239894938342</v>
      </c>
      <c r="AB84" s="510">
        <f t="shared" si="41"/>
        <v>185.89327726893546</v>
      </c>
      <c r="AC84" s="510">
        <f t="shared" si="41"/>
        <v>0</v>
      </c>
      <c r="AD84" s="510">
        <f t="shared" si="30"/>
        <v>72.900384858404664</v>
      </c>
      <c r="AE84" s="510">
        <f t="shared" si="42"/>
        <v>471.98996185153999</v>
      </c>
      <c r="AF84" s="510">
        <f t="shared" si="43"/>
        <v>5174.1076134727145</v>
      </c>
      <c r="AG84" s="510">
        <f t="shared" si="44"/>
        <v>3.3645726154408369E+22</v>
      </c>
      <c r="AH84" s="510">
        <f t="shared" si="45"/>
        <v>3.3645726154408369E+22</v>
      </c>
      <c r="AJ84" s="510">
        <f t="shared" si="46"/>
        <v>744.24986043974423</v>
      </c>
      <c r="AK84" s="510">
        <f t="shared" si="47"/>
        <v>157.93271487100992</v>
      </c>
      <c r="AL84" s="510">
        <f t="shared" si="47"/>
        <v>0</v>
      </c>
      <c r="AM84" s="510">
        <f t="shared" si="47"/>
        <v>166.38721674506573</v>
      </c>
      <c r="AN84" s="510">
        <f t="shared" si="48"/>
        <v>0</v>
      </c>
      <c r="AO84" s="510">
        <f t="shared" si="49"/>
        <v>1068.5697920558198</v>
      </c>
      <c r="AQ84" s="510">
        <f t="shared" si="28"/>
        <v>5187.5738499335785</v>
      </c>
      <c r="AR84" s="510">
        <f t="shared" si="28"/>
        <v>343.82599213994536</v>
      </c>
      <c r="AS84" s="510">
        <f t="shared" si="28"/>
        <v>0</v>
      </c>
      <c r="AT84" s="510">
        <f t="shared" si="28"/>
        <v>239.28760160347039</v>
      </c>
      <c r="AU84" s="510">
        <f t="shared" si="28"/>
        <v>471.98996185153999</v>
      </c>
      <c r="AV84" s="510">
        <f t="shared" si="50"/>
        <v>6242.677405528535</v>
      </c>
      <c r="AW84" s="510">
        <f t="shared" si="51"/>
        <v>3.3645726154408369E+22</v>
      </c>
      <c r="AX84" s="510">
        <f t="shared" si="52"/>
        <v>3.3645726154408369E+22</v>
      </c>
      <c r="AY84" s="510">
        <f t="shared" si="53"/>
        <v>3.3645726154408369E+22</v>
      </c>
      <c r="AZ84" s="490">
        <f t="shared" si="54"/>
        <v>-3.3645726154408369E+22</v>
      </c>
      <c r="BA84" s="510">
        <f t="shared" si="55"/>
        <v>6.7291452308816738E+22</v>
      </c>
    </row>
    <row r="85" spans="1:53" x14ac:dyDescent="0.2">
      <c r="A85">
        <v>68</v>
      </c>
      <c r="B85" s="510">
        <f>'Assumptions-Output Target'!$D$12*'Assumptions-Output Override'!$D$11*$I$2*12</f>
        <v>3935.8341983467963</v>
      </c>
      <c r="C85" s="510">
        <f t="shared" si="31"/>
        <v>-3.3645726154408369E+22</v>
      </c>
      <c r="D85" s="510">
        <f t="shared" si="32"/>
        <v>0</v>
      </c>
      <c r="E85" s="510">
        <f t="shared" si="29"/>
        <v>471.98996185153999</v>
      </c>
      <c r="F85" s="510">
        <f t="shared" si="33"/>
        <v>3.3645726154408369E+22</v>
      </c>
      <c r="G85" s="510">
        <f>$I$5*'Assumptions-Output Override'!$D$12*12</f>
        <v>4443.3239894938342</v>
      </c>
      <c r="H85" s="489">
        <f>'Winners-Losers Values PMPM'!AV73*$I$9*12</f>
        <v>201.56002473314771</v>
      </c>
      <c r="I85" s="489">
        <f>('Winners-Losers Values PMPM'!AW73*12)*$I$10</f>
        <v>0</v>
      </c>
      <c r="J85" s="489">
        <f>('Winners-Losers Values PMPM'!AT73*12)*$I$11</f>
        <v>79.772597594081645</v>
      </c>
      <c r="K85" s="510">
        <f t="shared" si="34"/>
        <v>4724.656611821064</v>
      </c>
      <c r="L85" s="510">
        <f t="shared" si="35"/>
        <v>3.3645726154408369E+22</v>
      </c>
      <c r="M85" s="510">
        <f t="shared" si="36"/>
        <v>0</v>
      </c>
      <c r="N85" s="489">
        <f>'Winners-Losers Values PMPM'!AP73*12</f>
        <v>1074.5002862442634</v>
      </c>
      <c r="O85" s="489">
        <f>'Winners-Losers Values PMPM'!AQ73*12</f>
        <v>138.05305619029684</v>
      </c>
      <c r="P85" s="489">
        <f>'Winners-Losers Values PMPM'!AR73*12</f>
        <v>0</v>
      </c>
      <c r="Q85" s="489">
        <f>'Winners-Losers Values PMPM'!AO73*12</f>
        <v>0</v>
      </c>
      <c r="R85" s="510">
        <f t="shared" si="37"/>
        <v>1212.5533424345604</v>
      </c>
      <c r="S85" s="489">
        <f t="shared" si="38"/>
        <v>1430.1950550543347</v>
      </c>
      <c r="T85" s="489">
        <f t="shared" si="39"/>
        <v>1430.1950550543347</v>
      </c>
      <c r="U85" s="510">
        <f>((('Assumptions-Output Override'!$H$60+'Assumptions-Output Override'!$H$61)/('Assumptions-Output Override'!$F$60+'Assumptions-Output Override'!$F$61))*'HRA Balance Calc'!$I$5*12)+($K$8*(($I$8*12)))</f>
        <v>-288.26087712588196</v>
      </c>
      <c r="V85" s="489">
        <f>'Winners-Losers Values PMPM'!AV73*(1-$I$9)*12+$L$8*(($I$8*12)*IFERROR((('Winners-Losers Values PMPM'!AY73*12)/('Winners-Losers Values PMPM'!AY$107*12)),0))</f>
        <v>35.569416129379007</v>
      </c>
      <c r="W85" s="489">
        <f>('Winners-Losers Values PMPM'!AW73*12)*(1-$I$10)+$M$8*(($I$8*12)*IFERROR((('Winners-Losers Values PMPM'!AY73*12)/('Winners-Losers Values PMPM'!AY$107*12)),0))</f>
        <v>0</v>
      </c>
      <c r="X85" s="489">
        <f>('Winners-Losers Values PMPM'!AT73*12)*(1-$I$11)+$N$8*(($I$8*12)*IFERROR((('Winners-Losers Values PMPM'!AY73*12)/('Winners-Losers Values PMPM'!AY$107*12)),0))</f>
        <v>182.07229649039522</v>
      </c>
      <c r="Y85" s="510">
        <f t="shared" si="40"/>
        <v>-70.619164506107722</v>
      </c>
      <c r="AA85" s="510">
        <f t="shared" si="41"/>
        <v>4443.3239894938342</v>
      </c>
      <c r="AB85" s="510">
        <f t="shared" si="41"/>
        <v>201.56002473314771</v>
      </c>
      <c r="AC85" s="510">
        <f t="shared" si="41"/>
        <v>0</v>
      </c>
      <c r="AD85" s="510">
        <f t="shared" si="30"/>
        <v>79.772597594081645</v>
      </c>
      <c r="AE85" s="510">
        <f t="shared" si="42"/>
        <v>471.98996185153999</v>
      </c>
      <c r="AF85" s="510">
        <f t="shared" si="43"/>
        <v>5196.6465736726041</v>
      </c>
      <c r="AG85" s="510">
        <f t="shared" si="44"/>
        <v>3.3645726154408369E+22</v>
      </c>
      <c r="AH85" s="510">
        <f t="shared" si="45"/>
        <v>3.3645726154408369E+22</v>
      </c>
      <c r="AJ85" s="510">
        <f t="shared" si="46"/>
        <v>786.23940911838145</v>
      </c>
      <c r="AK85" s="510">
        <f t="shared" si="47"/>
        <v>173.62247231967586</v>
      </c>
      <c r="AL85" s="510">
        <f t="shared" si="47"/>
        <v>0</v>
      </c>
      <c r="AM85" s="510">
        <f t="shared" si="47"/>
        <v>182.07229649039522</v>
      </c>
      <c r="AN85" s="510">
        <f t="shared" si="48"/>
        <v>0</v>
      </c>
      <c r="AO85" s="510">
        <f t="shared" si="49"/>
        <v>1141.9341779284525</v>
      </c>
      <c r="AQ85" s="510">
        <f t="shared" si="28"/>
        <v>5229.5633986122157</v>
      </c>
      <c r="AR85" s="510">
        <f t="shared" si="28"/>
        <v>375.18249705282358</v>
      </c>
      <c r="AS85" s="510">
        <f t="shared" si="28"/>
        <v>0</v>
      </c>
      <c r="AT85" s="510">
        <f t="shared" si="28"/>
        <v>261.84489408447689</v>
      </c>
      <c r="AU85" s="510">
        <f t="shared" si="28"/>
        <v>471.98996185153999</v>
      </c>
      <c r="AV85" s="510">
        <f t="shared" si="50"/>
        <v>6338.5807516010564</v>
      </c>
      <c r="AW85" s="510">
        <f t="shared" si="51"/>
        <v>3.3645726154408369E+22</v>
      </c>
      <c r="AX85" s="510">
        <f t="shared" si="52"/>
        <v>3.3645726154408369E+22</v>
      </c>
      <c r="AY85" s="510">
        <f t="shared" si="53"/>
        <v>3.3645726154408369E+22</v>
      </c>
      <c r="AZ85" s="490">
        <f t="shared" si="54"/>
        <v>-3.3645726154408369E+22</v>
      </c>
      <c r="BA85" s="510">
        <f t="shared" si="55"/>
        <v>6.7291452308816738E+22</v>
      </c>
    </row>
    <row r="86" spans="1:53" x14ac:dyDescent="0.2">
      <c r="A86">
        <v>69</v>
      </c>
      <c r="B86" s="510">
        <f>'Assumptions-Output Target'!$D$12*'Assumptions-Output Override'!$D$11*$I$2*12</f>
        <v>3935.8341983467963</v>
      </c>
      <c r="C86" s="510">
        <f t="shared" si="31"/>
        <v>-3.3645726154408369E+22</v>
      </c>
      <c r="D86" s="510">
        <f t="shared" si="32"/>
        <v>0</v>
      </c>
      <c r="E86" s="510">
        <f t="shared" si="29"/>
        <v>471.98996185153999</v>
      </c>
      <c r="F86" s="510">
        <f t="shared" si="33"/>
        <v>3.3645726154408369E+22</v>
      </c>
      <c r="G86" s="510">
        <f>$I$5*'Assumptions-Output Override'!$D$12*12</f>
        <v>4443.3239894938342</v>
      </c>
      <c r="H86" s="489">
        <f>'Winners-Losers Values PMPM'!AV74*$I$9*12</f>
        <v>212.33515332229558</v>
      </c>
      <c r="I86" s="489">
        <f>('Winners-Losers Values PMPM'!AW74*12)*$I$10</f>
        <v>8.9135585562074737E-2</v>
      </c>
      <c r="J86" s="489">
        <f>('Winners-Losers Values PMPM'!AT74*12)*$I$11</f>
        <v>88.321453288169508</v>
      </c>
      <c r="K86" s="510">
        <f t="shared" si="34"/>
        <v>4744.0697316898613</v>
      </c>
      <c r="L86" s="510">
        <f t="shared" si="35"/>
        <v>3.3645726154408369E+22</v>
      </c>
      <c r="M86" s="510">
        <f t="shared" si="36"/>
        <v>0</v>
      </c>
      <c r="N86" s="489">
        <f>'Winners-Losers Values PMPM'!AP74*12</f>
        <v>1110.1641559167429</v>
      </c>
      <c r="O86" s="489">
        <f>'Winners-Losers Values PMPM'!AQ74*12</f>
        <v>136.95909847908968</v>
      </c>
      <c r="P86" s="489">
        <f>'Winners-Losers Values PMPM'!AR74*12</f>
        <v>3.6250049212659522E-3</v>
      </c>
      <c r="Q86" s="489">
        <f>'Winners-Losers Values PMPM'!AO74*12</f>
        <v>0</v>
      </c>
      <c r="R86" s="510">
        <f t="shared" si="37"/>
        <v>1247.126879400754</v>
      </c>
      <c r="S86" s="489">
        <f t="shared" si="38"/>
        <v>1486.1976504462689</v>
      </c>
      <c r="T86" s="489">
        <f t="shared" si="39"/>
        <v>1486.1976504462689</v>
      </c>
      <c r="U86" s="510">
        <f>((('Assumptions-Output Override'!$H$60+'Assumptions-Output Override'!$H$61)/('Assumptions-Output Override'!$F$60+'Assumptions-Output Override'!$F$61))*'HRA Balance Calc'!$I$5*12)+($K$8*(($I$8*12)))</f>
        <v>-288.26087712588196</v>
      </c>
      <c r="V86" s="489">
        <f>'Winners-Losers Values PMPM'!AV74*(1-$I$9)*12+$L$8*(($I$8*12)*IFERROR((('Winners-Losers Values PMPM'!AY74*12)/('Winners-Losers Values PMPM'!AY$107*12)),0))</f>
        <v>37.470909409816869</v>
      </c>
      <c r="W86" s="489">
        <f>('Winners-Losers Values PMPM'!AW74*12)*(1-$I$10)+$M$8*(($I$8*12)*IFERROR((('Winners-Losers Values PMPM'!AY74*12)/('Winners-Losers Values PMPM'!AY$107*12)),0))</f>
        <v>1.5729809216836723E-2</v>
      </c>
      <c r="X86" s="489">
        <f>('Winners-Losers Values PMPM'!AT74*12)*(1-$I$11)+$N$8*(($I$8*12)*IFERROR((('Winners-Losers Values PMPM'!AY74*12)/('Winners-Losers Values PMPM'!AY$107*12)),0))</f>
        <v>201.58413182648118</v>
      </c>
      <c r="Y86" s="510">
        <f t="shared" si="40"/>
        <v>-49.190106080367059</v>
      </c>
      <c r="AA86" s="510">
        <f t="shared" si="41"/>
        <v>4443.3239894938342</v>
      </c>
      <c r="AB86" s="510">
        <f t="shared" si="41"/>
        <v>212.33515332229558</v>
      </c>
      <c r="AC86" s="510">
        <f t="shared" si="41"/>
        <v>8.9135585562074737E-2</v>
      </c>
      <c r="AD86" s="510">
        <f t="shared" si="30"/>
        <v>88.321453288169508</v>
      </c>
      <c r="AE86" s="510">
        <f t="shared" si="42"/>
        <v>471.98996185153999</v>
      </c>
      <c r="AF86" s="510">
        <f t="shared" si="43"/>
        <v>5216.0596935414014</v>
      </c>
      <c r="AG86" s="510">
        <f t="shared" si="44"/>
        <v>3.3645726154408369E+22</v>
      </c>
      <c r="AH86" s="510">
        <f t="shared" si="45"/>
        <v>3.3645726154408369E+22</v>
      </c>
      <c r="AJ86" s="510">
        <f t="shared" si="46"/>
        <v>821.9032787908609</v>
      </c>
      <c r="AK86" s="510">
        <f t="shared" si="47"/>
        <v>174.43000788890654</v>
      </c>
      <c r="AL86" s="510">
        <f t="shared" si="47"/>
        <v>1.9354814138102677E-2</v>
      </c>
      <c r="AM86" s="510">
        <f t="shared" si="47"/>
        <v>201.58413182648118</v>
      </c>
      <c r="AN86" s="510">
        <f t="shared" si="48"/>
        <v>0</v>
      </c>
      <c r="AO86" s="510">
        <f t="shared" si="49"/>
        <v>1197.9367733203867</v>
      </c>
      <c r="AQ86" s="510">
        <f t="shared" si="28"/>
        <v>5265.2272682846951</v>
      </c>
      <c r="AR86" s="510">
        <f t="shared" si="28"/>
        <v>386.7651612112021</v>
      </c>
      <c r="AS86" s="510">
        <f t="shared" si="28"/>
        <v>0.10849039970017742</v>
      </c>
      <c r="AT86" s="510">
        <f t="shared" si="28"/>
        <v>289.90558511465071</v>
      </c>
      <c r="AU86" s="510">
        <f t="shared" si="28"/>
        <v>471.98996185153999</v>
      </c>
      <c r="AV86" s="510">
        <f t="shared" si="50"/>
        <v>6413.9964668617877</v>
      </c>
      <c r="AW86" s="510">
        <f t="shared" si="51"/>
        <v>3.3645726154408369E+22</v>
      </c>
      <c r="AX86" s="510">
        <f t="shared" si="52"/>
        <v>3.3645726154408369E+22</v>
      </c>
      <c r="AY86" s="510">
        <f t="shared" si="53"/>
        <v>3.3645726154408369E+22</v>
      </c>
      <c r="AZ86" s="490">
        <f t="shared" si="54"/>
        <v>-3.3645726154408369E+22</v>
      </c>
      <c r="BA86" s="510">
        <f t="shared" si="55"/>
        <v>6.7291452308816738E+22</v>
      </c>
    </row>
    <row r="87" spans="1:53" x14ac:dyDescent="0.2">
      <c r="A87">
        <v>70</v>
      </c>
      <c r="B87" s="510">
        <f>'Assumptions-Output Target'!$D$12*'Assumptions-Output Override'!$D$11*$I$2*12</f>
        <v>3935.8341983467963</v>
      </c>
      <c r="C87" s="510">
        <f t="shared" si="31"/>
        <v>-3.3645726154408369E+22</v>
      </c>
      <c r="D87" s="510">
        <f t="shared" si="32"/>
        <v>0</v>
      </c>
      <c r="E87" s="510">
        <f t="shared" si="29"/>
        <v>471.98996185153999</v>
      </c>
      <c r="F87" s="510">
        <f t="shared" si="33"/>
        <v>3.3645726154408369E+22</v>
      </c>
      <c r="G87" s="510">
        <f>$I$5*'Assumptions-Output Override'!$D$12*12</f>
        <v>4443.3239894938342</v>
      </c>
      <c r="H87" s="489">
        <f>'Winners-Losers Values PMPM'!AV75*$I$9*12</f>
        <v>228.14368957993645</v>
      </c>
      <c r="I87" s="489">
        <f>('Winners-Losers Values PMPM'!AW75*12)*$I$10</f>
        <v>0.27604509607915362</v>
      </c>
      <c r="J87" s="489">
        <f>('Winners-Losers Values PMPM'!AT75*12)*$I$11</f>
        <v>95.393173207201585</v>
      </c>
      <c r="K87" s="510">
        <f t="shared" si="34"/>
        <v>4767.1368973770514</v>
      </c>
      <c r="L87" s="510">
        <f t="shared" si="35"/>
        <v>3.3645726154408369E+22</v>
      </c>
      <c r="M87" s="510">
        <f t="shared" si="36"/>
        <v>0</v>
      </c>
      <c r="N87" s="489">
        <f>'Winners-Losers Values PMPM'!AP75*12</f>
        <v>1144.3912864815943</v>
      </c>
      <c r="O87" s="489">
        <f>'Winners-Losers Values PMPM'!AQ75*12</f>
        <v>143.66886688307977</v>
      </c>
      <c r="P87" s="489">
        <f>'Winners-Losers Values PMPM'!AR75*12</f>
        <v>1.1226322522797514E-2</v>
      </c>
      <c r="Q87" s="489">
        <f>'Winners-Losers Values PMPM'!AO75*12</f>
        <v>0</v>
      </c>
      <c r="R87" s="510">
        <f t="shared" si="37"/>
        <v>1288.0713796871969</v>
      </c>
      <c r="S87" s="489">
        <f t="shared" si="38"/>
        <v>1546.1053096958321</v>
      </c>
      <c r="T87" s="489">
        <f t="shared" si="39"/>
        <v>1546.1053096958321</v>
      </c>
      <c r="U87" s="510">
        <f>((('Assumptions-Output Override'!$H$60+'Assumptions-Output Override'!$H$61)/('Assumptions-Output Override'!$F$60+'Assumptions-Output Override'!$F$61))*'HRA Balance Calc'!$I$5*12)+($K$8*(($I$8*12)))</f>
        <v>-288.26087712588196</v>
      </c>
      <c r="V87" s="489">
        <f>'Winners-Losers Values PMPM'!AV75*(1-$I$9)*12+$L$8*(($I$8*12)*IFERROR((('Winners-Losers Values PMPM'!AY75*12)/('Winners-Losers Values PMPM'!AY$107*12)),0))</f>
        <v>40.26065110234174</v>
      </c>
      <c r="W87" s="489">
        <f>('Winners-Losers Values PMPM'!AW75*12)*(1-$I$10)+$M$8*(($I$8*12)*IFERROR((('Winners-Losers Values PMPM'!AY75*12)/('Winners-Losers Values PMPM'!AY$107*12)),0))</f>
        <v>4.8713840484556528E-2</v>
      </c>
      <c r="X87" s="489">
        <f>('Winners-Losers Values PMPM'!AT75*12)*(1-$I$11)+$N$8*(($I$8*12)*IFERROR((('Winners-Losers Values PMPM'!AY75*12)/('Winners-Losers Values PMPM'!AY$107*12)),0))</f>
        <v>217.72456506580906</v>
      </c>
      <c r="Y87" s="510">
        <f t="shared" si="40"/>
        <v>-30.226947117246596</v>
      </c>
      <c r="AA87" s="510">
        <f t="shared" si="41"/>
        <v>4443.3239894938342</v>
      </c>
      <c r="AB87" s="510">
        <f t="shared" si="41"/>
        <v>228.14368957993645</v>
      </c>
      <c r="AC87" s="510">
        <f t="shared" si="41"/>
        <v>0.27604509607915362</v>
      </c>
      <c r="AD87" s="510">
        <f t="shared" si="30"/>
        <v>95.393173207201585</v>
      </c>
      <c r="AE87" s="510">
        <f t="shared" si="42"/>
        <v>471.98996185153999</v>
      </c>
      <c r="AF87" s="510">
        <f t="shared" si="43"/>
        <v>5239.1268592285915</v>
      </c>
      <c r="AG87" s="510">
        <f t="shared" si="44"/>
        <v>3.3645726154408369E+22</v>
      </c>
      <c r="AH87" s="510">
        <f t="shared" si="45"/>
        <v>3.3645726154408369E+22</v>
      </c>
      <c r="AJ87" s="510">
        <f t="shared" si="46"/>
        <v>856.13040935571235</v>
      </c>
      <c r="AK87" s="510">
        <f t="shared" si="47"/>
        <v>183.92951798542151</v>
      </c>
      <c r="AL87" s="510">
        <f t="shared" si="47"/>
        <v>5.9940163007354039E-2</v>
      </c>
      <c r="AM87" s="510">
        <f t="shared" si="47"/>
        <v>217.72456506580906</v>
      </c>
      <c r="AN87" s="510">
        <f t="shared" si="48"/>
        <v>0</v>
      </c>
      <c r="AO87" s="510">
        <f t="shared" si="49"/>
        <v>1257.8444325699502</v>
      </c>
      <c r="AQ87" s="510">
        <f t="shared" si="28"/>
        <v>5299.4543988495461</v>
      </c>
      <c r="AR87" s="510">
        <f t="shared" si="28"/>
        <v>412.07320756535796</v>
      </c>
      <c r="AS87" s="510">
        <f t="shared" si="28"/>
        <v>0.33598525908650767</v>
      </c>
      <c r="AT87" s="510">
        <f t="shared" si="28"/>
        <v>313.11773827301067</v>
      </c>
      <c r="AU87" s="510">
        <f t="shared" si="28"/>
        <v>471.98996185153999</v>
      </c>
      <c r="AV87" s="510">
        <f t="shared" si="50"/>
        <v>6496.9712917985407</v>
      </c>
      <c r="AW87" s="510">
        <f t="shared" si="51"/>
        <v>3.3645726154408369E+22</v>
      </c>
      <c r="AX87" s="510">
        <f t="shared" si="52"/>
        <v>3.3645726154408369E+22</v>
      </c>
      <c r="AY87" s="510">
        <f t="shared" si="53"/>
        <v>3.3645726154408369E+22</v>
      </c>
      <c r="AZ87" s="490">
        <f t="shared" si="54"/>
        <v>-3.3645726154408369E+22</v>
      </c>
      <c r="BA87" s="510">
        <f t="shared" si="55"/>
        <v>6.7291452308816738E+22</v>
      </c>
    </row>
    <row r="88" spans="1:53" x14ac:dyDescent="0.2">
      <c r="A88">
        <v>71</v>
      </c>
      <c r="B88" s="510">
        <f>'Assumptions-Output Target'!$D$12*'Assumptions-Output Override'!$D$11*$I$2*12</f>
        <v>3935.8341983467963</v>
      </c>
      <c r="C88" s="510">
        <f t="shared" si="31"/>
        <v>-3.3645726154408369E+22</v>
      </c>
      <c r="D88" s="510">
        <f t="shared" si="32"/>
        <v>0</v>
      </c>
      <c r="E88" s="510">
        <f t="shared" si="29"/>
        <v>471.98996185153999</v>
      </c>
      <c r="F88" s="510">
        <f t="shared" si="33"/>
        <v>3.3645726154408369E+22</v>
      </c>
      <c r="G88" s="510">
        <f>$I$5*'Assumptions-Output Override'!$D$12*12</f>
        <v>4443.3239894938342</v>
      </c>
      <c r="H88" s="489">
        <f>'Winners-Losers Values PMPM'!AV76*$I$9*12</f>
        <v>245.84851455118769</v>
      </c>
      <c r="I88" s="489">
        <f>('Winners-Losers Values PMPM'!AW76*12)*$I$10</f>
        <v>0.19487425582582515</v>
      </c>
      <c r="J88" s="489">
        <f>('Winners-Losers Values PMPM'!AT76*12)*$I$11</f>
        <v>104.57659429899634</v>
      </c>
      <c r="K88" s="510">
        <f t="shared" si="34"/>
        <v>4793.9439725998445</v>
      </c>
      <c r="L88" s="510">
        <f t="shared" si="35"/>
        <v>3.3645726154408369E+22</v>
      </c>
      <c r="M88" s="510">
        <f t="shared" si="36"/>
        <v>0</v>
      </c>
      <c r="N88" s="489">
        <f>'Winners-Losers Values PMPM'!AP76*12</f>
        <v>1185.0572259053897</v>
      </c>
      <c r="O88" s="489">
        <f>'Winners-Losers Values PMPM'!AQ76*12</f>
        <v>147.32844069537856</v>
      </c>
      <c r="P88" s="489">
        <f>'Winners-Losers Values PMPM'!AR76*12</f>
        <v>7.9252313421411206E-3</v>
      </c>
      <c r="Q88" s="489">
        <f>'Winners-Losers Values PMPM'!AO76*12</f>
        <v>0</v>
      </c>
      <c r="R88" s="510">
        <f t="shared" si="37"/>
        <v>1332.3935918321104</v>
      </c>
      <c r="S88" s="489">
        <f t="shared" si="38"/>
        <v>1614.4977404406739</v>
      </c>
      <c r="T88" s="489">
        <f t="shared" si="39"/>
        <v>1614.4977404406739</v>
      </c>
      <c r="U88" s="510">
        <f>((('Assumptions-Output Override'!$H$60+'Assumptions-Output Override'!$H$61)/('Assumptions-Output Override'!$F$60+'Assumptions-Output Override'!$F$61))*'HRA Balance Calc'!$I$5*12)+($K$8*(($I$8*12)))</f>
        <v>-288.26087712588196</v>
      </c>
      <c r="V88" s="489">
        <f>'Winners-Losers Values PMPM'!AV76*(1-$I$9)*12+$L$8*(($I$8*12)*IFERROR((('Winners-Losers Values PMPM'!AY76*12)/('Winners-Losers Values PMPM'!AY$107*12)),0))</f>
        <v>43.385031979621367</v>
      </c>
      <c r="W88" s="489">
        <f>('Winners-Losers Values PMPM'!AW76*12)*(1-$I$10)+$M$8*(($I$8*12)*IFERROR((('Winners-Losers Values PMPM'!AY76*12)/('Winners-Losers Values PMPM'!AY$107*12)),0))</f>
        <v>3.438957455749856E-2</v>
      </c>
      <c r="X88" s="489">
        <f>('Winners-Losers Values PMPM'!AT76*12)*(1-$I$11)+$N$8*(($I$8*12)*IFERROR((('Winners-Losers Values PMPM'!AY76*12)/('Winners-Losers Values PMPM'!AY$107*12)),0))</f>
        <v>238.68472705438464</v>
      </c>
      <c r="Y88" s="510">
        <f t="shared" si="40"/>
        <v>-6.1567285173184416</v>
      </c>
      <c r="AA88" s="510">
        <f t="shared" si="41"/>
        <v>4443.3239894938342</v>
      </c>
      <c r="AB88" s="510">
        <f t="shared" si="41"/>
        <v>245.84851455118769</v>
      </c>
      <c r="AC88" s="510">
        <f t="shared" si="41"/>
        <v>0.19487425582582515</v>
      </c>
      <c r="AD88" s="510">
        <f t="shared" si="30"/>
        <v>104.57659429899634</v>
      </c>
      <c r="AE88" s="510">
        <f t="shared" si="42"/>
        <v>471.98996185153999</v>
      </c>
      <c r="AF88" s="510">
        <f t="shared" si="43"/>
        <v>5265.9339344513846</v>
      </c>
      <c r="AG88" s="510">
        <f t="shared" si="44"/>
        <v>3.3645726154408369E+22</v>
      </c>
      <c r="AH88" s="510">
        <f t="shared" si="45"/>
        <v>3.3645726154408369E+22</v>
      </c>
      <c r="AJ88" s="510">
        <f t="shared" si="46"/>
        <v>896.79634877950775</v>
      </c>
      <c r="AK88" s="510">
        <f t="shared" si="47"/>
        <v>190.71347267499993</v>
      </c>
      <c r="AL88" s="510">
        <f t="shared" si="47"/>
        <v>4.2314805899639679E-2</v>
      </c>
      <c r="AM88" s="510">
        <f t="shared" si="47"/>
        <v>238.68472705438464</v>
      </c>
      <c r="AN88" s="510">
        <f t="shared" si="48"/>
        <v>0</v>
      </c>
      <c r="AO88" s="510">
        <f t="shared" si="49"/>
        <v>1326.2368633147921</v>
      </c>
      <c r="AQ88" s="510">
        <f t="shared" si="28"/>
        <v>5340.120338273342</v>
      </c>
      <c r="AR88" s="510">
        <f t="shared" si="28"/>
        <v>436.56198722618763</v>
      </c>
      <c r="AS88" s="510">
        <f t="shared" si="28"/>
        <v>0.23718906172546483</v>
      </c>
      <c r="AT88" s="510">
        <f t="shared" si="28"/>
        <v>343.26132135338099</v>
      </c>
      <c r="AU88" s="510">
        <f t="shared" si="28"/>
        <v>471.98996185153999</v>
      </c>
      <c r="AV88" s="510">
        <f t="shared" si="50"/>
        <v>6592.1707977661763</v>
      </c>
      <c r="AW88" s="510">
        <f t="shared" si="51"/>
        <v>3.3645726154408369E+22</v>
      </c>
      <c r="AX88" s="510">
        <f t="shared" si="52"/>
        <v>3.3645726154408369E+22</v>
      </c>
      <c r="AY88" s="510">
        <f t="shared" si="53"/>
        <v>3.3645726154408369E+22</v>
      </c>
      <c r="AZ88" s="490">
        <f t="shared" si="54"/>
        <v>-3.3645726154408369E+22</v>
      </c>
      <c r="BA88" s="510">
        <f t="shared" si="55"/>
        <v>6.7291452308816738E+22</v>
      </c>
    </row>
    <row r="89" spans="1:53" x14ac:dyDescent="0.2">
      <c r="A89">
        <v>72</v>
      </c>
      <c r="B89" s="510">
        <f>'Assumptions-Output Target'!$D$12*'Assumptions-Output Override'!$D$11*$I$2*12</f>
        <v>3935.8341983467963</v>
      </c>
      <c r="C89" s="510">
        <f t="shared" si="31"/>
        <v>-3.3645726154408369E+22</v>
      </c>
      <c r="D89" s="510">
        <f t="shared" si="32"/>
        <v>0</v>
      </c>
      <c r="E89" s="510">
        <f t="shared" si="29"/>
        <v>471.98996185153999</v>
      </c>
      <c r="F89" s="510">
        <f t="shared" si="33"/>
        <v>3.3645726154408369E+22</v>
      </c>
      <c r="G89" s="510">
        <f>$I$5*'Assumptions-Output Override'!$D$12*12</f>
        <v>4443.3239894938342</v>
      </c>
      <c r="H89" s="489">
        <f>'Winners-Losers Values PMPM'!AV77*$I$9*12</f>
        <v>267.00640017260099</v>
      </c>
      <c r="I89" s="489">
        <f>('Winners-Losers Values PMPM'!AW77*12)*$I$10</f>
        <v>0</v>
      </c>
      <c r="J89" s="489">
        <f>('Winners-Losers Values PMPM'!AT77*12)*$I$11</f>
        <v>113.58528987333645</v>
      </c>
      <c r="K89" s="510">
        <f t="shared" si="34"/>
        <v>4823.9156795397721</v>
      </c>
      <c r="L89" s="510">
        <f t="shared" si="35"/>
        <v>3.3645726154408369E+22</v>
      </c>
      <c r="M89" s="510">
        <f t="shared" si="36"/>
        <v>0</v>
      </c>
      <c r="N89" s="489">
        <f>'Winners-Losers Values PMPM'!AP77*12</f>
        <v>1216.5911714542126</v>
      </c>
      <c r="O89" s="489">
        <f>'Winners-Losers Values PMPM'!AQ77*12</f>
        <v>155.18145995670437</v>
      </c>
      <c r="P89" s="489">
        <f>'Winners-Losers Values PMPM'!AR77*12</f>
        <v>0</v>
      </c>
      <c r="Q89" s="489">
        <f>'Winners-Losers Values PMPM'!AO77*12</f>
        <v>0</v>
      </c>
      <c r="R89" s="510">
        <f t="shared" si="37"/>
        <v>1371.772631410917</v>
      </c>
      <c r="S89" s="489">
        <f t="shared" si="38"/>
        <v>1678.1375049238522</v>
      </c>
      <c r="T89" s="489">
        <f t="shared" si="39"/>
        <v>1678.1375049238522</v>
      </c>
      <c r="U89" s="510">
        <f>((('Assumptions-Output Override'!$H$60+'Assumptions-Output Override'!$H$61)/('Assumptions-Output Override'!$F$60+'Assumptions-Output Override'!$F$61))*'HRA Balance Calc'!$I$5*12)+($K$8*(($I$8*12)))</f>
        <v>-288.26087712588196</v>
      </c>
      <c r="V89" s="489">
        <f>'Winners-Losers Values PMPM'!AV77*(1-$I$9)*12+$L$8*(($I$8*12)*IFERROR((('Winners-Losers Values PMPM'!AY77*12)/('Winners-Losers Values PMPM'!AY$107*12)),0))</f>
        <v>47.118776501047243</v>
      </c>
      <c r="W89" s="489">
        <f>('Winners-Losers Values PMPM'!AW77*12)*(1-$I$10)+$M$8*(($I$8*12)*IFERROR((('Winners-Losers Values PMPM'!AY77*12)/('Winners-Losers Values PMPM'!AY$107*12)),0))</f>
        <v>0</v>
      </c>
      <c r="X89" s="489">
        <f>('Winners-Losers Values PMPM'!AT77*12)*(1-$I$11)+$N$8*(($I$8*12)*IFERROR((('Winners-Losers Values PMPM'!AY77*12)/('Winners-Losers Values PMPM'!AY$107*12)),0))</f>
        <v>259.24609701188808</v>
      </c>
      <c r="Y89" s="510">
        <f t="shared" si="40"/>
        <v>18.103996387053371</v>
      </c>
      <c r="AA89" s="510">
        <f t="shared" si="41"/>
        <v>4443.3239894938342</v>
      </c>
      <c r="AB89" s="510">
        <f t="shared" si="41"/>
        <v>267.00640017260099</v>
      </c>
      <c r="AC89" s="510">
        <f t="shared" si="41"/>
        <v>0</v>
      </c>
      <c r="AD89" s="510">
        <f t="shared" si="30"/>
        <v>113.58528987333645</v>
      </c>
      <c r="AE89" s="510">
        <f t="shared" si="42"/>
        <v>471.98996185153999</v>
      </c>
      <c r="AF89" s="510">
        <f t="shared" si="43"/>
        <v>5295.9056413913122</v>
      </c>
      <c r="AG89" s="510">
        <f t="shared" si="44"/>
        <v>3.3645726154408369E+22</v>
      </c>
      <c r="AH89" s="510">
        <f t="shared" si="45"/>
        <v>3.3645726154408369E+22</v>
      </c>
      <c r="AJ89" s="510">
        <f t="shared" si="46"/>
        <v>928.33029432833064</v>
      </c>
      <c r="AK89" s="510">
        <f t="shared" si="47"/>
        <v>202.30023645775162</v>
      </c>
      <c r="AL89" s="510">
        <f t="shared" si="47"/>
        <v>0</v>
      </c>
      <c r="AM89" s="510">
        <f t="shared" si="47"/>
        <v>259.24609701188808</v>
      </c>
      <c r="AN89" s="510">
        <f t="shared" si="48"/>
        <v>0</v>
      </c>
      <c r="AO89" s="510">
        <f t="shared" si="49"/>
        <v>1389.8766277979703</v>
      </c>
      <c r="AQ89" s="510">
        <f t="shared" si="28"/>
        <v>5371.6542838221649</v>
      </c>
      <c r="AR89" s="510">
        <f t="shared" si="28"/>
        <v>469.30663663035261</v>
      </c>
      <c r="AS89" s="510">
        <f t="shared" si="28"/>
        <v>0</v>
      </c>
      <c r="AT89" s="510">
        <f t="shared" si="28"/>
        <v>372.83138688522456</v>
      </c>
      <c r="AU89" s="510">
        <f t="shared" si="28"/>
        <v>471.98996185153999</v>
      </c>
      <c r="AV89" s="510">
        <f t="shared" si="50"/>
        <v>6685.7822691892825</v>
      </c>
      <c r="AW89" s="510">
        <f t="shared" si="51"/>
        <v>3.3645726154408369E+22</v>
      </c>
      <c r="AX89" s="510">
        <f t="shared" si="52"/>
        <v>3.3645726154408369E+22</v>
      </c>
      <c r="AY89" s="510">
        <f t="shared" si="53"/>
        <v>3.3645726154408369E+22</v>
      </c>
      <c r="AZ89" s="490">
        <f t="shared" si="54"/>
        <v>-3.3645726154408369E+22</v>
      </c>
      <c r="BA89" s="510">
        <f t="shared" si="55"/>
        <v>6.7291452308816738E+22</v>
      </c>
    </row>
    <row r="90" spans="1:53" x14ac:dyDescent="0.2">
      <c r="A90">
        <v>73</v>
      </c>
      <c r="B90" s="510">
        <f>'Assumptions-Output Target'!$D$12*'Assumptions-Output Override'!$D$11*$I$2*12</f>
        <v>3935.8341983467963</v>
      </c>
      <c r="C90" s="510">
        <f t="shared" si="31"/>
        <v>-3.3645726154408369E+22</v>
      </c>
      <c r="D90" s="510">
        <f t="shared" si="32"/>
        <v>0</v>
      </c>
      <c r="E90" s="510">
        <f t="shared" si="29"/>
        <v>471.98996185153999</v>
      </c>
      <c r="F90" s="510">
        <f t="shared" si="33"/>
        <v>3.3645726154408369E+22</v>
      </c>
      <c r="G90" s="510">
        <f>$I$5*'Assumptions-Output Override'!$D$12*12</f>
        <v>4443.3239894938342</v>
      </c>
      <c r="H90" s="489">
        <f>'Winners-Losers Values PMPM'!AV78*$I$9*12</f>
        <v>288.19083696919279</v>
      </c>
      <c r="I90" s="489">
        <f>('Winners-Losers Values PMPM'!AW78*12)*$I$10</f>
        <v>0.21139291184119993</v>
      </c>
      <c r="J90" s="489">
        <f>('Winners-Losers Values PMPM'!AT78*12)*$I$11</f>
        <v>121.38286627651812</v>
      </c>
      <c r="K90" s="510">
        <f t="shared" si="34"/>
        <v>4853.1090856513865</v>
      </c>
      <c r="L90" s="510">
        <f t="shared" si="35"/>
        <v>3.3645726154408369E+22</v>
      </c>
      <c r="M90" s="510">
        <f t="shared" si="36"/>
        <v>0</v>
      </c>
      <c r="N90" s="489">
        <f>'Winners-Losers Values PMPM'!AP78*12</f>
        <v>1270.3781446511643</v>
      </c>
      <c r="O90" s="489">
        <f>'Winners-Losers Values PMPM'!AQ78*12</f>
        <v>158.88098744700628</v>
      </c>
      <c r="P90" s="489">
        <f>'Winners-Losers Values PMPM'!AR78*12</f>
        <v>8.5970192590638424E-3</v>
      </c>
      <c r="Q90" s="489">
        <f>'Winners-Losers Values PMPM'!AO78*12</f>
        <v>0</v>
      </c>
      <c r="R90" s="510">
        <f t="shared" si="37"/>
        <v>1429.2677291174296</v>
      </c>
      <c r="S90" s="489">
        <f t="shared" si="38"/>
        <v>1757.2054591738265</v>
      </c>
      <c r="T90" s="489">
        <f t="shared" si="39"/>
        <v>1757.2054591738265</v>
      </c>
      <c r="U90" s="510">
        <f>((('Assumptions-Output Override'!$H$60+'Assumptions-Output Override'!$H$61)/('Assumptions-Output Override'!$F$60+'Assumptions-Output Override'!$F$61))*'HRA Balance Calc'!$I$5*12)+($K$8*(($I$8*12)))</f>
        <v>-288.26087712588196</v>
      </c>
      <c r="V90" s="489">
        <f>'Winners-Losers Values PMPM'!AV78*(1-$I$9)*12+$L$8*(($I$8*12)*IFERROR((('Winners-Losers Values PMPM'!AY78*12)/('Winners-Losers Values PMPM'!AY$107*12)),0))</f>
        <v>50.857206523975208</v>
      </c>
      <c r="W90" s="489">
        <f>('Winners-Losers Values PMPM'!AW78*12)*(1-$I$10)+$M$8*(($I$8*12)*IFERROR((('Winners-Losers Values PMPM'!AY78*12)/('Winners-Losers Values PMPM'!AY$107*12)),0))</f>
        <v>3.7304631501388234E-2</v>
      </c>
      <c r="X90" s="489">
        <f>('Winners-Losers Values PMPM'!AT78*12)*(1-$I$11)+$N$8*(($I$8*12)*IFERROR((('Winners-Losers Values PMPM'!AY78*12)/('Winners-Losers Values PMPM'!AY$107*12)),0))</f>
        <v>277.04321890092046</v>
      </c>
      <c r="Y90" s="510">
        <f t="shared" si="40"/>
        <v>39.676852930515111</v>
      </c>
      <c r="AA90" s="510">
        <f t="shared" si="41"/>
        <v>4443.3239894938342</v>
      </c>
      <c r="AB90" s="510">
        <f t="shared" si="41"/>
        <v>288.19083696919279</v>
      </c>
      <c r="AC90" s="510">
        <f t="shared" si="41"/>
        <v>0.21139291184119993</v>
      </c>
      <c r="AD90" s="510">
        <f t="shared" si="30"/>
        <v>121.38286627651812</v>
      </c>
      <c r="AE90" s="510">
        <f t="shared" si="42"/>
        <v>471.98996185153999</v>
      </c>
      <c r="AF90" s="510">
        <f t="shared" si="43"/>
        <v>5325.0990475029266</v>
      </c>
      <c r="AG90" s="510">
        <f t="shared" si="44"/>
        <v>3.3645726154408369E+22</v>
      </c>
      <c r="AH90" s="510">
        <f t="shared" si="45"/>
        <v>3.3645726154408369E+22</v>
      </c>
      <c r="AJ90" s="510">
        <f t="shared" si="46"/>
        <v>982.11726752528239</v>
      </c>
      <c r="AK90" s="510">
        <f t="shared" si="47"/>
        <v>209.73819397098148</v>
      </c>
      <c r="AL90" s="510">
        <f t="shared" si="47"/>
        <v>4.5901650760452078E-2</v>
      </c>
      <c r="AM90" s="510">
        <f t="shared" si="47"/>
        <v>277.04321890092046</v>
      </c>
      <c r="AN90" s="510">
        <f t="shared" si="48"/>
        <v>0</v>
      </c>
      <c r="AO90" s="510">
        <f t="shared" si="49"/>
        <v>1468.9445820479448</v>
      </c>
      <c r="AQ90" s="510">
        <f t="shared" si="28"/>
        <v>5425.4412570191162</v>
      </c>
      <c r="AR90" s="510">
        <f t="shared" si="28"/>
        <v>497.92903094017424</v>
      </c>
      <c r="AS90" s="510">
        <f t="shared" si="28"/>
        <v>0.25729456260165201</v>
      </c>
      <c r="AT90" s="510">
        <f t="shared" si="28"/>
        <v>398.42608517743861</v>
      </c>
      <c r="AU90" s="510">
        <f t="shared" si="28"/>
        <v>471.98996185153999</v>
      </c>
      <c r="AV90" s="510">
        <f t="shared" si="50"/>
        <v>6794.0436295508707</v>
      </c>
      <c r="AW90" s="510">
        <f t="shared" si="51"/>
        <v>3.3645726154408369E+22</v>
      </c>
      <c r="AX90" s="510">
        <f t="shared" si="52"/>
        <v>3.3645726154408369E+22</v>
      </c>
      <c r="AY90" s="510">
        <f t="shared" si="53"/>
        <v>3.3645726154408369E+22</v>
      </c>
      <c r="AZ90" s="490">
        <f t="shared" si="54"/>
        <v>-3.3645726154408369E+22</v>
      </c>
      <c r="BA90" s="510">
        <f t="shared" si="55"/>
        <v>6.7291452308816738E+22</v>
      </c>
    </row>
    <row r="91" spans="1:53" x14ac:dyDescent="0.2">
      <c r="A91">
        <v>74</v>
      </c>
      <c r="B91" s="510">
        <f>'Assumptions-Output Target'!$D$12*'Assumptions-Output Override'!$D$11*$I$2*12</f>
        <v>3935.8341983467963</v>
      </c>
      <c r="C91" s="510">
        <f t="shared" si="31"/>
        <v>-3.3645726154408369E+22</v>
      </c>
      <c r="D91" s="510">
        <f t="shared" si="32"/>
        <v>0</v>
      </c>
      <c r="E91" s="510">
        <f t="shared" si="29"/>
        <v>471.98996185153999</v>
      </c>
      <c r="F91" s="510">
        <f t="shared" si="33"/>
        <v>3.3645726154408369E+22</v>
      </c>
      <c r="G91" s="510">
        <f>$I$5*'Assumptions-Output Override'!$D$12*12</f>
        <v>4443.3239894938342</v>
      </c>
      <c r="H91" s="489">
        <f>'Winners-Losers Values PMPM'!AV79*$I$9*12</f>
        <v>309.64481246417751</v>
      </c>
      <c r="I91" s="489">
        <f>('Winners-Losers Values PMPM'!AW79*12)*$I$10</f>
        <v>0.67368585449370522</v>
      </c>
      <c r="J91" s="489">
        <f>('Winners-Losers Values PMPM'!AT79*12)*$I$11</f>
        <v>132.10492243897727</v>
      </c>
      <c r="K91" s="510">
        <f t="shared" si="34"/>
        <v>4885.7474102514825</v>
      </c>
      <c r="L91" s="510">
        <f t="shared" si="35"/>
        <v>3.3645726154408369E+22</v>
      </c>
      <c r="M91" s="510">
        <f t="shared" si="36"/>
        <v>0</v>
      </c>
      <c r="N91" s="489">
        <f>'Winners-Losers Values PMPM'!AP79*12</f>
        <v>1308.5352823219407</v>
      </c>
      <c r="O91" s="489">
        <f>'Winners-Losers Values PMPM'!AQ79*12</f>
        <v>170.37571614179387</v>
      </c>
      <c r="P91" s="489">
        <f>'Winners-Losers Values PMPM'!AR79*12</f>
        <v>2.7397750545165057E-2</v>
      </c>
      <c r="Q91" s="489">
        <f>'Winners-Losers Values PMPM'!AO79*12</f>
        <v>0</v>
      </c>
      <c r="R91" s="510">
        <f t="shared" si="37"/>
        <v>1478.9383962142797</v>
      </c>
      <c r="S91" s="489">
        <f t="shared" si="38"/>
        <v>1835.2156326069867</v>
      </c>
      <c r="T91" s="489">
        <f t="shared" si="39"/>
        <v>1835.2156326069867</v>
      </c>
      <c r="U91" s="510">
        <f>((('Assumptions-Output Override'!$H$60+'Assumptions-Output Override'!$H$61)/('Assumptions-Output Override'!$F$60+'Assumptions-Output Override'!$F$61))*'HRA Balance Calc'!$I$5*12)+($K$8*(($I$8*12)))</f>
        <v>-288.26087712588196</v>
      </c>
      <c r="V91" s="489">
        <f>'Winners-Losers Values PMPM'!AV79*(1-$I$9)*12+$L$8*(($I$8*12)*IFERROR((('Winners-Losers Values PMPM'!AY79*12)/('Winners-Losers Values PMPM'!AY$107*12)),0))</f>
        <v>54.64320219956074</v>
      </c>
      <c r="W91" s="489">
        <f>('Winners-Losers Values PMPM'!AW79*12)*(1-$I$10)+$M$8*(($I$8*12)*IFERROR((('Winners-Losers Values PMPM'!AY79*12)/('Winners-Losers Values PMPM'!AY$107*12)),0))</f>
        <v>0.11888573902830094</v>
      </c>
      <c r="X91" s="489">
        <f>('Winners-Losers Values PMPM'!AT79*12)*(1-$I$11)+$N$8*(($I$8*12)*IFERROR((('Winners-Losers Values PMPM'!AY79*12)/('Winners-Losers Values PMPM'!AY$107*12)),0))</f>
        <v>301.51514845411788</v>
      </c>
      <c r="Y91" s="510">
        <f t="shared" si="40"/>
        <v>68.016359266824963</v>
      </c>
      <c r="AA91" s="510">
        <f t="shared" si="41"/>
        <v>4443.3239894938342</v>
      </c>
      <c r="AB91" s="510">
        <f t="shared" si="41"/>
        <v>309.64481246417751</v>
      </c>
      <c r="AC91" s="510">
        <f t="shared" si="41"/>
        <v>0.67368585449370522</v>
      </c>
      <c r="AD91" s="510">
        <f t="shared" si="30"/>
        <v>132.10492243897727</v>
      </c>
      <c r="AE91" s="510">
        <f t="shared" si="42"/>
        <v>471.98996185153999</v>
      </c>
      <c r="AF91" s="510">
        <f t="shared" si="43"/>
        <v>5357.7373721030226</v>
      </c>
      <c r="AG91" s="510">
        <f t="shared" si="44"/>
        <v>3.3645726154408369E+22</v>
      </c>
      <c r="AH91" s="510">
        <f t="shared" si="45"/>
        <v>3.3645726154408369E+22</v>
      </c>
      <c r="AJ91" s="510">
        <f t="shared" si="46"/>
        <v>1020.2744051960588</v>
      </c>
      <c r="AK91" s="510">
        <f t="shared" si="47"/>
        <v>225.01891834135461</v>
      </c>
      <c r="AL91" s="510">
        <f t="shared" si="47"/>
        <v>0.14628348957346599</v>
      </c>
      <c r="AM91" s="510">
        <f t="shared" si="47"/>
        <v>301.51514845411788</v>
      </c>
      <c r="AN91" s="510">
        <f t="shared" si="48"/>
        <v>0</v>
      </c>
      <c r="AO91" s="510">
        <f t="shared" si="49"/>
        <v>1546.9547554811049</v>
      </c>
      <c r="AQ91" s="510">
        <f t="shared" si="28"/>
        <v>5463.5983946898932</v>
      </c>
      <c r="AR91" s="510">
        <f t="shared" si="28"/>
        <v>534.66373080553217</v>
      </c>
      <c r="AS91" s="510">
        <f t="shared" si="28"/>
        <v>0.81996934406717115</v>
      </c>
      <c r="AT91" s="510">
        <f t="shared" si="28"/>
        <v>433.62007089309515</v>
      </c>
      <c r="AU91" s="510">
        <f t="shared" si="28"/>
        <v>471.98996185153999</v>
      </c>
      <c r="AV91" s="510">
        <f t="shared" si="50"/>
        <v>6904.6921275841287</v>
      </c>
      <c r="AW91" s="510">
        <f t="shared" si="51"/>
        <v>3.3645726154408369E+22</v>
      </c>
      <c r="AX91" s="510">
        <f t="shared" si="52"/>
        <v>3.3645726154408369E+22</v>
      </c>
      <c r="AY91" s="510">
        <f t="shared" si="53"/>
        <v>3.3645726154408369E+22</v>
      </c>
      <c r="AZ91" s="490">
        <f t="shared" si="54"/>
        <v>-3.3645726154408369E+22</v>
      </c>
      <c r="BA91" s="510">
        <f t="shared" si="55"/>
        <v>6.7291452308816738E+22</v>
      </c>
    </row>
    <row r="92" spans="1:53" x14ac:dyDescent="0.2">
      <c r="A92">
        <v>75</v>
      </c>
      <c r="B92" s="510">
        <f>'Assumptions-Output Target'!$D$12*'Assumptions-Output Override'!$D$11*$I$2*12</f>
        <v>3935.8341983467963</v>
      </c>
      <c r="C92" s="510">
        <f t="shared" si="31"/>
        <v>-3.3645726154408369E+22</v>
      </c>
      <c r="D92" s="510">
        <f t="shared" si="32"/>
        <v>0</v>
      </c>
      <c r="E92" s="510">
        <f t="shared" si="29"/>
        <v>471.98996185153999</v>
      </c>
      <c r="F92" s="510">
        <f t="shared" si="33"/>
        <v>3.3645726154408369E+22</v>
      </c>
      <c r="G92" s="510">
        <f>$I$5*'Assumptions-Output Override'!$D$12*12</f>
        <v>4443.3239894938342</v>
      </c>
      <c r="H92" s="489">
        <f>'Winners-Losers Values PMPM'!AV80*$I$9*12</f>
        <v>329.34473711888796</v>
      </c>
      <c r="I92" s="489">
        <f>('Winners-Losers Values PMPM'!AW80*12)*$I$10</f>
        <v>0.12172827043507735</v>
      </c>
      <c r="J92" s="489">
        <f>('Winners-Losers Values PMPM'!AT80*12)*$I$11</f>
        <v>143.63529064157797</v>
      </c>
      <c r="K92" s="510">
        <f t="shared" si="34"/>
        <v>4916.4257455247343</v>
      </c>
      <c r="L92" s="510">
        <f t="shared" si="35"/>
        <v>3.3645726154408369E+22</v>
      </c>
      <c r="M92" s="510">
        <f t="shared" si="36"/>
        <v>0</v>
      </c>
      <c r="N92" s="489">
        <f>'Winners-Losers Values PMPM'!AP80*12</f>
        <v>1359.2559491588052</v>
      </c>
      <c r="O92" s="489">
        <f>'Winners-Losers Values PMPM'!AQ80*12</f>
        <v>174.00321174579929</v>
      </c>
      <c r="P92" s="489">
        <f>'Winners-Losers Values PMPM'!AR80*12</f>
        <v>4.9504984636808969E-3</v>
      </c>
      <c r="Q92" s="489">
        <f>'Winners-Losers Values PMPM'!AO80*12</f>
        <v>0</v>
      </c>
      <c r="R92" s="510">
        <f t="shared" si="37"/>
        <v>1533.264111403068</v>
      </c>
      <c r="S92" s="489">
        <f t="shared" si="38"/>
        <v>1919.2372148690038</v>
      </c>
      <c r="T92" s="489">
        <f t="shared" si="39"/>
        <v>1919.2372148690038</v>
      </c>
      <c r="U92" s="510">
        <f>((('Assumptions-Output Override'!$H$60+'Assumptions-Output Override'!$H$61)/('Assumptions-Output Override'!$F$60+'Assumptions-Output Override'!$F$61))*'HRA Balance Calc'!$I$5*12)+($K$8*(($I$8*12)))</f>
        <v>-288.26087712588196</v>
      </c>
      <c r="V92" s="489">
        <f>'Winners-Losers Values PMPM'!AV80*(1-$I$9)*12+$L$8*(($I$8*12)*IFERROR((('Winners-Losers Values PMPM'!AY80*12)/('Winners-Losers Values PMPM'!AY$107*12)),0))</f>
        <v>58.11965949156847</v>
      </c>
      <c r="W92" s="489">
        <f>('Winners-Losers Values PMPM'!AW80*12)*(1-$I$10)+$M$8*(($I$8*12)*IFERROR((('Winners-Losers Values PMPM'!AY80*12)/('Winners-Losers Values PMPM'!AY$107*12)),0))</f>
        <v>2.1481459488543065E-2</v>
      </c>
      <c r="X92" s="489">
        <f>('Winners-Losers Values PMPM'!AT80*12)*(1-$I$11)+$N$8*(($I$8*12)*IFERROR((('Winners-Losers Values PMPM'!AY80*12)/('Winners-Losers Values PMPM'!AY$107*12)),0))</f>
        <v>327.83196251487868</v>
      </c>
      <c r="Y92" s="510">
        <f t="shared" si="40"/>
        <v>97.712226340053746</v>
      </c>
      <c r="AA92" s="510">
        <f t="shared" si="41"/>
        <v>4443.3239894938342</v>
      </c>
      <c r="AB92" s="510">
        <f t="shared" si="41"/>
        <v>329.34473711888796</v>
      </c>
      <c r="AC92" s="510">
        <f t="shared" si="41"/>
        <v>0.12172827043507735</v>
      </c>
      <c r="AD92" s="510">
        <f t="shared" si="30"/>
        <v>143.63529064157797</v>
      </c>
      <c r="AE92" s="510">
        <f t="shared" si="42"/>
        <v>471.98996185153999</v>
      </c>
      <c r="AF92" s="510">
        <f t="shared" si="43"/>
        <v>5388.4157073762744</v>
      </c>
      <c r="AG92" s="510">
        <f t="shared" si="44"/>
        <v>3.3645726154408369E+22</v>
      </c>
      <c r="AH92" s="510">
        <f t="shared" si="45"/>
        <v>3.3645726154408369E+22</v>
      </c>
      <c r="AJ92" s="510">
        <f t="shared" si="46"/>
        <v>1070.9950720329232</v>
      </c>
      <c r="AK92" s="510">
        <f t="shared" si="47"/>
        <v>232.12287123736775</v>
      </c>
      <c r="AL92" s="510">
        <f t="shared" si="47"/>
        <v>2.6431957952223962E-2</v>
      </c>
      <c r="AM92" s="510">
        <f t="shared" si="47"/>
        <v>327.83196251487868</v>
      </c>
      <c r="AN92" s="510">
        <f t="shared" si="48"/>
        <v>0</v>
      </c>
      <c r="AO92" s="510">
        <f t="shared" si="49"/>
        <v>1630.9763377431218</v>
      </c>
      <c r="AQ92" s="510">
        <f t="shared" si="28"/>
        <v>5514.3190615267577</v>
      </c>
      <c r="AR92" s="510">
        <f t="shared" si="28"/>
        <v>561.46760835625571</v>
      </c>
      <c r="AS92" s="510">
        <f t="shared" si="28"/>
        <v>0.14816022838730131</v>
      </c>
      <c r="AT92" s="510">
        <f t="shared" si="28"/>
        <v>471.46725315645665</v>
      </c>
      <c r="AU92" s="510">
        <f t="shared" si="28"/>
        <v>471.98996185153999</v>
      </c>
      <c r="AV92" s="510">
        <f t="shared" si="50"/>
        <v>7019.3920451193972</v>
      </c>
      <c r="AW92" s="510">
        <f t="shared" si="51"/>
        <v>3.3645726154408369E+22</v>
      </c>
      <c r="AX92" s="510">
        <f t="shared" si="52"/>
        <v>3.3645726154408369E+22</v>
      </c>
      <c r="AY92" s="510">
        <f t="shared" si="53"/>
        <v>3.3645726154408369E+22</v>
      </c>
      <c r="AZ92" s="490">
        <f t="shared" si="54"/>
        <v>-3.3645726154408369E+22</v>
      </c>
      <c r="BA92" s="510">
        <f t="shared" si="55"/>
        <v>6.7291452308816738E+22</v>
      </c>
    </row>
    <row r="93" spans="1:53" x14ac:dyDescent="0.2">
      <c r="A93">
        <v>76</v>
      </c>
      <c r="B93" s="510">
        <f>'Assumptions-Output Target'!$D$12*'Assumptions-Output Override'!$D$11*$I$2*12</f>
        <v>3935.8341983467963</v>
      </c>
      <c r="C93" s="510">
        <f t="shared" si="31"/>
        <v>-3.3645726154408369E+22</v>
      </c>
      <c r="D93" s="510">
        <f t="shared" si="32"/>
        <v>0</v>
      </c>
      <c r="E93" s="510">
        <f t="shared" si="29"/>
        <v>471.98996185153999</v>
      </c>
      <c r="F93" s="510">
        <f t="shared" si="33"/>
        <v>3.3645726154408369E+22</v>
      </c>
      <c r="G93" s="510">
        <f>$I$5*'Assumptions-Output Override'!$D$12*12</f>
        <v>4443.3239894938342</v>
      </c>
      <c r="H93" s="489">
        <f>'Winners-Losers Values PMPM'!AV81*$I$9*12</f>
        <v>361.37614762151298</v>
      </c>
      <c r="I93" s="489">
        <f>('Winners-Losers Values PMPM'!AW81*12)*$I$10</f>
        <v>0.63365289164044569</v>
      </c>
      <c r="J93" s="489">
        <f>('Winners-Losers Values PMPM'!AT81*12)*$I$11</f>
        <v>156.66835184514952</v>
      </c>
      <c r="K93" s="510">
        <f t="shared" si="34"/>
        <v>4962.0021418521374</v>
      </c>
      <c r="L93" s="510">
        <f t="shared" si="35"/>
        <v>3.3645726154408369E+22</v>
      </c>
      <c r="M93" s="510">
        <f t="shared" si="36"/>
        <v>0</v>
      </c>
      <c r="N93" s="489">
        <f>'Winners-Losers Values PMPM'!AP81*12</f>
        <v>1403.7555112259406</v>
      </c>
      <c r="O93" s="489">
        <f>'Winners-Losers Values PMPM'!AQ81*12</f>
        <v>183.84173588684197</v>
      </c>
      <c r="P93" s="489">
        <f>'Winners-Losers Values PMPM'!AR81*12</f>
        <v>2.5769672528502902E-2</v>
      </c>
      <c r="Q93" s="489">
        <f>'Winners-Losers Values PMPM'!AO81*12</f>
        <v>0</v>
      </c>
      <c r="R93" s="510">
        <f t="shared" si="37"/>
        <v>1587.6230167853109</v>
      </c>
      <c r="S93" s="489">
        <f t="shared" si="38"/>
        <v>2009.0856094956962</v>
      </c>
      <c r="T93" s="489">
        <f t="shared" si="39"/>
        <v>2009.0856094956962</v>
      </c>
      <c r="U93" s="510">
        <f>((('Assumptions-Output Override'!$H$60+'Assumptions-Output Override'!$H$61)/('Assumptions-Output Override'!$F$60+'Assumptions-Output Override'!$F$61))*'HRA Balance Calc'!$I$5*12)+($K$8*(($I$8*12)))</f>
        <v>-288.26087712588196</v>
      </c>
      <c r="V93" s="489">
        <f>'Winners-Losers Values PMPM'!AV81*(1-$I$9)*12+$L$8*(($I$8*12)*IFERROR((('Winners-Losers Values PMPM'!AY81*12)/('Winners-Losers Values PMPM'!AY$107*12)),0))</f>
        <v>63.77226134497289</v>
      </c>
      <c r="W93" s="489">
        <f>('Winners-Losers Values PMPM'!AW81*12)*(1-$I$10)+$M$8*(($I$8*12)*IFERROR((('Winners-Losers Values PMPM'!AY81*12)/('Winners-Losers Values PMPM'!AY$107*12)),0))</f>
        <v>0.11182109852478456</v>
      </c>
      <c r="X93" s="489">
        <f>('Winners-Losers Values PMPM'!AT81*12)*(1-$I$11)+$N$8*(($I$8*12)*IFERROR((('Winners-Losers Values PMPM'!AY81*12)/('Winners-Losers Values PMPM'!AY$107*12)),0))</f>
        <v>357.57851026688763</v>
      </c>
      <c r="Y93" s="510">
        <f t="shared" si="40"/>
        <v>133.20171558450335</v>
      </c>
      <c r="AA93" s="510">
        <f t="shared" si="41"/>
        <v>4443.3239894938342</v>
      </c>
      <c r="AB93" s="510">
        <f t="shared" si="41"/>
        <v>361.37614762151298</v>
      </c>
      <c r="AC93" s="510">
        <f t="shared" si="41"/>
        <v>0.63365289164044569</v>
      </c>
      <c r="AD93" s="510">
        <f t="shared" si="30"/>
        <v>156.66835184514952</v>
      </c>
      <c r="AE93" s="510">
        <f t="shared" si="42"/>
        <v>471.98996185153999</v>
      </c>
      <c r="AF93" s="510">
        <f t="shared" si="43"/>
        <v>5433.9921037036775</v>
      </c>
      <c r="AG93" s="510">
        <f t="shared" si="44"/>
        <v>3.3645726154408369E+22</v>
      </c>
      <c r="AH93" s="510">
        <f t="shared" si="45"/>
        <v>3.3645726154408369E+22</v>
      </c>
      <c r="AJ93" s="510">
        <f t="shared" si="46"/>
        <v>1115.4946341000586</v>
      </c>
      <c r="AK93" s="510">
        <f t="shared" si="47"/>
        <v>247.61399723181486</v>
      </c>
      <c r="AL93" s="510">
        <f t="shared" si="47"/>
        <v>0.13759077105328746</v>
      </c>
      <c r="AM93" s="510">
        <f t="shared" si="47"/>
        <v>357.57851026688763</v>
      </c>
      <c r="AN93" s="510">
        <f t="shared" si="48"/>
        <v>0</v>
      </c>
      <c r="AO93" s="510">
        <f t="shared" si="49"/>
        <v>1720.8247323698145</v>
      </c>
      <c r="AQ93" s="510">
        <f t="shared" si="28"/>
        <v>5558.8186235938929</v>
      </c>
      <c r="AR93" s="510">
        <f t="shared" si="28"/>
        <v>608.99014485332782</v>
      </c>
      <c r="AS93" s="510">
        <f t="shared" si="28"/>
        <v>0.77124366269373312</v>
      </c>
      <c r="AT93" s="510">
        <f t="shared" si="28"/>
        <v>514.24686211203721</v>
      </c>
      <c r="AU93" s="510">
        <f t="shared" si="28"/>
        <v>471.98996185153999</v>
      </c>
      <c r="AV93" s="510">
        <f t="shared" si="50"/>
        <v>7154.8168360734917</v>
      </c>
      <c r="AW93" s="510">
        <f t="shared" si="51"/>
        <v>3.3645726154408369E+22</v>
      </c>
      <c r="AX93" s="510">
        <f t="shared" si="52"/>
        <v>3.3645726154408369E+22</v>
      </c>
      <c r="AY93" s="510">
        <f t="shared" si="53"/>
        <v>3.3645726154408369E+22</v>
      </c>
      <c r="AZ93" s="490">
        <f t="shared" si="54"/>
        <v>-3.3645726154408369E+22</v>
      </c>
      <c r="BA93" s="510">
        <f t="shared" si="55"/>
        <v>6.7291452308816738E+22</v>
      </c>
    </row>
    <row r="94" spans="1:53" x14ac:dyDescent="0.2">
      <c r="A94">
        <v>77</v>
      </c>
      <c r="B94" s="510">
        <f>'Assumptions-Output Target'!$D$12*'Assumptions-Output Override'!$D$11*$I$2*12</f>
        <v>3935.8341983467963</v>
      </c>
      <c r="C94" s="510">
        <f t="shared" si="31"/>
        <v>-3.3645726154408369E+22</v>
      </c>
      <c r="D94" s="510">
        <f t="shared" si="32"/>
        <v>0</v>
      </c>
      <c r="E94" s="510">
        <f t="shared" si="29"/>
        <v>471.98996185153999</v>
      </c>
      <c r="F94" s="510">
        <f t="shared" si="33"/>
        <v>3.3645726154408369E+22</v>
      </c>
      <c r="G94" s="510">
        <f>$I$5*'Assumptions-Output Override'!$D$12*12</f>
        <v>4443.3239894938342</v>
      </c>
      <c r="H94" s="489">
        <f>'Winners-Losers Values PMPM'!AV82*$I$9*12</f>
        <v>392.91343129133747</v>
      </c>
      <c r="I94" s="489">
        <f>('Winners-Losers Values PMPM'!AW82*12)*$I$10</f>
        <v>0.26952940398419994</v>
      </c>
      <c r="J94" s="489">
        <f>('Winners-Losers Values PMPM'!AT82*12)*$I$11</f>
        <v>168.44708377828525</v>
      </c>
      <c r="K94" s="510">
        <f t="shared" si="34"/>
        <v>5004.9540339674413</v>
      </c>
      <c r="L94" s="510">
        <f t="shared" si="35"/>
        <v>3.3645726154408369E+22</v>
      </c>
      <c r="M94" s="510">
        <f t="shared" si="36"/>
        <v>0</v>
      </c>
      <c r="N94" s="489">
        <f>'Winners-Losers Values PMPM'!AP82*12</f>
        <v>1449.6380300218659</v>
      </c>
      <c r="O94" s="489">
        <f>'Winners-Losers Values PMPM'!AQ82*12</f>
        <v>190.64665652960718</v>
      </c>
      <c r="P94" s="489">
        <f>'Winners-Losers Values PMPM'!AR82*12</f>
        <v>1.096133951112243E-2</v>
      </c>
      <c r="Q94" s="489">
        <f>'Winners-Losers Values PMPM'!AO82*12</f>
        <v>0</v>
      </c>
      <c r="R94" s="510">
        <f t="shared" si="37"/>
        <v>1640.2956478909841</v>
      </c>
      <c r="S94" s="489">
        <f t="shared" si="38"/>
        <v>2094.1430638372894</v>
      </c>
      <c r="T94" s="489">
        <f t="shared" si="39"/>
        <v>2094.1430638372894</v>
      </c>
      <c r="U94" s="510">
        <f>((('Assumptions-Output Override'!$H$60+'Assumptions-Output Override'!$H$61)/('Assumptions-Output Override'!$F$60+'Assumptions-Output Override'!$F$61))*'HRA Balance Calc'!$I$5*12)+($K$8*(($I$8*12)))</f>
        <v>-288.26087712588196</v>
      </c>
      <c r="V94" s="489">
        <f>'Winners-Losers Values PMPM'!AV82*(1-$I$9)*12+$L$8*(($I$8*12)*IFERROR((('Winners-Losers Values PMPM'!AY82*12)/('Winners-Losers Values PMPM'!AY$107*12)),0))</f>
        <v>69.337664345530158</v>
      </c>
      <c r="W94" s="489">
        <f>('Winners-Losers Values PMPM'!AW82*12)*(1-$I$10)+$M$8*(($I$8*12)*IFERROR((('Winners-Losers Values PMPM'!AY82*12)/('Winners-Losers Values PMPM'!AY$107*12)),0))</f>
        <v>4.7564012467800003E-2</v>
      </c>
      <c r="X94" s="489">
        <f>('Winners-Losers Values PMPM'!AT82*12)*(1-$I$11)+$N$8*(($I$8*12)*IFERROR((('Winners-Losers Values PMPM'!AY82*12)/('Winners-Losers Values PMPM'!AY$107*12)),0))</f>
        <v>384.46218758830759</v>
      </c>
      <c r="Y94" s="510">
        <f t="shared" si="40"/>
        <v>165.58653882042358</v>
      </c>
      <c r="AA94" s="510">
        <f t="shared" si="41"/>
        <v>4443.3239894938342</v>
      </c>
      <c r="AB94" s="510">
        <f t="shared" si="41"/>
        <v>392.91343129133747</v>
      </c>
      <c r="AC94" s="510">
        <f t="shared" si="41"/>
        <v>0.26952940398419994</v>
      </c>
      <c r="AD94" s="510">
        <f t="shared" si="30"/>
        <v>168.44708377828525</v>
      </c>
      <c r="AE94" s="510">
        <f t="shared" si="42"/>
        <v>471.98996185153999</v>
      </c>
      <c r="AF94" s="510">
        <f t="shared" si="43"/>
        <v>5476.9439958189814</v>
      </c>
      <c r="AG94" s="510">
        <f t="shared" si="44"/>
        <v>3.3645726154408369E+22</v>
      </c>
      <c r="AH94" s="510">
        <f t="shared" si="45"/>
        <v>3.3645726154408369E+22</v>
      </c>
      <c r="AJ94" s="510">
        <f t="shared" si="46"/>
        <v>1161.377152895984</v>
      </c>
      <c r="AK94" s="510">
        <f t="shared" si="47"/>
        <v>259.98432087513731</v>
      </c>
      <c r="AL94" s="510">
        <f t="shared" si="47"/>
        <v>5.8525351978922432E-2</v>
      </c>
      <c r="AM94" s="510">
        <f t="shared" si="47"/>
        <v>384.46218758830759</v>
      </c>
      <c r="AN94" s="510">
        <f t="shared" si="48"/>
        <v>0</v>
      </c>
      <c r="AO94" s="510">
        <f t="shared" si="49"/>
        <v>1805.8821867114079</v>
      </c>
      <c r="AQ94" s="510">
        <f t="shared" si="28"/>
        <v>5604.7011423898184</v>
      </c>
      <c r="AR94" s="510">
        <f t="shared" si="28"/>
        <v>652.89775216647479</v>
      </c>
      <c r="AS94" s="510">
        <f t="shared" si="28"/>
        <v>0.32805475596312239</v>
      </c>
      <c r="AT94" s="510">
        <f t="shared" si="28"/>
        <v>552.90927136659286</v>
      </c>
      <c r="AU94" s="510">
        <f t="shared" si="28"/>
        <v>471.98996185153999</v>
      </c>
      <c r="AV94" s="510">
        <f t="shared" si="50"/>
        <v>7282.8261825303898</v>
      </c>
      <c r="AW94" s="510">
        <f t="shared" si="51"/>
        <v>3.3645726154408369E+22</v>
      </c>
      <c r="AX94" s="510">
        <f t="shared" si="52"/>
        <v>3.3645726154408369E+22</v>
      </c>
      <c r="AY94" s="510">
        <f t="shared" si="53"/>
        <v>3.3645726154408369E+22</v>
      </c>
      <c r="AZ94" s="490">
        <f t="shared" si="54"/>
        <v>-3.3645726154408369E+22</v>
      </c>
      <c r="BA94" s="510">
        <f t="shared" si="55"/>
        <v>6.7291452308816738E+22</v>
      </c>
    </row>
    <row r="95" spans="1:53" x14ac:dyDescent="0.2">
      <c r="A95">
        <v>78</v>
      </c>
      <c r="B95" s="510">
        <f>'Assumptions-Output Target'!$D$12*'Assumptions-Output Override'!$D$11*$I$2*12</f>
        <v>3935.8341983467963</v>
      </c>
      <c r="C95" s="510">
        <f t="shared" si="31"/>
        <v>-3.3645726154408369E+22</v>
      </c>
      <c r="D95" s="510">
        <f t="shared" si="32"/>
        <v>0</v>
      </c>
      <c r="E95" s="510">
        <f t="shared" si="29"/>
        <v>471.98996185153999</v>
      </c>
      <c r="F95" s="510">
        <f t="shared" si="33"/>
        <v>3.3645726154408369E+22</v>
      </c>
      <c r="G95" s="510">
        <f>$I$5*'Assumptions-Output Override'!$D$12*12</f>
        <v>4443.3239894938342</v>
      </c>
      <c r="H95" s="489">
        <f>'Winners-Losers Values PMPM'!AV83*$I$9*12</f>
        <v>416.98892959039324</v>
      </c>
      <c r="I95" s="489">
        <f>('Winners-Losers Values PMPM'!AW83*12)*$I$10</f>
        <v>0.43044680926108497</v>
      </c>
      <c r="J95" s="489">
        <f>('Winners-Losers Values PMPM'!AT83*12)*$I$11</f>
        <v>183.94979823789294</v>
      </c>
      <c r="K95" s="510">
        <f t="shared" si="34"/>
        <v>5044.6931641313813</v>
      </c>
      <c r="L95" s="510">
        <f t="shared" si="35"/>
        <v>3.3645726154408369E+22</v>
      </c>
      <c r="M95" s="510">
        <f t="shared" si="36"/>
        <v>0</v>
      </c>
      <c r="N95" s="489">
        <f>'Winners-Losers Values PMPM'!AP83*12</f>
        <v>1518.0030873866137</v>
      </c>
      <c r="O95" s="489">
        <f>'Winners-Losers Values PMPM'!AQ83*12</f>
        <v>198.38045002606731</v>
      </c>
      <c r="P95" s="489">
        <f>'Winners-Losers Values PMPM'!AR83*12</f>
        <v>1.7505598825376029E-2</v>
      </c>
      <c r="Q95" s="489">
        <f>'Winners-Losers Values PMPM'!AO83*12</f>
        <v>0</v>
      </c>
      <c r="R95" s="510">
        <f t="shared" si="37"/>
        <v>1716.4010430115065</v>
      </c>
      <c r="S95" s="489">
        <f t="shared" si="38"/>
        <v>2209.9087367775655</v>
      </c>
      <c r="T95" s="489">
        <f t="shared" si="39"/>
        <v>2209.9087367775655</v>
      </c>
      <c r="U95" s="510">
        <f>((('Assumptions-Output Override'!$H$60+'Assumptions-Output Override'!$H$61)/('Assumptions-Output Override'!$F$60+'Assumptions-Output Override'!$F$61))*'HRA Balance Calc'!$I$5*12)+($K$8*(($I$8*12)))</f>
        <v>-288.26087712588196</v>
      </c>
      <c r="V95" s="489">
        <f>'Winners-Losers Values PMPM'!AV83*(1-$I$9)*12+$L$8*(($I$8*12)*IFERROR((('Winners-Losers Values PMPM'!AY83*12)/('Winners-Losers Values PMPM'!AY$107*12)),0))</f>
        <v>73.586281692422347</v>
      </c>
      <c r="W95" s="489">
        <f>('Winners-Losers Values PMPM'!AW83*12)*(1-$I$10)+$M$8*(($I$8*12)*IFERROR((('Winners-Losers Values PMPM'!AY83*12)/('Winners-Losers Values PMPM'!AY$107*12)),0))</f>
        <v>7.5961201634309125E-2</v>
      </c>
      <c r="X95" s="489">
        <f>('Winners-Losers Values PMPM'!AT83*12)*(1-$I$11)+$N$8*(($I$8*12)*IFERROR((('Winners-Losers Values PMPM'!AY83*12)/('Winners-Losers Values PMPM'!AY$107*12)),0))</f>
        <v>419.8454508720024</v>
      </c>
      <c r="Y95" s="510">
        <f t="shared" si="40"/>
        <v>205.24681664017709</v>
      </c>
      <c r="AA95" s="510">
        <f t="shared" si="41"/>
        <v>4443.3239894938342</v>
      </c>
      <c r="AB95" s="510">
        <f t="shared" si="41"/>
        <v>416.98892959039324</v>
      </c>
      <c r="AC95" s="510">
        <f t="shared" si="41"/>
        <v>0.43044680926108497</v>
      </c>
      <c r="AD95" s="510">
        <f t="shared" si="30"/>
        <v>183.94979823789294</v>
      </c>
      <c r="AE95" s="510">
        <f t="shared" si="42"/>
        <v>471.98996185153999</v>
      </c>
      <c r="AF95" s="510">
        <f t="shared" si="43"/>
        <v>5516.6831259829214</v>
      </c>
      <c r="AG95" s="510">
        <f t="shared" si="44"/>
        <v>3.3645726154408369E+22</v>
      </c>
      <c r="AH95" s="510">
        <f t="shared" si="45"/>
        <v>3.3645726154408369E+22</v>
      </c>
      <c r="AJ95" s="510">
        <f t="shared" si="46"/>
        <v>1229.7422102607318</v>
      </c>
      <c r="AK95" s="510">
        <f t="shared" si="47"/>
        <v>271.96673171848965</v>
      </c>
      <c r="AL95" s="510">
        <f t="shared" si="47"/>
        <v>9.3466800459685154E-2</v>
      </c>
      <c r="AM95" s="510">
        <f t="shared" si="47"/>
        <v>419.8454508720024</v>
      </c>
      <c r="AN95" s="510">
        <f t="shared" si="48"/>
        <v>0</v>
      </c>
      <c r="AO95" s="510">
        <f t="shared" si="49"/>
        <v>1921.6478596516836</v>
      </c>
      <c r="AQ95" s="510">
        <f t="shared" si="28"/>
        <v>5673.0661997545658</v>
      </c>
      <c r="AR95" s="510">
        <f t="shared" si="28"/>
        <v>688.9556613088829</v>
      </c>
      <c r="AS95" s="510">
        <f t="shared" si="28"/>
        <v>0.52391360972077017</v>
      </c>
      <c r="AT95" s="510">
        <f t="shared" si="28"/>
        <v>603.79524910989539</v>
      </c>
      <c r="AU95" s="510">
        <f t="shared" si="28"/>
        <v>471.98996185153999</v>
      </c>
      <c r="AV95" s="510">
        <f t="shared" si="50"/>
        <v>7438.330985634605</v>
      </c>
      <c r="AW95" s="510">
        <f t="shared" si="51"/>
        <v>3.3645726154408369E+22</v>
      </c>
      <c r="AX95" s="510">
        <f t="shared" si="52"/>
        <v>3.3645726154408369E+22</v>
      </c>
      <c r="AY95" s="510">
        <f t="shared" si="53"/>
        <v>3.3645726154408369E+22</v>
      </c>
      <c r="AZ95" s="490">
        <f t="shared" si="54"/>
        <v>-3.3645726154408369E+22</v>
      </c>
      <c r="BA95" s="510">
        <f t="shared" si="55"/>
        <v>6.7291452308816738E+22</v>
      </c>
    </row>
    <row r="96" spans="1:53" x14ac:dyDescent="0.2">
      <c r="A96">
        <v>79</v>
      </c>
      <c r="B96" s="510">
        <f>'Assumptions-Output Target'!$D$12*'Assumptions-Output Override'!$D$11*$I$2*12</f>
        <v>3935.8341983467963</v>
      </c>
      <c r="C96" s="510">
        <f t="shared" si="31"/>
        <v>-3.3645726154408369E+22</v>
      </c>
      <c r="D96" s="510">
        <f t="shared" si="32"/>
        <v>0</v>
      </c>
      <c r="E96" s="510">
        <f t="shared" si="29"/>
        <v>471.98996185153999</v>
      </c>
      <c r="F96" s="510">
        <f t="shared" si="33"/>
        <v>3.3645726154408369E+22</v>
      </c>
      <c r="G96" s="510">
        <f>$I$5*'Assumptions-Output Override'!$D$12*12</f>
        <v>4443.3239894938342</v>
      </c>
      <c r="H96" s="489">
        <f>'Winners-Losers Values PMPM'!AV84*$I$9*12</f>
        <v>468.09935319377439</v>
      </c>
      <c r="I96" s="489">
        <f>('Winners-Losers Values PMPM'!AW84*12)*$I$10</f>
        <v>0.75943282131484879</v>
      </c>
      <c r="J96" s="489">
        <f>('Winners-Losers Values PMPM'!AT84*12)*$I$11</f>
        <v>199.42292096959329</v>
      </c>
      <c r="K96" s="510">
        <f t="shared" si="34"/>
        <v>5111.6056964785166</v>
      </c>
      <c r="L96" s="510">
        <f t="shared" si="35"/>
        <v>3.3645726154408369E+22</v>
      </c>
      <c r="M96" s="510">
        <f t="shared" si="36"/>
        <v>0</v>
      </c>
      <c r="N96" s="489">
        <f>'Winners-Losers Values PMPM'!AP84*12</f>
        <v>1556.2404064929453</v>
      </c>
      <c r="O96" s="489">
        <f>'Winners-Losers Values PMPM'!AQ84*12</f>
        <v>212.44932972115055</v>
      </c>
      <c r="P96" s="489">
        <f>'Winners-Losers Values PMPM'!AR84*12</f>
        <v>3.0884945639584525E-2</v>
      </c>
      <c r="Q96" s="489">
        <f>'Winners-Losers Values PMPM'!AO84*12</f>
        <v>0</v>
      </c>
      <c r="R96" s="510">
        <f t="shared" si="37"/>
        <v>1768.7206211597354</v>
      </c>
      <c r="S96" s="489">
        <f t="shared" si="38"/>
        <v>2306.6215811753682</v>
      </c>
      <c r="T96" s="489">
        <f t="shared" si="39"/>
        <v>2306.6215811753682</v>
      </c>
      <c r="U96" s="510">
        <f>((('Assumptions-Output Override'!$H$60+'Assumptions-Output Override'!$H$61)/('Assumptions-Output Override'!$F$60+'Assumptions-Output Override'!$F$61))*'HRA Balance Calc'!$I$5*12)+($K$8*(($I$8*12)))</f>
        <v>-288.26087712588196</v>
      </c>
      <c r="V96" s="489">
        <f>'Winners-Losers Values PMPM'!AV84*(1-$I$9)*12+$L$8*(($I$8*12)*IFERROR((('Winners-Losers Values PMPM'!AY84*12)/('Winners-Losers Values PMPM'!AY$107*12)),0))</f>
        <v>82.605768210666085</v>
      </c>
      <c r="W96" s="489">
        <f>('Winners-Losers Values PMPM'!AW84*12)*(1-$I$10)+$M$8*(($I$8*12)*IFERROR((('Winners-Losers Values PMPM'!AY84*12)/('Winners-Losers Values PMPM'!AY$107*12)),0))</f>
        <v>0.13401755670262039</v>
      </c>
      <c r="X96" s="489">
        <f>('Winners-Losers Values PMPM'!AT84*12)*(1-$I$11)+$N$8*(($I$8*12)*IFERROR((('Winners-Losers Values PMPM'!AY84*12)/('Winners-Losers Values PMPM'!AY$107*12)),0))</f>
        <v>455.16117424826399</v>
      </c>
      <c r="Y96" s="510">
        <f t="shared" si="40"/>
        <v>249.64008288975074</v>
      </c>
      <c r="AA96" s="510">
        <f t="shared" si="41"/>
        <v>4443.3239894938342</v>
      </c>
      <c r="AB96" s="510">
        <f t="shared" si="41"/>
        <v>468.09935319377439</v>
      </c>
      <c r="AC96" s="510">
        <f t="shared" si="41"/>
        <v>0.75943282131484879</v>
      </c>
      <c r="AD96" s="510">
        <f t="shared" si="30"/>
        <v>199.42292096959329</v>
      </c>
      <c r="AE96" s="510">
        <f t="shared" si="42"/>
        <v>471.98996185153999</v>
      </c>
      <c r="AF96" s="510">
        <f t="shared" si="43"/>
        <v>5583.5956583300567</v>
      </c>
      <c r="AG96" s="510">
        <f t="shared" si="44"/>
        <v>3.3645726154408369E+22</v>
      </c>
      <c r="AH96" s="510">
        <f t="shared" si="45"/>
        <v>3.3645726154408369E+22</v>
      </c>
      <c r="AJ96" s="510">
        <f t="shared" si="46"/>
        <v>1267.9795293670634</v>
      </c>
      <c r="AK96" s="510">
        <f t="shared" si="47"/>
        <v>295.05509793181665</v>
      </c>
      <c r="AL96" s="510">
        <f t="shared" si="47"/>
        <v>0.16490250234220491</v>
      </c>
      <c r="AM96" s="510">
        <f t="shared" si="47"/>
        <v>455.16117424826399</v>
      </c>
      <c r="AN96" s="510">
        <f t="shared" si="48"/>
        <v>0</v>
      </c>
      <c r="AO96" s="510">
        <f t="shared" si="49"/>
        <v>2018.360704049486</v>
      </c>
      <c r="AQ96" s="510">
        <f t="shared" si="28"/>
        <v>5711.3035188608974</v>
      </c>
      <c r="AR96" s="510">
        <f t="shared" si="28"/>
        <v>763.15445112559109</v>
      </c>
      <c r="AS96" s="510">
        <f t="shared" si="28"/>
        <v>0.92433532365705373</v>
      </c>
      <c r="AT96" s="510">
        <f t="shared" si="28"/>
        <v>654.58409521785734</v>
      </c>
      <c r="AU96" s="510">
        <f t="shared" si="28"/>
        <v>471.98996185153999</v>
      </c>
      <c r="AV96" s="510">
        <f t="shared" si="50"/>
        <v>7601.956362379543</v>
      </c>
      <c r="AW96" s="510">
        <f t="shared" si="51"/>
        <v>3.3645726154408369E+22</v>
      </c>
      <c r="AX96" s="510">
        <f t="shared" si="52"/>
        <v>3.3645726154408369E+22</v>
      </c>
      <c r="AY96" s="510">
        <f t="shared" si="53"/>
        <v>3.3645726154408369E+22</v>
      </c>
      <c r="AZ96" s="490">
        <f t="shared" si="54"/>
        <v>-3.3645726154408369E+22</v>
      </c>
      <c r="BA96" s="510">
        <f t="shared" si="55"/>
        <v>6.7291452308816738E+22</v>
      </c>
    </row>
    <row r="97" spans="1:53" x14ac:dyDescent="0.2">
      <c r="A97">
        <v>80</v>
      </c>
      <c r="B97" s="510">
        <f>'Assumptions-Output Target'!$D$12*'Assumptions-Output Override'!$D$11*$I$2*12</f>
        <v>3935.8341983467963</v>
      </c>
      <c r="C97" s="510">
        <f t="shared" si="31"/>
        <v>-3.3645726154408369E+22</v>
      </c>
      <c r="D97" s="510">
        <f t="shared" si="32"/>
        <v>0</v>
      </c>
      <c r="E97" s="510">
        <f t="shared" si="29"/>
        <v>471.98996185153999</v>
      </c>
      <c r="F97" s="510">
        <f t="shared" si="33"/>
        <v>3.3645726154408369E+22</v>
      </c>
      <c r="G97" s="510">
        <f>$I$5*'Assumptions-Output Override'!$D$12*12</f>
        <v>4443.3239894938342</v>
      </c>
      <c r="H97" s="489">
        <f>'Winners-Losers Values PMPM'!AV85*$I$9*12</f>
        <v>478.80455046951306</v>
      </c>
      <c r="I97" s="489">
        <f>('Winners-Losers Values PMPM'!AW85*12)*$I$10</f>
        <v>1.1434388057433755</v>
      </c>
      <c r="J97" s="489">
        <f>('Winners-Losers Values PMPM'!AT85*12)*$I$11</f>
        <v>218.9213056991631</v>
      </c>
      <c r="K97" s="510">
        <f t="shared" si="34"/>
        <v>5142.1932844682533</v>
      </c>
      <c r="L97" s="510">
        <f t="shared" si="35"/>
        <v>3.3645726154408369E+22</v>
      </c>
      <c r="M97" s="510">
        <f t="shared" si="36"/>
        <v>0</v>
      </c>
      <c r="N97" s="489">
        <f>'Winners-Losers Values PMPM'!AP85*12</f>
        <v>1626.1459868860106</v>
      </c>
      <c r="O97" s="489">
        <f>'Winners-Losers Values PMPM'!AQ85*12</f>
        <v>216.44124683138782</v>
      </c>
      <c r="P97" s="489">
        <f>'Winners-Losers Values PMPM'!AR85*12</f>
        <v>4.6501868718858738E-2</v>
      </c>
      <c r="Q97" s="489">
        <f>'Winners-Losers Values PMPM'!AO85*12</f>
        <v>0</v>
      </c>
      <c r="R97" s="510">
        <f t="shared" si="37"/>
        <v>1842.6337355861174</v>
      </c>
      <c r="S97" s="489">
        <f t="shared" si="38"/>
        <v>2426.9945608590351</v>
      </c>
      <c r="T97" s="489">
        <f t="shared" si="39"/>
        <v>2426.9945608590351</v>
      </c>
      <c r="U97" s="510">
        <f>((('Assumptions-Output Override'!$H$60+'Assumptions-Output Override'!$H$61)/('Assumptions-Output Override'!$F$60+'Assumptions-Output Override'!$F$61))*'HRA Balance Calc'!$I$5*12)+($K$8*(($I$8*12)))</f>
        <v>-288.26087712588196</v>
      </c>
      <c r="V97" s="489">
        <f>'Winners-Losers Values PMPM'!AV85*(1-$I$9)*12+$L$8*(($I$8*12)*IFERROR((('Winners-Losers Values PMPM'!AY85*12)/('Winners-Losers Values PMPM'!AY$107*12)),0))</f>
        <v>84.494920671090554</v>
      </c>
      <c r="W97" s="489">
        <f>('Winners-Losers Values PMPM'!AW85*12)*(1-$I$10)+$M$8*(($I$8*12)*IFERROR((('Winners-Losers Values PMPM'!AY85*12)/('Winners-Losers Values PMPM'!AY$107*12)),0))</f>
        <v>0.20178331866059571</v>
      </c>
      <c r="X97" s="489">
        <f>('Winners-Losers Values PMPM'!AT85*12)*(1-$I$11)+$N$8*(($I$8*12)*IFERROR((('Winners-Losers Values PMPM'!AY85*12)/('Winners-Losers Values PMPM'!AY$107*12)),0))</f>
        <v>499.66412128316682</v>
      </c>
      <c r="Y97" s="510">
        <f t="shared" si="40"/>
        <v>296.099948147036</v>
      </c>
      <c r="AA97" s="510">
        <f t="shared" si="41"/>
        <v>4443.3239894938342</v>
      </c>
      <c r="AB97" s="510">
        <f t="shared" si="41"/>
        <v>478.80455046951306</v>
      </c>
      <c r="AC97" s="510">
        <f t="shared" si="41"/>
        <v>1.1434388057433755</v>
      </c>
      <c r="AD97" s="510">
        <f t="shared" si="30"/>
        <v>218.9213056991631</v>
      </c>
      <c r="AE97" s="510">
        <f t="shared" si="42"/>
        <v>471.98996185153999</v>
      </c>
      <c r="AF97" s="510">
        <f t="shared" si="43"/>
        <v>5614.1832463197934</v>
      </c>
      <c r="AG97" s="510">
        <f t="shared" si="44"/>
        <v>3.3645726154408369E+22</v>
      </c>
      <c r="AH97" s="510">
        <f t="shared" si="45"/>
        <v>3.3645726154408369E+22</v>
      </c>
      <c r="AJ97" s="510">
        <f t="shared" si="46"/>
        <v>1337.8851097601287</v>
      </c>
      <c r="AK97" s="510">
        <f t="shared" si="47"/>
        <v>300.93616750247838</v>
      </c>
      <c r="AL97" s="510">
        <f t="shared" si="47"/>
        <v>0.24828518737945443</v>
      </c>
      <c r="AM97" s="510">
        <f t="shared" si="47"/>
        <v>499.66412128316682</v>
      </c>
      <c r="AN97" s="510">
        <f t="shared" si="48"/>
        <v>0</v>
      </c>
      <c r="AO97" s="510">
        <f t="shared" si="49"/>
        <v>2138.7336837331532</v>
      </c>
      <c r="AQ97" s="510">
        <f t="shared" si="28"/>
        <v>5781.2090992539634</v>
      </c>
      <c r="AR97" s="510">
        <f t="shared" si="28"/>
        <v>779.74071797199144</v>
      </c>
      <c r="AS97" s="510">
        <f t="shared" si="28"/>
        <v>1.39172399312283</v>
      </c>
      <c r="AT97" s="510">
        <f t="shared" si="28"/>
        <v>718.58542698232986</v>
      </c>
      <c r="AU97" s="510">
        <f t="shared" si="28"/>
        <v>471.98996185153999</v>
      </c>
      <c r="AV97" s="510">
        <f t="shared" si="50"/>
        <v>7752.9169300529475</v>
      </c>
      <c r="AW97" s="510">
        <f t="shared" si="51"/>
        <v>3.3645726154408369E+22</v>
      </c>
      <c r="AX97" s="510">
        <f t="shared" si="52"/>
        <v>3.3645726154408369E+22</v>
      </c>
      <c r="AY97" s="510">
        <f t="shared" si="53"/>
        <v>3.3645726154408369E+22</v>
      </c>
      <c r="AZ97" s="490">
        <f t="shared" si="54"/>
        <v>-3.3645726154408369E+22</v>
      </c>
      <c r="BA97" s="510">
        <f t="shared" si="55"/>
        <v>6.7291452308816738E+22</v>
      </c>
    </row>
    <row r="98" spans="1:53" x14ac:dyDescent="0.2">
      <c r="A98">
        <v>81</v>
      </c>
      <c r="B98" s="510">
        <f>'Assumptions-Output Target'!$D$12*'Assumptions-Output Override'!$D$11*$I$2*12</f>
        <v>3935.8341983467963</v>
      </c>
      <c r="C98" s="510">
        <f t="shared" si="31"/>
        <v>-3.3645726154408369E+22</v>
      </c>
      <c r="D98" s="510">
        <f t="shared" si="32"/>
        <v>0</v>
      </c>
      <c r="E98" s="510">
        <f t="shared" si="29"/>
        <v>471.98996185153999</v>
      </c>
      <c r="F98" s="510">
        <f t="shared" si="33"/>
        <v>3.3645726154408369E+22</v>
      </c>
      <c r="G98" s="510">
        <f>$I$5*'Assumptions-Output Override'!$D$12*12</f>
        <v>4443.3239894938342</v>
      </c>
      <c r="H98" s="489">
        <f>'Winners-Losers Values PMPM'!AV86*$I$9*12</f>
        <v>542.40011973950186</v>
      </c>
      <c r="I98" s="489">
        <f>('Winners-Losers Values PMPM'!AW86*12)*$I$10</f>
        <v>1.034122469897629</v>
      </c>
      <c r="J98" s="489">
        <f>('Winners-Losers Values PMPM'!AT86*12)*$I$11</f>
        <v>234.4111848151459</v>
      </c>
      <c r="K98" s="510">
        <f t="shared" si="34"/>
        <v>5221.1694165183799</v>
      </c>
      <c r="L98" s="510">
        <f t="shared" si="35"/>
        <v>3.3645726154408369E+22</v>
      </c>
      <c r="M98" s="510">
        <f t="shared" si="36"/>
        <v>0</v>
      </c>
      <c r="N98" s="489">
        <f>'Winners-Losers Values PMPM'!AP86*12</f>
        <v>1677.9937694026421</v>
      </c>
      <c r="O98" s="489">
        <f>'Winners-Losers Values PMPM'!AQ86*12</f>
        <v>230.67772844914998</v>
      </c>
      <c r="P98" s="489">
        <f>'Winners-Losers Values PMPM'!AR86*12</f>
        <v>4.2056144231643409E-2</v>
      </c>
      <c r="Q98" s="489">
        <f>'Winners-Losers Values PMPM'!AO86*12</f>
        <v>0</v>
      </c>
      <c r="R98" s="510">
        <f t="shared" si="37"/>
        <v>1908.7135539960236</v>
      </c>
      <c r="S98" s="489">
        <f t="shared" si="38"/>
        <v>2539.6318036739431</v>
      </c>
      <c r="T98" s="489">
        <f t="shared" si="39"/>
        <v>2539.6318036739431</v>
      </c>
      <c r="U98" s="510">
        <f>((('Assumptions-Output Override'!$H$60+'Assumptions-Output Override'!$H$61)/('Assumptions-Output Override'!$F$60+'Assumptions-Output Override'!$F$61))*'HRA Balance Calc'!$I$5*12)+($K$8*(($I$8*12)))</f>
        <v>-288.26087712588196</v>
      </c>
      <c r="V98" s="489">
        <f>'Winners-Losers Values PMPM'!AV86*(1-$I$9)*12+$L$8*(($I$8*12)*IFERROR((('Winners-Losers Values PMPM'!AY86*12)/('Winners-Losers Values PMPM'!AY$107*12)),0))</f>
        <v>95.717668189323859</v>
      </c>
      <c r="W98" s="489">
        <f>('Winners-Losers Values PMPM'!AW86*12)*(1-$I$10)+$M$8*(($I$8*12)*IFERROR((('Winners-Losers Values PMPM'!AY86*12)/('Winners-Losers Values PMPM'!AY$107*12)),0))</f>
        <v>0.18249220057016988</v>
      </c>
      <c r="X98" s="489">
        <f>('Winners-Losers Values PMPM'!AT86*12)*(1-$I$11)+$N$8*(($I$8*12)*IFERROR((('Winners-Losers Values PMPM'!AY86*12)/('Winners-Losers Values PMPM'!AY$107*12)),0))</f>
        <v>535.01808928802518</v>
      </c>
      <c r="Y98" s="510">
        <f t="shared" si="40"/>
        <v>342.65737255203726</v>
      </c>
      <c r="AA98" s="510">
        <f t="shared" si="41"/>
        <v>4443.3239894938342</v>
      </c>
      <c r="AB98" s="510">
        <f t="shared" si="41"/>
        <v>542.40011973950186</v>
      </c>
      <c r="AC98" s="510">
        <f t="shared" si="41"/>
        <v>1.034122469897629</v>
      </c>
      <c r="AD98" s="510">
        <f t="shared" si="30"/>
        <v>234.4111848151459</v>
      </c>
      <c r="AE98" s="510">
        <f t="shared" si="42"/>
        <v>471.98996185153999</v>
      </c>
      <c r="AF98" s="510">
        <f t="shared" si="43"/>
        <v>5693.15937836992</v>
      </c>
      <c r="AG98" s="510">
        <f t="shared" si="44"/>
        <v>3.3645726154408369E+22</v>
      </c>
      <c r="AH98" s="510">
        <f t="shared" si="45"/>
        <v>3.3645726154408369E+22</v>
      </c>
      <c r="AJ98" s="510">
        <f t="shared" si="46"/>
        <v>1389.7328922767601</v>
      </c>
      <c r="AK98" s="510">
        <f t="shared" si="47"/>
        <v>326.39539663847381</v>
      </c>
      <c r="AL98" s="510">
        <f t="shared" si="47"/>
        <v>0.22454834480181329</v>
      </c>
      <c r="AM98" s="510">
        <f t="shared" si="47"/>
        <v>535.01808928802518</v>
      </c>
      <c r="AN98" s="510">
        <f t="shared" si="48"/>
        <v>0</v>
      </c>
      <c r="AO98" s="510">
        <f t="shared" si="49"/>
        <v>2251.3709265480611</v>
      </c>
      <c r="AQ98" s="510">
        <f t="shared" si="28"/>
        <v>5833.0568817705944</v>
      </c>
      <c r="AR98" s="510">
        <f t="shared" si="28"/>
        <v>868.79551637797567</v>
      </c>
      <c r="AS98" s="510">
        <f t="shared" si="28"/>
        <v>1.2586708146994423</v>
      </c>
      <c r="AT98" s="510">
        <f t="shared" si="28"/>
        <v>769.42927410317111</v>
      </c>
      <c r="AU98" s="510">
        <f t="shared" si="28"/>
        <v>471.98996185153999</v>
      </c>
      <c r="AV98" s="510">
        <f t="shared" si="50"/>
        <v>7944.5303049179811</v>
      </c>
      <c r="AW98" s="510">
        <f t="shared" si="51"/>
        <v>3.3645726154408369E+22</v>
      </c>
      <c r="AX98" s="510">
        <f t="shared" si="52"/>
        <v>3.3645726154408369E+22</v>
      </c>
      <c r="AY98" s="510">
        <f t="shared" si="53"/>
        <v>3.3645726154408369E+22</v>
      </c>
      <c r="AZ98" s="490">
        <f t="shared" si="54"/>
        <v>-3.3645726154408369E+22</v>
      </c>
      <c r="BA98" s="510">
        <f t="shared" si="55"/>
        <v>6.7291452308816738E+22</v>
      </c>
    </row>
    <row r="99" spans="1:53" x14ac:dyDescent="0.2">
      <c r="A99">
        <v>82</v>
      </c>
      <c r="B99" s="510">
        <f>'Assumptions-Output Target'!$D$12*'Assumptions-Output Override'!$D$11*$I$2*12</f>
        <v>3935.8341983467963</v>
      </c>
      <c r="C99" s="510">
        <f t="shared" si="31"/>
        <v>-3.3645726154408369E+22</v>
      </c>
      <c r="D99" s="510">
        <f t="shared" si="32"/>
        <v>0</v>
      </c>
      <c r="E99" s="510">
        <f t="shared" si="29"/>
        <v>471.98996185153999</v>
      </c>
      <c r="F99" s="510">
        <f t="shared" si="33"/>
        <v>3.3645726154408369E+22</v>
      </c>
      <c r="G99" s="510">
        <f>$I$5*'Assumptions-Output Override'!$D$12*12</f>
        <v>4443.3239894938342</v>
      </c>
      <c r="H99" s="489">
        <f>'Winners-Losers Values PMPM'!AV87*$I$9*12</f>
        <v>597.26470560478458</v>
      </c>
      <c r="I99" s="489">
        <f>('Winners-Losers Values PMPM'!AW87*12)*$I$10</f>
        <v>0.55209019215830546</v>
      </c>
      <c r="J99" s="489">
        <f>('Winners-Losers Values PMPM'!AT87*12)*$I$11</f>
        <v>258.03959730679838</v>
      </c>
      <c r="K99" s="510">
        <f t="shared" si="34"/>
        <v>5299.1803825975749</v>
      </c>
      <c r="L99" s="510">
        <f t="shared" si="35"/>
        <v>3.3645726154408369E+22</v>
      </c>
      <c r="M99" s="510">
        <f t="shared" si="36"/>
        <v>0</v>
      </c>
      <c r="N99" s="489">
        <f>'Winners-Losers Values PMPM'!AP87*12</f>
        <v>1732.5435989010577</v>
      </c>
      <c r="O99" s="489">
        <f>'Winners-Losers Values PMPM'!AQ87*12</f>
        <v>245.21242204145841</v>
      </c>
      <c r="P99" s="489">
        <f>'Winners-Losers Values PMPM'!AR87*12</f>
        <v>2.2452645045594962E-2</v>
      </c>
      <c r="Q99" s="489">
        <f>'Winners-Losers Values PMPM'!AO87*12</f>
        <v>0</v>
      </c>
      <c r="R99" s="510">
        <f t="shared" si="37"/>
        <v>1977.7784735875618</v>
      </c>
      <c r="S99" s="489">
        <f t="shared" si="38"/>
        <v>2672.2229316672097</v>
      </c>
      <c r="T99" s="489">
        <f t="shared" si="39"/>
        <v>2672.2229316672097</v>
      </c>
      <c r="U99" s="510">
        <f>((('Assumptions-Output Override'!$H$60+'Assumptions-Output Override'!$H$61)/('Assumptions-Output Override'!$F$60+'Assumptions-Output Override'!$F$61))*'HRA Balance Calc'!$I$5*12)+($K$8*(($I$8*12)))</f>
        <v>-288.26087712588196</v>
      </c>
      <c r="V99" s="489">
        <f>'Winners-Losers Values PMPM'!AV87*(1-$I$9)*12+$L$8*(($I$8*12)*IFERROR((('Winners-Losers Values PMPM'!AY87*12)/('Winners-Losers Values PMPM'!AY$107*12)),0))</f>
        <v>105.39965393025614</v>
      </c>
      <c r="W99" s="489">
        <f>('Winners-Losers Values PMPM'!AW87*12)*(1-$I$10)+$M$8*(($I$8*12)*IFERROR((('Winners-Losers Values PMPM'!AY87*12)/('Winners-Losers Values PMPM'!AY$107*12)),0))</f>
        <v>9.7427680969112751E-2</v>
      </c>
      <c r="X99" s="489">
        <f>('Winners-Losers Values PMPM'!AT87*12)*(1-$I$11)+$N$8*(($I$8*12)*IFERROR((('Winners-Losers Values PMPM'!AY87*12)/('Winners-Losers Values PMPM'!AY$107*12)),0))</f>
        <v>588.94737646842259</v>
      </c>
      <c r="Y99" s="510">
        <f t="shared" si="40"/>
        <v>406.18358095376584</v>
      </c>
      <c r="AA99" s="510">
        <f t="shared" si="41"/>
        <v>4443.3239894938342</v>
      </c>
      <c r="AB99" s="510">
        <f t="shared" si="41"/>
        <v>597.26470560478458</v>
      </c>
      <c r="AC99" s="510">
        <f t="shared" si="41"/>
        <v>0.55209019215830546</v>
      </c>
      <c r="AD99" s="510">
        <f t="shared" si="30"/>
        <v>258.03959730679838</v>
      </c>
      <c r="AE99" s="510">
        <f t="shared" si="42"/>
        <v>471.98996185153999</v>
      </c>
      <c r="AF99" s="510">
        <f t="shared" si="43"/>
        <v>5771.170344449115</v>
      </c>
      <c r="AG99" s="510">
        <f t="shared" si="44"/>
        <v>3.3645726154408369E+22</v>
      </c>
      <c r="AH99" s="510">
        <f t="shared" si="45"/>
        <v>3.3645726154408369E+22</v>
      </c>
      <c r="AJ99" s="510">
        <f t="shared" si="46"/>
        <v>1444.2827217751758</v>
      </c>
      <c r="AK99" s="510">
        <f t="shared" si="47"/>
        <v>350.61207597171455</v>
      </c>
      <c r="AL99" s="510">
        <f t="shared" si="47"/>
        <v>0.11988032601470772</v>
      </c>
      <c r="AM99" s="510">
        <f t="shared" si="47"/>
        <v>588.94737646842259</v>
      </c>
      <c r="AN99" s="510">
        <f t="shared" si="48"/>
        <v>0</v>
      </c>
      <c r="AO99" s="510">
        <f t="shared" si="49"/>
        <v>2383.9620545413277</v>
      </c>
      <c r="AQ99" s="510">
        <f t="shared" si="28"/>
        <v>5887.6067112690098</v>
      </c>
      <c r="AR99" s="510">
        <f t="shared" si="28"/>
        <v>947.87678157649907</v>
      </c>
      <c r="AS99" s="510">
        <f t="shared" si="28"/>
        <v>0.67197051817301312</v>
      </c>
      <c r="AT99" s="510">
        <f t="shared" si="28"/>
        <v>846.98697377522103</v>
      </c>
      <c r="AU99" s="510">
        <f t="shared" si="28"/>
        <v>471.98996185153999</v>
      </c>
      <c r="AV99" s="510">
        <f t="shared" si="50"/>
        <v>8155.132398990444</v>
      </c>
      <c r="AW99" s="510">
        <f t="shared" si="51"/>
        <v>3.3645726154408369E+22</v>
      </c>
      <c r="AX99" s="510">
        <f t="shared" si="52"/>
        <v>3.3645726154408369E+22</v>
      </c>
      <c r="AY99" s="510">
        <f t="shared" si="53"/>
        <v>3.3645726154408369E+22</v>
      </c>
      <c r="AZ99" s="490">
        <f t="shared" si="54"/>
        <v>-3.3645726154408369E+22</v>
      </c>
      <c r="BA99" s="510">
        <f t="shared" si="55"/>
        <v>6.7291452308816738E+22</v>
      </c>
    </row>
    <row r="100" spans="1:53" x14ac:dyDescent="0.2">
      <c r="A100">
        <v>83</v>
      </c>
      <c r="B100" s="510">
        <f>'Assumptions-Output Target'!$D$12*'Assumptions-Output Override'!$D$11*$I$2*12</f>
        <v>3935.8341983467963</v>
      </c>
      <c r="C100" s="510">
        <f t="shared" si="31"/>
        <v>-3.3645726154408369E+22</v>
      </c>
      <c r="D100" s="510">
        <f t="shared" si="32"/>
        <v>0</v>
      </c>
      <c r="E100" s="510">
        <f t="shared" si="29"/>
        <v>471.98996185153999</v>
      </c>
      <c r="F100" s="510">
        <f t="shared" si="33"/>
        <v>3.3645726154408369E+22</v>
      </c>
      <c r="G100" s="510">
        <f>$I$5*'Assumptions-Output Override'!$D$12*12</f>
        <v>4443.3239894938342</v>
      </c>
      <c r="H100" s="489">
        <f>'Winners-Losers Values PMPM'!AV88*$I$9*12</f>
        <v>637.12403566970772</v>
      </c>
      <c r="I100" s="489">
        <f>('Winners-Losers Values PMPM'!AW88*12)*$I$10</f>
        <v>0.396768940458185</v>
      </c>
      <c r="J100" s="489">
        <f>('Winners-Losers Values PMPM'!AT88*12)*$I$11</f>
        <v>277.78758926459091</v>
      </c>
      <c r="K100" s="510">
        <f t="shared" si="34"/>
        <v>5358.632383368591</v>
      </c>
      <c r="L100" s="510">
        <f t="shared" si="35"/>
        <v>3.3645726154408369E+22</v>
      </c>
      <c r="M100" s="510">
        <f t="shared" si="36"/>
        <v>0</v>
      </c>
      <c r="N100" s="489">
        <f>'Winners-Losers Values PMPM'!AP88*12</f>
        <v>1818.0167067257278</v>
      </c>
      <c r="O100" s="489">
        <f>'Winners-Losers Values PMPM'!AQ88*12</f>
        <v>249.67713294781987</v>
      </c>
      <c r="P100" s="489">
        <f>'Winners-Losers Values PMPM'!AR88*12</f>
        <v>1.613597254897442E-2</v>
      </c>
      <c r="Q100" s="489">
        <f>'Winners-Losers Values PMPM'!AO88*12</f>
        <v>0</v>
      </c>
      <c r="R100" s="510">
        <f t="shared" si="37"/>
        <v>2067.7099756460966</v>
      </c>
      <c r="S100" s="489">
        <f t="shared" si="38"/>
        <v>2814.2336719603936</v>
      </c>
      <c r="T100" s="489">
        <f t="shared" si="39"/>
        <v>2814.2336719603936</v>
      </c>
      <c r="U100" s="510">
        <f>((('Assumptions-Output Override'!$H$60+'Assumptions-Output Override'!$H$61)/('Assumptions-Output Override'!$F$60+'Assumptions-Output Override'!$F$61))*'HRA Balance Calc'!$I$5*12)+($K$8*(($I$8*12)))</f>
        <v>-288.26087712588196</v>
      </c>
      <c r="V100" s="489">
        <f>'Winners-Losers Values PMPM'!AV88*(1-$I$9)*12+$L$8*(($I$8*12)*IFERROR((('Winners-Losers Values PMPM'!AY88*12)/('Winners-Losers Values PMPM'!AY$107*12)),0))</f>
        <v>112.43365335347785</v>
      </c>
      <c r="W100" s="489">
        <f>('Winners-Losers Values PMPM'!AW88*12)*(1-$I$10)+$M$8*(($I$8*12)*IFERROR((('Winners-Losers Values PMPM'!AY88*12)/('Winners-Losers Values PMPM'!AY$107*12)),0))</f>
        <v>7.0018048316150314E-2</v>
      </c>
      <c r="X100" s="489">
        <f>('Winners-Losers Values PMPM'!AT88*12)*(1-$I$11)+$N$8*(($I$8*12)*IFERROR((('Winners-Losers Values PMPM'!AY88*12)/('Winners-Losers Values PMPM'!AY$107*12)),0))</f>
        <v>634.020024912503</v>
      </c>
      <c r="Y100" s="510">
        <f t="shared" si="40"/>
        <v>458.26281918841505</v>
      </c>
      <c r="AA100" s="510">
        <f t="shared" si="41"/>
        <v>4443.3239894938342</v>
      </c>
      <c r="AB100" s="510">
        <f t="shared" si="41"/>
        <v>637.12403566970772</v>
      </c>
      <c r="AC100" s="510">
        <f t="shared" si="41"/>
        <v>0.396768940458185</v>
      </c>
      <c r="AD100" s="510">
        <f t="shared" si="30"/>
        <v>277.78758926459091</v>
      </c>
      <c r="AE100" s="510">
        <f t="shared" si="42"/>
        <v>471.98996185153999</v>
      </c>
      <c r="AF100" s="510">
        <f t="shared" si="43"/>
        <v>5830.6223452201311</v>
      </c>
      <c r="AG100" s="510">
        <f t="shared" si="44"/>
        <v>3.3645726154408369E+22</v>
      </c>
      <c r="AH100" s="510">
        <f t="shared" si="45"/>
        <v>3.3645726154408369E+22</v>
      </c>
      <c r="AJ100" s="510">
        <f t="shared" si="46"/>
        <v>1529.7558295998458</v>
      </c>
      <c r="AK100" s="510">
        <f t="shared" si="47"/>
        <v>362.11078630129771</v>
      </c>
      <c r="AL100" s="510">
        <f t="shared" si="47"/>
        <v>8.6154020865124734E-2</v>
      </c>
      <c r="AM100" s="510">
        <f t="shared" si="47"/>
        <v>634.020024912503</v>
      </c>
      <c r="AN100" s="510">
        <f t="shared" si="48"/>
        <v>0</v>
      </c>
      <c r="AO100" s="510">
        <f t="shared" si="49"/>
        <v>2525.9727948345117</v>
      </c>
      <c r="AQ100" s="510">
        <f t="shared" si="28"/>
        <v>5973.0798190936803</v>
      </c>
      <c r="AR100" s="510">
        <f t="shared" si="28"/>
        <v>999.23482197100543</v>
      </c>
      <c r="AS100" s="510">
        <f t="shared" si="28"/>
        <v>0.48292296132330975</v>
      </c>
      <c r="AT100" s="510">
        <f t="shared" si="28"/>
        <v>911.80761417709391</v>
      </c>
      <c r="AU100" s="510">
        <f t="shared" si="28"/>
        <v>471.98996185153999</v>
      </c>
      <c r="AV100" s="510">
        <f t="shared" si="50"/>
        <v>8356.5951400546419</v>
      </c>
      <c r="AW100" s="510">
        <f t="shared" si="51"/>
        <v>3.3645726154408369E+22</v>
      </c>
      <c r="AX100" s="510">
        <f t="shared" si="52"/>
        <v>3.3645726154408369E+22</v>
      </c>
      <c r="AY100" s="510">
        <f t="shared" si="53"/>
        <v>3.3645726154408369E+22</v>
      </c>
      <c r="AZ100" s="490">
        <f t="shared" si="54"/>
        <v>-3.3645726154408369E+22</v>
      </c>
      <c r="BA100" s="510">
        <f t="shared" si="55"/>
        <v>6.7291452308816738E+22</v>
      </c>
    </row>
    <row r="101" spans="1:53" x14ac:dyDescent="0.2">
      <c r="A101">
        <v>84</v>
      </c>
      <c r="B101" s="510">
        <f>'Assumptions-Output Target'!$D$12*'Assumptions-Output Override'!$D$11*$I$2*12</f>
        <v>3935.8341983467963</v>
      </c>
      <c r="C101" s="510">
        <f t="shared" si="31"/>
        <v>-3.3645726154408369E+22</v>
      </c>
      <c r="D101" s="510">
        <f t="shared" si="32"/>
        <v>0</v>
      </c>
      <c r="E101" s="510">
        <f t="shared" si="29"/>
        <v>471.98996185153999</v>
      </c>
      <c r="F101" s="510">
        <f t="shared" si="33"/>
        <v>3.3645726154408369E+22</v>
      </c>
      <c r="G101" s="510">
        <f>$I$5*'Assumptions-Output Override'!$D$12*12</f>
        <v>4443.3239894938342</v>
      </c>
      <c r="H101" s="489">
        <f>'Winners-Losers Values PMPM'!AV89*$I$9*12</f>
        <v>726.16424787764106</v>
      </c>
      <c r="I101" s="489">
        <f>('Winners-Losers Values PMPM'!AW89*12)*$I$10</f>
        <v>2.558076317431615</v>
      </c>
      <c r="J101" s="489">
        <f>('Winners-Losers Values PMPM'!AT89*12)*$I$11</f>
        <v>306.77815096072567</v>
      </c>
      <c r="K101" s="510">
        <f t="shared" si="34"/>
        <v>5478.8244646496323</v>
      </c>
      <c r="L101" s="510">
        <f t="shared" si="35"/>
        <v>3.3645726154408369E+22</v>
      </c>
      <c r="M101" s="510">
        <f t="shared" si="36"/>
        <v>0</v>
      </c>
      <c r="N101" s="489">
        <f>'Winners-Losers Values PMPM'!AP89*12</f>
        <v>1859.0737122545625</v>
      </c>
      <c r="O101" s="489">
        <f>'Winners-Losers Values PMPM'!AQ89*12</f>
        <v>271.24320142809427</v>
      </c>
      <c r="P101" s="489">
        <f>'Winners-Losers Values PMPM'!AR89*12</f>
        <v>0.10403296485000002</v>
      </c>
      <c r="Q101" s="489">
        <f>'Winners-Losers Values PMPM'!AO89*12</f>
        <v>0</v>
      </c>
      <c r="R101" s="510">
        <f t="shared" si="37"/>
        <v>2130.4209466475068</v>
      </c>
      <c r="S101" s="489">
        <f t="shared" si="38"/>
        <v>2959.2068395700526</v>
      </c>
      <c r="T101" s="489">
        <f t="shared" si="39"/>
        <v>2959.2068395700526</v>
      </c>
      <c r="U101" s="510">
        <f>((('Assumptions-Output Override'!$H$60+'Assumptions-Output Override'!$H$61)/('Assumptions-Output Override'!$F$60+'Assumptions-Output Override'!$F$61))*'HRA Balance Calc'!$I$5*12)+($K$8*(($I$8*12)))</f>
        <v>-288.26087712588196</v>
      </c>
      <c r="V101" s="489">
        <f>'Winners-Losers Values PMPM'!AV89*(1-$I$9)*12+$L$8*(($I$8*12)*IFERROR((('Winners-Losers Values PMPM'!AY89*12)/('Winners-Losers Values PMPM'!AY$107*12)),0))</f>
        <v>128.14663197840727</v>
      </c>
      <c r="W101" s="489">
        <f>('Winners-Losers Values PMPM'!AW89*12)*(1-$I$10)+$M$8*(($I$8*12)*IFERROR((('Winners-Losers Values PMPM'!AY89*12)/('Winners-Losers Values PMPM'!AY$107*12)),0))</f>
        <v>0.45142523248793209</v>
      </c>
      <c r="X101" s="489">
        <f>('Winners-Losers Values PMPM'!AT89*12)*(1-$I$11)+$N$8*(($I$8*12)*IFERROR((('Winners-Losers Values PMPM'!AY89*12)/('Winners-Losers Values PMPM'!AY$107*12)),0))</f>
        <v>700.18783571165068</v>
      </c>
      <c r="Y101" s="510">
        <f t="shared" si="40"/>
        <v>540.52501579666387</v>
      </c>
      <c r="AA101" s="510">
        <f t="shared" si="41"/>
        <v>4443.3239894938342</v>
      </c>
      <c r="AB101" s="510">
        <f t="shared" si="41"/>
        <v>726.16424787764106</v>
      </c>
      <c r="AC101" s="510">
        <f t="shared" si="41"/>
        <v>2.558076317431615</v>
      </c>
      <c r="AD101" s="510">
        <f t="shared" si="30"/>
        <v>306.77815096072567</v>
      </c>
      <c r="AE101" s="510">
        <f t="shared" si="42"/>
        <v>471.98996185153999</v>
      </c>
      <c r="AF101" s="510">
        <f t="shared" si="43"/>
        <v>5950.8144265011724</v>
      </c>
      <c r="AG101" s="510">
        <f t="shared" si="44"/>
        <v>3.3645726154408369E+22</v>
      </c>
      <c r="AH101" s="510">
        <f t="shared" si="45"/>
        <v>3.3645726154408369E+22</v>
      </c>
      <c r="AJ101" s="510">
        <f t="shared" si="46"/>
        <v>1570.8128351286805</v>
      </c>
      <c r="AK101" s="510">
        <f t="shared" si="47"/>
        <v>399.38983340650157</v>
      </c>
      <c r="AL101" s="510">
        <f t="shared" si="47"/>
        <v>0.55545819733793211</v>
      </c>
      <c r="AM101" s="510">
        <f t="shared" si="47"/>
        <v>700.18783571165068</v>
      </c>
      <c r="AN101" s="510">
        <f t="shared" si="48"/>
        <v>0</v>
      </c>
      <c r="AO101" s="510">
        <f t="shared" si="49"/>
        <v>2670.9459624441706</v>
      </c>
      <c r="AQ101" s="510">
        <f t="shared" si="28"/>
        <v>6014.1368246225147</v>
      </c>
      <c r="AR101" s="510">
        <f t="shared" si="28"/>
        <v>1125.5540812841427</v>
      </c>
      <c r="AS101" s="510">
        <f t="shared" si="28"/>
        <v>3.113534514769547</v>
      </c>
      <c r="AT101" s="510">
        <f t="shared" si="28"/>
        <v>1006.9659866723764</v>
      </c>
      <c r="AU101" s="510">
        <f t="shared" si="28"/>
        <v>471.98996185153999</v>
      </c>
      <c r="AV101" s="510">
        <f t="shared" si="50"/>
        <v>8621.7603889453421</v>
      </c>
      <c r="AW101" s="510">
        <f t="shared" si="51"/>
        <v>3.3645726154408369E+22</v>
      </c>
      <c r="AX101" s="510">
        <f t="shared" si="52"/>
        <v>3.3645726154408369E+22</v>
      </c>
      <c r="AY101" s="510">
        <f t="shared" si="53"/>
        <v>3.3645726154408369E+22</v>
      </c>
      <c r="AZ101" s="490">
        <f t="shared" si="54"/>
        <v>-3.3645726154408369E+22</v>
      </c>
      <c r="BA101" s="510">
        <f t="shared" si="55"/>
        <v>6.7291452308816738E+22</v>
      </c>
    </row>
    <row r="102" spans="1:53" x14ac:dyDescent="0.2">
      <c r="A102">
        <v>85</v>
      </c>
      <c r="B102" s="510">
        <f>'Assumptions-Output Target'!$D$12*'Assumptions-Output Override'!$D$11*$I$2*12</f>
        <v>3935.8341983467963</v>
      </c>
      <c r="C102" s="510">
        <f t="shared" si="31"/>
        <v>-3.3645726154408369E+22</v>
      </c>
      <c r="D102" s="510">
        <f t="shared" si="32"/>
        <v>0</v>
      </c>
      <c r="E102" s="510">
        <f t="shared" si="29"/>
        <v>471.98996185153999</v>
      </c>
      <c r="F102" s="510">
        <f t="shared" si="33"/>
        <v>3.3645726154408369E+22</v>
      </c>
      <c r="G102" s="510">
        <f>$I$5*'Assumptions-Output Override'!$D$12*12</f>
        <v>4443.3239894938342</v>
      </c>
      <c r="H102" s="489">
        <f>'Winners-Losers Values PMPM'!AV90*$I$9*12</f>
        <v>811.04630710708022</v>
      </c>
      <c r="I102" s="489">
        <f>('Winners-Losers Values PMPM'!AW90*12)*$I$10</f>
        <v>3.1995026132819624</v>
      </c>
      <c r="J102" s="489">
        <f>('Winners-Losers Values PMPM'!AT90*12)*$I$11</f>
        <v>336.52211880578642</v>
      </c>
      <c r="K102" s="510">
        <f t="shared" si="34"/>
        <v>5594.0919180199826</v>
      </c>
      <c r="L102" s="510">
        <f t="shared" si="35"/>
        <v>3.3645726154408369E+22</v>
      </c>
      <c r="M102" s="510">
        <f t="shared" si="36"/>
        <v>0</v>
      </c>
      <c r="N102" s="489">
        <f>'Winners-Losers Values PMPM'!AP90*12</f>
        <v>1923.3445580653811</v>
      </c>
      <c r="O102" s="489">
        <f>'Winners-Losers Values PMPM'!AQ90*12</f>
        <v>281.29144505621889</v>
      </c>
      <c r="P102" s="489">
        <f>'Winners-Losers Values PMPM'!AR90*12</f>
        <v>0.13011876957574145</v>
      </c>
      <c r="Q102" s="489">
        <f>'Winners-Losers Values PMPM'!AO90*12</f>
        <v>0</v>
      </c>
      <c r="R102" s="510">
        <f t="shared" si="37"/>
        <v>2204.7661218911758</v>
      </c>
      <c r="S102" s="489">
        <f t="shared" si="38"/>
        <v>3116.531773181111</v>
      </c>
      <c r="T102" s="489">
        <f t="shared" si="39"/>
        <v>3116.531773181111</v>
      </c>
      <c r="U102" s="510">
        <f>((('Assumptions-Output Override'!$H$60+'Assumptions-Output Override'!$H$61)/('Assumptions-Output Override'!$F$60+'Assumptions-Output Override'!$F$61))*'HRA Balance Calc'!$I$5*12)+($K$8*(($I$8*12)))</f>
        <v>-288.26087712588196</v>
      </c>
      <c r="V102" s="489">
        <f>'Winners-Losers Values PMPM'!AV90*(1-$I$9)*12+$L$8*(($I$8*12)*IFERROR((('Winners-Losers Values PMPM'!AY90*12)/('Winners-Losers Values PMPM'!AY$107*12)),0))</f>
        <v>143.12581890124949</v>
      </c>
      <c r="W102" s="489">
        <f>('Winners-Losers Values PMPM'!AW90*12)*(1-$I$10)+$M$8*(($I$8*12)*IFERROR((('Winners-Losers Values PMPM'!AY90*12)/('Winners-Losers Values PMPM'!AY$107*12)),0))</f>
        <v>0.56461810822622871</v>
      </c>
      <c r="X102" s="489">
        <f>('Winners-Losers Values PMPM'!AT90*12)*(1-$I$11)+$N$8*(($I$8*12)*IFERROR((('Winners-Losers Values PMPM'!AY90*12)/('Winners-Losers Values PMPM'!AY$107*12)),0))</f>
        <v>768.0752142804597</v>
      </c>
      <c r="Y102" s="510">
        <f t="shared" si="40"/>
        <v>623.50477416405352</v>
      </c>
      <c r="AA102" s="510">
        <f t="shared" si="41"/>
        <v>4443.3239894938342</v>
      </c>
      <c r="AB102" s="510">
        <f t="shared" si="41"/>
        <v>811.04630710708022</v>
      </c>
      <c r="AC102" s="510">
        <f t="shared" si="41"/>
        <v>3.1995026132819624</v>
      </c>
      <c r="AD102" s="510">
        <f t="shared" si="30"/>
        <v>336.52211880578642</v>
      </c>
      <c r="AE102" s="510">
        <f t="shared" si="42"/>
        <v>471.98996185153999</v>
      </c>
      <c r="AF102" s="510">
        <f t="shared" si="43"/>
        <v>6066.0818798715227</v>
      </c>
      <c r="AG102" s="510">
        <f t="shared" si="44"/>
        <v>3.3645726154408369E+22</v>
      </c>
      <c r="AH102" s="510">
        <f t="shared" si="45"/>
        <v>3.3645726154408369E+22</v>
      </c>
      <c r="AJ102" s="510">
        <f t="shared" si="46"/>
        <v>1635.0836809394991</v>
      </c>
      <c r="AK102" s="510">
        <f t="shared" si="47"/>
        <v>424.41726395746838</v>
      </c>
      <c r="AL102" s="510">
        <f t="shared" si="47"/>
        <v>0.69473687780197013</v>
      </c>
      <c r="AM102" s="510">
        <f t="shared" si="47"/>
        <v>768.0752142804597</v>
      </c>
      <c r="AN102" s="510">
        <f t="shared" si="48"/>
        <v>0</v>
      </c>
      <c r="AO102" s="510">
        <f t="shared" si="49"/>
        <v>2828.2708960552291</v>
      </c>
      <c r="AQ102" s="510">
        <f t="shared" si="28"/>
        <v>6078.4076704333329</v>
      </c>
      <c r="AR102" s="510">
        <f t="shared" si="28"/>
        <v>1235.4635710645487</v>
      </c>
      <c r="AS102" s="510">
        <f t="shared" si="28"/>
        <v>3.8942394910839324</v>
      </c>
      <c r="AT102" s="510">
        <f t="shared" si="28"/>
        <v>1104.5973330862462</v>
      </c>
      <c r="AU102" s="510">
        <f t="shared" si="28"/>
        <v>471.98996185153999</v>
      </c>
      <c r="AV102" s="510">
        <f t="shared" si="50"/>
        <v>8894.3527759267508</v>
      </c>
      <c r="AW102" s="510">
        <f t="shared" si="51"/>
        <v>3.3645726154408369E+22</v>
      </c>
      <c r="AX102" s="510">
        <f t="shared" si="52"/>
        <v>3.3645726154408369E+22</v>
      </c>
      <c r="AY102" s="510">
        <f t="shared" si="53"/>
        <v>3.3645726154408369E+22</v>
      </c>
      <c r="AZ102" s="490">
        <f t="shared" si="54"/>
        <v>-3.3645726154408369E+22</v>
      </c>
      <c r="BA102" s="510">
        <f t="shared" si="55"/>
        <v>6.7291452308816738E+22</v>
      </c>
    </row>
    <row r="103" spans="1:53" x14ac:dyDescent="0.2">
      <c r="A103">
        <v>86</v>
      </c>
      <c r="B103" s="510">
        <f>'Assumptions-Output Target'!$D$12*'Assumptions-Output Override'!$D$11*$I$2*12</f>
        <v>3935.8341983467963</v>
      </c>
      <c r="C103" s="510">
        <f t="shared" si="31"/>
        <v>-3.3645726154408369E+22</v>
      </c>
      <c r="D103" s="510">
        <f t="shared" si="32"/>
        <v>0</v>
      </c>
      <c r="E103" s="510">
        <f t="shared" si="29"/>
        <v>471.98996185153999</v>
      </c>
      <c r="F103" s="510">
        <f t="shared" si="33"/>
        <v>3.3645726154408369E+22</v>
      </c>
      <c r="G103" s="510">
        <f>$I$5*'Assumptions-Output Override'!$D$12*12</f>
        <v>4443.3239894938342</v>
      </c>
      <c r="H103" s="489">
        <f>'Winners-Losers Values PMPM'!AV91*$I$9*12</f>
        <v>891.43316127129981</v>
      </c>
      <c r="I103" s="489">
        <f>('Winners-Losers Values PMPM'!AW91*12)*$I$10</f>
        <v>4.7597612547768451</v>
      </c>
      <c r="J103" s="489">
        <f>('Winners-Losers Values PMPM'!AT91*12)*$I$11</f>
        <v>374.07817273525029</v>
      </c>
      <c r="K103" s="510">
        <f t="shared" si="34"/>
        <v>5713.5950847551612</v>
      </c>
      <c r="L103" s="510">
        <f t="shared" si="35"/>
        <v>3.3645726154408369E+22</v>
      </c>
      <c r="M103" s="510">
        <f t="shared" si="36"/>
        <v>0</v>
      </c>
      <c r="N103" s="489">
        <f>'Winners-Losers Values PMPM'!AP91*12</f>
        <v>2018.2661343174013</v>
      </c>
      <c r="O103" s="489">
        <f>'Winners-Losers Values PMPM'!AQ91*12</f>
        <v>297.55213314276045</v>
      </c>
      <c r="P103" s="489">
        <f>'Winners-Losers Values PMPM'!AR91*12</f>
        <v>0.1935720494100657</v>
      </c>
      <c r="Q103" s="489">
        <f>'Winners-Losers Values PMPM'!AO91*12</f>
        <v>0</v>
      </c>
      <c r="R103" s="510">
        <f t="shared" si="37"/>
        <v>2316.0118395095719</v>
      </c>
      <c r="S103" s="489">
        <f t="shared" si="38"/>
        <v>3327.9563632310465</v>
      </c>
      <c r="T103" s="489">
        <f t="shared" si="39"/>
        <v>3327.9563632310465</v>
      </c>
      <c r="U103" s="510">
        <f>((('Assumptions-Output Override'!$H$60+'Assumptions-Output Override'!$H$61)/('Assumptions-Output Override'!$F$60+'Assumptions-Output Override'!$F$61))*'HRA Balance Calc'!$I$5*12)+($K$8*(($I$8*12)))</f>
        <v>-288.26087712588196</v>
      </c>
      <c r="V103" s="489">
        <f>'Winners-Losers Values PMPM'!AV91*(1-$I$9)*12+$L$8*(($I$8*12)*IFERROR((('Winners-Losers Values PMPM'!AY91*12)/('Winners-Losers Values PMPM'!AY$107*12)),0))</f>
        <v>157.31173434199411</v>
      </c>
      <c r="W103" s="489">
        <f>('Winners-Losers Values PMPM'!AW91*12)*(1-$I$10)+$M$8*(($I$8*12)*IFERROR((('Winners-Losers Values PMPM'!AY91*12)/('Winners-Losers Values PMPM'!AY$107*12)),0))</f>
        <v>0.83995786849003173</v>
      </c>
      <c r="X103" s="489">
        <f>('Winners-Losers Values PMPM'!AT91*12)*(1-$I$11)+$N$8*(($I$8*12)*IFERROR((('Winners-Losers Values PMPM'!AY91*12)/('Winners-Losers Values PMPM'!AY$107*12)),0))</f>
        <v>853.79283151099014</v>
      </c>
      <c r="Y103" s="510">
        <f t="shared" si="40"/>
        <v>723.68364659559234</v>
      </c>
      <c r="AA103" s="510">
        <f t="shared" si="41"/>
        <v>4443.3239894938342</v>
      </c>
      <c r="AB103" s="510">
        <f t="shared" si="41"/>
        <v>891.43316127129981</v>
      </c>
      <c r="AC103" s="510">
        <f t="shared" si="41"/>
        <v>4.7597612547768451</v>
      </c>
      <c r="AD103" s="510">
        <f t="shared" si="30"/>
        <v>374.07817273525029</v>
      </c>
      <c r="AE103" s="510">
        <f t="shared" si="42"/>
        <v>471.98996185153999</v>
      </c>
      <c r="AF103" s="510">
        <f t="shared" si="43"/>
        <v>6185.5850466067013</v>
      </c>
      <c r="AG103" s="510">
        <f t="shared" si="44"/>
        <v>3.3645726154408369E+22</v>
      </c>
      <c r="AH103" s="510">
        <f t="shared" si="45"/>
        <v>3.3645726154408369E+22</v>
      </c>
      <c r="AJ103" s="510">
        <f t="shared" si="46"/>
        <v>1730.0052571915194</v>
      </c>
      <c r="AK103" s="510">
        <f t="shared" si="47"/>
        <v>454.86386748475456</v>
      </c>
      <c r="AL103" s="510">
        <f t="shared" si="47"/>
        <v>1.0335299179000974</v>
      </c>
      <c r="AM103" s="510">
        <f t="shared" si="47"/>
        <v>853.79283151099014</v>
      </c>
      <c r="AN103" s="510">
        <f t="shared" si="48"/>
        <v>0</v>
      </c>
      <c r="AO103" s="510">
        <f t="shared" si="49"/>
        <v>3039.695486105164</v>
      </c>
      <c r="AQ103" s="510">
        <f t="shared" si="28"/>
        <v>6173.3292466853536</v>
      </c>
      <c r="AR103" s="510">
        <f t="shared" si="28"/>
        <v>1346.2970287560543</v>
      </c>
      <c r="AS103" s="510">
        <f t="shared" si="28"/>
        <v>5.7932911726769429</v>
      </c>
      <c r="AT103" s="510">
        <f t="shared" si="28"/>
        <v>1227.8710042462403</v>
      </c>
      <c r="AU103" s="510">
        <f t="shared" si="28"/>
        <v>471.98996185153999</v>
      </c>
      <c r="AV103" s="510">
        <f t="shared" si="50"/>
        <v>9225.280532711864</v>
      </c>
      <c r="AW103" s="510">
        <f t="shared" si="51"/>
        <v>3.3645726154408369E+22</v>
      </c>
      <c r="AX103" s="510">
        <f t="shared" si="52"/>
        <v>3.3645726154408369E+22</v>
      </c>
      <c r="AY103" s="510">
        <f t="shared" si="53"/>
        <v>3.3645726154408369E+22</v>
      </c>
      <c r="AZ103" s="490">
        <f t="shared" si="54"/>
        <v>-3.3645726154408369E+22</v>
      </c>
      <c r="BA103" s="510">
        <f t="shared" si="55"/>
        <v>6.7291452308816738E+22</v>
      </c>
    </row>
    <row r="104" spans="1:53" x14ac:dyDescent="0.2">
      <c r="A104">
        <v>87</v>
      </c>
      <c r="B104" s="510">
        <f>'Assumptions-Output Target'!$D$12*'Assumptions-Output Override'!$D$11*$I$2*12</f>
        <v>3935.8341983467963</v>
      </c>
      <c r="C104" s="510">
        <f t="shared" si="31"/>
        <v>-3.3645726154408369E+22</v>
      </c>
      <c r="D104" s="510">
        <f t="shared" si="32"/>
        <v>0</v>
      </c>
      <c r="E104" s="510">
        <f t="shared" si="29"/>
        <v>471.98996185153999</v>
      </c>
      <c r="F104" s="510">
        <f t="shared" si="33"/>
        <v>3.3645726154408369E+22</v>
      </c>
      <c r="G104" s="510">
        <f>$I$5*'Assumptions-Output Override'!$D$12*12</f>
        <v>4443.3239894938342</v>
      </c>
      <c r="H104" s="489">
        <f>'Winners-Losers Values PMPM'!AV92*$I$9*12</f>
        <v>1008.4590193037873</v>
      </c>
      <c r="I104" s="489">
        <f>('Winners-Losers Values PMPM'!AW92*12)*$I$10</f>
        <v>11.626703756983447</v>
      </c>
      <c r="J104" s="489">
        <f>('Winners-Losers Values PMPM'!AT92*12)*$I$11</f>
        <v>421.267000171907</v>
      </c>
      <c r="K104" s="510">
        <f t="shared" si="34"/>
        <v>5884.6767127265121</v>
      </c>
      <c r="L104" s="510">
        <f t="shared" si="35"/>
        <v>3.3645726154408369E+22</v>
      </c>
      <c r="M104" s="510">
        <f t="shared" si="36"/>
        <v>0</v>
      </c>
      <c r="N104" s="489">
        <f>'Winners-Losers Values PMPM'!AP92*12</f>
        <v>2092.4743875013132</v>
      </c>
      <c r="O104" s="489">
        <f>'Winners-Losers Values PMPM'!AQ92*12</f>
        <v>320.98459346996998</v>
      </c>
      <c r="P104" s="489">
        <f>'Winners-Losers Values PMPM'!AR92*12</f>
        <v>0.47283986604670847</v>
      </c>
      <c r="Q104" s="489">
        <f>'Winners-Losers Values PMPM'!AO92*12</f>
        <v>0</v>
      </c>
      <c r="R104" s="510">
        <f t="shared" si="37"/>
        <v>2413.9318208373302</v>
      </c>
      <c r="S104" s="489">
        <f t="shared" si="38"/>
        <v>3555.4431572874519</v>
      </c>
      <c r="T104" s="489">
        <f t="shared" si="39"/>
        <v>3555.4431572874519</v>
      </c>
      <c r="U104" s="510">
        <f>((('Assumptions-Output Override'!$H$60+'Assumptions-Output Override'!$H$61)/('Assumptions-Output Override'!$F$60+'Assumptions-Output Override'!$F$61))*'HRA Balance Calc'!$I$5*12)+($K$8*(($I$8*12)))</f>
        <v>-288.26087712588196</v>
      </c>
      <c r="V104" s="489">
        <f>'Winners-Losers Values PMPM'!AV92*(1-$I$9)*12+$L$8*(($I$8*12)*IFERROR((('Winners-Losers Values PMPM'!AY92*12)/('Winners-Losers Values PMPM'!AY$107*12)),0))</f>
        <v>177.9633563477272</v>
      </c>
      <c r="W104" s="489">
        <f>('Winners-Losers Values PMPM'!AW92*12)*(1-$I$10)+$M$8*(($I$8*12)*IFERROR((('Winners-Losers Values PMPM'!AY92*12)/('Winners-Losers Values PMPM'!AY$107*12)),0))</f>
        <v>2.0517712512323736</v>
      </c>
      <c r="X104" s="489">
        <f>('Winners-Losers Values PMPM'!AT92*12)*(1-$I$11)+$N$8*(($I$8*12)*IFERROR((('Winners-Losers Values PMPM'!AY92*12)/('Winners-Losers Values PMPM'!AY$107*12)),0))</f>
        <v>961.49620885116201</v>
      </c>
      <c r="Y104" s="510">
        <f t="shared" si="40"/>
        <v>853.25045932423961</v>
      </c>
      <c r="AA104" s="510">
        <f t="shared" si="41"/>
        <v>4443.3239894938342</v>
      </c>
      <c r="AB104" s="510">
        <f t="shared" si="41"/>
        <v>1008.4590193037873</v>
      </c>
      <c r="AC104" s="510">
        <f t="shared" si="41"/>
        <v>11.626703756983447</v>
      </c>
      <c r="AD104" s="510">
        <f t="shared" si="30"/>
        <v>421.267000171907</v>
      </c>
      <c r="AE104" s="510">
        <f t="shared" si="42"/>
        <v>471.98996185153999</v>
      </c>
      <c r="AF104" s="510">
        <f t="shared" si="43"/>
        <v>6356.6666745780522</v>
      </c>
      <c r="AG104" s="510">
        <f t="shared" si="44"/>
        <v>3.3645726154408369E+22</v>
      </c>
      <c r="AH104" s="510">
        <f t="shared" si="45"/>
        <v>3.3645726154408369E+22</v>
      </c>
      <c r="AJ104" s="510">
        <f t="shared" si="46"/>
        <v>1804.2135103754313</v>
      </c>
      <c r="AK104" s="510">
        <f t="shared" si="47"/>
        <v>498.94794981769718</v>
      </c>
      <c r="AL104" s="510">
        <f t="shared" si="47"/>
        <v>2.5246111172790822</v>
      </c>
      <c r="AM104" s="510">
        <f t="shared" si="47"/>
        <v>961.49620885116201</v>
      </c>
      <c r="AN104" s="510">
        <f t="shared" si="48"/>
        <v>0</v>
      </c>
      <c r="AO104" s="510">
        <f t="shared" si="49"/>
        <v>3267.1822801615695</v>
      </c>
      <c r="AQ104" s="510">
        <f t="shared" si="28"/>
        <v>6247.537499869266</v>
      </c>
      <c r="AR104" s="510">
        <f t="shared" si="28"/>
        <v>1507.4069691214845</v>
      </c>
      <c r="AS104" s="510">
        <f t="shared" si="28"/>
        <v>14.15131487426253</v>
      </c>
      <c r="AT104" s="510">
        <f t="shared" si="28"/>
        <v>1382.7632090230691</v>
      </c>
      <c r="AU104" s="510">
        <f t="shared" si="28"/>
        <v>471.98996185153999</v>
      </c>
      <c r="AV104" s="510">
        <f t="shared" si="50"/>
        <v>9623.8489547396221</v>
      </c>
      <c r="AW104" s="510">
        <f t="shared" si="51"/>
        <v>3.3645726154408369E+22</v>
      </c>
      <c r="AX104" s="510">
        <f t="shared" si="52"/>
        <v>3.3645726154408369E+22</v>
      </c>
      <c r="AY104" s="510">
        <f t="shared" si="53"/>
        <v>3.3645726154408369E+22</v>
      </c>
      <c r="AZ104" s="490">
        <f t="shared" si="54"/>
        <v>-3.3645726154408369E+22</v>
      </c>
      <c r="BA104" s="510">
        <f t="shared" si="55"/>
        <v>6.7291452308816738E+22</v>
      </c>
    </row>
    <row r="105" spans="1:53" x14ac:dyDescent="0.2">
      <c r="A105">
        <v>88</v>
      </c>
      <c r="B105" s="510">
        <f>'Assumptions-Output Target'!$D$12*'Assumptions-Output Override'!$D$11*$I$2*12</f>
        <v>3935.8341983467963</v>
      </c>
      <c r="C105" s="510">
        <f t="shared" si="31"/>
        <v>-3.3645726154408369E+22</v>
      </c>
      <c r="D105" s="510">
        <f t="shared" si="32"/>
        <v>0</v>
      </c>
      <c r="E105" s="510">
        <f t="shared" si="29"/>
        <v>471.98996185153999</v>
      </c>
      <c r="F105" s="510">
        <f t="shared" si="33"/>
        <v>3.3645726154408369E+22</v>
      </c>
      <c r="G105" s="510">
        <f>$I$5*'Assumptions-Output Override'!$D$12*12</f>
        <v>4443.3239894938342</v>
      </c>
      <c r="H105" s="489">
        <f>'Winners-Losers Values PMPM'!AV93*$I$9*12</f>
        <v>1119.9546538798013</v>
      </c>
      <c r="I105" s="489">
        <f>('Winners-Losers Values PMPM'!AW93*12)*$I$10</f>
        <v>29.246231836956294</v>
      </c>
      <c r="J105" s="489">
        <f>('Winners-Losers Values PMPM'!AT93*12)*$I$11</f>
        <v>464.25195362095201</v>
      </c>
      <c r="K105" s="510">
        <f t="shared" si="34"/>
        <v>6056.7768288315438</v>
      </c>
      <c r="L105" s="510">
        <f t="shared" si="35"/>
        <v>3.3645726154408369E+22</v>
      </c>
      <c r="M105" s="510">
        <f t="shared" si="36"/>
        <v>0</v>
      </c>
      <c r="N105" s="489">
        <f>'Winners-Losers Values PMPM'!AP93*12</f>
        <v>2168.264344379988</v>
      </c>
      <c r="O105" s="489">
        <f>'Winners-Losers Values PMPM'!AQ93*12</f>
        <v>338.53577994176209</v>
      </c>
      <c r="P105" s="489">
        <f>'Winners-Losers Values PMPM'!AR93*12</f>
        <v>1.1893985288694819</v>
      </c>
      <c r="Q105" s="489">
        <f>'Winners-Losers Values PMPM'!AO93*12</f>
        <v>0</v>
      </c>
      <c r="R105" s="510">
        <f t="shared" si="37"/>
        <v>2507.9895228506193</v>
      </c>
      <c r="S105" s="489">
        <f t="shared" si="38"/>
        <v>3770.39437920399</v>
      </c>
      <c r="T105" s="489">
        <f t="shared" si="39"/>
        <v>3770.39437920399</v>
      </c>
      <c r="U105" s="510">
        <f>((('Assumptions-Output Override'!$H$60+'Assumptions-Output Override'!$H$61)/('Assumptions-Output Override'!$F$60+'Assumptions-Output Override'!$F$61))*'HRA Balance Calc'!$I$5*12)+($K$8*(($I$8*12)))</f>
        <v>-288.26087712588196</v>
      </c>
      <c r="V105" s="489">
        <f>'Winners-Losers Values PMPM'!AV93*(1-$I$9)*12+$L$8*(($I$8*12)*IFERROR((('Winners-Losers Values PMPM'!AY93*12)/('Winners-Losers Values PMPM'!AY$107*12)),0))</f>
        <v>197.63905656702377</v>
      </c>
      <c r="W105" s="489">
        <f>('Winners-Losers Values PMPM'!AW93*12)*(1-$I$10)+$M$8*(($I$8*12)*IFERROR((('Winners-Losers Values PMPM'!AY93*12)/('Winners-Losers Values PMPM'!AY$107*12)),0))</f>
        <v>5.1610997359334645</v>
      </c>
      <c r="X105" s="489">
        <f>('Winners-Losers Values PMPM'!AT93*12)*(1-$I$11)+$N$8*(($I$8*12)*IFERROR((('Winners-Losers Values PMPM'!AY93*12)/('Winners-Losers Values PMPM'!AY$107*12)),0))</f>
        <v>1059.6047000504132</v>
      </c>
      <c r="Y105" s="510">
        <f t="shared" si="40"/>
        <v>974.14397922748844</v>
      </c>
      <c r="AA105" s="510">
        <f t="shared" si="41"/>
        <v>4443.3239894938342</v>
      </c>
      <c r="AB105" s="510">
        <f t="shared" si="41"/>
        <v>1119.9546538798013</v>
      </c>
      <c r="AC105" s="510">
        <f t="shared" si="41"/>
        <v>29.246231836956294</v>
      </c>
      <c r="AD105" s="510">
        <f t="shared" si="30"/>
        <v>464.25195362095201</v>
      </c>
      <c r="AE105" s="510">
        <f t="shared" si="42"/>
        <v>471.98996185153999</v>
      </c>
      <c r="AF105" s="510">
        <f t="shared" si="43"/>
        <v>6528.7667906830839</v>
      </c>
      <c r="AG105" s="510">
        <f t="shared" si="44"/>
        <v>3.3645726154408369E+22</v>
      </c>
      <c r="AH105" s="510">
        <f t="shared" si="45"/>
        <v>3.3645726154408369E+22</v>
      </c>
      <c r="AJ105" s="510">
        <f t="shared" si="46"/>
        <v>1880.003467254106</v>
      </c>
      <c r="AK105" s="510">
        <f t="shared" si="47"/>
        <v>536.1748365087858</v>
      </c>
      <c r="AL105" s="510">
        <f t="shared" si="47"/>
        <v>6.3504982648029467</v>
      </c>
      <c r="AM105" s="510">
        <f t="shared" si="47"/>
        <v>1059.6047000504132</v>
      </c>
      <c r="AN105" s="510">
        <f t="shared" si="48"/>
        <v>0</v>
      </c>
      <c r="AO105" s="510">
        <f t="shared" si="49"/>
        <v>3482.133502078108</v>
      </c>
      <c r="AQ105" s="510">
        <f t="shared" si="28"/>
        <v>6323.3274567479402</v>
      </c>
      <c r="AR105" s="510">
        <f t="shared" si="28"/>
        <v>1656.1294903885871</v>
      </c>
      <c r="AS105" s="510">
        <f t="shared" si="28"/>
        <v>35.596730101759242</v>
      </c>
      <c r="AT105" s="510">
        <f t="shared" si="28"/>
        <v>1523.8566536713652</v>
      </c>
      <c r="AU105" s="510">
        <f t="shared" si="28"/>
        <v>471.98996185153999</v>
      </c>
      <c r="AV105" s="510">
        <f t="shared" si="50"/>
        <v>10010.900292761191</v>
      </c>
      <c r="AW105" s="510">
        <f t="shared" si="51"/>
        <v>3.3645726154408369E+22</v>
      </c>
      <c r="AX105" s="510">
        <f t="shared" si="52"/>
        <v>3.3645726154408369E+22</v>
      </c>
      <c r="AY105" s="510">
        <f t="shared" si="53"/>
        <v>3.3645726154408369E+22</v>
      </c>
      <c r="AZ105" s="490">
        <f t="shared" si="54"/>
        <v>-3.3645726154408369E+22</v>
      </c>
      <c r="BA105" s="510">
        <f t="shared" si="55"/>
        <v>6.7291452308816738E+22</v>
      </c>
    </row>
    <row r="106" spans="1:53" x14ac:dyDescent="0.2">
      <c r="A106">
        <v>89</v>
      </c>
      <c r="B106" s="510">
        <f>'Assumptions-Output Target'!$D$12*'Assumptions-Output Override'!$D$11*$I$2*12</f>
        <v>3935.8341983467963</v>
      </c>
      <c r="C106" s="510">
        <f t="shared" si="31"/>
        <v>-3.3645726154408369E+22</v>
      </c>
      <c r="D106" s="510">
        <f t="shared" si="32"/>
        <v>0</v>
      </c>
      <c r="E106" s="510">
        <f t="shared" si="29"/>
        <v>471.98996185153999</v>
      </c>
      <c r="F106" s="510">
        <f t="shared" si="33"/>
        <v>3.3645726154408369E+22</v>
      </c>
      <c r="G106" s="510">
        <f>$I$5*'Assumptions-Output Override'!$D$12*12</f>
        <v>4443.3239894938342</v>
      </c>
      <c r="H106" s="489">
        <f>'Winners-Losers Values PMPM'!AV94*$I$9*12</f>
        <v>1249.6192841442148</v>
      </c>
      <c r="I106" s="489">
        <f>('Winners-Losers Values PMPM'!AW94*12)*$I$10</f>
        <v>31.80214466930147</v>
      </c>
      <c r="J106" s="489">
        <f>('Winners-Losers Values PMPM'!AT94*12)*$I$11</f>
        <v>545.24825833110356</v>
      </c>
      <c r="K106" s="510">
        <f t="shared" si="34"/>
        <v>6269.9936766384553</v>
      </c>
      <c r="L106" s="510">
        <f t="shared" si="35"/>
        <v>3.3645726154408369E+22</v>
      </c>
      <c r="M106" s="510">
        <f t="shared" si="36"/>
        <v>0</v>
      </c>
      <c r="N106" s="489">
        <f>'Winners-Losers Values PMPM'!AP94*12</f>
        <v>2234.6610471389154</v>
      </c>
      <c r="O106" s="489">
        <f>'Winners-Losers Values PMPM'!AQ94*12</f>
        <v>354.20422726581023</v>
      </c>
      <c r="P106" s="489">
        <f>'Winners-Losers Values PMPM'!AR94*12</f>
        <v>1.2933435081631415</v>
      </c>
      <c r="Q106" s="489">
        <f>'Winners-Losers Values PMPM'!AO94*12</f>
        <v>0</v>
      </c>
      <c r="R106" s="510">
        <f t="shared" si="37"/>
        <v>2590.158617912889</v>
      </c>
      <c r="S106" s="489">
        <f t="shared" si="38"/>
        <v>4060.761786460323</v>
      </c>
      <c r="T106" s="489">
        <f t="shared" si="39"/>
        <v>4060.761786460323</v>
      </c>
      <c r="U106" s="510">
        <f>((('Assumptions-Output Override'!$H$60+'Assumptions-Output Override'!$H$61)/('Assumptions-Output Override'!$F$60+'Assumptions-Output Override'!$F$61))*'HRA Balance Calc'!$I$5*12)+($K$8*(($I$8*12)))</f>
        <v>-288.26087712588196</v>
      </c>
      <c r="V106" s="489">
        <f>'Winners-Losers Values PMPM'!AV94*(1-$I$9)*12+$L$8*(($I$8*12)*IFERROR((('Winners-Losers Values PMPM'!AY94*12)/('Winners-Losers Values PMPM'!AY$107*12)),0))</f>
        <v>220.52105014309677</v>
      </c>
      <c r="W106" s="489">
        <f>('Winners-Losers Values PMPM'!AW94*12)*(1-$I$10)+$M$8*(($I$8*12)*IFERROR((('Winners-Losers Values PMPM'!AY94*12)/('Winners-Losers Values PMPM'!AY$107*12)),0))</f>
        <v>5.6121431769355548</v>
      </c>
      <c r="X106" s="489">
        <f>('Winners-Losers Values PMPM'!AT94*12)*(1-$I$11)+$N$8*(($I$8*12)*IFERROR((('Winners-Losers Values PMPM'!AY94*12)/('Winners-Losers Values PMPM'!AY$107*12)),0))</f>
        <v>1244.4699752274018</v>
      </c>
      <c r="Y106" s="510">
        <f t="shared" si="40"/>
        <v>1182.3422914215523</v>
      </c>
      <c r="AA106" s="510">
        <f t="shared" si="41"/>
        <v>4443.3239894938342</v>
      </c>
      <c r="AB106" s="510">
        <f t="shared" si="41"/>
        <v>1249.6192841442148</v>
      </c>
      <c r="AC106" s="510">
        <f t="shared" si="41"/>
        <v>31.80214466930147</v>
      </c>
      <c r="AD106" s="510">
        <f t="shared" si="30"/>
        <v>545.24825833110356</v>
      </c>
      <c r="AE106" s="510">
        <f t="shared" si="42"/>
        <v>471.98996185153999</v>
      </c>
      <c r="AF106" s="510">
        <f t="shared" si="43"/>
        <v>6741.9836384899954</v>
      </c>
      <c r="AG106" s="510">
        <f t="shared" si="44"/>
        <v>3.3645726154408369E+22</v>
      </c>
      <c r="AH106" s="510">
        <f t="shared" si="45"/>
        <v>3.3645726154408369E+22</v>
      </c>
      <c r="AJ106" s="510">
        <f t="shared" si="46"/>
        <v>1946.4001700130334</v>
      </c>
      <c r="AK106" s="510">
        <f t="shared" si="47"/>
        <v>574.725277408907</v>
      </c>
      <c r="AL106" s="510">
        <f t="shared" si="47"/>
        <v>6.9054866850986958</v>
      </c>
      <c r="AM106" s="510">
        <f t="shared" si="47"/>
        <v>1244.4699752274018</v>
      </c>
      <c r="AN106" s="510">
        <f t="shared" si="48"/>
        <v>0</v>
      </c>
      <c r="AO106" s="510">
        <f t="shared" si="49"/>
        <v>3772.5009093344411</v>
      </c>
      <c r="AQ106" s="510">
        <f t="shared" si="28"/>
        <v>6389.7241595068681</v>
      </c>
      <c r="AR106" s="510">
        <f t="shared" si="28"/>
        <v>1824.3445615531218</v>
      </c>
      <c r="AS106" s="510">
        <f t="shared" si="28"/>
        <v>38.707631354400164</v>
      </c>
      <c r="AT106" s="510">
        <f t="shared" si="28"/>
        <v>1789.7182335585053</v>
      </c>
      <c r="AU106" s="510">
        <f t="shared" si="28"/>
        <v>471.98996185153999</v>
      </c>
      <c r="AV106" s="510">
        <f t="shared" si="50"/>
        <v>10514.484547824435</v>
      </c>
      <c r="AW106" s="510">
        <f t="shared" si="51"/>
        <v>3.3645726154408369E+22</v>
      </c>
      <c r="AX106" s="510">
        <f t="shared" si="52"/>
        <v>3.3645726154408369E+22</v>
      </c>
      <c r="AY106" s="510">
        <f t="shared" si="53"/>
        <v>3.3645726154408369E+22</v>
      </c>
      <c r="AZ106" s="490">
        <f t="shared" si="54"/>
        <v>-3.3645726154408369E+22</v>
      </c>
      <c r="BA106" s="510">
        <f t="shared" si="55"/>
        <v>6.7291452308816738E+22</v>
      </c>
    </row>
    <row r="107" spans="1:53" x14ac:dyDescent="0.2">
      <c r="A107">
        <v>90</v>
      </c>
      <c r="B107" s="510">
        <f>'Assumptions-Output Target'!$D$12*'Assumptions-Output Override'!$D$11*$I$2*12</f>
        <v>3935.8341983467963</v>
      </c>
      <c r="C107" s="510">
        <f t="shared" si="31"/>
        <v>-3.3645726154408369E+22</v>
      </c>
      <c r="D107" s="510">
        <f t="shared" si="32"/>
        <v>0</v>
      </c>
      <c r="E107" s="510">
        <f t="shared" si="29"/>
        <v>471.98996185153999</v>
      </c>
      <c r="F107" s="510">
        <f t="shared" si="33"/>
        <v>3.3645726154408369E+22</v>
      </c>
      <c r="G107" s="510">
        <f>$I$5*'Assumptions-Output Override'!$D$12*12</f>
        <v>4443.3239894938342</v>
      </c>
      <c r="H107" s="489">
        <f>'Winners-Losers Values PMPM'!AV95*$I$9*12</f>
        <v>1415.060804935955</v>
      </c>
      <c r="I107" s="489">
        <f>('Winners-Losers Values PMPM'!AW95*12)*$I$10</f>
        <v>29.204478180768099</v>
      </c>
      <c r="J107" s="489">
        <f>('Winners-Losers Values PMPM'!AT95*12)*$I$11</f>
        <v>648.03277131516063</v>
      </c>
      <c r="K107" s="510">
        <f t="shared" si="34"/>
        <v>6535.6220439257186</v>
      </c>
      <c r="L107" s="510">
        <f t="shared" si="35"/>
        <v>3.3645726154408369E+22</v>
      </c>
      <c r="M107" s="510">
        <f t="shared" si="36"/>
        <v>0</v>
      </c>
      <c r="N107" s="489">
        <f>'Winners-Losers Values PMPM'!AP95*12</f>
        <v>2356.5479401555717</v>
      </c>
      <c r="O107" s="489">
        <f>'Winners-Losers Values PMPM'!AQ95*12</f>
        <v>378.76455711851844</v>
      </c>
      <c r="P107" s="489">
        <f>'Winners-Losers Values PMPM'!AR95*12</f>
        <v>1.1877004729448073</v>
      </c>
      <c r="Q107" s="489">
        <f>'Winners-Losers Values PMPM'!AO95*12</f>
        <v>0</v>
      </c>
      <c r="R107" s="510">
        <f t="shared" si="37"/>
        <v>2736.5001977470351</v>
      </c>
      <c r="S107" s="489">
        <f t="shared" si="38"/>
        <v>4470.4350129969434</v>
      </c>
      <c r="T107" s="489">
        <f t="shared" si="39"/>
        <v>4470.4350129969434</v>
      </c>
      <c r="U107" s="510">
        <f>((('Assumptions-Output Override'!$H$60+'Assumptions-Output Override'!$H$61)/('Assumptions-Output Override'!$F$60+'Assumptions-Output Override'!$F$61))*'HRA Balance Calc'!$I$5*12)+($K$8*(($I$8*12)))</f>
        <v>-288.26087712588196</v>
      </c>
      <c r="V107" s="489">
        <f>'Winners-Losers Values PMPM'!AV95*(1-$I$9)*12+$L$8*(($I$8*12)*IFERROR((('Winners-Losers Values PMPM'!AY95*12)/('Winners-Losers Values PMPM'!AY$107*12)),0))</f>
        <v>249.7166126357568</v>
      </c>
      <c r="W107" s="489">
        <f>('Winners-Losers Values PMPM'!AW95*12)*(1-$I$10)+$M$8*(($I$8*12)*IFERROR((('Winners-Losers Values PMPM'!AY95*12)/('Winners-Losers Values PMPM'!AY$107*12)),0))</f>
        <v>5.1537314436649595</v>
      </c>
      <c r="X107" s="489">
        <f>('Winners-Losers Values PMPM'!AT95*12)*(1-$I$11)+$N$8*(($I$8*12)*IFERROR((('Winners-Losers Values PMPM'!AY95*12)/('Winners-Losers Values PMPM'!AY$107*12)),0))</f>
        <v>1479.0644711704865</v>
      </c>
      <c r="Y107" s="510">
        <f t="shared" si="40"/>
        <v>1445.6739381240263</v>
      </c>
      <c r="AA107" s="510">
        <f t="shared" si="41"/>
        <v>4443.3239894938342</v>
      </c>
      <c r="AB107" s="510">
        <f t="shared" si="41"/>
        <v>1415.060804935955</v>
      </c>
      <c r="AC107" s="510">
        <f t="shared" si="41"/>
        <v>29.204478180768099</v>
      </c>
      <c r="AD107" s="510">
        <f t="shared" si="30"/>
        <v>648.03277131516063</v>
      </c>
      <c r="AE107" s="510">
        <f t="shared" si="42"/>
        <v>471.98996185153999</v>
      </c>
      <c r="AF107" s="510">
        <f t="shared" si="43"/>
        <v>7007.6120057772587</v>
      </c>
      <c r="AG107" s="510">
        <f t="shared" si="44"/>
        <v>3.3645726154408369E+22</v>
      </c>
      <c r="AH107" s="510">
        <f t="shared" si="45"/>
        <v>3.3645726154408369E+22</v>
      </c>
      <c r="AJ107" s="510">
        <f t="shared" si="46"/>
        <v>2068.2870630296898</v>
      </c>
      <c r="AK107" s="510">
        <f t="shared" si="47"/>
        <v>628.48116975427524</v>
      </c>
      <c r="AL107" s="510">
        <f t="shared" si="47"/>
        <v>6.3414319166097668</v>
      </c>
      <c r="AM107" s="510">
        <f t="shared" si="47"/>
        <v>1479.0644711704865</v>
      </c>
      <c r="AN107" s="510">
        <f t="shared" si="48"/>
        <v>0</v>
      </c>
      <c r="AO107" s="510">
        <f t="shared" si="49"/>
        <v>4182.1741358710615</v>
      </c>
      <c r="AQ107" s="510">
        <f t="shared" si="28"/>
        <v>6511.6110525235235</v>
      </c>
      <c r="AR107" s="510">
        <f t="shared" si="28"/>
        <v>2043.5419746902303</v>
      </c>
      <c r="AS107" s="510">
        <f t="shared" si="28"/>
        <v>35.545910097377863</v>
      </c>
      <c r="AT107" s="510">
        <f t="shared" si="28"/>
        <v>2127.0972424856473</v>
      </c>
      <c r="AU107" s="510">
        <f t="shared" si="28"/>
        <v>471.98996185153999</v>
      </c>
      <c r="AV107" s="510">
        <f t="shared" si="50"/>
        <v>11189.786141648319</v>
      </c>
      <c r="AW107" s="510">
        <f t="shared" si="51"/>
        <v>3.3645726154408369E+22</v>
      </c>
      <c r="AX107" s="510">
        <f t="shared" si="52"/>
        <v>3.3645726154408369E+22</v>
      </c>
      <c r="AY107" s="510">
        <f t="shared" si="53"/>
        <v>3.3645726154408369E+22</v>
      </c>
      <c r="AZ107" s="490">
        <f t="shared" si="54"/>
        <v>-3.3645726154408369E+22</v>
      </c>
      <c r="BA107" s="510">
        <f t="shared" si="55"/>
        <v>6.7291452308816738E+22</v>
      </c>
    </row>
    <row r="108" spans="1:53" x14ac:dyDescent="0.2">
      <c r="A108">
        <v>91</v>
      </c>
      <c r="B108" s="510">
        <f>'Assumptions-Output Target'!$D$12*'Assumptions-Output Override'!$D$11*$I$2*12</f>
        <v>3935.8341983467963</v>
      </c>
      <c r="C108" s="510">
        <f t="shared" si="31"/>
        <v>-3.3645726154408369E+22</v>
      </c>
      <c r="D108" s="510">
        <f t="shared" si="32"/>
        <v>0</v>
      </c>
      <c r="E108" s="510">
        <f t="shared" si="29"/>
        <v>471.98996185153999</v>
      </c>
      <c r="F108" s="510">
        <f t="shared" si="33"/>
        <v>3.3645726154408369E+22</v>
      </c>
      <c r="G108" s="510">
        <f>$I$5*'Assumptions-Output Override'!$D$12*12</f>
        <v>4443.3239894938342</v>
      </c>
      <c r="H108" s="489">
        <f>'Winners-Losers Values PMPM'!AV96*$I$9*12</f>
        <v>1617.8959805108916</v>
      </c>
      <c r="I108" s="489">
        <f>('Winners-Losers Values PMPM'!AW96*12)*$I$10</f>
        <v>27.172869004983063</v>
      </c>
      <c r="J108" s="489">
        <f>('Winners-Losers Values PMPM'!AT96*12)*$I$11</f>
        <v>789.7946878838128</v>
      </c>
      <c r="K108" s="510">
        <f t="shared" si="34"/>
        <v>6878.1875268935219</v>
      </c>
      <c r="L108" s="510">
        <f t="shared" si="35"/>
        <v>3.3645726154408369E+22</v>
      </c>
      <c r="M108" s="510">
        <f t="shared" si="36"/>
        <v>0</v>
      </c>
      <c r="N108" s="489">
        <f>'Winners-Losers Values PMPM'!AP96*12</f>
        <v>2416.1698227339621</v>
      </c>
      <c r="O108" s="489">
        <f>'Winners-Losers Values PMPM'!AQ96*12</f>
        <v>402.99686057527362</v>
      </c>
      <c r="P108" s="489">
        <f>'Winners-Losers Values PMPM'!AR96*12</f>
        <v>1.1050781037319966</v>
      </c>
      <c r="Q108" s="489">
        <f>'Winners-Losers Values PMPM'!AO96*12</f>
        <v>0</v>
      </c>
      <c r="R108" s="510">
        <f t="shared" si="37"/>
        <v>2820.2717614129679</v>
      </c>
      <c r="S108" s="489">
        <f t="shared" si="38"/>
        <v>4913.1986896510516</v>
      </c>
      <c r="T108" s="489">
        <f t="shared" si="39"/>
        <v>4913.1986896510516</v>
      </c>
      <c r="U108" s="510">
        <f>((('Assumptions-Output Override'!$H$60+'Assumptions-Output Override'!$H$61)/('Assumptions-Output Override'!$F$60+'Assumptions-Output Override'!$F$61))*'HRA Balance Calc'!$I$5*12)+($K$8*(($I$8*12)))</f>
        <v>-288.26087712588196</v>
      </c>
      <c r="V108" s="489">
        <f>'Winners-Losers Values PMPM'!AV96*(1-$I$9)*12+$L$8*(($I$8*12)*IFERROR((('Winners-Losers Values PMPM'!AY96*12)/('Winners-Losers Values PMPM'!AY$107*12)),0))</f>
        <v>285.5110553842751</v>
      </c>
      <c r="W108" s="489">
        <f>('Winners-Losers Values PMPM'!AW96*12)*(1-$I$10)+$M$8*(($I$8*12)*IFERROR((('Winners-Losers Values PMPM'!AY96*12)/('Winners-Losers Values PMPM'!AY$107*12)),0))</f>
        <v>4.7952121773499528</v>
      </c>
      <c r="X108" s="489">
        <f>('Winners-Losers Values PMPM'!AT96*12)*(1-$I$11)+$N$8*(($I$8*12)*IFERROR((('Winners-Losers Values PMPM'!AY96*12)/('Winners-Losers Values PMPM'!AY$107*12)),0))</f>
        <v>1802.6206606764586</v>
      </c>
      <c r="Y108" s="510">
        <f t="shared" si="40"/>
        <v>1804.6660511122016</v>
      </c>
      <c r="AA108" s="510">
        <f t="shared" si="41"/>
        <v>4443.3239894938342</v>
      </c>
      <c r="AB108" s="510">
        <f t="shared" si="41"/>
        <v>1617.8959805108916</v>
      </c>
      <c r="AC108" s="510">
        <f t="shared" si="41"/>
        <v>27.172869004983063</v>
      </c>
      <c r="AD108" s="510">
        <f t="shared" si="30"/>
        <v>789.7946878838128</v>
      </c>
      <c r="AE108" s="510">
        <f t="shared" si="42"/>
        <v>471.98996185153999</v>
      </c>
      <c r="AF108" s="510">
        <f t="shared" si="43"/>
        <v>7350.177488745062</v>
      </c>
      <c r="AG108" s="510">
        <f t="shared" si="44"/>
        <v>3.3645726154408369E+22</v>
      </c>
      <c r="AH108" s="510">
        <f t="shared" si="45"/>
        <v>3.3645726154408369E+22</v>
      </c>
      <c r="AJ108" s="510">
        <f t="shared" si="46"/>
        <v>2127.9089456080801</v>
      </c>
      <c r="AK108" s="510">
        <f t="shared" si="47"/>
        <v>688.50791595954865</v>
      </c>
      <c r="AL108" s="510">
        <f t="shared" si="47"/>
        <v>5.9002902810819489</v>
      </c>
      <c r="AM108" s="510">
        <f t="shared" si="47"/>
        <v>1802.6206606764586</v>
      </c>
      <c r="AN108" s="510">
        <f t="shared" si="48"/>
        <v>0</v>
      </c>
      <c r="AO108" s="510">
        <f t="shared" si="49"/>
        <v>4624.9378125251696</v>
      </c>
      <c r="AQ108" s="510">
        <f t="shared" si="28"/>
        <v>6571.2329351019143</v>
      </c>
      <c r="AR108" s="510">
        <f t="shared" si="28"/>
        <v>2306.4038964704405</v>
      </c>
      <c r="AS108" s="510">
        <f t="shared" si="28"/>
        <v>33.073159286065014</v>
      </c>
      <c r="AT108" s="510">
        <f t="shared" si="28"/>
        <v>2592.4153485602715</v>
      </c>
      <c r="AU108" s="510">
        <f t="shared" si="28"/>
        <v>471.98996185153999</v>
      </c>
      <c r="AV108" s="510">
        <f t="shared" si="50"/>
        <v>11975.115301270231</v>
      </c>
      <c r="AW108" s="510">
        <f t="shared" si="51"/>
        <v>3.3645726154408369E+22</v>
      </c>
      <c r="AX108" s="510">
        <f t="shared" si="52"/>
        <v>3.3645726154408369E+22</v>
      </c>
      <c r="AY108" s="510">
        <f t="shared" si="53"/>
        <v>3.3645726154408369E+22</v>
      </c>
      <c r="AZ108" s="490">
        <f t="shared" si="54"/>
        <v>-3.3645726154408369E+22</v>
      </c>
      <c r="BA108" s="510">
        <f t="shared" si="55"/>
        <v>6.7291452308816738E+22</v>
      </c>
    </row>
    <row r="109" spans="1:53" x14ac:dyDescent="0.2">
      <c r="A109">
        <v>92</v>
      </c>
      <c r="B109" s="510">
        <f>'Assumptions-Output Target'!$D$12*'Assumptions-Output Override'!$D$11*$I$2*12</f>
        <v>3935.8341983467963</v>
      </c>
      <c r="C109" s="510">
        <f t="shared" si="31"/>
        <v>-3.3645726154408369E+22</v>
      </c>
      <c r="D109" s="510">
        <f t="shared" si="32"/>
        <v>0</v>
      </c>
      <c r="E109" s="510">
        <f t="shared" si="29"/>
        <v>471.98996185153999</v>
      </c>
      <c r="F109" s="510">
        <f t="shared" si="33"/>
        <v>3.3645726154408369E+22</v>
      </c>
      <c r="G109" s="510">
        <f>$I$5*'Assumptions-Output Override'!$D$12*12</f>
        <v>4443.3239894938342</v>
      </c>
      <c r="H109" s="489">
        <f>'Winners-Losers Values PMPM'!AV97*$I$9*12</f>
        <v>1778.9464895909484</v>
      </c>
      <c r="I109" s="489">
        <f>('Winners-Losers Values PMPM'!AW97*12)*$I$10</f>
        <v>30.751234656376639</v>
      </c>
      <c r="J109" s="489">
        <f>('Winners-Losers Values PMPM'!AT97*12)*$I$11</f>
        <v>995.21475417506247</v>
      </c>
      <c r="K109" s="510">
        <f t="shared" si="34"/>
        <v>7248.236467916222</v>
      </c>
      <c r="L109" s="510">
        <f t="shared" si="35"/>
        <v>3.3645726154408369E+22</v>
      </c>
      <c r="M109" s="510">
        <f t="shared" si="36"/>
        <v>0</v>
      </c>
      <c r="N109" s="489">
        <f>'Winners-Losers Values PMPM'!AP97*12</f>
        <v>2519.4744075036824</v>
      </c>
      <c r="O109" s="489">
        <f>'Winners-Losers Values PMPM'!AQ97*12</f>
        <v>418.14005776899938</v>
      </c>
      <c r="P109" s="489">
        <f>'Winners-Losers Values PMPM'!AR97*12</f>
        <v>1.2506046408001488</v>
      </c>
      <c r="Q109" s="489">
        <f>'Winners-Losers Values PMPM'!AO97*12</f>
        <v>0</v>
      </c>
      <c r="R109" s="510">
        <f t="shared" si="37"/>
        <v>2938.8650699134819</v>
      </c>
      <c r="S109" s="489">
        <f t="shared" si="38"/>
        <v>5529.6931601058823</v>
      </c>
      <c r="T109" s="489">
        <f t="shared" si="39"/>
        <v>5529.6931601058823</v>
      </c>
      <c r="U109" s="510">
        <f>((('Assumptions-Output Override'!$H$60+'Assumptions-Output Override'!$H$61)/('Assumptions-Output Override'!$F$60+'Assumptions-Output Override'!$F$61))*'HRA Balance Calc'!$I$5*12)+($K$8*(($I$8*12)))</f>
        <v>-288.26087712588196</v>
      </c>
      <c r="V109" s="489">
        <f>'Winners-Losers Values PMPM'!AV97*(1-$I$9)*12+$L$8*(($I$8*12)*IFERROR((('Winners-Losers Values PMPM'!AY97*12)/('Winners-Losers Values PMPM'!AY$107*12)),0))</f>
        <v>313.93173345722619</v>
      </c>
      <c r="W109" s="489">
        <f>('Winners-Losers Values PMPM'!AW97*12)*(1-$I$10)+$M$8*(($I$8*12)*IFERROR((('Winners-Losers Values PMPM'!AY97*12)/('Winners-Losers Values PMPM'!AY$107*12)),0))</f>
        <v>5.4266884687723485</v>
      </c>
      <c r="X109" s="489">
        <f>('Winners-Losers Values PMPM'!AT97*12)*(1-$I$11)+$N$8*(($I$8*12)*IFERROR((('Winners-Losers Values PMPM'!AY97*12)/('Winners-Losers Values PMPM'!AY$107*12)),0))</f>
        <v>2271.4696682664012</v>
      </c>
      <c r="Y109" s="510">
        <f t="shared" si="40"/>
        <v>2302.567213066518</v>
      </c>
      <c r="AA109" s="510">
        <f t="shared" si="41"/>
        <v>4443.3239894938342</v>
      </c>
      <c r="AB109" s="510">
        <f t="shared" si="41"/>
        <v>1778.9464895909484</v>
      </c>
      <c r="AC109" s="510">
        <f t="shared" si="41"/>
        <v>30.751234656376639</v>
      </c>
      <c r="AD109" s="510">
        <f t="shared" si="30"/>
        <v>995.21475417506247</v>
      </c>
      <c r="AE109" s="510">
        <f t="shared" si="42"/>
        <v>471.98996185153999</v>
      </c>
      <c r="AF109" s="510">
        <f t="shared" si="43"/>
        <v>7720.2264297677621</v>
      </c>
      <c r="AG109" s="510">
        <f t="shared" si="44"/>
        <v>3.3645726154408369E+22</v>
      </c>
      <c r="AH109" s="510">
        <f t="shared" si="45"/>
        <v>3.3645726154408369E+22</v>
      </c>
      <c r="AJ109" s="510">
        <f t="shared" si="46"/>
        <v>2231.2135303778005</v>
      </c>
      <c r="AK109" s="510">
        <f t="shared" si="47"/>
        <v>732.07179122622551</v>
      </c>
      <c r="AL109" s="510">
        <f t="shared" si="47"/>
        <v>6.6772931095724974</v>
      </c>
      <c r="AM109" s="510">
        <f t="shared" si="47"/>
        <v>2271.4696682664012</v>
      </c>
      <c r="AN109" s="510">
        <f t="shared" si="48"/>
        <v>0</v>
      </c>
      <c r="AO109" s="510">
        <f t="shared" si="49"/>
        <v>5241.4322829799994</v>
      </c>
      <c r="AQ109" s="510">
        <f t="shared" si="28"/>
        <v>6674.5375198716347</v>
      </c>
      <c r="AR109" s="510">
        <f t="shared" si="28"/>
        <v>2511.0182808171739</v>
      </c>
      <c r="AS109" s="510">
        <f t="shared" si="28"/>
        <v>37.428527765949134</v>
      </c>
      <c r="AT109" s="510">
        <f t="shared" si="28"/>
        <v>3266.6844224414635</v>
      </c>
      <c r="AU109" s="510">
        <f t="shared" si="28"/>
        <v>471.98996185153999</v>
      </c>
      <c r="AV109" s="510">
        <f t="shared" si="50"/>
        <v>12961.658712747761</v>
      </c>
      <c r="AW109" s="510">
        <f t="shared" si="51"/>
        <v>3.3645726154408369E+22</v>
      </c>
      <c r="AX109" s="510">
        <f t="shared" si="52"/>
        <v>3.3645726154408369E+22</v>
      </c>
      <c r="AY109" s="510">
        <f t="shared" si="53"/>
        <v>3.3645726154408369E+22</v>
      </c>
      <c r="AZ109" s="490">
        <f t="shared" si="54"/>
        <v>-3.3645726154408369E+22</v>
      </c>
      <c r="BA109" s="510">
        <f t="shared" si="55"/>
        <v>6.7291452308816738E+22</v>
      </c>
    </row>
    <row r="110" spans="1:53" x14ac:dyDescent="0.2">
      <c r="A110">
        <v>93</v>
      </c>
      <c r="B110" s="510">
        <f>'Assumptions-Output Target'!$D$12*'Assumptions-Output Override'!$D$11*$I$2*12</f>
        <v>3935.8341983467963</v>
      </c>
      <c r="C110" s="510">
        <f t="shared" si="31"/>
        <v>-3.3645726154408369E+22</v>
      </c>
      <c r="D110" s="510">
        <f t="shared" si="32"/>
        <v>0</v>
      </c>
      <c r="E110" s="510">
        <f t="shared" si="29"/>
        <v>471.98996185153999</v>
      </c>
      <c r="F110" s="510">
        <f t="shared" si="33"/>
        <v>3.3645726154408369E+22</v>
      </c>
      <c r="G110" s="510">
        <f>$I$5*'Assumptions-Output Override'!$D$12*12</f>
        <v>4443.3239894938342</v>
      </c>
      <c r="H110" s="489">
        <f>'Winners-Losers Values PMPM'!AV98*$I$9*12</f>
        <v>1998.4363503261486</v>
      </c>
      <c r="I110" s="489">
        <f>('Winners-Losers Values PMPM'!AW98*12)*$I$10</f>
        <v>41.923736384597333</v>
      </c>
      <c r="J110" s="489">
        <f>('Winners-Losers Values PMPM'!AT98*12)*$I$11</f>
        <v>1271.3475655163234</v>
      </c>
      <c r="K110" s="510">
        <f t="shared" si="34"/>
        <v>7755.0316417209033</v>
      </c>
      <c r="L110" s="510">
        <f t="shared" si="35"/>
        <v>3.3645726154408369E+22</v>
      </c>
      <c r="M110" s="510">
        <f t="shared" si="36"/>
        <v>0</v>
      </c>
      <c r="N110" s="489">
        <f>'Winners-Losers Values PMPM'!AP98*12</f>
        <v>2631.9971209953101</v>
      </c>
      <c r="O110" s="489">
        <f>'Winners-Losers Values PMPM'!AQ98*12</f>
        <v>438.45205237451103</v>
      </c>
      <c r="P110" s="489">
        <f>'Winners-Losers Values PMPM'!AR98*12</f>
        <v>1.7049728203803192</v>
      </c>
      <c r="Q110" s="489">
        <f>'Winners-Losers Values PMPM'!AO98*12</f>
        <v>0</v>
      </c>
      <c r="R110" s="510">
        <f t="shared" si="37"/>
        <v>3072.1541461902011</v>
      </c>
      <c r="S110" s="489">
        <f t="shared" si="38"/>
        <v>6333.9305330616253</v>
      </c>
      <c r="T110" s="489">
        <f t="shared" si="39"/>
        <v>6333.9305330616253</v>
      </c>
      <c r="U110" s="510">
        <f>((('Assumptions-Output Override'!$H$60+'Assumptions-Output Override'!$H$61)/('Assumptions-Output Override'!$F$60+'Assumptions-Output Override'!$F$61))*'HRA Balance Calc'!$I$5*12)+($K$8*(($I$8*12)))</f>
        <v>-288.26087712588196</v>
      </c>
      <c r="V110" s="489">
        <f>'Winners-Losers Values PMPM'!AV98*(1-$I$9)*12+$L$8*(($I$8*12)*IFERROR((('Winners-Losers Values PMPM'!AY98*12)/('Winners-Losers Values PMPM'!AY$107*12)),0))</f>
        <v>352.66523829284984</v>
      </c>
      <c r="W110" s="489">
        <f>('Winners-Losers Values PMPM'!AW98*12)*(1-$I$10)+$M$8*(($I$8*12)*IFERROR((('Winners-Losers Values PMPM'!AY98*12)/('Winners-Losers Values PMPM'!AY$107*12)),0))</f>
        <v>7.398306420811295</v>
      </c>
      <c r="X110" s="489">
        <f>('Winners-Losers Values PMPM'!AT98*12)*(1-$I$11)+$N$8*(($I$8*12)*IFERROR((('Winners-Losers Values PMPM'!AY98*12)/('Winners-Losers Values PMPM'!AY$107*12)),0))</f>
        <v>2901.7128421577631</v>
      </c>
      <c r="Y110" s="510">
        <f t="shared" si="40"/>
        <v>2973.5155097455422</v>
      </c>
      <c r="AA110" s="510">
        <f t="shared" si="41"/>
        <v>4443.3239894938342</v>
      </c>
      <c r="AB110" s="510">
        <f t="shared" si="41"/>
        <v>1998.4363503261486</v>
      </c>
      <c r="AC110" s="510">
        <f t="shared" si="41"/>
        <v>41.923736384597333</v>
      </c>
      <c r="AD110" s="510">
        <f t="shared" si="30"/>
        <v>1271.3475655163234</v>
      </c>
      <c r="AE110" s="510">
        <f t="shared" si="42"/>
        <v>471.98996185153999</v>
      </c>
      <c r="AF110" s="510">
        <f t="shared" si="43"/>
        <v>8227.0216035724425</v>
      </c>
      <c r="AG110" s="510">
        <f t="shared" si="44"/>
        <v>3.3645726154408369E+22</v>
      </c>
      <c r="AH110" s="510">
        <f t="shared" si="45"/>
        <v>3.3645726154408369E+22</v>
      </c>
      <c r="AJ110" s="510">
        <f t="shared" si="46"/>
        <v>2343.7362438694281</v>
      </c>
      <c r="AK110" s="510">
        <f t="shared" si="47"/>
        <v>791.11729066736086</v>
      </c>
      <c r="AL110" s="510">
        <f t="shared" si="47"/>
        <v>9.1032792411916148</v>
      </c>
      <c r="AM110" s="510">
        <f t="shared" si="47"/>
        <v>2901.7128421577631</v>
      </c>
      <c r="AN110" s="510">
        <f t="shared" si="48"/>
        <v>0</v>
      </c>
      <c r="AO110" s="510">
        <f t="shared" si="49"/>
        <v>6045.6696559357442</v>
      </c>
      <c r="AQ110" s="510">
        <f t="shared" si="28"/>
        <v>6787.0602333632623</v>
      </c>
      <c r="AR110" s="510">
        <f t="shared" si="28"/>
        <v>2789.5536409935094</v>
      </c>
      <c r="AS110" s="510">
        <f t="shared" si="28"/>
        <v>51.027015625788948</v>
      </c>
      <c r="AT110" s="510">
        <f t="shared" si="28"/>
        <v>4173.0604076740865</v>
      </c>
      <c r="AU110" s="510">
        <f t="shared" si="28"/>
        <v>471.98996185153999</v>
      </c>
      <c r="AV110" s="510">
        <f t="shared" si="50"/>
        <v>14272.691259508187</v>
      </c>
      <c r="AW110" s="510">
        <f t="shared" si="51"/>
        <v>3.3645726154408369E+22</v>
      </c>
      <c r="AX110" s="510">
        <f t="shared" si="52"/>
        <v>3.3645726154408369E+22</v>
      </c>
      <c r="AY110" s="510">
        <f t="shared" si="53"/>
        <v>3.3645726154408369E+22</v>
      </c>
      <c r="AZ110" s="490">
        <f t="shared" si="54"/>
        <v>-3.3645726154408369E+22</v>
      </c>
      <c r="BA110" s="510">
        <f t="shared" si="55"/>
        <v>6.7291452308816738E+22</v>
      </c>
    </row>
    <row r="111" spans="1:53" x14ac:dyDescent="0.2">
      <c r="A111">
        <v>94</v>
      </c>
      <c r="B111" s="510">
        <f>'Assumptions-Output Target'!$D$12*'Assumptions-Output Override'!$D$11*$I$2*12</f>
        <v>3935.8341983467963</v>
      </c>
      <c r="C111" s="510">
        <f t="shared" si="31"/>
        <v>-3.3645726154408369E+22</v>
      </c>
      <c r="D111" s="510">
        <f t="shared" si="32"/>
        <v>0</v>
      </c>
      <c r="E111" s="510">
        <f t="shared" si="29"/>
        <v>471.98996185153999</v>
      </c>
      <c r="F111" s="510">
        <f t="shared" si="33"/>
        <v>3.3645726154408369E+22</v>
      </c>
      <c r="G111" s="510">
        <f>$I$5*'Assumptions-Output Override'!$D$12*12</f>
        <v>4443.3239894938342</v>
      </c>
      <c r="H111" s="489">
        <f>'Winners-Losers Values PMPM'!AV99*$I$9*12</f>
        <v>2203.4984330462453</v>
      </c>
      <c r="I111" s="489">
        <f>('Winners-Losers Values PMPM'!AW99*12)*$I$10</f>
        <v>58.374258465724139</v>
      </c>
      <c r="J111" s="489">
        <f>('Winners-Losers Values PMPM'!AT99*12)*$I$11</f>
        <v>1609.9939421234965</v>
      </c>
      <c r="K111" s="510">
        <f t="shared" si="34"/>
        <v>8315.1906231292996</v>
      </c>
      <c r="L111" s="510">
        <f t="shared" si="35"/>
        <v>3.3645726154408369E+22</v>
      </c>
      <c r="M111" s="510">
        <f t="shared" si="36"/>
        <v>0</v>
      </c>
      <c r="N111" s="489">
        <f>'Winners-Losers Values PMPM'!AP99*12</f>
        <v>2758.2836746277944</v>
      </c>
      <c r="O111" s="489">
        <f>'Winners-Losers Values PMPM'!AQ99*12</f>
        <v>460.48277549794591</v>
      </c>
      <c r="P111" s="489">
        <f>'Winners-Losers Values PMPM'!AR99*12</f>
        <v>2.3739898367093342</v>
      </c>
      <c r="Q111" s="489">
        <f>'Winners-Losers Values PMPM'!AO99*12</f>
        <v>0</v>
      </c>
      <c r="R111" s="510">
        <f t="shared" si="37"/>
        <v>3221.1404399624498</v>
      </c>
      <c r="S111" s="489">
        <f t="shared" si="38"/>
        <v>7294.9308886764811</v>
      </c>
      <c r="T111" s="489">
        <f t="shared" si="39"/>
        <v>7294.9308886764811</v>
      </c>
      <c r="U111" s="510">
        <f>((('Assumptions-Output Override'!$H$60+'Assumptions-Output Override'!$H$61)/('Assumptions-Output Override'!$F$60+'Assumptions-Output Override'!$F$61))*'HRA Balance Calc'!$I$5*12)+($K$8*(($I$8*12)))</f>
        <v>-288.26087712588196</v>
      </c>
      <c r="V111" s="489">
        <f>'Winners-Losers Values PMPM'!AV99*(1-$I$9)*12+$L$8*(($I$8*12)*IFERROR((('Winners-Losers Values PMPM'!AY99*12)/('Winners-Losers Values PMPM'!AY$107*12)),0))</f>
        <v>388.85266465521983</v>
      </c>
      <c r="W111" s="489">
        <f>('Winners-Losers Values PMPM'!AW99*12)*(1-$I$10)+$M$8*(($I$8*12)*IFERROR((('Winners-Losers Values PMPM'!AY99*12)/('Winners-Losers Values PMPM'!AY$107*12)),0))</f>
        <v>10.301339729245438</v>
      </c>
      <c r="X111" s="489">
        <f>('Winners-Losers Values PMPM'!AT99*12)*(1-$I$11)+$N$8*(($I$8*12)*IFERROR((('Winners-Losers Values PMPM'!AY99*12)/('Winners-Losers Values PMPM'!AY$107*12)),0))</f>
        <v>3674.6364443295661</v>
      </c>
      <c r="Y111" s="510">
        <f t="shared" si="40"/>
        <v>3785.5295715881493</v>
      </c>
      <c r="AA111" s="510">
        <f t="shared" si="41"/>
        <v>4443.3239894938342</v>
      </c>
      <c r="AB111" s="510">
        <f t="shared" si="41"/>
        <v>2203.4984330462453</v>
      </c>
      <c r="AC111" s="510">
        <f t="shared" si="41"/>
        <v>58.374258465724139</v>
      </c>
      <c r="AD111" s="510">
        <f t="shared" si="30"/>
        <v>1609.9939421234965</v>
      </c>
      <c r="AE111" s="510">
        <f t="shared" si="42"/>
        <v>471.98996185153999</v>
      </c>
      <c r="AF111" s="510">
        <f t="shared" si="43"/>
        <v>8787.1805849808388</v>
      </c>
      <c r="AG111" s="510">
        <f t="shared" si="44"/>
        <v>3.3645726154408369E+22</v>
      </c>
      <c r="AH111" s="510">
        <f t="shared" si="45"/>
        <v>3.3645726154408369E+22</v>
      </c>
      <c r="AJ111" s="510">
        <f t="shared" si="46"/>
        <v>2470.0227975019125</v>
      </c>
      <c r="AK111" s="510">
        <f t="shared" si="47"/>
        <v>849.33544015316579</v>
      </c>
      <c r="AL111" s="510">
        <f t="shared" si="47"/>
        <v>12.675329565954772</v>
      </c>
      <c r="AM111" s="510">
        <f t="shared" si="47"/>
        <v>3674.6364443295661</v>
      </c>
      <c r="AN111" s="510">
        <f t="shared" si="48"/>
        <v>0</v>
      </c>
      <c r="AO111" s="510">
        <f t="shared" si="49"/>
        <v>7006.6700115505992</v>
      </c>
      <c r="AQ111" s="510">
        <f t="shared" si="28"/>
        <v>6913.3467869957467</v>
      </c>
      <c r="AR111" s="510">
        <f t="shared" si="28"/>
        <v>3052.8338731994108</v>
      </c>
      <c r="AS111" s="510">
        <f t="shared" si="28"/>
        <v>71.049588031678908</v>
      </c>
      <c r="AT111" s="510">
        <f t="shared" si="28"/>
        <v>5284.6303864530628</v>
      </c>
      <c r="AU111" s="510">
        <f t="shared" si="28"/>
        <v>471.98996185153999</v>
      </c>
      <c r="AV111" s="510">
        <f t="shared" si="50"/>
        <v>15793.850596531438</v>
      </c>
      <c r="AW111" s="510">
        <f t="shared" si="51"/>
        <v>3.3645726154408369E+22</v>
      </c>
      <c r="AX111" s="510">
        <f t="shared" si="52"/>
        <v>3.3645726154408369E+22</v>
      </c>
      <c r="AY111" s="510">
        <f t="shared" si="53"/>
        <v>3.3645726154408369E+22</v>
      </c>
      <c r="AZ111" s="490">
        <f t="shared" si="54"/>
        <v>-3.3645726154408369E+22</v>
      </c>
      <c r="BA111" s="510">
        <f t="shared" si="55"/>
        <v>6.7291452308816738E+22</v>
      </c>
    </row>
    <row r="112" spans="1:53" x14ac:dyDescent="0.2">
      <c r="A112">
        <v>95</v>
      </c>
      <c r="B112" s="510">
        <f>'Assumptions-Output Target'!$D$12*'Assumptions-Output Override'!$D$11*$I$2*12</f>
        <v>3935.8341983467963</v>
      </c>
      <c r="C112" s="510">
        <f t="shared" si="31"/>
        <v>-3.3645726154408369E+22</v>
      </c>
      <c r="D112" s="510">
        <f t="shared" si="32"/>
        <v>0</v>
      </c>
      <c r="E112" s="510">
        <f t="shared" si="29"/>
        <v>471.98996185153999</v>
      </c>
      <c r="F112" s="510">
        <f t="shared" si="33"/>
        <v>3.3645726154408369E+22</v>
      </c>
      <c r="G112" s="510">
        <f>$I$5*'Assumptions-Output Override'!$D$12*12</f>
        <v>4443.3239894938342</v>
      </c>
      <c r="H112" s="489">
        <f>'Winners-Losers Values PMPM'!AV100*$I$9*12</f>
        <v>2502.8234155142027</v>
      </c>
      <c r="I112" s="489">
        <f>('Winners-Losers Values PMPM'!AW100*12)*$I$10</f>
        <v>84.612617405872086</v>
      </c>
      <c r="J112" s="489">
        <f>('Winners-Losers Values PMPM'!AT100*12)*$I$11</f>
        <v>2072.771785725427</v>
      </c>
      <c r="K112" s="510">
        <f t="shared" si="34"/>
        <v>9103.5318081393361</v>
      </c>
      <c r="L112" s="510">
        <f t="shared" si="35"/>
        <v>3.3645726154408369E+22</v>
      </c>
      <c r="M112" s="510">
        <f t="shared" si="36"/>
        <v>0</v>
      </c>
      <c r="N112" s="489">
        <f>'Winners-Losers Values PMPM'!AP100*12</f>
        <v>2885.6863692791408</v>
      </c>
      <c r="O112" s="489">
        <f>'Winners-Losers Values PMPM'!AQ100*12</f>
        <v>486.16223731601627</v>
      </c>
      <c r="P112" s="489">
        <f>'Winners-Losers Values PMPM'!AR100*12</f>
        <v>3.4410628770018725</v>
      </c>
      <c r="Q112" s="489">
        <f>'Winners-Losers Values PMPM'!AO100*12</f>
        <v>0</v>
      </c>
      <c r="R112" s="510">
        <f t="shared" si="37"/>
        <v>3375.2896694721589</v>
      </c>
      <c r="S112" s="489">
        <f t="shared" si="38"/>
        <v>8562.7726764657527</v>
      </c>
      <c r="T112" s="489">
        <f t="shared" si="39"/>
        <v>8562.7726764657527</v>
      </c>
      <c r="U112" s="510">
        <f>((('Assumptions-Output Override'!$H$60+'Assumptions-Output Override'!$H$61)/('Assumptions-Output Override'!$F$60+'Assumptions-Output Override'!$F$61))*'HRA Balance Calc'!$I$5*12)+($K$8*(($I$8*12)))</f>
        <v>-288.26087712588196</v>
      </c>
      <c r="V112" s="489">
        <f>'Winners-Losers Values PMPM'!AV100*(1-$I$9)*12+$L$8*(($I$8*12)*IFERROR((('Winners-Losers Values PMPM'!AY100*12)/('Winners-Losers Values PMPM'!AY$107*12)),0))</f>
        <v>441.67472038485937</v>
      </c>
      <c r="W112" s="489">
        <f>('Winners-Losers Values PMPM'!AW100*12)*(1-$I$10)+$M$8*(($I$8*12)*IFERROR((('Winners-Losers Values PMPM'!AY100*12)/('Winners-Losers Values PMPM'!AY$107*12)),0))</f>
        <v>14.931638365742135</v>
      </c>
      <c r="X112" s="489">
        <f>('Winners-Losers Values PMPM'!AT100*12)*(1-$I$11)+$N$8*(($I$8*12)*IFERROR((('Winners-Losers Values PMPM'!AY100*12)/('Winners-Losers Values PMPM'!AY$107*12)),0))</f>
        <v>4730.8766482429919</v>
      </c>
      <c r="Y112" s="510">
        <f t="shared" si="40"/>
        <v>4899.2221298677114</v>
      </c>
      <c r="AA112" s="510">
        <f t="shared" si="41"/>
        <v>4443.3239894938342</v>
      </c>
      <c r="AB112" s="510">
        <f t="shared" si="41"/>
        <v>2502.8234155142027</v>
      </c>
      <c r="AC112" s="510">
        <f t="shared" si="41"/>
        <v>84.612617405872086</v>
      </c>
      <c r="AD112" s="510">
        <f t="shared" si="30"/>
        <v>2072.771785725427</v>
      </c>
      <c r="AE112" s="510">
        <f t="shared" si="42"/>
        <v>471.98996185153999</v>
      </c>
      <c r="AF112" s="510">
        <f t="shared" si="43"/>
        <v>9575.5217699908753</v>
      </c>
      <c r="AG112" s="510">
        <f t="shared" si="44"/>
        <v>3.3645726154408369E+22</v>
      </c>
      <c r="AH112" s="510">
        <f t="shared" si="45"/>
        <v>3.3645726154408369E+22</v>
      </c>
      <c r="AJ112" s="510">
        <f t="shared" si="46"/>
        <v>2597.4254921532588</v>
      </c>
      <c r="AK112" s="510">
        <f t="shared" si="47"/>
        <v>927.8369577008757</v>
      </c>
      <c r="AL112" s="510">
        <f t="shared" si="47"/>
        <v>18.372701242744007</v>
      </c>
      <c r="AM112" s="510">
        <f t="shared" si="47"/>
        <v>4730.8766482429919</v>
      </c>
      <c r="AN112" s="510">
        <f t="shared" si="48"/>
        <v>0</v>
      </c>
      <c r="AO112" s="510">
        <f t="shared" si="49"/>
        <v>8274.5117993398708</v>
      </c>
      <c r="AQ112" s="510">
        <f t="shared" si="28"/>
        <v>7040.7494816470935</v>
      </c>
      <c r="AR112" s="510">
        <f t="shared" si="28"/>
        <v>3430.6603732150784</v>
      </c>
      <c r="AS112" s="510">
        <f t="shared" si="28"/>
        <v>102.9853186486161</v>
      </c>
      <c r="AT112" s="510">
        <f t="shared" si="28"/>
        <v>6803.6484339684193</v>
      </c>
      <c r="AU112" s="510">
        <f t="shared" si="28"/>
        <v>471.98996185153999</v>
      </c>
      <c r="AV112" s="510">
        <f t="shared" si="50"/>
        <v>17850.03356933075</v>
      </c>
      <c r="AW112" s="510">
        <f t="shared" si="51"/>
        <v>3.3645726154408369E+22</v>
      </c>
      <c r="AX112" s="510">
        <f t="shared" si="52"/>
        <v>3.3645726154408369E+22</v>
      </c>
      <c r="AY112" s="510">
        <f t="shared" si="53"/>
        <v>3.3645726154408369E+22</v>
      </c>
      <c r="AZ112" s="490">
        <f t="shared" si="54"/>
        <v>-3.3645726154408369E+22</v>
      </c>
      <c r="BA112" s="510">
        <f t="shared" si="55"/>
        <v>6.7291452308816738E+22</v>
      </c>
    </row>
    <row r="113" spans="1:53" x14ac:dyDescent="0.2">
      <c r="A113">
        <v>96</v>
      </c>
      <c r="B113" s="510">
        <f>'Assumptions-Output Target'!$D$12*'Assumptions-Output Override'!$D$11*$I$2*12</f>
        <v>3935.8341983467963</v>
      </c>
      <c r="C113" s="510">
        <f t="shared" si="31"/>
        <v>-3.3645726154408369E+22</v>
      </c>
      <c r="D113" s="510">
        <f t="shared" si="32"/>
        <v>0</v>
      </c>
      <c r="E113" s="510">
        <f t="shared" si="29"/>
        <v>471.98996185153999</v>
      </c>
      <c r="F113" s="510">
        <f t="shared" si="33"/>
        <v>3.3645726154408369E+22</v>
      </c>
      <c r="G113" s="510">
        <f>$I$5*'Assumptions-Output Override'!$D$12*12</f>
        <v>4443.3239894938342</v>
      </c>
      <c r="H113" s="489">
        <f>'Winners-Losers Values PMPM'!AV101*$I$9*12</f>
        <v>2888.875205804572</v>
      </c>
      <c r="I113" s="489">
        <f>('Winners-Losers Values PMPM'!AW101*12)*$I$10</f>
        <v>126.41688354413832</v>
      </c>
      <c r="J113" s="489">
        <f>('Winners-Losers Values PMPM'!AT101*12)*$I$11</f>
        <v>2654.3546821384984</v>
      </c>
      <c r="K113" s="510">
        <f t="shared" si="34"/>
        <v>10112.970760981043</v>
      </c>
      <c r="L113" s="510">
        <f t="shared" si="35"/>
        <v>3.3645726154408369E+22</v>
      </c>
      <c r="M113" s="510">
        <f t="shared" si="36"/>
        <v>1390.3868602947805</v>
      </c>
      <c r="N113" s="489">
        <f>'Winners-Losers Values PMPM'!AP101*12</f>
        <v>3156.7081422618471</v>
      </c>
      <c r="O113" s="489">
        <f>'Winners-Losers Values PMPM'!AQ101*12</f>
        <v>522.05887537450087</v>
      </c>
      <c r="P113" s="489">
        <f>'Winners-Losers Values PMPM'!AR101*12</f>
        <v>5.1411770292289045</v>
      </c>
      <c r="Q113" s="489">
        <f>'Winners-Losers Values PMPM'!AO101*12</f>
        <v>0</v>
      </c>
      <c r="R113" s="510">
        <f t="shared" si="37"/>
        <v>3683.908194665577</v>
      </c>
      <c r="S113" s="489">
        <f t="shared" si="38"/>
        <v>10274.295054960357</v>
      </c>
      <c r="T113" s="489">
        <f t="shared" si="39"/>
        <v>8911.739122874118</v>
      </c>
      <c r="U113" s="510">
        <f>((('Assumptions-Output Override'!$H$60+'Assumptions-Output Override'!$H$61)/('Assumptions-Output Override'!$F$60+'Assumptions-Output Override'!$F$61))*'HRA Balance Calc'!$I$5*12)+($K$8*(($I$8*12)))</f>
        <v>-288.26087712588196</v>
      </c>
      <c r="V113" s="489">
        <f>'Winners-Losers Values PMPM'!AV101*(1-$I$9)*12+$L$8*(($I$8*12)*IFERROR((('Winners-Losers Values PMPM'!AY101*12)/('Winners-Losers Values PMPM'!AY$107*12)),0))</f>
        <v>509.80150690668927</v>
      </c>
      <c r="W113" s="489">
        <f>('Winners-Losers Values PMPM'!AW101*12)*(1-$I$10)+$M$8*(($I$8*12)*IFERROR((('Winners-Losers Values PMPM'!AY101*12)/('Winners-Losers Values PMPM'!AY$107*12)),0))</f>
        <v>22.308861801906765</v>
      </c>
      <c r="X113" s="489">
        <f>('Winners-Losers Values PMPM'!AT101*12)*(1-$I$11)+$N$8*(($I$8*12)*IFERROR((('Winners-Losers Values PMPM'!AY101*12)/('Winners-Losers Values PMPM'!AY$107*12)),0))</f>
        <v>6058.2764915861844</v>
      </c>
      <c r="Y113" s="510">
        <f t="shared" si="40"/>
        <v>6302.1259831688985</v>
      </c>
      <c r="AA113" s="510">
        <f t="shared" ref="AA113:AC117" si="56">G113</f>
        <v>4443.3239894938342</v>
      </c>
      <c r="AB113" s="510">
        <f t="shared" si="56"/>
        <v>2888.875205804572</v>
      </c>
      <c r="AC113" s="510">
        <f t="shared" si="56"/>
        <v>126.41688354413832</v>
      </c>
      <c r="AD113" s="510">
        <f t="shared" si="30"/>
        <v>2654.3546821384984</v>
      </c>
      <c r="AE113" s="510">
        <f t="shared" si="42"/>
        <v>471.98996185153999</v>
      </c>
      <c r="AF113" s="510">
        <f t="shared" si="43"/>
        <v>10584.960722832582</v>
      </c>
      <c r="AG113" s="510">
        <f t="shared" si="44"/>
        <v>3.3645726154408369E+22</v>
      </c>
      <c r="AH113" s="510">
        <f t="shared" si="45"/>
        <v>3.3645726154408369E+22</v>
      </c>
      <c r="AJ113" s="510">
        <f t="shared" si="46"/>
        <v>2868.4472651359652</v>
      </c>
      <c r="AK113" s="510">
        <f t="shared" si="47"/>
        <v>1031.8603822811901</v>
      </c>
      <c r="AL113" s="510">
        <f t="shared" si="47"/>
        <v>27.450038831135672</v>
      </c>
      <c r="AM113" s="510">
        <f t="shared" si="47"/>
        <v>6058.2764915861844</v>
      </c>
      <c r="AN113" s="510">
        <f t="shared" si="48"/>
        <v>-1390.3868602947805</v>
      </c>
      <c r="AO113" s="510">
        <f t="shared" si="49"/>
        <v>8595.647317539695</v>
      </c>
      <c r="AQ113" s="510">
        <f t="shared" si="28"/>
        <v>7311.7712546297989</v>
      </c>
      <c r="AR113" s="510">
        <f t="shared" si="28"/>
        <v>3920.7355880857622</v>
      </c>
      <c r="AS113" s="510">
        <f t="shared" si="28"/>
        <v>153.86692237527399</v>
      </c>
      <c r="AT113" s="510">
        <f t="shared" si="28"/>
        <v>8712.6311737246833</v>
      </c>
      <c r="AU113" s="510">
        <f t="shared" si="28"/>
        <v>-918.3968984432405</v>
      </c>
      <c r="AV113" s="510">
        <f t="shared" si="50"/>
        <v>19180.608040372277</v>
      </c>
      <c r="AW113" s="510">
        <f t="shared" si="51"/>
        <v>3.3645726154408369E+22</v>
      </c>
      <c r="AX113" s="510">
        <f t="shared" si="52"/>
        <v>3.3645726154408369E+22</v>
      </c>
      <c r="AY113" s="510">
        <f t="shared" si="53"/>
        <v>3.3645726154408369E+22</v>
      </c>
      <c r="AZ113" s="490">
        <f t="shared" si="54"/>
        <v>-3.3645726154408369E+22</v>
      </c>
      <c r="BA113" s="510">
        <f t="shared" si="55"/>
        <v>6.7291452308816738E+22</v>
      </c>
    </row>
    <row r="114" spans="1:53" x14ac:dyDescent="0.2">
      <c r="A114">
        <v>97</v>
      </c>
      <c r="B114" s="510">
        <f>'Assumptions-Output Target'!$D$12*'Assumptions-Output Override'!$D$11*$I$2*12</f>
        <v>3935.8341983467963</v>
      </c>
      <c r="C114" s="510">
        <f t="shared" si="31"/>
        <v>-3.3645726154408369E+22</v>
      </c>
      <c r="D114" s="510">
        <f t="shared" si="32"/>
        <v>0</v>
      </c>
      <c r="E114" s="510">
        <f t="shared" si="29"/>
        <v>471.98996185153999</v>
      </c>
      <c r="F114" s="510">
        <f t="shared" si="33"/>
        <v>3.3645726154408369E+22</v>
      </c>
      <c r="G114" s="510">
        <f>$I$5*'Assumptions-Output Override'!$D$12*12</f>
        <v>4443.3239894938342</v>
      </c>
      <c r="H114" s="489">
        <f>'Winners-Losers Values PMPM'!AV102*$I$9*12</f>
        <v>3627.6904864746666</v>
      </c>
      <c r="I114" s="489">
        <f>('Winners-Losers Values PMPM'!AW102*12)*$I$10</f>
        <v>217.27445308029229</v>
      </c>
      <c r="J114" s="489">
        <f>('Winners-Losers Values PMPM'!AT102*12)*$I$11</f>
        <v>3285.1478879348269</v>
      </c>
      <c r="K114" s="510">
        <f t="shared" si="34"/>
        <v>11573.43681698362</v>
      </c>
      <c r="L114" s="510">
        <f t="shared" si="35"/>
        <v>3.3645726154408369E+22</v>
      </c>
      <c r="M114" s="510">
        <f t="shared" si="36"/>
        <v>3039.7126459734482</v>
      </c>
      <c r="N114" s="489">
        <f>'Winners-Losers Values PMPM'!AP102*12</f>
        <v>3474.8960378561223</v>
      </c>
      <c r="O114" s="489">
        <f>'Winners-Losers Values PMPM'!AQ102*12</f>
        <v>579.46364571684967</v>
      </c>
      <c r="P114" s="489">
        <f>'Winners-Losers Values PMPM'!AR102*12</f>
        <v>8.8362123467840146</v>
      </c>
      <c r="Q114" s="489">
        <f>'Winners-Losers Values PMPM'!AO102*12</f>
        <v>0</v>
      </c>
      <c r="R114" s="510">
        <f t="shared" si="37"/>
        <v>4063.1958959197564</v>
      </c>
      <c r="S114" s="489">
        <f t="shared" si="38"/>
        <v>12239.712645973448</v>
      </c>
      <c r="T114" s="489">
        <f t="shared" si="39"/>
        <v>8911.739122874118</v>
      </c>
      <c r="U114" s="510">
        <f>((('Assumptions-Output Override'!$H$60+'Assumptions-Output Override'!$H$61)/('Assumptions-Output Override'!$F$60+'Assumptions-Output Override'!$F$61))*'HRA Balance Calc'!$I$5*12)+($K$8*(($I$8*12)))</f>
        <v>-288.26087712588196</v>
      </c>
      <c r="V114" s="489">
        <f>'Winners-Losers Values PMPM'!AV102*(1-$I$9)*12+$L$8*(($I$8*12)*IFERROR((('Winners-Losers Values PMPM'!AY102*12)/('Winners-Losers Values PMPM'!AY$107*12)),0))</f>
        <v>640.18067408376487</v>
      </c>
      <c r="W114" s="489">
        <f>('Winners-Losers Values PMPM'!AW102*12)*(1-$I$10)+$M$8*(($I$8*12)*IFERROR((('Winners-Losers Values PMPM'!AY102*12)/('Winners-Losers Values PMPM'!AY$107*12)),0))</f>
        <v>38.342550543580998</v>
      </c>
      <c r="X114" s="489">
        <f>('Winners-Losers Values PMPM'!AT102*12)*(1-$I$11)+$N$8*(($I$8*12)*IFERROR((('Winners-Losers Values PMPM'!AY102*12)/('Winners-Losers Values PMPM'!AY$107*12)),0))</f>
        <v>7497.9935254263455</v>
      </c>
      <c r="Y114" s="510">
        <f t="shared" si="40"/>
        <v>7888.2558729278098</v>
      </c>
      <c r="AA114" s="510">
        <f t="shared" si="56"/>
        <v>4443.3239894938342</v>
      </c>
      <c r="AB114" s="510">
        <f t="shared" si="56"/>
        <v>3627.6904864746666</v>
      </c>
      <c r="AC114" s="510">
        <f t="shared" si="56"/>
        <v>217.27445308029229</v>
      </c>
      <c r="AD114" s="510">
        <f t="shared" si="30"/>
        <v>3285.1478879348269</v>
      </c>
      <c r="AE114" s="510">
        <f t="shared" si="42"/>
        <v>471.98996185153999</v>
      </c>
      <c r="AF114" s="510">
        <f t="shared" si="43"/>
        <v>12045.426778835159</v>
      </c>
      <c r="AG114" s="510">
        <f t="shared" si="44"/>
        <v>3.3645726154408369E+22</v>
      </c>
      <c r="AH114" s="510">
        <f t="shared" si="45"/>
        <v>3.3645726154408369E+22</v>
      </c>
      <c r="AJ114" s="510">
        <f t="shared" si="46"/>
        <v>3186.6351607302404</v>
      </c>
      <c r="AK114" s="510">
        <f t="shared" si="47"/>
        <v>1219.6443198006145</v>
      </c>
      <c r="AL114" s="510">
        <f t="shared" si="47"/>
        <v>47.178762890365014</v>
      </c>
      <c r="AM114" s="510">
        <f t="shared" si="47"/>
        <v>7497.9935254263455</v>
      </c>
      <c r="AN114" s="510">
        <f t="shared" si="48"/>
        <v>-3039.7126459734482</v>
      </c>
      <c r="AO114" s="510">
        <f t="shared" si="49"/>
        <v>8911.7391228741162</v>
      </c>
      <c r="AQ114" s="510">
        <f t="shared" si="28"/>
        <v>7629.9591502240746</v>
      </c>
      <c r="AR114" s="510">
        <f t="shared" si="28"/>
        <v>4847.3348062752812</v>
      </c>
      <c r="AS114" s="510">
        <f t="shared" si="28"/>
        <v>264.45321597065731</v>
      </c>
      <c r="AT114" s="510">
        <f t="shared" si="28"/>
        <v>10783.141413361172</v>
      </c>
      <c r="AU114" s="510">
        <f t="shared" si="28"/>
        <v>-2567.7226841219081</v>
      </c>
      <c r="AV114" s="510">
        <f t="shared" si="50"/>
        <v>20957.165901709275</v>
      </c>
      <c r="AW114" s="510">
        <f t="shared" si="51"/>
        <v>3.3645726154408369E+22</v>
      </c>
      <c r="AX114" s="510">
        <f t="shared" si="52"/>
        <v>3.3645726154408369E+22</v>
      </c>
      <c r="AY114" s="510">
        <f t="shared" si="53"/>
        <v>3.3645726154408369E+22</v>
      </c>
      <c r="AZ114" s="490">
        <f t="shared" si="54"/>
        <v>-3.3645726154408369E+22</v>
      </c>
      <c r="BA114" s="510">
        <f t="shared" si="55"/>
        <v>6.7291452308816738E+22</v>
      </c>
    </row>
    <row r="115" spans="1:53" x14ac:dyDescent="0.2">
      <c r="A115">
        <v>98</v>
      </c>
      <c r="B115" s="510">
        <f>'Assumptions-Output Target'!$D$12*'Assumptions-Output Override'!$D$11*$I$2*12</f>
        <v>3935.8341983467963</v>
      </c>
      <c r="C115" s="510">
        <f t="shared" si="31"/>
        <v>-3.3645726154408369E+22</v>
      </c>
      <c r="D115" s="510">
        <f t="shared" si="32"/>
        <v>0</v>
      </c>
      <c r="E115" s="510">
        <f t="shared" si="29"/>
        <v>471.98996185153999</v>
      </c>
      <c r="F115" s="510">
        <f t="shared" si="33"/>
        <v>3.3645726154408369E+22</v>
      </c>
      <c r="G115" s="510">
        <f>$I$5*'Assumptions-Output Override'!$D$12*12</f>
        <v>4443.3239894938342</v>
      </c>
      <c r="H115" s="489">
        <f>'Winners-Losers Values PMPM'!AV103*$I$9*12</f>
        <v>4880.9824602096505</v>
      </c>
      <c r="I115" s="489">
        <f>('Winners-Losers Values PMPM'!AW103*12)*$I$10</f>
        <v>794.54442187408222</v>
      </c>
      <c r="J115" s="489">
        <f>('Winners-Losers Values PMPM'!AT103*12)*$I$11</f>
        <v>4265.721720690326</v>
      </c>
      <c r="K115" s="510">
        <f t="shared" si="34"/>
        <v>14384.572592267894</v>
      </c>
      <c r="L115" s="510">
        <f t="shared" si="35"/>
        <v>3.3645726154408369E+22</v>
      </c>
      <c r="M115" s="510">
        <f t="shared" si="36"/>
        <v>6260.9528894854438</v>
      </c>
      <c r="N115" s="489">
        <f>'Winners-Losers Values PMPM'!AP103*12</f>
        <v>4016.7168437028658</v>
      </c>
      <c r="O115" s="489">
        <f>'Winners-Losers Values PMPM'!AQ103*12</f>
        <v>674.31271931610365</v>
      </c>
      <c r="P115" s="489">
        <f>'Winners-Losers Values PMPM'!AR103*12</f>
        <v>32.312879545197411</v>
      </c>
      <c r="Q115" s="489">
        <f>'Winners-Losers Values PMPM'!AO103*12</f>
        <v>0</v>
      </c>
      <c r="R115" s="510">
        <f t="shared" si="37"/>
        <v>4723.342442564167</v>
      </c>
      <c r="S115" s="489">
        <f t="shared" si="38"/>
        <v>15460.952889485445</v>
      </c>
      <c r="T115" s="489">
        <f t="shared" si="39"/>
        <v>8911.739122874118</v>
      </c>
      <c r="U115" s="510">
        <f>((('Assumptions-Output Override'!$H$60+'Assumptions-Output Override'!$H$61)/('Assumptions-Output Override'!$F$60+'Assumptions-Output Override'!$F$61))*'HRA Balance Calc'!$I$5*12)+($K$8*(($I$8*12)))</f>
        <v>-288.26087712588196</v>
      </c>
      <c r="V115" s="489">
        <f>'Winners-Losers Values PMPM'!AV103*(1-$I$9)*12+$L$8*(($I$8*12)*IFERROR((('Winners-Losers Values PMPM'!AY103*12)/('Winners-Losers Values PMPM'!AY$107*12)),0))</f>
        <v>861.34984591935017</v>
      </c>
      <c r="W115" s="489">
        <f>('Winners-Losers Values PMPM'!AW103*12)*(1-$I$10)+$M$8*(($I$8*12)*IFERROR((('Winners-Losers Values PMPM'!AY103*12)/('Winners-Losers Values PMPM'!AY$107*12)),0))</f>
        <v>140.213721507191</v>
      </c>
      <c r="X115" s="489">
        <f>('Winners-Losers Values PMPM'!AT103*12)*(1-$I$11)+$N$8*(($I$8*12)*IFERROR((('Winners-Losers Values PMPM'!AY103*12)/('Winners-Losers Values PMPM'!AY$107*12)),0))</f>
        <v>9736.0468794947355</v>
      </c>
      <c r="Y115" s="510">
        <f t="shared" si="40"/>
        <v>10449.349569795395</v>
      </c>
      <c r="AA115" s="510">
        <f t="shared" si="56"/>
        <v>4443.3239894938342</v>
      </c>
      <c r="AB115" s="510">
        <f t="shared" si="56"/>
        <v>4880.9824602096505</v>
      </c>
      <c r="AC115" s="510">
        <f t="shared" si="56"/>
        <v>794.54442187408222</v>
      </c>
      <c r="AD115" s="510">
        <f t="shared" si="30"/>
        <v>4265.721720690326</v>
      </c>
      <c r="AE115" s="510">
        <f t="shared" si="42"/>
        <v>471.98996185153999</v>
      </c>
      <c r="AF115" s="510">
        <f t="shared" si="43"/>
        <v>14856.562554119433</v>
      </c>
      <c r="AG115" s="510">
        <f t="shared" si="44"/>
        <v>3.3645726154408369E+22</v>
      </c>
      <c r="AH115" s="510">
        <f t="shared" si="45"/>
        <v>3.3645726154408369E+22</v>
      </c>
      <c r="AJ115" s="510">
        <f t="shared" si="46"/>
        <v>3728.4559665769839</v>
      </c>
      <c r="AK115" s="510">
        <f t="shared" si="47"/>
        <v>1535.6625652354537</v>
      </c>
      <c r="AL115" s="510">
        <f t="shared" si="47"/>
        <v>172.5266010523884</v>
      </c>
      <c r="AM115" s="510">
        <f t="shared" si="47"/>
        <v>9736.0468794947355</v>
      </c>
      <c r="AN115" s="510">
        <f t="shared" si="48"/>
        <v>-6260.9528894854438</v>
      </c>
      <c r="AO115" s="510">
        <f t="shared" si="49"/>
        <v>8911.739122874118</v>
      </c>
      <c r="AQ115" s="510">
        <f t="shared" si="28"/>
        <v>8171.7799560708181</v>
      </c>
      <c r="AR115" s="510">
        <f t="shared" si="28"/>
        <v>6416.6450254451047</v>
      </c>
      <c r="AS115" s="510">
        <f t="shared" si="28"/>
        <v>967.07102292647062</v>
      </c>
      <c r="AT115" s="510">
        <f t="shared" si="28"/>
        <v>14001.768600185062</v>
      </c>
      <c r="AU115" s="510">
        <f t="shared" si="28"/>
        <v>-5788.9629276339037</v>
      </c>
      <c r="AV115" s="510">
        <f t="shared" si="50"/>
        <v>23768.301676993553</v>
      </c>
      <c r="AW115" s="510">
        <f t="shared" si="51"/>
        <v>3.3645726154408369E+22</v>
      </c>
      <c r="AX115" s="510">
        <f t="shared" si="52"/>
        <v>3.3645726154408369E+22</v>
      </c>
      <c r="AY115" s="510">
        <f t="shared" si="53"/>
        <v>3.3645726154408369E+22</v>
      </c>
      <c r="AZ115" s="490">
        <f t="shared" si="54"/>
        <v>-3.3645726154408369E+22</v>
      </c>
      <c r="BA115" s="510">
        <f t="shared" si="55"/>
        <v>6.7291452308816738E+22</v>
      </c>
    </row>
    <row r="116" spans="1:53" x14ac:dyDescent="0.2">
      <c r="A116">
        <v>99</v>
      </c>
      <c r="B116" s="510">
        <f>'Assumptions-Output Target'!$D$12*'Assumptions-Output Override'!$D$11*$I$2*12</f>
        <v>3935.8341983467963</v>
      </c>
      <c r="C116" s="510">
        <f t="shared" si="31"/>
        <v>-3.3645726154408369E+22</v>
      </c>
      <c r="D116" s="510">
        <f t="shared" si="32"/>
        <v>0</v>
      </c>
      <c r="E116" s="510">
        <f t="shared" si="29"/>
        <v>471.98996185153999</v>
      </c>
      <c r="F116" s="510">
        <f t="shared" si="33"/>
        <v>3.3645726154408369E+22</v>
      </c>
      <c r="G116" s="510">
        <f>$I$5*'Assumptions-Output Override'!$D$12*12</f>
        <v>4443.3239894938342</v>
      </c>
      <c r="H116" s="489">
        <f>'Winners-Losers Values PMPM'!AV104*$I$9*12</f>
        <v>8986.4270672019593</v>
      </c>
      <c r="I116" s="489">
        <f>('Winners-Losers Values PMPM'!AW104*12)*$I$10</f>
        <v>1447.0201150471469</v>
      </c>
      <c r="J116" s="489">
        <f>('Winners-Losers Values PMPM'!AT104*12)*$I$11</f>
        <v>6303.4694924935284</v>
      </c>
      <c r="K116" s="510">
        <f t="shared" si="34"/>
        <v>21180.240664236469</v>
      </c>
      <c r="L116" s="510">
        <f t="shared" si="35"/>
        <v>3.3645726154408369E+22</v>
      </c>
      <c r="M116" s="510">
        <f t="shared" si="36"/>
        <v>12712.817110892582</v>
      </c>
      <c r="N116" s="489">
        <f>'Winners-Losers Values PMPM'!AP104*12</f>
        <v>4817.5222704861262</v>
      </c>
      <c r="O116" s="489">
        <f>'Winners-Losers Values PMPM'!AQ104*12</f>
        <v>808.26521581846259</v>
      </c>
      <c r="P116" s="489">
        <f>'Winners-Losers Values PMPM'!AR104*12</f>
        <v>58.848045986793402</v>
      </c>
      <c r="Q116" s="489">
        <f>'Winners-Losers Values PMPM'!AO104*12</f>
        <v>0</v>
      </c>
      <c r="R116" s="510">
        <f t="shared" si="37"/>
        <v>5684.6355322913823</v>
      </c>
      <c r="S116" s="489">
        <f t="shared" si="38"/>
        <v>21912.817110892582</v>
      </c>
      <c r="T116" s="489">
        <f t="shared" si="39"/>
        <v>8911.739122874118</v>
      </c>
      <c r="U116" s="510">
        <f>((('Assumptions-Output Override'!$H$60+'Assumptions-Output Override'!$H$61)/('Assumptions-Output Override'!$F$60+'Assumptions-Output Override'!$F$61))*'HRA Balance Calc'!$I$5*12)+($K$8*(($I$8*12)))</f>
        <v>-288.26087712588196</v>
      </c>
      <c r="V116" s="489">
        <f>'Winners-Losers Values PMPM'!AV104*(1-$I$9)*12+$L$8*(($I$8*12)*IFERROR((('Winners-Losers Values PMPM'!AY104*12)/('Winners-Losers Values PMPM'!AY$107*12)),0))</f>
        <v>1585.840070682699</v>
      </c>
      <c r="W116" s="489">
        <f>('Winners-Losers Values PMPM'!AW104*12)*(1-$I$10)+$M$8*(($I$8*12)*IFERROR((('Winners-Losers Values PMPM'!AY104*12)/('Winners-Losers Values PMPM'!AY$107*12)),0))</f>
        <v>255.35649089067303</v>
      </c>
      <c r="X116" s="489">
        <f>('Winners-Losers Values PMPM'!AT104*12)*(1-$I$11)+$N$8*(($I$8*12)*IFERROR((('Winners-Losers Values PMPM'!AY104*12)/('Winners-Losers Values PMPM'!AY$107*12)),0))</f>
        <v>14386.985017027828</v>
      </c>
      <c r="Y116" s="510">
        <f t="shared" si="40"/>
        <v>15939.920701475317</v>
      </c>
      <c r="AA116" s="510">
        <f t="shared" si="56"/>
        <v>4443.3239894938342</v>
      </c>
      <c r="AB116" s="510">
        <f t="shared" si="56"/>
        <v>8986.4270672019593</v>
      </c>
      <c r="AC116" s="510">
        <f t="shared" si="56"/>
        <v>1447.0201150471469</v>
      </c>
      <c r="AD116" s="510">
        <f t="shared" si="30"/>
        <v>6303.4694924935284</v>
      </c>
      <c r="AE116" s="510">
        <f t="shared" si="42"/>
        <v>471.98996185153999</v>
      </c>
      <c r="AF116" s="510">
        <f t="shared" si="43"/>
        <v>21652.23062608801</v>
      </c>
      <c r="AG116" s="510">
        <f t="shared" si="44"/>
        <v>3.3645726154408369E+22</v>
      </c>
      <c r="AH116" s="510">
        <f t="shared" si="45"/>
        <v>3.3645726154408369E+22</v>
      </c>
      <c r="AJ116" s="510">
        <f t="shared" si="46"/>
        <v>4529.2613933602443</v>
      </c>
      <c r="AK116" s="510">
        <f t="shared" si="47"/>
        <v>2394.1052865011616</v>
      </c>
      <c r="AL116" s="510">
        <f t="shared" si="47"/>
        <v>314.20453687746641</v>
      </c>
      <c r="AM116" s="510">
        <f t="shared" si="47"/>
        <v>14386.985017027828</v>
      </c>
      <c r="AN116" s="510">
        <f t="shared" si="48"/>
        <v>-12712.817110892582</v>
      </c>
      <c r="AO116" s="510">
        <f t="shared" si="49"/>
        <v>8911.739122874118</v>
      </c>
      <c r="AQ116" s="510">
        <f t="shared" si="28"/>
        <v>8972.5853828540785</v>
      </c>
      <c r="AR116" s="510">
        <f t="shared" si="28"/>
        <v>11380.532353703122</v>
      </c>
      <c r="AS116" s="510">
        <f t="shared" si="28"/>
        <v>1761.2246519246132</v>
      </c>
      <c r="AT116" s="510">
        <f t="shared" si="28"/>
        <v>20690.454509521354</v>
      </c>
      <c r="AU116" s="510">
        <f t="shared" si="28"/>
        <v>-12240.827149041043</v>
      </c>
      <c r="AV116" s="510">
        <f t="shared" si="50"/>
        <v>30563.969748962132</v>
      </c>
      <c r="AW116" s="510">
        <f t="shared" si="51"/>
        <v>3.3645726154408369E+22</v>
      </c>
      <c r="AX116" s="510">
        <f t="shared" si="52"/>
        <v>3.3645726154408369E+22</v>
      </c>
      <c r="AY116" s="510">
        <f t="shared" si="53"/>
        <v>3.3645726154408369E+22</v>
      </c>
      <c r="AZ116" s="490">
        <f t="shared" si="54"/>
        <v>-3.3645726154408369E+22</v>
      </c>
      <c r="BA116" s="510">
        <f t="shared" si="55"/>
        <v>6.7291452308816738E+22</v>
      </c>
    </row>
    <row r="117" spans="1:53" x14ac:dyDescent="0.2">
      <c r="A117">
        <v>100</v>
      </c>
      <c r="B117" s="510">
        <f>'Assumptions-Output Target'!$D$12*'Assumptions-Output Override'!$D$11*$I$2*12</f>
        <v>3935.8341983467963</v>
      </c>
      <c r="C117" s="510">
        <f t="shared" si="31"/>
        <v>-3.3645726154408369E+22</v>
      </c>
      <c r="D117" s="510">
        <f t="shared" si="32"/>
        <v>0</v>
      </c>
      <c r="E117" s="510">
        <f t="shared" si="29"/>
        <v>471.98996185153999</v>
      </c>
      <c r="F117" s="510">
        <f t="shared" si="33"/>
        <v>3.3645726154408369E+22</v>
      </c>
      <c r="G117" s="510">
        <f>$I$5*'Assumptions-Output Override'!$D$12*12</f>
        <v>4443.3239894938342</v>
      </c>
      <c r="H117" s="489">
        <f>'Winners-Losers Values PMPM'!AV105*$I$9</f>
        <v>1566.0341975832491</v>
      </c>
      <c r="I117" s="489">
        <f>('Winners-Losers Values PMPM'!AW105*12)*$I$10</f>
        <v>10261.269832369318</v>
      </c>
      <c r="J117" s="489">
        <f>('Winners-Losers Values PMPM'!AT105*12)*$I$11</f>
        <v>15968.132609164653</v>
      </c>
      <c r="K117" s="510">
        <f t="shared" si="34"/>
        <v>32238.760628611053</v>
      </c>
      <c r="L117" s="510">
        <f t="shared" si="35"/>
        <v>3.3645726154408369E+22</v>
      </c>
      <c r="M117" s="510">
        <f t="shared" si="36"/>
        <v>42546.745567455117</v>
      </c>
      <c r="N117" s="489">
        <f>'Winners-Losers Values PMPM'!AP105*12</f>
        <v>8595.9697026355316</v>
      </c>
      <c r="O117" s="489">
        <f>'Winners-Losers Values PMPM'!AQ105*12</f>
        <v>1160.8163266431302</v>
      </c>
      <c r="P117" s="489">
        <f>'Winners-Losers Values PMPM'!AR105*12</f>
        <v>417.30980288307228</v>
      </c>
      <c r="Q117" s="489">
        <f>'Winners-Losers Values PMPM'!AO105*12</f>
        <v>0</v>
      </c>
      <c r="R117" s="510">
        <f t="shared" si="37"/>
        <v>10174.095832161733</v>
      </c>
      <c r="S117" s="489">
        <f t="shared" si="38"/>
        <v>51746.745567455117</v>
      </c>
      <c r="T117" s="489">
        <f t="shared" si="39"/>
        <v>8911.739122874118</v>
      </c>
      <c r="U117" s="510">
        <f>((('Assumptions-Output Override'!$H$60+'Assumptions-Output Override'!$H$61)/('Assumptions-Output Override'!$F$60+'Assumptions-Output Override'!$F$61))*'HRA Balance Calc'!$I$5*12)+($K$8*(($I$8*12)))</f>
        <v>-288.26087712588196</v>
      </c>
      <c r="V117" s="489">
        <f>'Winners-Losers Values PMPM'!AV105*(1-$I$9)*12+$L$8*(($I$8*12)*IFERROR((('Winners-Losers Values PMPM'!AY105*12)/('Winners-Losers Values PMPM'!AY$107*12)),0))</f>
        <v>3316.3077125292339</v>
      </c>
      <c r="W117" s="489">
        <f>('Winners-Losers Values PMPM'!AW105*12)*(1-$I$10)+$M$8*(($I$8*12)*IFERROR((('Winners-Losers Values PMPM'!AY105*12)/('Winners-Losers Values PMPM'!AY$107*12)),0))</f>
        <v>1810.8123233592919</v>
      </c>
      <c r="X117" s="489">
        <f>('Winners-Losers Values PMPM'!AT105*12)*(1-$I$11)+$N$8*(($I$8*12)*IFERROR((('Winners-Losers Values PMPM'!AY105*12)/('Winners-Losers Values PMPM'!AY$107*12)),0))</f>
        <v>36445.529699404855</v>
      </c>
      <c r="Y117" s="510">
        <f t="shared" si="40"/>
        <v>41284.388858167498</v>
      </c>
      <c r="AA117" s="510">
        <f t="shared" si="56"/>
        <v>4443.3239894938342</v>
      </c>
      <c r="AB117" s="510">
        <f t="shared" si="56"/>
        <v>1566.0341975832491</v>
      </c>
      <c r="AC117" s="510">
        <f t="shared" si="56"/>
        <v>10261.269832369318</v>
      </c>
      <c r="AD117" s="510">
        <f t="shared" si="30"/>
        <v>15968.132609164653</v>
      </c>
      <c r="AE117" s="510">
        <f t="shared" si="42"/>
        <v>471.98996185153999</v>
      </c>
      <c r="AF117" s="510">
        <f t="shared" si="43"/>
        <v>32710.750590462594</v>
      </c>
      <c r="AG117" s="510">
        <f t="shared" si="44"/>
        <v>3.3645726154408369E+22</v>
      </c>
      <c r="AH117" s="510">
        <f t="shared" si="45"/>
        <v>3.3645726154408369E+22</v>
      </c>
      <c r="AJ117" s="510">
        <f t="shared" si="46"/>
        <v>8307.7088255096496</v>
      </c>
      <c r="AK117" s="510">
        <f t="shared" si="47"/>
        <v>4477.1240391723641</v>
      </c>
      <c r="AL117" s="510">
        <f t="shared" si="47"/>
        <v>2228.1221262423642</v>
      </c>
      <c r="AM117" s="510">
        <f t="shared" si="47"/>
        <v>36445.529699404855</v>
      </c>
      <c r="AN117" s="510">
        <f t="shared" si="48"/>
        <v>-42546.745567455117</v>
      </c>
      <c r="AO117" s="510">
        <f t="shared" si="49"/>
        <v>8911.739122874118</v>
      </c>
      <c r="AQ117" s="510">
        <f t="shared" si="28"/>
        <v>12751.032815003484</v>
      </c>
      <c r="AR117" s="510">
        <f t="shared" si="28"/>
        <v>6043.158236755613</v>
      </c>
      <c r="AS117" s="510">
        <f t="shared" si="28"/>
        <v>12489.391958611683</v>
      </c>
      <c r="AT117" s="510">
        <f t="shared" si="28"/>
        <v>52413.66230856951</v>
      </c>
      <c r="AU117" s="510">
        <f t="shared" si="28"/>
        <v>-42074.755605603576</v>
      </c>
      <c r="AV117" s="510">
        <f t="shared" si="50"/>
        <v>41622.489713336712</v>
      </c>
      <c r="AW117" s="510">
        <f t="shared" si="51"/>
        <v>3.3645726154408369E+22</v>
      </c>
      <c r="AX117" s="510">
        <f t="shared" si="52"/>
        <v>3.3645726154408369E+22</v>
      </c>
      <c r="AY117" s="510">
        <f t="shared" si="53"/>
        <v>3.3645726154408369E+22</v>
      </c>
      <c r="AZ117" s="490">
        <f t="shared" si="54"/>
        <v>-3.3645726154408369E+22</v>
      </c>
      <c r="BA117" s="510">
        <f t="shared" si="55"/>
        <v>6.7291452308816738E+22</v>
      </c>
    </row>
    <row r="118" spans="1:53" x14ac:dyDescent="0.2">
      <c r="A118" t="s">
        <v>403</v>
      </c>
      <c r="B118" s="510"/>
      <c r="C118" s="510">
        <f>SUM(C18:C117)</f>
        <v>-3.3645726154408417E+24</v>
      </c>
      <c r="D118" s="510"/>
      <c r="E118" s="510">
        <f>SUM(E18:E117)</f>
        <v>47198.99618515405</v>
      </c>
      <c r="F118" s="510"/>
      <c r="G118" s="510"/>
      <c r="H118" s="510"/>
      <c r="I118" s="510"/>
      <c r="J118" s="510"/>
      <c r="K118" s="510">
        <f>SUM(K18:K117)</f>
        <v>550958.83631799673</v>
      </c>
      <c r="L118" s="510">
        <f>SUMIF(L18:L117,"&lt;0")</f>
        <v>0</v>
      </c>
      <c r="M118" s="510">
        <f t="shared" ref="M118:Y118" si="57">SUM(M18:M117)</f>
        <v>65950.61507410137</v>
      </c>
      <c r="N118" s="510">
        <f t="shared" si="57"/>
        <v>99230.169667153212</v>
      </c>
      <c r="O118" s="510">
        <f t="shared" si="57"/>
        <v>13959.858903089622</v>
      </c>
      <c r="P118" s="510">
        <f t="shared" si="57"/>
        <v>537.91255164276515</v>
      </c>
      <c r="Q118" s="510">
        <f t="shared" si="57"/>
        <v>0</v>
      </c>
      <c r="R118" s="510">
        <f t="shared" si="57"/>
        <v>113727.94112188563</v>
      </c>
      <c r="S118" s="510">
        <f t="shared" si="57"/>
        <v>231804.94808781258</v>
      </c>
      <c r="T118" s="510">
        <f t="shared" si="57"/>
        <v>164729.12043341622</v>
      </c>
      <c r="U118" s="510">
        <f t="shared" si="57"/>
        <v>-28826.087712588196</v>
      </c>
      <c r="V118" s="510">
        <f t="shared" si="57"/>
        <v>11459.207242714045</v>
      </c>
      <c r="W118" s="510">
        <f t="shared" si="57"/>
        <v>2334.1380209016706</v>
      </c>
      <c r="X118" s="510">
        <f t="shared" si="57"/>
        <v>104283.66170231128</v>
      </c>
      <c r="Y118" s="510">
        <f t="shared" si="57"/>
        <v>89250.919253338783</v>
      </c>
      <c r="AA118" s="510">
        <f t="shared" ref="AA118:AH118" si="58">SUM(AA18:AA117)</f>
        <v>444332.39894938312</v>
      </c>
      <c r="AB118" s="510">
        <f t="shared" si="58"/>
        <v>47709.13153529718</v>
      </c>
      <c r="AC118" s="510">
        <f t="shared" si="58"/>
        <v>13226.782118442799</v>
      </c>
      <c r="AD118" s="510">
        <f t="shared" si="58"/>
        <v>45690.523714873161</v>
      </c>
      <c r="AE118" s="510">
        <f t="shared" si="58"/>
        <v>47198.99618515405</v>
      </c>
      <c r="AF118" s="510">
        <f t="shared" si="58"/>
        <v>598157.83250315045</v>
      </c>
      <c r="AG118" s="510">
        <f t="shared" si="58"/>
        <v>3.3645726154408417E+24</v>
      </c>
      <c r="AH118" s="510">
        <f t="shared" si="58"/>
        <v>3.3645726154408417E+24</v>
      </c>
      <c r="AJ118" s="510">
        <f t="shared" ref="AJ118:AO118" si="59">SUM(AJ18:AJ117)</f>
        <v>70404.081954565016</v>
      </c>
      <c r="AK118" s="510">
        <f t="shared" si="59"/>
        <v>25419.066145803663</v>
      </c>
      <c r="AL118" s="510">
        <f t="shared" si="59"/>
        <v>2872.0505725444359</v>
      </c>
      <c r="AM118" s="510">
        <f t="shared" si="59"/>
        <v>104283.66170231128</v>
      </c>
      <c r="AN118" s="510">
        <f t="shared" si="59"/>
        <v>-65950.61507410137</v>
      </c>
      <c r="AO118" s="510">
        <f t="shared" si="59"/>
        <v>137028.24530112304</v>
      </c>
      <c r="AQ118" s="510">
        <f>SUM(AQ18:AQ117)</f>
        <v>514736.48090394842</v>
      </c>
      <c r="AR118" s="510">
        <f t="shared" ref="AR118:AY118" si="60">SUM(AR18:AR117)</f>
        <v>73128.197681100835</v>
      </c>
      <c r="AS118" s="510">
        <f t="shared" si="60"/>
        <v>16098.832690987234</v>
      </c>
      <c r="AT118" s="510">
        <f t="shared" si="60"/>
        <v>149974.18541718443</v>
      </c>
      <c r="AU118" s="510">
        <f t="shared" si="60"/>
        <v>-18751.618888947327</v>
      </c>
      <c r="AV118" s="510">
        <f t="shared" si="60"/>
        <v>735186.07780427346</v>
      </c>
      <c r="AW118" s="510">
        <f>SUM(AW18:AW117)</f>
        <v>3.3645726154408417E+24</v>
      </c>
      <c r="AX118" s="510">
        <f>SUM(AX18:AX117)</f>
        <v>3.3645726154408417E+24</v>
      </c>
      <c r="AY118" s="510">
        <f t="shared" si="60"/>
        <v>3.3645726154408417E+24</v>
      </c>
      <c r="AZ118" s="510">
        <f>SUM(AZ18:AZ117)</f>
        <v>-3.3645726154408417E+24</v>
      </c>
      <c r="BA118" s="510">
        <f>SUM(BA18:BA117)</f>
        <v>6.7291452308816834E+24</v>
      </c>
    </row>
    <row r="119" spans="1:53" x14ac:dyDescent="0.2">
      <c r="E119" s="570">
        <f>E118-M118</f>
        <v>-18751.61888894732</v>
      </c>
      <c r="F119" s="349" t="s">
        <v>893</v>
      </c>
      <c r="G119" s="510"/>
      <c r="L119" s="490">
        <f>L118/12</f>
        <v>0</v>
      </c>
      <c r="M119" s="490">
        <f>M118/12</f>
        <v>5495.8845895084478</v>
      </c>
      <c r="T119" s="489"/>
      <c r="U119" s="571">
        <f>I2*12*100*(1-'Assumptions-Output Override'!D12)*'Assumptions-Output Override'!D11</f>
        <v>69455.89761788465</v>
      </c>
      <c r="Y119" s="570">
        <f>Y118-U119</f>
        <v>19795.021635454134</v>
      </c>
      <c r="Z119" s="349" t="s">
        <v>894</v>
      </c>
      <c r="AX119" s="490">
        <f>AX118/12/100</f>
        <v>2.8038105128673681E+21</v>
      </c>
      <c r="AY119" s="510">
        <f>AH118-E118</f>
        <v>3.3645726154408417E+24</v>
      </c>
      <c r="AZ119" s="510"/>
      <c r="BA119" s="510">
        <f>BA118+AY119</f>
        <v>1.0093717846322524E+25</v>
      </c>
    </row>
    <row r="120" spans="1:53" x14ac:dyDescent="0.2">
      <c r="L120" s="490">
        <f>L119/100</f>
        <v>0</v>
      </c>
      <c r="M120" s="490">
        <f>M119/100</f>
        <v>54.95884589508448</v>
      </c>
      <c r="Y120" s="490">
        <f>Y118/100/12</f>
        <v>74.37576604444898</v>
      </c>
      <c r="AY120" s="570">
        <f>I2*12*100*'Assumptions-Output Override'!D11*'Assumptions-Output Override'!D12</f>
        <v>393583.41983467963</v>
      </c>
      <c r="AZ120" s="572">
        <v>-3.3645726154408369E+24</v>
      </c>
      <c r="BA120" s="570">
        <f>AY120-AY119</f>
        <v>-3.3645726154408417E+24</v>
      </c>
    </row>
    <row r="121" spans="1:53" x14ac:dyDescent="0.2">
      <c r="S121" s="490"/>
      <c r="U121" s="490"/>
      <c r="AY121" s="510"/>
      <c r="AZ121" s="510"/>
    </row>
    <row r="122" spans="1:53" x14ac:dyDescent="0.2">
      <c r="G122" s="490"/>
      <c r="H122" s="490"/>
      <c r="I122" s="490"/>
      <c r="J122" s="490"/>
    </row>
    <row r="123" spans="1:53" x14ac:dyDescent="0.2">
      <c r="H123" s="490"/>
      <c r="I123" s="490"/>
      <c r="J123" s="490"/>
    </row>
  </sheetData>
  <mergeCells count="8">
    <mergeCell ref="AJ16:AO16"/>
    <mergeCell ref="AQ16:AV16"/>
    <mergeCell ref="B16:G16"/>
    <mergeCell ref="H16:M16"/>
    <mergeCell ref="N16:R16"/>
    <mergeCell ref="S16:T16"/>
    <mergeCell ref="U16:Y16"/>
    <mergeCell ref="AA16:AF16"/>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8849" r:id="rId4" name="Button 1">
              <controlPr defaultSize="0" print="0" autoFill="0" autoPict="0" macro="[0]!Update_HRA_Calculation">
                <anchor moveWithCells="1" sizeWithCells="1">
                  <from>
                    <xdr:col>5</xdr:col>
                    <xdr:colOff>2108200</xdr:colOff>
                    <xdr:row>12</xdr:row>
                    <xdr:rowOff>266700</xdr:rowOff>
                  </from>
                  <to>
                    <xdr:col>7</xdr:col>
                    <xdr:colOff>38100</xdr:colOff>
                    <xdr:row>14</xdr:row>
                    <xdr:rowOff>12700</xdr:rowOff>
                  </to>
                </anchor>
              </controlPr>
            </control>
          </mc:Choice>
          <mc:Fallback/>
        </mc:AlternateContent>
        <mc:AlternateContent xmlns:mc="http://schemas.openxmlformats.org/markup-compatibility/2006">
          <mc:Choice Requires="x14">
            <control shapeId="78850" r:id="rId5" name="Button 2">
              <controlPr defaultSize="0" print="0" autoFill="0" autoPict="0" macro="[0]!Bring_HRA_Calc_Back_To_Standard">
                <anchor moveWithCells="1" sizeWithCells="1">
                  <from>
                    <xdr:col>7</xdr:col>
                    <xdr:colOff>1930400</xdr:colOff>
                    <xdr:row>12</xdr:row>
                    <xdr:rowOff>254000</xdr:rowOff>
                  </from>
                  <to>
                    <xdr:col>9</xdr:col>
                    <xdr:colOff>76200</xdr:colOff>
                    <xdr:row>13</xdr:row>
                    <xdr:rowOff>304800</xdr:rowOff>
                  </to>
                </anchor>
              </controlPr>
            </control>
          </mc:Choice>
          <mc:Fallback/>
        </mc:AlternateContent>
      </controls>
    </mc:Choice>
    <mc:Fallback/>
  </mc:AlternateConten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enableFormatConditionsCalculation="0">
    <tabColor theme="5" tint="0.39997558519241921"/>
  </sheetPr>
  <dimension ref="A7:AF109"/>
  <sheetViews>
    <sheetView zoomScale="70" zoomScaleNormal="70" zoomScalePageLayoutView="70" workbookViewId="0">
      <pane xSplit="1" ySplit="8" topLeftCell="B156" activePane="bottomRight" state="frozen"/>
      <selection activeCell="BA120" sqref="BA120"/>
      <selection pane="topRight" activeCell="BA120" sqref="BA120"/>
      <selection pane="bottomLeft" activeCell="BA120" sqref="BA120"/>
      <selection pane="bottomRight" activeCell="BA120" sqref="BA120"/>
    </sheetView>
  </sheetViews>
  <sheetFormatPr baseColWidth="10" defaultColWidth="8.83203125" defaultRowHeight="15" x14ac:dyDescent="0.2"/>
  <cols>
    <col min="1" max="5" width="13.1640625" customWidth="1"/>
    <col min="6" max="6" width="27.6640625" customWidth="1"/>
    <col min="7" max="7" width="17.33203125" customWidth="1"/>
    <col min="8" max="8" width="12" customWidth="1"/>
    <col min="9" max="9" width="9.83203125" customWidth="1"/>
    <col min="11" max="13" width="9.83203125" customWidth="1"/>
    <col min="14" max="14" width="12.1640625" customWidth="1"/>
    <col min="23" max="25" width="11.83203125" customWidth="1"/>
  </cols>
  <sheetData>
    <row r="7" spans="1:32" x14ac:dyDescent="0.2">
      <c r="B7" t="s">
        <v>878</v>
      </c>
      <c r="K7" t="s">
        <v>895</v>
      </c>
      <c r="P7" t="s">
        <v>896</v>
      </c>
      <c r="W7" t="s">
        <v>897</v>
      </c>
    </row>
    <row r="8" spans="1:32" x14ac:dyDescent="0.2">
      <c r="A8" t="s">
        <v>898</v>
      </c>
      <c r="B8" t="s">
        <v>449</v>
      </c>
      <c r="C8" t="s">
        <v>448</v>
      </c>
      <c r="D8" t="s">
        <v>447</v>
      </c>
      <c r="E8" t="s">
        <v>445</v>
      </c>
      <c r="F8" t="s">
        <v>899</v>
      </c>
      <c r="G8" s="489" t="str">
        <f>'HRA Balance Calc'!L17</f>
        <v>Remainder in HRA</v>
      </c>
      <c r="H8" t="s">
        <v>900</v>
      </c>
      <c r="I8" t="s">
        <v>901</v>
      </c>
      <c r="K8" t="s">
        <v>449</v>
      </c>
      <c r="L8" t="s">
        <v>448</v>
      </c>
      <c r="M8" t="s">
        <v>447</v>
      </c>
      <c r="N8" t="s">
        <v>445</v>
      </c>
      <c r="P8" t="s">
        <v>449</v>
      </c>
      <c r="Q8" t="s">
        <v>448</v>
      </c>
      <c r="R8" t="s">
        <v>447</v>
      </c>
      <c r="S8" t="s">
        <v>445</v>
      </c>
      <c r="T8" s="489" t="str">
        <f>F8</f>
        <v>Discretionary &amp; Chronic Subsidy</v>
      </c>
      <c r="U8" t="s">
        <v>403</v>
      </c>
      <c r="W8" t="s">
        <v>902</v>
      </c>
      <c r="X8" t="s">
        <v>311</v>
      </c>
      <c r="Y8" t="s">
        <v>403</v>
      </c>
      <c r="Z8" t="s">
        <v>903</v>
      </c>
      <c r="AA8" t="s">
        <v>904</v>
      </c>
      <c r="AC8" t="s">
        <v>449</v>
      </c>
      <c r="AD8" t="s">
        <v>448</v>
      </c>
      <c r="AE8" t="s">
        <v>905</v>
      </c>
    </row>
    <row r="9" spans="1:32" x14ac:dyDescent="0.2">
      <c r="A9">
        <f>'HRA Balance Calc'!A18</f>
        <v>1</v>
      </c>
      <c r="B9" s="489">
        <f>'HRA Balance Calc'!N18+'HRA Balance Calc'!U18+IF('HRA Balance Calc'!$L18&lt;0,'HRA Balance Calc'!$L18*('HRA Balance Calc'!$G18/'HRA Balance Calc'!$L18),0)</f>
        <v>-288.26087712588196</v>
      </c>
      <c r="C9" s="489">
        <f>'HRA Balance Calc'!V18+'HRA Balance Calc'!O18+IF('HRA Balance Calc'!$L18&lt;0,'HRA Balance Calc'!$L18*('HRA Balance Calc'!$H18/'HRA Balance Calc'!$L18),0)</f>
        <v>0</v>
      </c>
      <c r="D9" s="489">
        <f>'HRA Balance Calc'!W18+'HRA Balance Calc'!P18+IF('HRA Balance Calc'!$L18&lt;0,'HRA Balance Calc'!$L18*('HRA Balance Calc'!$I18/'HRA Balance Calc'!$L18),0)</f>
        <v>0</v>
      </c>
      <c r="E9" s="489">
        <f>'HRA Balance Calc'!X18+'HRA Balance Calc'!Q18+IF('HRA Balance Calc'!$L18&lt;0,'HRA Balance Calc'!$L18*('HRA Balance Calc'!$J18/'HRA Balance Calc'!$L18),0)</f>
        <v>0</v>
      </c>
      <c r="F9" s="489">
        <f>'HRA Balance Calc'!E18</f>
        <v>471.98996185153999</v>
      </c>
      <c r="G9" s="489">
        <f>IF('HRA Balance Calc'!L18&lt;0,0,'HRA Balance Calc'!L18)</f>
        <v>3.3645726154408369E+22</v>
      </c>
      <c r="H9" s="489">
        <f>ROUND('HRA Balance Calc'!T18,2)</f>
        <v>0</v>
      </c>
      <c r="I9" s="489">
        <f>'HRA Balance Calc'!S18+'HRA Balance Calc'!U18</f>
        <v>-288.26087712588196</v>
      </c>
      <c r="K9" s="489">
        <f>'HRA Balance Calc'!$I$1*12+IF($H9=ROUND('HRA Balance Calc'!$I$12+'HRA Balance Calc'!$I$1*12,2),((B9-'HRA Balance Calc'!$I$1*12)/(I9-'HRA Balance Calc'!$I$1*12))*(H9-'HRA Balance Calc'!$I$1*12),B9-'HRA Balance Calc'!$I$1*12)</f>
        <v>-288.26087712588196</v>
      </c>
      <c r="L9" s="489">
        <f>IF($H9=ROUND('HRA Balance Calc'!$I$12+'HRA Balance Calc'!$I$1*12,2),((C9/($I9-'HRA Balance Calc'!$I$1*12))*($H9-'HRA Balance Calc'!$I$1*12)),C9)</f>
        <v>0</v>
      </c>
      <c r="M9" s="489">
        <f>IF($H9=ROUND('HRA Balance Calc'!$I$12+'HRA Balance Calc'!$I$1*12,2),((D9/($I9-'HRA Balance Calc'!$I$1*12))*($H9-'HRA Balance Calc'!$I$1*12)),D9)</f>
        <v>0</v>
      </c>
      <c r="N9" s="489">
        <f>IF($H9=ROUND('HRA Balance Calc'!$I$12+'HRA Balance Calc'!$I$1*12,2),((E9/($I9-'HRA Balance Calc'!$I$1*12))*($H9-'HRA Balance Calc'!$I$1*12)),E9)</f>
        <v>0</v>
      </c>
      <c r="P9" s="510">
        <f>B9+'HRA Balance Calc'!G18</f>
        <v>4155.0631123679523</v>
      </c>
      <c r="Q9" s="510">
        <f>C9+'HRA Balance Calc'!H18</f>
        <v>0</v>
      </c>
      <c r="R9" s="510">
        <f>D9+'HRA Balance Calc'!I18</f>
        <v>0</v>
      </c>
      <c r="S9" s="510">
        <f>E9+'HRA Balance Calc'!J18</f>
        <v>0</v>
      </c>
      <c r="T9" s="489">
        <f t="shared" ref="T9:T72" si="0">F9</f>
        <v>471.98996185153999</v>
      </c>
      <c r="U9" s="510">
        <f>SUM(P9:T9)</f>
        <v>4627.0530742194924</v>
      </c>
      <c r="W9" s="489">
        <f>'Winners-Losers HRA'!CC6*12-MIN('HRA Balance Calc'!Y18,'HRA Balance Calc'!$M$12)</f>
        <v>1315.9334869579568</v>
      </c>
      <c r="X9" s="489">
        <f>MIN('Winners-Losers HRA'!BS6*12,'HRA Balance Calc'!$L$12)-MIN('HRA Balance Calc'!$L$12,'HRA Balance Calc'!R18)</f>
        <v>0</v>
      </c>
      <c r="Y9" s="489">
        <f>W9+X9</f>
        <v>1315.9334869579568</v>
      </c>
      <c r="Z9" s="510">
        <f>G9</f>
        <v>3.3645726154408369E+22</v>
      </c>
      <c r="AA9" s="510">
        <f>Y9+Z9</f>
        <v>3.3645726154408369E+22</v>
      </c>
      <c r="AC9" s="510">
        <f>SUM(B9,D9)</f>
        <v>-288.26087712588196</v>
      </c>
      <c r="AD9">
        <f>SUM(C9,$F9/2)</f>
        <v>235.99498092576999</v>
      </c>
      <c r="AE9">
        <f>SUM(E9,$F9/2)</f>
        <v>235.99498092576999</v>
      </c>
      <c r="AF9">
        <f>A9-1</f>
        <v>0</v>
      </c>
    </row>
    <row r="10" spans="1:32" x14ac:dyDescent="0.2">
      <c r="A10">
        <f>'HRA Balance Calc'!A19</f>
        <v>2</v>
      </c>
      <c r="B10" s="489">
        <f>'HRA Balance Calc'!N19+'HRA Balance Calc'!U19+IF('HRA Balance Calc'!$L19&lt;0,'HRA Balance Calc'!$L19*('HRA Balance Calc'!$G19/'HRA Balance Calc'!$L19),0)</f>
        <v>-288.26087712588196</v>
      </c>
      <c r="C10" s="489">
        <f>'HRA Balance Calc'!V19+'HRA Balance Calc'!O19+IF('HRA Balance Calc'!$L19&lt;0,'HRA Balance Calc'!$L19*('HRA Balance Calc'!$H19/'HRA Balance Calc'!$L19),0)</f>
        <v>0</v>
      </c>
      <c r="D10" s="489">
        <f>'HRA Balance Calc'!W19+'HRA Balance Calc'!P19+IF('HRA Balance Calc'!$L19&lt;0,'HRA Balance Calc'!$L19*('HRA Balance Calc'!$I19/'HRA Balance Calc'!$L19),0)</f>
        <v>0</v>
      </c>
      <c r="E10" s="489">
        <f>'HRA Balance Calc'!X19+'HRA Balance Calc'!Q19+IF('HRA Balance Calc'!$L19&lt;0,'HRA Balance Calc'!$L19*('HRA Balance Calc'!$J19/'HRA Balance Calc'!$L19),0)</f>
        <v>0</v>
      </c>
      <c r="F10" s="489">
        <f>'HRA Balance Calc'!E19</f>
        <v>471.98996185153999</v>
      </c>
      <c r="G10" s="489">
        <f>IF('HRA Balance Calc'!L19&lt;0,0,'HRA Balance Calc'!L19)</f>
        <v>3.3645726154408369E+22</v>
      </c>
      <c r="H10" s="489">
        <f>ROUND('HRA Balance Calc'!T19,2)</f>
        <v>0</v>
      </c>
      <c r="I10" s="489">
        <f>'HRA Balance Calc'!S19+'HRA Balance Calc'!U19</f>
        <v>-288.26087712588196</v>
      </c>
      <c r="K10" s="489">
        <f>'HRA Balance Calc'!$I$1*12+IF($H10=ROUND('HRA Balance Calc'!$I$12+'HRA Balance Calc'!$I$1*12,2),((B10-'HRA Balance Calc'!$I$1*12)/(I10-'HRA Balance Calc'!$I$1*12))*(H10-'HRA Balance Calc'!$I$1*12),B10-'HRA Balance Calc'!$I$1*12)</f>
        <v>-288.26087712588196</v>
      </c>
      <c r="L10" s="489">
        <f>IF($H10=ROUND('HRA Balance Calc'!$I$12+'HRA Balance Calc'!$I$1*12,2),((C10/($I10-'HRA Balance Calc'!$I$1*12))*($H10-'HRA Balance Calc'!$I$1*12)),C10)</f>
        <v>0</v>
      </c>
      <c r="M10" s="489">
        <f>IF($H10=ROUND('HRA Balance Calc'!$I$12+'HRA Balance Calc'!$I$1*12,2),((D10/($I10-'HRA Balance Calc'!$I$1*12))*($H10-'HRA Balance Calc'!$I$1*12)),D10)</f>
        <v>0</v>
      </c>
      <c r="N10" s="489">
        <f>IF($H10=ROUND('HRA Balance Calc'!$I$12+'HRA Balance Calc'!$I$1*12,2),((E10/($I10-'HRA Balance Calc'!$I$1*12))*($H10-'HRA Balance Calc'!$I$1*12)),E10)</f>
        <v>0</v>
      </c>
      <c r="P10" s="510">
        <f>B10+'HRA Balance Calc'!G19</f>
        <v>4155.0631123679523</v>
      </c>
      <c r="Q10" s="510">
        <f>C10+'HRA Balance Calc'!H19</f>
        <v>0</v>
      </c>
      <c r="R10" s="510">
        <f>D10+'HRA Balance Calc'!I19</f>
        <v>0</v>
      </c>
      <c r="S10" s="510">
        <f>E10+'HRA Balance Calc'!J19</f>
        <v>0</v>
      </c>
      <c r="T10" s="489">
        <f t="shared" si="0"/>
        <v>471.98996185153999</v>
      </c>
      <c r="U10" s="510">
        <f t="shared" ref="U10:U73" si="1">SUM(P10:T10)</f>
        <v>4627.0530742194924</v>
      </c>
      <c r="W10" s="489">
        <f>'Winners-Losers HRA'!CC7*12-MIN('HRA Balance Calc'!Y19,'HRA Balance Calc'!$M$12)</f>
        <v>1315.9334869579568</v>
      </c>
      <c r="X10" s="489">
        <f>MIN('Winners-Losers HRA'!BS7*12,'HRA Balance Calc'!$L$12)-MIN('HRA Balance Calc'!$L$12,'HRA Balance Calc'!R19)</f>
        <v>0</v>
      </c>
      <c r="Y10" s="489">
        <f t="shared" ref="Y10:Y73" si="2">W10+X10</f>
        <v>1315.9334869579568</v>
      </c>
      <c r="Z10" s="510">
        <f t="shared" ref="Z10:Z73" si="3">G10</f>
        <v>3.3645726154408369E+22</v>
      </c>
      <c r="AA10" s="510">
        <f t="shared" ref="AA10:AA73" si="4">Y10+Z10</f>
        <v>3.3645726154408369E+22</v>
      </c>
      <c r="AC10" s="510">
        <f t="shared" ref="AC10:AC73" si="5">SUM(B10,D10)</f>
        <v>-288.26087712588196</v>
      </c>
      <c r="AD10">
        <f t="shared" ref="AD10:AD73" si="6">SUM(C10,$F10/2)</f>
        <v>235.99498092576999</v>
      </c>
      <c r="AE10">
        <f t="shared" ref="AE10:AE73" si="7">SUM(E10,$F10/2)</f>
        <v>235.99498092576999</v>
      </c>
      <c r="AF10">
        <f t="shared" ref="AF10:AF73" si="8">A10-1</f>
        <v>1</v>
      </c>
    </row>
    <row r="11" spans="1:32" x14ac:dyDescent="0.2">
      <c r="A11">
        <f>'HRA Balance Calc'!A20</f>
        <v>3</v>
      </c>
      <c r="B11" s="489">
        <f>'HRA Balance Calc'!N20+'HRA Balance Calc'!U20+IF('HRA Balance Calc'!$L20&lt;0,'HRA Balance Calc'!$L20*('HRA Balance Calc'!$G20/'HRA Balance Calc'!$L20),0)</f>
        <v>-288.26087712588196</v>
      </c>
      <c r="C11" s="489">
        <f>'HRA Balance Calc'!V20+'HRA Balance Calc'!O20+IF('HRA Balance Calc'!$L20&lt;0,'HRA Balance Calc'!$L20*('HRA Balance Calc'!$H20/'HRA Balance Calc'!$L20),0)</f>
        <v>0</v>
      </c>
      <c r="D11" s="489">
        <f>'HRA Balance Calc'!W20+'HRA Balance Calc'!P20+IF('HRA Balance Calc'!$L20&lt;0,'HRA Balance Calc'!$L20*('HRA Balance Calc'!$I20/'HRA Balance Calc'!$L20),0)</f>
        <v>0</v>
      </c>
      <c r="E11" s="489">
        <f>'HRA Balance Calc'!X20+'HRA Balance Calc'!Q20+IF('HRA Balance Calc'!$L20&lt;0,'HRA Balance Calc'!$L20*('HRA Balance Calc'!$J20/'HRA Balance Calc'!$L20),0)</f>
        <v>0</v>
      </c>
      <c r="F11" s="489">
        <f>'HRA Balance Calc'!E20</f>
        <v>471.98996185153999</v>
      </c>
      <c r="G11" s="489">
        <f>IF('HRA Balance Calc'!L20&lt;0,0,'HRA Balance Calc'!L20)</f>
        <v>3.3645726154408369E+22</v>
      </c>
      <c r="H11" s="489">
        <f>ROUND('HRA Balance Calc'!T20,2)</f>
        <v>0</v>
      </c>
      <c r="I11" s="489">
        <f>'HRA Balance Calc'!S20+'HRA Balance Calc'!U20</f>
        <v>-288.26087712588196</v>
      </c>
      <c r="K11" s="489">
        <f>'HRA Balance Calc'!$I$1*12+IF($H11=ROUND('HRA Balance Calc'!$I$12+'HRA Balance Calc'!$I$1*12,2),((B11-'HRA Balance Calc'!$I$1*12)/(I11-'HRA Balance Calc'!$I$1*12))*(H11-'HRA Balance Calc'!$I$1*12),B11-'HRA Balance Calc'!$I$1*12)</f>
        <v>-288.26087712588196</v>
      </c>
      <c r="L11" s="489">
        <f>IF($H11=ROUND('HRA Balance Calc'!$I$12+'HRA Balance Calc'!$I$1*12,2),((C11/($I11-'HRA Balance Calc'!$I$1*12))*($H11-'HRA Balance Calc'!$I$1*12)),C11)</f>
        <v>0</v>
      </c>
      <c r="M11" s="489">
        <f>IF($H11=ROUND('HRA Balance Calc'!$I$12+'HRA Balance Calc'!$I$1*12,2),((D11/($I11-'HRA Balance Calc'!$I$1*12))*($H11-'HRA Balance Calc'!$I$1*12)),D11)</f>
        <v>0</v>
      </c>
      <c r="N11" s="489">
        <f>IF($H11=ROUND('HRA Balance Calc'!$I$12+'HRA Balance Calc'!$I$1*12,2),((E11/($I11-'HRA Balance Calc'!$I$1*12))*($H11-'HRA Balance Calc'!$I$1*12)),E11)</f>
        <v>0</v>
      </c>
      <c r="P11" s="510">
        <f>B11+'HRA Balance Calc'!G20</f>
        <v>4155.0631123679523</v>
      </c>
      <c r="Q11" s="510">
        <f>C11+'HRA Balance Calc'!H20</f>
        <v>0</v>
      </c>
      <c r="R11" s="510">
        <f>D11+'HRA Balance Calc'!I20</f>
        <v>0</v>
      </c>
      <c r="S11" s="510">
        <f>E11+'HRA Balance Calc'!J20</f>
        <v>0</v>
      </c>
      <c r="T11" s="489">
        <f t="shared" si="0"/>
        <v>471.98996185153999</v>
      </c>
      <c r="U11" s="510">
        <f t="shared" si="1"/>
        <v>4627.0530742194924</v>
      </c>
      <c r="W11" s="489">
        <f>'Winners-Losers HRA'!CC8*12-MIN('HRA Balance Calc'!Y20,'HRA Balance Calc'!$M$12)</f>
        <v>1315.9334869579568</v>
      </c>
      <c r="X11" s="489">
        <f>MIN('Winners-Losers HRA'!BS8*12,'HRA Balance Calc'!$L$12)-MIN('HRA Balance Calc'!$L$12,'HRA Balance Calc'!R20)</f>
        <v>0</v>
      </c>
      <c r="Y11" s="489">
        <f t="shared" si="2"/>
        <v>1315.9334869579568</v>
      </c>
      <c r="Z11" s="510">
        <f t="shared" si="3"/>
        <v>3.3645726154408369E+22</v>
      </c>
      <c r="AA11" s="510">
        <f t="shared" si="4"/>
        <v>3.3645726154408369E+22</v>
      </c>
      <c r="AC11" s="510">
        <f t="shared" si="5"/>
        <v>-288.26087712588196</v>
      </c>
      <c r="AD11">
        <f t="shared" si="6"/>
        <v>235.99498092576999</v>
      </c>
      <c r="AE11">
        <f t="shared" si="7"/>
        <v>235.99498092576999</v>
      </c>
      <c r="AF11">
        <f t="shared" si="8"/>
        <v>2</v>
      </c>
    </row>
    <row r="12" spans="1:32" x14ac:dyDescent="0.2">
      <c r="A12">
        <f>'HRA Balance Calc'!A21</f>
        <v>4</v>
      </c>
      <c r="B12" s="489">
        <f>'HRA Balance Calc'!N21+'HRA Balance Calc'!U21+IF('HRA Balance Calc'!$L21&lt;0,'HRA Balance Calc'!$L21*('HRA Balance Calc'!$G21/'HRA Balance Calc'!$L21),0)</f>
        <v>-288.26087712588196</v>
      </c>
      <c r="C12" s="489">
        <f>'HRA Balance Calc'!V21+'HRA Balance Calc'!O21+IF('HRA Balance Calc'!$L21&lt;0,'HRA Balance Calc'!$L21*('HRA Balance Calc'!$H21/'HRA Balance Calc'!$L21),0)</f>
        <v>0</v>
      </c>
      <c r="D12" s="489">
        <f>'HRA Balance Calc'!W21+'HRA Balance Calc'!P21+IF('HRA Balance Calc'!$L21&lt;0,'HRA Balance Calc'!$L21*('HRA Balance Calc'!$I21/'HRA Balance Calc'!$L21),0)</f>
        <v>0</v>
      </c>
      <c r="E12" s="489">
        <f>'HRA Balance Calc'!X21+'HRA Balance Calc'!Q21+IF('HRA Balance Calc'!$L21&lt;0,'HRA Balance Calc'!$L21*('HRA Balance Calc'!$J21/'HRA Balance Calc'!$L21),0)</f>
        <v>0</v>
      </c>
      <c r="F12" s="489">
        <f>'HRA Balance Calc'!E21</f>
        <v>471.98996185153999</v>
      </c>
      <c r="G12" s="489">
        <f>IF('HRA Balance Calc'!L21&lt;0,0,'HRA Balance Calc'!L21)</f>
        <v>3.3645726154408369E+22</v>
      </c>
      <c r="H12" s="489">
        <f>ROUND('HRA Balance Calc'!T21,2)</f>
        <v>0</v>
      </c>
      <c r="I12" s="489">
        <f>'HRA Balance Calc'!S21+'HRA Balance Calc'!U21</f>
        <v>-288.26087712588196</v>
      </c>
      <c r="K12" s="489">
        <f>'HRA Balance Calc'!$I$1*12+IF($H12=ROUND('HRA Balance Calc'!$I$12+'HRA Balance Calc'!$I$1*12,2),((B12-'HRA Balance Calc'!$I$1*12)/(I12-'HRA Balance Calc'!$I$1*12))*(H12-'HRA Balance Calc'!$I$1*12),B12-'HRA Balance Calc'!$I$1*12)</f>
        <v>-288.26087712588196</v>
      </c>
      <c r="L12" s="489">
        <f>IF($H12=ROUND('HRA Balance Calc'!$I$12+'HRA Balance Calc'!$I$1*12,2),((C12/($I12-'HRA Balance Calc'!$I$1*12))*($H12-'HRA Balance Calc'!$I$1*12)),C12)</f>
        <v>0</v>
      </c>
      <c r="M12" s="489">
        <f>IF($H12=ROUND('HRA Balance Calc'!$I$12+'HRA Balance Calc'!$I$1*12,2),((D12/($I12-'HRA Balance Calc'!$I$1*12))*($H12-'HRA Balance Calc'!$I$1*12)),D12)</f>
        <v>0</v>
      </c>
      <c r="N12" s="489">
        <f>IF($H12=ROUND('HRA Balance Calc'!$I$12+'HRA Balance Calc'!$I$1*12,2),((E12/($I12-'HRA Balance Calc'!$I$1*12))*($H12-'HRA Balance Calc'!$I$1*12)),E12)</f>
        <v>0</v>
      </c>
      <c r="P12" s="510">
        <f>B12+'HRA Balance Calc'!G21</f>
        <v>4155.0631123679523</v>
      </c>
      <c r="Q12" s="510">
        <f>C12+'HRA Balance Calc'!H21</f>
        <v>0</v>
      </c>
      <c r="R12" s="510">
        <f>D12+'HRA Balance Calc'!I21</f>
        <v>0</v>
      </c>
      <c r="S12" s="510">
        <f>E12+'HRA Balance Calc'!J21</f>
        <v>0</v>
      </c>
      <c r="T12" s="489">
        <f t="shared" si="0"/>
        <v>471.98996185153999</v>
      </c>
      <c r="U12" s="510">
        <f t="shared" si="1"/>
        <v>4627.0530742194924</v>
      </c>
      <c r="W12" s="489">
        <f>'Winners-Losers HRA'!CC9*12-MIN('HRA Balance Calc'!Y21,'HRA Balance Calc'!$M$12)</f>
        <v>1315.9334869579568</v>
      </c>
      <c r="X12" s="489">
        <f>MIN('Winners-Losers HRA'!BS9*12,'HRA Balance Calc'!$L$12)-MIN('HRA Balance Calc'!$L$12,'HRA Balance Calc'!R21)</f>
        <v>0</v>
      </c>
      <c r="Y12" s="489">
        <f t="shared" si="2"/>
        <v>1315.9334869579568</v>
      </c>
      <c r="Z12" s="510">
        <f t="shared" si="3"/>
        <v>3.3645726154408369E+22</v>
      </c>
      <c r="AA12" s="510">
        <f t="shared" si="4"/>
        <v>3.3645726154408369E+22</v>
      </c>
      <c r="AC12" s="510">
        <f t="shared" si="5"/>
        <v>-288.26087712588196</v>
      </c>
      <c r="AD12">
        <f t="shared" si="6"/>
        <v>235.99498092576999</v>
      </c>
      <c r="AE12">
        <f t="shared" si="7"/>
        <v>235.99498092576999</v>
      </c>
      <c r="AF12">
        <f t="shared" si="8"/>
        <v>3</v>
      </c>
    </row>
    <row r="13" spans="1:32" x14ac:dyDescent="0.2">
      <c r="A13">
        <f>'HRA Balance Calc'!A22</f>
        <v>5</v>
      </c>
      <c r="B13" s="489">
        <f>'HRA Balance Calc'!N22+'HRA Balance Calc'!U22+IF('HRA Balance Calc'!$L22&lt;0,'HRA Balance Calc'!$L22*('HRA Balance Calc'!$G22/'HRA Balance Calc'!$L22),0)</f>
        <v>-288.26087712588196</v>
      </c>
      <c r="C13" s="489">
        <f>'HRA Balance Calc'!V22+'HRA Balance Calc'!O22+IF('HRA Balance Calc'!$L22&lt;0,'HRA Balance Calc'!$L22*('HRA Balance Calc'!$H22/'HRA Balance Calc'!$L22),0)</f>
        <v>0</v>
      </c>
      <c r="D13" s="489">
        <f>'HRA Balance Calc'!W22+'HRA Balance Calc'!P22+IF('HRA Balance Calc'!$L22&lt;0,'HRA Balance Calc'!$L22*('HRA Balance Calc'!$I22/'HRA Balance Calc'!$L22),0)</f>
        <v>0</v>
      </c>
      <c r="E13" s="489">
        <f>'HRA Balance Calc'!X22+'HRA Balance Calc'!Q22+IF('HRA Balance Calc'!$L22&lt;0,'HRA Balance Calc'!$L22*('HRA Balance Calc'!$J22/'HRA Balance Calc'!$L22),0)</f>
        <v>0</v>
      </c>
      <c r="F13" s="489">
        <f>'HRA Balance Calc'!E22</f>
        <v>471.98996185153999</v>
      </c>
      <c r="G13" s="489">
        <f>IF('HRA Balance Calc'!L22&lt;0,0,'HRA Balance Calc'!L22)</f>
        <v>3.3645726154408369E+22</v>
      </c>
      <c r="H13" s="489">
        <f>ROUND('HRA Balance Calc'!T22,2)</f>
        <v>0</v>
      </c>
      <c r="I13" s="489">
        <f>'HRA Balance Calc'!S22+'HRA Balance Calc'!U22</f>
        <v>-288.26087712588196</v>
      </c>
      <c r="K13" s="489">
        <f>'HRA Balance Calc'!$I$1*12+IF($H13=ROUND('HRA Balance Calc'!$I$12+'HRA Balance Calc'!$I$1*12,2),((B13-'HRA Balance Calc'!$I$1*12)/(I13-'HRA Balance Calc'!$I$1*12))*(H13-'HRA Balance Calc'!$I$1*12),B13-'HRA Balance Calc'!$I$1*12)</f>
        <v>-288.26087712588196</v>
      </c>
      <c r="L13" s="489">
        <f>IF($H13=ROUND('HRA Balance Calc'!$I$12+'HRA Balance Calc'!$I$1*12,2),((C13/($I13-'HRA Balance Calc'!$I$1*12))*($H13-'HRA Balance Calc'!$I$1*12)),C13)</f>
        <v>0</v>
      </c>
      <c r="M13" s="489">
        <f>IF($H13=ROUND('HRA Balance Calc'!$I$12+'HRA Balance Calc'!$I$1*12,2),((D13/($I13-'HRA Balance Calc'!$I$1*12))*($H13-'HRA Balance Calc'!$I$1*12)),D13)</f>
        <v>0</v>
      </c>
      <c r="N13" s="489">
        <f>IF($H13=ROUND('HRA Balance Calc'!$I$12+'HRA Balance Calc'!$I$1*12,2),((E13/($I13-'HRA Balance Calc'!$I$1*12))*($H13-'HRA Balance Calc'!$I$1*12)),E13)</f>
        <v>0</v>
      </c>
      <c r="P13" s="510">
        <f>B13+'HRA Balance Calc'!G22</f>
        <v>4155.0631123679523</v>
      </c>
      <c r="Q13" s="510">
        <f>C13+'HRA Balance Calc'!H22</f>
        <v>0</v>
      </c>
      <c r="R13" s="510">
        <f>D13+'HRA Balance Calc'!I22</f>
        <v>0</v>
      </c>
      <c r="S13" s="510">
        <f>E13+'HRA Balance Calc'!J22</f>
        <v>0</v>
      </c>
      <c r="T13" s="489">
        <f t="shared" si="0"/>
        <v>471.98996185153999</v>
      </c>
      <c r="U13" s="510">
        <f t="shared" si="1"/>
        <v>4627.0530742194924</v>
      </c>
      <c r="W13" s="489">
        <f>'Winners-Losers HRA'!CC10*12-MIN('HRA Balance Calc'!Y22,'HRA Balance Calc'!$M$12)</f>
        <v>1315.9334869579568</v>
      </c>
      <c r="X13" s="489">
        <f>MIN('Winners-Losers HRA'!BS10*12,'HRA Balance Calc'!$L$12)-MIN('HRA Balance Calc'!$L$12,'HRA Balance Calc'!R22)</f>
        <v>0</v>
      </c>
      <c r="Y13" s="489">
        <f t="shared" si="2"/>
        <v>1315.9334869579568</v>
      </c>
      <c r="Z13" s="510">
        <f t="shared" si="3"/>
        <v>3.3645726154408369E+22</v>
      </c>
      <c r="AA13" s="510">
        <f t="shared" si="4"/>
        <v>3.3645726154408369E+22</v>
      </c>
      <c r="AC13" s="510">
        <f t="shared" si="5"/>
        <v>-288.26087712588196</v>
      </c>
      <c r="AD13">
        <f t="shared" si="6"/>
        <v>235.99498092576999</v>
      </c>
      <c r="AE13">
        <f t="shared" si="7"/>
        <v>235.99498092576999</v>
      </c>
      <c r="AF13">
        <f t="shared" si="8"/>
        <v>4</v>
      </c>
    </row>
    <row r="14" spans="1:32" x14ac:dyDescent="0.2">
      <c r="A14">
        <f>'HRA Balance Calc'!A23</f>
        <v>6</v>
      </c>
      <c r="B14" s="489">
        <f>'HRA Balance Calc'!N23+'HRA Balance Calc'!U23+IF('HRA Balance Calc'!$L23&lt;0,'HRA Balance Calc'!$L23*('HRA Balance Calc'!$G23/'HRA Balance Calc'!$L23),0)</f>
        <v>-288.26087712588196</v>
      </c>
      <c r="C14" s="489">
        <f>'HRA Balance Calc'!V23+'HRA Balance Calc'!O23+IF('HRA Balance Calc'!$L23&lt;0,'HRA Balance Calc'!$L23*('HRA Balance Calc'!$H23/'HRA Balance Calc'!$L23),0)</f>
        <v>0</v>
      </c>
      <c r="D14" s="489">
        <f>'HRA Balance Calc'!W23+'HRA Balance Calc'!P23+IF('HRA Balance Calc'!$L23&lt;0,'HRA Balance Calc'!$L23*('HRA Balance Calc'!$I23/'HRA Balance Calc'!$L23),0)</f>
        <v>0</v>
      </c>
      <c r="E14" s="489">
        <f>'HRA Balance Calc'!X23+'HRA Balance Calc'!Q23+IF('HRA Balance Calc'!$L23&lt;0,'HRA Balance Calc'!$L23*('HRA Balance Calc'!$J23/'HRA Balance Calc'!$L23),0)</f>
        <v>0</v>
      </c>
      <c r="F14" s="489">
        <f>'HRA Balance Calc'!E23</f>
        <v>471.98996185153999</v>
      </c>
      <c r="G14" s="489">
        <f>IF('HRA Balance Calc'!L23&lt;0,0,'HRA Balance Calc'!L23)</f>
        <v>3.3645726154408369E+22</v>
      </c>
      <c r="H14" s="489">
        <f>ROUND('HRA Balance Calc'!T23,2)</f>
        <v>0</v>
      </c>
      <c r="I14" s="489">
        <f>'HRA Balance Calc'!S23+'HRA Balance Calc'!U23</f>
        <v>-288.26087712588196</v>
      </c>
      <c r="K14" s="489">
        <f>'HRA Balance Calc'!$I$1*12+IF($H14=ROUND('HRA Balance Calc'!$I$12+'HRA Balance Calc'!$I$1*12,2),((B14-'HRA Balance Calc'!$I$1*12)/(I14-'HRA Balance Calc'!$I$1*12))*(H14-'HRA Balance Calc'!$I$1*12),B14-'HRA Balance Calc'!$I$1*12)</f>
        <v>-288.26087712588196</v>
      </c>
      <c r="L14" s="489">
        <f>IF($H14=ROUND('HRA Balance Calc'!$I$12+'HRA Balance Calc'!$I$1*12,2),((C14/($I14-'HRA Balance Calc'!$I$1*12))*($H14-'HRA Balance Calc'!$I$1*12)),C14)</f>
        <v>0</v>
      </c>
      <c r="M14" s="489">
        <f>IF($H14=ROUND('HRA Balance Calc'!$I$12+'HRA Balance Calc'!$I$1*12,2),((D14/($I14-'HRA Balance Calc'!$I$1*12))*($H14-'HRA Balance Calc'!$I$1*12)),D14)</f>
        <v>0</v>
      </c>
      <c r="N14" s="489">
        <f>IF($H14=ROUND('HRA Balance Calc'!$I$12+'HRA Balance Calc'!$I$1*12,2),((E14/($I14-'HRA Balance Calc'!$I$1*12))*($H14-'HRA Balance Calc'!$I$1*12)),E14)</f>
        <v>0</v>
      </c>
      <c r="P14" s="510">
        <f>B14+'HRA Balance Calc'!G23</f>
        <v>4155.0631123679523</v>
      </c>
      <c r="Q14" s="510">
        <f>C14+'HRA Balance Calc'!H23</f>
        <v>0</v>
      </c>
      <c r="R14" s="510">
        <f>D14+'HRA Balance Calc'!I23</f>
        <v>0</v>
      </c>
      <c r="S14" s="510">
        <f>E14+'HRA Balance Calc'!J23</f>
        <v>0</v>
      </c>
      <c r="T14" s="489">
        <f t="shared" si="0"/>
        <v>471.98996185153999</v>
      </c>
      <c r="U14" s="510">
        <f t="shared" si="1"/>
        <v>4627.0530742194924</v>
      </c>
      <c r="W14" s="489">
        <f>'Winners-Losers HRA'!CC11*12-MIN('HRA Balance Calc'!Y23,'HRA Balance Calc'!$M$12)</f>
        <v>1315.9334869579568</v>
      </c>
      <c r="X14" s="489">
        <f>MIN('Winners-Losers HRA'!BS11*12,'HRA Balance Calc'!$L$12)-MIN('HRA Balance Calc'!$L$12,'HRA Balance Calc'!R23)</f>
        <v>0</v>
      </c>
      <c r="Y14" s="489">
        <f t="shared" si="2"/>
        <v>1315.9334869579568</v>
      </c>
      <c r="Z14" s="510">
        <f t="shared" si="3"/>
        <v>3.3645726154408369E+22</v>
      </c>
      <c r="AA14" s="510">
        <f t="shared" si="4"/>
        <v>3.3645726154408369E+22</v>
      </c>
      <c r="AC14" s="510">
        <f t="shared" si="5"/>
        <v>-288.26087712588196</v>
      </c>
      <c r="AD14">
        <f t="shared" si="6"/>
        <v>235.99498092576999</v>
      </c>
      <c r="AE14">
        <f t="shared" si="7"/>
        <v>235.99498092576999</v>
      </c>
      <c r="AF14">
        <f t="shared" si="8"/>
        <v>5</v>
      </c>
    </row>
    <row r="15" spans="1:32" x14ac:dyDescent="0.2">
      <c r="A15">
        <f>'HRA Balance Calc'!A24</f>
        <v>7</v>
      </c>
      <c r="B15" s="489">
        <f>'HRA Balance Calc'!N24+'HRA Balance Calc'!U24+IF('HRA Balance Calc'!$L24&lt;0,'HRA Balance Calc'!$L24*('HRA Balance Calc'!$G24/'HRA Balance Calc'!$L24),0)</f>
        <v>-288.26087712588196</v>
      </c>
      <c r="C15" s="489">
        <f>'HRA Balance Calc'!V24+'HRA Balance Calc'!O24+IF('HRA Balance Calc'!$L24&lt;0,'HRA Balance Calc'!$L24*('HRA Balance Calc'!$H24/'HRA Balance Calc'!$L24),0)</f>
        <v>0</v>
      </c>
      <c r="D15" s="489">
        <f>'HRA Balance Calc'!W24+'HRA Balance Calc'!P24+IF('HRA Balance Calc'!$L24&lt;0,'HRA Balance Calc'!$L24*('HRA Balance Calc'!$I24/'HRA Balance Calc'!$L24),0)</f>
        <v>0</v>
      </c>
      <c r="E15" s="489">
        <f>'HRA Balance Calc'!X24+'HRA Balance Calc'!Q24+IF('HRA Balance Calc'!$L24&lt;0,'HRA Balance Calc'!$L24*('HRA Balance Calc'!$J24/'HRA Balance Calc'!$L24),0)</f>
        <v>0</v>
      </c>
      <c r="F15" s="489">
        <f>'HRA Balance Calc'!E24</f>
        <v>471.98996185153999</v>
      </c>
      <c r="G15" s="489">
        <f>IF('HRA Balance Calc'!L24&lt;0,0,'HRA Balance Calc'!L24)</f>
        <v>3.3645726154408369E+22</v>
      </c>
      <c r="H15" s="489">
        <f>ROUND('HRA Balance Calc'!T24,2)</f>
        <v>0</v>
      </c>
      <c r="I15" s="489">
        <f>'HRA Balance Calc'!S24+'HRA Balance Calc'!U24</f>
        <v>-288.26087712588196</v>
      </c>
      <c r="K15" s="489">
        <f>'HRA Balance Calc'!$I$1*12+IF($H15=ROUND('HRA Balance Calc'!$I$12+'HRA Balance Calc'!$I$1*12,2),((B15-'HRA Balance Calc'!$I$1*12)/(I15-'HRA Balance Calc'!$I$1*12))*(H15-'HRA Balance Calc'!$I$1*12),B15-'HRA Balance Calc'!$I$1*12)</f>
        <v>-288.26087712588196</v>
      </c>
      <c r="L15" s="489">
        <f>IF($H15=ROUND('HRA Balance Calc'!$I$12+'HRA Balance Calc'!$I$1*12,2),((C15/($I15-'HRA Balance Calc'!$I$1*12))*($H15-'HRA Balance Calc'!$I$1*12)),C15)</f>
        <v>0</v>
      </c>
      <c r="M15" s="489">
        <f>IF($H15=ROUND('HRA Balance Calc'!$I$12+'HRA Balance Calc'!$I$1*12,2),((D15/($I15-'HRA Balance Calc'!$I$1*12))*($H15-'HRA Balance Calc'!$I$1*12)),D15)</f>
        <v>0</v>
      </c>
      <c r="N15" s="489">
        <f>IF($H15=ROUND('HRA Balance Calc'!$I$12+'HRA Balance Calc'!$I$1*12,2),((E15/($I15-'HRA Balance Calc'!$I$1*12))*($H15-'HRA Balance Calc'!$I$1*12)),E15)</f>
        <v>0</v>
      </c>
      <c r="P15" s="510">
        <f>B15+'HRA Balance Calc'!G24</f>
        <v>4155.0631123679523</v>
      </c>
      <c r="Q15" s="510">
        <f>C15+'HRA Balance Calc'!H24</f>
        <v>0</v>
      </c>
      <c r="R15" s="510">
        <f>D15+'HRA Balance Calc'!I24</f>
        <v>0</v>
      </c>
      <c r="S15" s="510">
        <f>E15+'HRA Balance Calc'!J24</f>
        <v>0</v>
      </c>
      <c r="T15" s="489">
        <f t="shared" si="0"/>
        <v>471.98996185153999</v>
      </c>
      <c r="U15" s="510">
        <f t="shared" si="1"/>
        <v>4627.0530742194924</v>
      </c>
      <c r="W15" s="489">
        <f>'Winners-Losers HRA'!CC12*12-MIN('HRA Balance Calc'!Y24,'HRA Balance Calc'!$M$12)</f>
        <v>1315.9334869579568</v>
      </c>
      <c r="X15" s="489">
        <f>MIN('Winners-Losers HRA'!BS12*12,'HRA Balance Calc'!$L$12)-MIN('HRA Balance Calc'!$L$12,'HRA Balance Calc'!R24)</f>
        <v>0</v>
      </c>
      <c r="Y15" s="489">
        <f t="shared" si="2"/>
        <v>1315.9334869579568</v>
      </c>
      <c r="Z15" s="510">
        <f t="shared" si="3"/>
        <v>3.3645726154408369E+22</v>
      </c>
      <c r="AA15" s="510">
        <f t="shared" si="4"/>
        <v>3.3645726154408369E+22</v>
      </c>
      <c r="AC15" s="510">
        <f t="shared" si="5"/>
        <v>-288.26087712588196</v>
      </c>
      <c r="AD15">
        <f t="shared" si="6"/>
        <v>235.99498092576999</v>
      </c>
      <c r="AE15">
        <f t="shared" si="7"/>
        <v>235.99498092576999</v>
      </c>
      <c r="AF15">
        <f t="shared" si="8"/>
        <v>6</v>
      </c>
    </row>
    <row r="16" spans="1:32" x14ac:dyDescent="0.2">
      <c r="A16">
        <f>'HRA Balance Calc'!A25</f>
        <v>8</v>
      </c>
      <c r="B16" s="489">
        <f>'HRA Balance Calc'!N25+'HRA Balance Calc'!U25+IF('HRA Balance Calc'!$L25&lt;0,'HRA Balance Calc'!$L25*('HRA Balance Calc'!$G25/'HRA Balance Calc'!$L25),0)</f>
        <v>-288.26087712588196</v>
      </c>
      <c r="C16" s="489">
        <f>'HRA Balance Calc'!V25+'HRA Balance Calc'!O25+IF('HRA Balance Calc'!$L25&lt;0,'HRA Balance Calc'!$L25*('HRA Balance Calc'!$H25/'HRA Balance Calc'!$L25),0)</f>
        <v>0</v>
      </c>
      <c r="D16" s="489">
        <f>'HRA Balance Calc'!W25+'HRA Balance Calc'!P25+IF('HRA Balance Calc'!$L25&lt;0,'HRA Balance Calc'!$L25*('HRA Balance Calc'!$I25/'HRA Balance Calc'!$L25),0)</f>
        <v>0</v>
      </c>
      <c r="E16" s="489">
        <f>'HRA Balance Calc'!X25+'HRA Balance Calc'!Q25+IF('HRA Balance Calc'!$L25&lt;0,'HRA Balance Calc'!$L25*('HRA Balance Calc'!$J25/'HRA Balance Calc'!$L25),0)</f>
        <v>0</v>
      </c>
      <c r="F16" s="489">
        <f>'HRA Balance Calc'!E25</f>
        <v>471.98996185153999</v>
      </c>
      <c r="G16" s="489">
        <f>IF('HRA Balance Calc'!L25&lt;0,0,'HRA Balance Calc'!L25)</f>
        <v>3.3645726154408369E+22</v>
      </c>
      <c r="H16" s="489">
        <f>ROUND('HRA Balance Calc'!T25,2)</f>
        <v>0</v>
      </c>
      <c r="I16" s="489">
        <f>'HRA Balance Calc'!S25+'HRA Balance Calc'!U25</f>
        <v>-288.26087712588196</v>
      </c>
      <c r="K16" s="489">
        <f>'HRA Balance Calc'!$I$1*12+IF($H16=ROUND('HRA Balance Calc'!$I$12+'HRA Balance Calc'!$I$1*12,2),((B16-'HRA Balance Calc'!$I$1*12)/(I16-'HRA Balance Calc'!$I$1*12))*(H16-'HRA Balance Calc'!$I$1*12),B16-'HRA Balance Calc'!$I$1*12)</f>
        <v>-288.26087712588196</v>
      </c>
      <c r="L16" s="489">
        <f>IF($H16=ROUND('HRA Balance Calc'!$I$12+'HRA Balance Calc'!$I$1*12,2),((C16/($I16-'HRA Balance Calc'!$I$1*12))*($H16-'HRA Balance Calc'!$I$1*12)),C16)</f>
        <v>0</v>
      </c>
      <c r="M16" s="489">
        <f>IF($H16=ROUND('HRA Balance Calc'!$I$12+'HRA Balance Calc'!$I$1*12,2),((D16/($I16-'HRA Balance Calc'!$I$1*12))*($H16-'HRA Balance Calc'!$I$1*12)),D16)</f>
        <v>0</v>
      </c>
      <c r="N16" s="489">
        <f>IF($H16=ROUND('HRA Balance Calc'!$I$12+'HRA Balance Calc'!$I$1*12,2),((E16/($I16-'HRA Balance Calc'!$I$1*12))*($H16-'HRA Balance Calc'!$I$1*12)),E16)</f>
        <v>0</v>
      </c>
      <c r="P16" s="510">
        <f>B16+'HRA Balance Calc'!G25</f>
        <v>4155.0631123679523</v>
      </c>
      <c r="Q16" s="510">
        <f>C16+'HRA Balance Calc'!H25</f>
        <v>0</v>
      </c>
      <c r="R16" s="510">
        <f>D16+'HRA Balance Calc'!I25</f>
        <v>0</v>
      </c>
      <c r="S16" s="510">
        <f>E16+'HRA Balance Calc'!J25</f>
        <v>0</v>
      </c>
      <c r="T16" s="489">
        <f t="shared" si="0"/>
        <v>471.98996185153999</v>
      </c>
      <c r="U16" s="510">
        <f t="shared" si="1"/>
        <v>4627.0530742194924</v>
      </c>
      <c r="W16" s="489">
        <f>'Winners-Losers HRA'!CC13*12-MIN('HRA Balance Calc'!Y25,'HRA Balance Calc'!$M$12)</f>
        <v>1315.9334869579568</v>
      </c>
      <c r="X16" s="489">
        <f>MIN('Winners-Losers HRA'!BS13*12,'HRA Balance Calc'!$L$12)-MIN('HRA Balance Calc'!$L$12,'HRA Balance Calc'!R25)</f>
        <v>0</v>
      </c>
      <c r="Y16" s="489">
        <f t="shared" si="2"/>
        <v>1315.9334869579568</v>
      </c>
      <c r="Z16" s="510">
        <f t="shared" si="3"/>
        <v>3.3645726154408369E+22</v>
      </c>
      <c r="AA16" s="510">
        <f t="shared" si="4"/>
        <v>3.3645726154408369E+22</v>
      </c>
      <c r="AC16" s="510">
        <f t="shared" si="5"/>
        <v>-288.26087712588196</v>
      </c>
      <c r="AD16">
        <f t="shared" si="6"/>
        <v>235.99498092576999</v>
      </c>
      <c r="AE16">
        <f t="shared" si="7"/>
        <v>235.99498092576999</v>
      </c>
      <c r="AF16">
        <f t="shared" si="8"/>
        <v>7</v>
      </c>
    </row>
    <row r="17" spans="1:32" x14ac:dyDescent="0.2">
      <c r="A17">
        <f>'HRA Balance Calc'!A26</f>
        <v>9</v>
      </c>
      <c r="B17" s="489">
        <f>'HRA Balance Calc'!N26+'HRA Balance Calc'!U26+IF('HRA Balance Calc'!$L26&lt;0,'HRA Balance Calc'!$L26*('HRA Balance Calc'!$G26/'HRA Balance Calc'!$L26),0)</f>
        <v>-288.26087712588196</v>
      </c>
      <c r="C17" s="489">
        <f>'HRA Balance Calc'!V26+'HRA Balance Calc'!O26+IF('HRA Balance Calc'!$L26&lt;0,'HRA Balance Calc'!$L26*('HRA Balance Calc'!$H26/'HRA Balance Calc'!$L26),0)</f>
        <v>0</v>
      </c>
      <c r="D17" s="489">
        <f>'HRA Balance Calc'!W26+'HRA Balance Calc'!P26+IF('HRA Balance Calc'!$L26&lt;0,'HRA Balance Calc'!$L26*('HRA Balance Calc'!$I26/'HRA Balance Calc'!$L26),0)</f>
        <v>0</v>
      </c>
      <c r="E17" s="489">
        <f>'HRA Balance Calc'!X26+'HRA Balance Calc'!Q26+IF('HRA Balance Calc'!$L26&lt;0,'HRA Balance Calc'!$L26*('HRA Balance Calc'!$J26/'HRA Balance Calc'!$L26),0)</f>
        <v>0</v>
      </c>
      <c r="F17" s="489">
        <f>'HRA Balance Calc'!E26</f>
        <v>471.98996185153999</v>
      </c>
      <c r="G17" s="489">
        <f>IF('HRA Balance Calc'!L26&lt;0,0,'HRA Balance Calc'!L26)</f>
        <v>3.3645726154408369E+22</v>
      </c>
      <c r="H17" s="489">
        <f>ROUND('HRA Balance Calc'!T26,2)</f>
        <v>0</v>
      </c>
      <c r="I17" s="489">
        <f>'HRA Balance Calc'!S26+'HRA Balance Calc'!U26</f>
        <v>-288.26087712588196</v>
      </c>
      <c r="K17" s="489">
        <f>'HRA Balance Calc'!$I$1*12+IF($H17=ROUND('HRA Balance Calc'!$I$12+'HRA Balance Calc'!$I$1*12,2),((B17-'HRA Balance Calc'!$I$1*12)/(I17-'HRA Balance Calc'!$I$1*12))*(H17-'HRA Balance Calc'!$I$1*12),B17-'HRA Balance Calc'!$I$1*12)</f>
        <v>-288.26087712588196</v>
      </c>
      <c r="L17" s="489">
        <f>IF($H17=ROUND('HRA Balance Calc'!$I$12+'HRA Balance Calc'!$I$1*12,2),((C17/($I17-'HRA Balance Calc'!$I$1*12))*($H17-'HRA Balance Calc'!$I$1*12)),C17)</f>
        <v>0</v>
      </c>
      <c r="M17" s="489">
        <f>IF($H17=ROUND('HRA Balance Calc'!$I$12+'HRA Balance Calc'!$I$1*12,2),((D17/($I17-'HRA Balance Calc'!$I$1*12))*($H17-'HRA Balance Calc'!$I$1*12)),D17)</f>
        <v>0</v>
      </c>
      <c r="N17" s="489">
        <f>IF($H17=ROUND('HRA Balance Calc'!$I$12+'HRA Balance Calc'!$I$1*12,2),((E17/($I17-'HRA Balance Calc'!$I$1*12))*($H17-'HRA Balance Calc'!$I$1*12)),E17)</f>
        <v>0</v>
      </c>
      <c r="P17" s="510">
        <f>B17+'HRA Balance Calc'!G26</f>
        <v>4155.0631123679523</v>
      </c>
      <c r="Q17" s="510">
        <f>C17+'HRA Balance Calc'!H26</f>
        <v>0</v>
      </c>
      <c r="R17" s="510">
        <f>D17+'HRA Balance Calc'!I26</f>
        <v>0</v>
      </c>
      <c r="S17" s="510">
        <f>E17+'HRA Balance Calc'!J26</f>
        <v>0</v>
      </c>
      <c r="T17" s="489">
        <f t="shared" si="0"/>
        <v>471.98996185153999</v>
      </c>
      <c r="U17" s="510">
        <f t="shared" si="1"/>
        <v>4627.0530742194924</v>
      </c>
      <c r="W17" s="489">
        <f>'Winners-Losers HRA'!CC14*12-MIN('HRA Balance Calc'!Y26,'HRA Balance Calc'!$M$12)</f>
        <v>1315.9334869579568</v>
      </c>
      <c r="X17" s="489">
        <f>MIN('Winners-Losers HRA'!BS14*12,'HRA Balance Calc'!$L$12)-MIN('HRA Balance Calc'!$L$12,'HRA Balance Calc'!R26)</f>
        <v>0</v>
      </c>
      <c r="Y17" s="489">
        <f t="shared" si="2"/>
        <v>1315.9334869579568</v>
      </c>
      <c r="Z17" s="510">
        <f t="shared" si="3"/>
        <v>3.3645726154408369E+22</v>
      </c>
      <c r="AA17" s="510">
        <f t="shared" si="4"/>
        <v>3.3645726154408369E+22</v>
      </c>
      <c r="AC17" s="510">
        <f t="shared" si="5"/>
        <v>-288.26087712588196</v>
      </c>
      <c r="AD17">
        <f t="shared" si="6"/>
        <v>235.99498092576999</v>
      </c>
      <c r="AE17">
        <f t="shared" si="7"/>
        <v>235.99498092576999</v>
      </c>
      <c r="AF17">
        <f t="shared" si="8"/>
        <v>8</v>
      </c>
    </row>
    <row r="18" spans="1:32" x14ac:dyDescent="0.2">
      <c r="A18">
        <f>'HRA Balance Calc'!A27</f>
        <v>10</v>
      </c>
      <c r="B18" s="489">
        <f>'HRA Balance Calc'!N27+'HRA Balance Calc'!U27+IF('HRA Balance Calc'!$L27&lt;0,'HRA Balance Calc'!$L27*('HRA Balance Calc'!$G27/'HRA Balance Calc'!$L27),0)</f>
        <v>-288.26087712588196</v>
      </c>
      <c r="C18" s="489">
        <f>'HRA Balance Calc'!V27+'HRA Balance Calc'!O27+IF('HRA Balance Calc'!$L27&lt;0,'HRA Balance Calc'!$L27*('HRA Balance Calc'!$H27/'HRA Balance Calc'!$L27),0)</f>
        <v>0</v>
      </c>
      <c r="D18" s="489">
        <f>'HRA Balance Calc'!W27+'HRA Balance Calc'!P27+IF('HRA Balance Calc'!$L27&lt;0,'HRA Balance Calc'!$L27*('HRA Balance Calc'!$I27/'HRA Balance Calc'!$L27),0)</f>
        <v>0</v>
      </c>
      <c r="E18" s="489">
        <f>'HRA Balance Calc'!X27+'HRA Balance Calc'!Q27+IF('HRA Balance Calc'!$L27&lt;0,'HRA Balance Calc'!$L27*('HRA Balance Calc'!$J27/'HRA Balance Calc'!$L27),0)</f>
        <v>0</v>
      </c>
      <c r="F18" s="489">
        <f>'HRA Balance Calc'!E27</f>
        <v>471.98996185153999</v>
      </c>
      <c r="G18" s="489">
        <f>IF('HRA Balance Calc'!L27&lt;0,0,'HRA Balance Calc'!L27)</f>
        <v>3.3645726154408369E+22</v>
      </c>
      <c r="H18" s="489">
        <f>ROUND('HRA Balance Calc'!T27,2)</f>
        <v>0</v>
      </c>
      <c r="I18" s="489">
        <f>'HRA Balance Calc'!S27+'HRA Balance Calc'!U27</f>
        <v>-288.26087712588196</v>
      </c>
      <c r="K18" s="489">
        <f>'HRA Balance Calc'!$I$1*12+IF($H18=ROUND('HRA Balance Calc'!$I$12+'HRA Balance Calc'!$I$1*12,2),((B18-'HRA Balance Calc'!$I$1*12)/(I18-'HRA Balance Calc'!$I$1*12))*(H18-'HRA Balance Calc'!$I$1*12),B18-'HRA Balance Calc'!$I$1*12)</f>
        <v>-288.26087712588196</v>
      </c>
      <c r="L18" s="489">
        <f>IF($H18=ROUND('HRA Balance Calc'!$I$12+'HRA Balance Calc'!$I$1*12,2),((C18/($I18-'HRA Balance Calc'!$I$1*12))*($H18-'HRA Balance Calc'!$I$1*12)),C18)</f>
        <v>0</v>
      </c>
      <c r="M18" s="489">
        <f>IF($H18=ROUND('HRA Balance Calc'!$I$12+'HRA Balance Calc'!$I$1*12,2),((D18/($I18-'HRA Balance Calc'!$I$1*12))*($H18-'HRA Balance Calc'!$I$1*12)),D18)</f>
        <v>0</v>
      </c>
      <c r="N18" s="489">
        <f>IF($H18=ROUND('HRA Balance Calc'!$I$12+'HRA Balance Calc'!$I$1*12,2),((E18/($I18-'HRA Balance Calc'!$I$1*12))*($H18-'HRA Balance Calc'!$I$1*12)),E18)</f>
        <v>0</v>
      </c>
      <c r="P18" s="510">
        <f>B18+'HRA Balance Calc'!G27</f>
        <v>4155.0631123679523</v>
      </c>
      <c r="Q18" s="510">
        <f>C18+'HRA Balance Calc'!H27</f>
        <v>0</v>
      </c>
      <c r="R18" s="510">
        <f>D18+'HRA Balance Calc'!I27</f>
        <v>0</v>
      </c>
      <c r="S18" s="510">
        <f>E18+'HRA Balance Calc'!J27</f>
        <v>0</v>
      </c>
      <c r="T18" s="489">
        <f t="shared" si="0"/>
        <v>471.98996185153999</v>
      </c>
      <c r="U18" s="510">
        <f t="shared" si="1"/>
        <v>4627.0530742194924</v>
      </c>
      <c r="W18" s="489">
        <f>'Winners-Losers HRA'!CC15*12-MIN('HRA Balance Calc'!Y27,'HRA Balance Calc'!$M$12)</f>
        <v>1315.9334869579568</v>
      </c>
      <c r="X18" s="489">
        <f>MIN('Winners-Losers HRA'!BS15*12,'HRA Balance Calc'!$L$12)-MIN('HRA Balance Calc'!$L$12,'HRA Balance Calc'!R27)</f>
        <v>0</v>
      </c>
      <c r="Y18" s="489">
        <f t="shared" si="2"/>
        <v>1315.9334869579568</v>
      </c>
      <c r="Z18" s="510">
        <f t="shared" si="3"/>
        <v>3.3645726154408369E+22</v>
      </c>
      <c r="AA18" s="510">
        <f t="shared" si="4"/>
        <v>3.3645726154408369E+22</v>
      </c>
      <c r="AC18" s="510">
        <f t="shared" si="5"/>
        <v>-288.26087712588196</v>
      </c>
      <c r="AD18">
        <f t="shared" si="6"/>
        <v>235.99498092576999</v>
      </c>
      <c r="AE18">
        <f t="shared" si="7"/>
        <v>235.99498092576999</v>
      </c>
      <c r="AF18">
        <f t="shared" si="8"/>
        <v>9</v>
      </c>
    </row>
    <row r="19" spans="1:32" x14ac:dyDescent="0.2">
      <c r="A19">
        <f>'HRA Balance Calc'!A28</f>
        <v>11</v>
      </c>
      <c r="B19" s="489">
        <f>'HRA Balance Calc'!N28+'HRA Balance Calc'!U28+IF('HRA Balance Calc'!$L28&lt;0,'HRA Balance Calc'!$L28*('HRA Balance Calc'!$G28/'HRA Balance Calc'!$L28),0)</f>
        <v>-288.26087712588196</v>
      </c>
      <c r="C19" s="489">
        <f>'HRA Balance Calc'!V28+'HRA Balance Calc'!O28+IF('HRA Balance Calc'!$L28&lt;0,'HRA Balance Calc'!$L28*('HRA Balance Calc'!$H28/'HRA Balance Calc'!$L28),0)</f>
        <v>0</v>
      </c>
      <c r="D19" s="489">
        <f>'HRA Balance Calc'!W28+'HRA Balance Calc'!P28+IF('HRA Balance Calc'!$L28&lt;0,'HRA Balance Calc'!$L28*('HRA Balance Calc'!$I28/'HRA Balance Calc'!$L28),0)</f>
        <v>0</v>
      </c>
      <c r="E19" s="489">
        <f>'HRA Balance Calc'!X28+'HRA Balance Calc'!Q28+IF('HRA Balance Calc'!$L28&lt;0,'HRA Balance Calc'!$L28*('HRA Balance Calc'!$J28/'HRA Balance Calc'!$L28),0)</f>
        <v>0</v>
      </c>
      <c r="F19" s="489">
        <f>'HRA Balance Calc'!E28</f>
        <v>471.98996185153999</v>
      </c>
      <c r="G19" s="489">
        <f>IF('HRA Balance Calc'!L28&lt;0,0,'HRA Balance Calc'!L28)</f>
        <v>3.3645726154408369E+22</v>
      </c>
      <c r="H19" s="489">
        <f>ROUND('HRA Balance Calc'!T28,2)</f>
        <v>0</v>
      </c>
      <c r="I19" s="489">
        <f>'HRA Balance Calc'!S28+'HRA Balance Calc'!U28</f>
        <v>-288.26087712588196</v>
      </c>
      <c r="K19" s="489">
        <f>'HRA Balance Calc'!$I$1*12+IF($H19=ROUND('HRA Balance Calc'!$I$12+'HRA Balance Calc'!$I$1*12,2),((B19-'HRA Balance Calc'!$I$1*12)/(I19-'HRA Balance Calc'!$I$1*12))*(H19-'HRA Balance Calc'!$I$1*12),B19-'HRA Balance Calc'!$I$1*12)</f>
        <v>-288.26087712588196</v>
      </c>
      <c r="L19" s="489">
        <f>IF($H19=ROUND('HRA Balance Calc'!$I$12+'HRA Balance Calc'!$I$1*12,2),((C19/($I19-'HRA Balance Calc'!$I$1*12))*($H19-'HRA Balance Calc'!$I$1*12)),C19)</f>
        <v>0</v>
      </c>
      <c r="M19" s="489">
        <f>IF($H19=ROUND('HRA Balance Calc'!$I$12+'HRA Balance Calc'!$I$1*12,2),((D19/($I19-'HRA Balance Calc'!$I$1*12))*($H19-'HRA Balance Calc'!$I$1*12)),D19)</f>
        <v>0</v>
      </c>
      <c r="N19" s="489">
        <f>IF($H19=ROUND('HRA Balance Calc'!$I$12+'HRA Balance Calc'!$I$1*12,2),((E19/($I19-'HRA Balance Calc'!$I$1*12))*($H19-'HRA Balance Calc'!$I$1*12)),E19)</f>
        <v>0</v>
      </c>
      <c r="P19" s="510">
        <f>B19+'HRA Balance Calc'!G28</f>
        <v>4155.0631123679523</v>
      </c>
      <c r="Q19" s="510">
        <f>C19+'HRA Balance Calc'!H28</f>
        <v>0</v>
      </c>
      <c r="R19" s="510">
        <f>D19+'HRA Balance Calc'!I28</f>
        <v>0</v>
      </c>
      <c r="S19" s="510">
        <f>E19+'HRA Balance Calc'!J28</f>
        <v>0</v>
      </c>
      <c r="T19" s="489">
        <f t="shared" si="0"/>
        <v>471.98996185153999</v>
      </c>
      <c r="U19" s="510">
        <f t="shared" si="1"/>
        <v>4627.0530742194924</v>
      </c>
      <c r="W19" s="489">
        <f>'Winners-Losers HRA'!CC16*12-MIN('HRA Balance Calc'!Y28,'HRA Balance Calc'!$M$12)</f>
        <v>1315.9334869579568</v>
      </c>
      <c r="X19" s="489">
        <f>MIN('Winners-Losers HRA'!BS16*12,'HRA Balance Calc'!$L$12)-MIN('HRA Balance Calc'!$L$12,'HRA Balance Calc'!R28)</f>
        <v>0</v>
      </c>
      <c r="Y19" s="489">
        <f t="shared" si="2"/>
        <v>1315.9334869579568</v>
      </c>
      <c r="Z19" s="510">
        <f t="shared" si="3"/>
        <v>3.3645726154408369E+22</v>
      </c>
      <c r="AA19" s="510">
        <f t="shared" si="4"/>
        <v>3.3645726154408369E+22</v>
      </c>
      <c r="AC19" s="510">
        <f t="shared" si="5"/>
        <v>-288.26087712588196</v>
      </c>
      <c r="AD19">
        <f t="shared" si="6"/>
        <v>235.99498092576999</v>
      </c>
      <c r="AE19">
        <f t="shared" si="7"/>
        <v>235.99498092576999</v>
      </c>
      <c r="AF19">
        <f t="shared" si="8"/>
        <v>10</v>
      </c>
    </row>
    <row r="20" spans="1:32" x14ac:dyDescent="0.2">
      <c r="A20">
        <f>'HRA Balance Calc'!A29</f>
        <v>12</v>
      </c>
      <c r="B20" s="489">
        <f>'HRA Balance Calc'!N29+'HRA Balance Calc'!U29+IF('HRA Balance Calc'!$L29&lt;0,'HRA Balance Calc'!$L29*('HRA Balance Calc'!$G29/'HRA Balance Calc'!$L29),0)</f>
        <v>-288.26087712588196</v>
      </c>
      <c r="C20" s="489">
        <f>'HRA Balance Calc'!V29+'HRA Balance Calc'!O29+IF('HRA Balance Calc'!$L29&lt;0,'HRA Balance Calc'!$L29*('HRA Balance Calc'!$H29/'HRA Balance Calc'!$L29),0)</f>
        <v>0</v>
      </c>
      <c r="D20" s="489">
        <f>'HRA Balance Calc'!W29+'HRA Balance Calc'!P29+IF('HRA Balance Calc'!$L29&lt;0,'HRA Balance Calc'!$L29*('HRA Balance Calc'!$I29/'HRA Balance Calc'!$L29),0)</f>
        <v>0</v>
      </c>
      <c r="E20" s="489">
        <f>'HRA Balance Calc'!X29+'HRA Balance Calc'!Q29+IF('HRA Balance Calc'!$L29&lt;0,'HRA Balance Calc'!$L29*('HRA Balance Calc'!$J29/'HRA Balance Calc'!$L29),0)</f>
        <v>0</v>
      </c>
      <c r="F20" s="489">
        <f>'HRA Balance Calc'!E29</f>
        <v>471.98996185153999</v>
      </c>
      <c r="G20" s="489">
        <f>IF('HRA Balance Calc'!L29&lt;0,0,'HRA Balance Calc'!L29)</f>
        <v>3.3645726154408369E+22</v>
      </c>
      <c r="H20" s="489">
        <f>ROUND('HRA Balance Calc'!T29,2)</f>
        <v>0</v>
      </c>
      <c r="I20" s="489">
        <f>'HRA Balance Calc'!S29+'HRA Balance Calc'!U29</f>
        <v>-288.26087712588196</v>
      </c>
      <c r="K20" s="489">
        <f>'HRA Balance Calc'!$I$1*12+IF($H20=ROUND('HRA Balance Calc'!$I$12+'HRA Balance Calc'!$I$1*12,2),((B20-'HRA Balance Calc'!$I$1*12)/(I20-'HRA Balance Calc'!$I$1*12))*(H20-'HRA Balance Calc'!$I$1*12),B20-'HRA Balance Calc'!$I$1*12)</f>
        <v>-288.26087712588196</v>
      </c>
      <c r="L20" s="489">
        <f>IF($H20=ROUND('HRA Balance Calc'!$I$12+'HRA Balance Calc'!$I$1*12,2),((C20/($I20-'HRA Balance Calc'!$I$1*12))*($H20-'HRA Balance Calc'!$I$1*12)),C20)</f>
        <v>0</v>
      </c>
      <c r="M20" s="489">
        <f>IF($H20=ROUND('HRA Balance Calc'!$I$12+'HRA Balance Calc'!$I$1*12,2),((D20/($I20-'HRA Balance Calc'!$I$1*12))*($H20-'HRA Balance Calc'!$I$1*12)),D20)</f>
        <v>0</v>
      </c>
      <c r="N20" s="489">
        <f>IF($H20=ROUND('HRA Balance Calc'!$I$12+'HRA Balance Calc'!$I$1*12,2),((E20/($I20-'HRA Balance Calc'!$I$1*12))*($H20-'HRA Balance Calc'!$I$1*12)),E20)</f>
        <v>0</v>
      </c>
      <c r="P20" s="510">
        <f>B20+'HRA Balance Calc'!G29</f>
        <v>4155.0631123679523</v>
      </c>
      <c r="Q20" s="510">
        <f>C20+'HRA Balance Calc'!H29</f>
        <v>0</v>
      </c>
      <c r="R20" s="510">
        <f>D20+'HRA Balance Calc'!I29</f>
        <v>0</v>
      </c>
      <c r="S20" s="510">
        <f>E20+'HRA Balance Calc'!J29</f>
        <v>0</v>
      </c>
      <c r="T20" s="489">
        <f t="shared" si="0"/>
        <v>471.98996185153999</v>
      </c>
      <c r="U20" s="510">
        <f t="shared" si="1"/>
        <v>4627.0530742194924</v>
      </c>
      <c r="W20" s="489">
        <f>'Winners-Losers HRA'!CC17*12-MIN('HRA Balance Calc'!Y29,'HRA Balance Calc'!$M$12)</f>
        <v>1315.9334869579568</v>
      </c>
      <c r="X20" s="489">
        <f>MIN('Winners-Losers HRA'!BS17*12,'HRA Balance Calc'!$L$12)-MIN('HRA Balance Calc'!$L$12,'HRA Balance Calc'!R29)</f>
        <v>0</v>
      </c>
      <c r="Y20" s="489">
        <f t="shared" si="2"/>
        <v>1315.9334869579568</v>
      </c>
      <c r="Z20" s="510">
        <f t="shared" si="3"/>
        <v>3.3645726154408369E+22</v>
      </c>
      <c r="AA20" s="510">
        <f t="shared" si="4"/>
        <v>3.3645726154408369E+22</v>
      </c>
      <c r="AC20" s="510">
        <f t="shared" si="5"/>
        <v>-288.26087712588196</v>
      </c>
      <c r="AD20">
        <f t="shared" si="6"/>
        <v>235.99498092576999</v>
      </c>
      <c r="AE20">
        <f t="shared" si="7"/>
        <v>235.99498092576999</v>
      </c>
      <c r="AF20">
        <f t="shared" si="8"/>
        <v>11</v>
      </c>
    </row>
    <row r="21" spans="1:32" x14ac:dyDescent="0.2">
      <c r="A21">
        <f>'HRA Balance Calc'!A30</f>
        <v>13</v>
      </c>
      <c r="B21" s="489">
        <f>'HRA Balance Calc'!N30+'HRA Balance Calc'!U30+IF('HRA Balance Calc'!$L30&lt;0,'HRA Balance Calc'!$L30*('HRA Balance Calc'!$G30/'HRA Balance Calc'!$L30),0)</f>
        <v>-288.26087712588196</v>
      </c>
      <c r="C21" s="489">
        <f>'HRA Balance Calc'!V30+'HRA Balance Calc'!O30+IF('HRA Balance Calc'!$L30&lt;0,'HRA Balance Calc'!$L30*('HRA Balance Calc'!$H30/'HRA Balance Calc'!$L30),0)</f>
        <v>0</v>
      </c>
      <c r="D21" s="489">
        <f>'HRA Balance Calc'!W30+'HRA Balance Calc'!P30+IF('HRA Balance Calc'!$L30&lt;0,'HRA Balance Calc'!$L30*('HRA Balance Calc'!$I30/'HRA Balance Calc'!$L30),0)</f>
        <v>0</v>
      </c>
      <c r="E21" s="489">
        <f>'HRA Balance Calc'!X30+'HRA Balance Calc'!Q30+IF('HRA Balance Calc'!$L30&lt;0,'HRA Balance Calc'!$L30*('HRA Balance Calc'!$J30/'HRA Balance Calc'!$L30),0)</f>
        <v>0</v>
      </c>
      <c r="F21" s="489">
        <f>'HRA Balance Calc'!E30</f>
        <v>471.98996185153999</v>
      </c>
      <c r="G21" s="489">
        <f>IF('HRA Balance Calc'!L30&lt;0,0,'HRA Balance Calc'!L30)</f>
        <v>3.3645726154408369E+22</v>
      </c>
      <c r="H21" s="489">
        <f>ROUND('HRA Balance Calc'!T30,2)</f>
        <v>0</v>
      </c>
      <c r="I21" s="489">
        <f>'HRA Balance Calc'!S30+'HRA Balance Calc'!U30</f>
        <v>-288.26087712588196</v>
      </c>
      <c r="K21" s="489">
        <f>'HRA Balance Calc'!$I$1*12+IF($H21=ROUND('HRA Balance Calc'!$I$12+'HRA Balance Calc'!$I$1*12,2),((B21-'HRA Balance Calc'!$I$1*12)/(I21-'HRA Balance Calc'!$I$1*12))*(H21-'HRA Balance Calc'!$I$1*12),B21-'HRA Balance Calc'!$I$1*12)</f>
        <v>-288.26087712588196</v>
      </c>
      <c r="L21" s="489">
        <f>IF($H21=ROUND('HRA Balance Calc'!$I$12+'HRA Balance Calc'!$I$1*12,2),((C21/($I21-'HRA Balance Calc'!$I$1*12))*($H21-'HRA Balance Calc'!$I$1*12)),C21)</f>
        <v>0</v>
      </c>
      <c r="M21" s="489">
        <f>IF($H21=ROUND('HRA Balance Calc'!$I$12+'HRA Balance Calc'!$I$1*12,2),((D21/($I21-'HRA Balance Calc'!$I$1*12))*($H21-'HRA Balance Calc'!$I$1*12)),D21)</f>
        <v>0</v>
      </c>
      <c r="N21" s="489">
        <f>IF($H21=ROUND('HRA Balance Calc'!$I$12+'HRA Balance Calc'!$I$1*12,2),((E21/($I21-'HRA Balance Calc'!$I$1*12))*($H21-'HRA Balance Calc'!$I$1*12)),E21)</f>
        <v>0</v>
      </c>
      <c r="P21" s="510">
        <f>B21+'HRA Balance Calc'!G30</f>
        <v>4155.0631123679523</v>
      </c>
      <c r="Q21" s="510">
        <f>C21+'HRA Balance Calc'!H30</f>
        <v>0</v>
      </c>
      <c r="R21" s="510">
        <f>D21+'HRA Balance Calc'!I30</f>
        <v>0</v>
      </c>
      <c r="S21" s="510">
        <f>E21+'HRA Balance Calc'!J30</f>
        <v>0</v>
      </c>
      <c r="T21" s="489">
        <f t="shared" si="0"/>
        <v>471.98996185153999</v>
      </c>
      <c r="U21" s="510">
        <f t="shared" si="1"/>
        <v>4627.0530742194924</v>
      </c>
      <c r="W21" s="489">
        <f>'Winners-Losers HRA'!CC18*12-MIN('HRA Balance Calc'!Y30,'HRA Balance Calc'!$M$12)</f>
        <v>1315.9334869579568</v>
      </c>
      <c r="X21" s="489">
        <f>MIN('Winners-Losers HRA'!BS18*12,'HRA Balance Calc'!$L$12)-MIN('HRA Balance Calc'!$L$12,'HRA Balance Calc'!R30)</f>
        <v>0</v>
      </c>
      <c r="Y21" s="489">
        <f t="shared" si="2"/>
        <v>1315.9334869579568</v>
      </c>
      <c r="Z21" s="510">
        <f t="shared" si="3"/>
        <v>3.3645726154408369E+22</v>
      </c>
      <c r="AA21" s="510">
        <f t="shared" si="4"/>
        <v>3.3645726154408369E+22</v>
      </c>
      <c r="AC21" s="510">
        <f t="shared" si="5"/>
        <v>-288.26087712588196</v>
      </c>
      <c r="AD21">
        <f t="shared" si="6"/>
        <v>235.99498092576999</v>
      </c>
      <c r="AE21">
        <f t="shared" si="7"/>
        <v>235.99498092576999</v>
      </c>
      <c r="AF21">
        <f t="shared" si="8"/>
        <v>12</v>
      </c>
    </row>
    <row r="22" spans="1:32" x14ac:dyDescent="0.2">
      <c r="A22">
        <f>'HRA Balance Calc'!A31</f>
        <v>14</v>
      </c>
      <c r="B22" s="489">
        <f>'HRA Balance Calc'!N31+'HRA Balance Calc'!U31+IF('HRA Balance Calc'!$L31&lt;0,'HRA Balance Calc'!$L31*('HRA Balance Calc'!$G31/'HRA Balance Calc'!$L31),0)</f>
        <v>-288.26087712588196</v>
      </c>
      <c r="C22" s="489">
        <f>'HRA Balance Calc'!V31+'HRA Balance Calc'!O31+IF('HRA Balance Calc'!$L31&lt;0,'HRA Balance Calc'!$L31*('HRA Balance Calc'!$H31/'HRA Balance Calc'!$L31),0)</f>
        <v>0</v>
      </c>
      <c r="D22" s="489">
        <f>'HRA Balance Calc'!W31+'HRA Balance Calc'!P31+IF('HRA Balance Calc'!$L31&lt;0,'HRA Balance Calc'!$L31*('HRA Balance Calc'!$I31/'HRA Balance Calc'!$L31),0)</f>
        <v>0</v>
      </c>
      <c r="E22" s="489">
        <f>'HRA Balance Calc'!X31+'HRA Balance Calc'!Q31+IF('HRA Balance Calc'!$L31&lt;0,'HRA Balance Calc'!$L31*('HRA Balance Calc'!$J31/'HRA Balance Calc'!$L31),0)</f>
        <v>0</v>
      </c>
      <c r="F22" s="489">
        <f>'HRA Balance Calc'!E31</f>
        <v>471.98996185153999</v>
      </c>
      <c r="G22" s="489">
        <f>IF('HRA Balance Calc'!L31&lt;0,0,'HRA Balance Calc'!L31)</f>
        <v>3.3645726154408369E+22</v>
      </c>
      <c r="H22" s="489">
        <f>ROUND('HRA Balance Calc'!T31,2)</f>
        <v>0</v>
      </c>
      <c r="I22" s="489">
        <f>'HRA Balance Calc'!S31+'HRA Balance Calc'!U31</f>
        <v>-288.26087712588196</v>
      </c>
      <c r="K22" s="489">
        <f>'HRA Balance Calc'!$I$1*12+IF($H22=ROUND('HRA Balance Calc'!$I$12+'HRA Balance Calc'!$I$1*12,2),((B22-'HRA Balance Calc'!$I$1*12)/(I22-'HRA Balance Calc'!$I$1*12))*(H22-'HRA Balance Calc'!$I$1*12),B22-'HRA Balance Calc'!$I$1*12)</f>
        <v>-288.26087712588196</v>
      </c>
      <c r="L22" s="489">
        <f>IF($H22=ROUND('HRA Balance Calc'!$I$12+'HRA Balance Calc'!$I$1*12,2),((C22/($I22-'HRA Balance Calc'!$I$1*12))*($H22-'HRA Balance Calc'!$I$1*12)),C22)</f>
        <v>0</v>
      </c>
      <c r="M22" s="489">
        <f>IF($H22=ROUND('HRA Balance Calc'!$I$12+'HRA Balance Calc'!$I$1*12,2),((D22/($I22-'HRA Balance Calc'!$I$1*12))*($H22-'HRA Balance Calc'!$I$1*12)),D22)</f>
        <v>0</v>
      </c>
      <c r="N22" s="489">
        <f>IF($H22=ROUND('HRA Balance Calc'!$I$12+'HRA Balance Calc'!$I$1*12,2),((E22/($I22-'HRA Balance Calc'!$I$1*12))*($H22-'HRA Balance Calc'!$I$1*12)),E22)</f>
        <v>0</v>
      </c>
      <c r="P22" s="510">
        <f>B22+'HRA Balance Calc'!G31</f>
        <v>4155.0631123679523</v>
      </c>
      <c r="Q22" s="510">
        <f>C22+'HRA Balance Calc'!H31</f>
        <v>0</v>
      </c>
      <c r="R22" s="510">
        <f>D22+'HRA Balance Calc'!I31</f>
        <v>0</v>
      </c>
      <c r="S22" s="510">
        <f>E22+'HRA Balance Calc'!J31</f>
        <v>0</v>
      </c>
      <c r="T22" s="489">
        <f t="shared" si="0"/>
        <v>471.98996185153999</v>
      </c>
      <c r="U22" s="510">
        <f t="shared" si="1"/>
        <v>4627.0530742194924</v>
      </c>
      <c r="W22" s="489">
        <f>'Winners-Losers HRA'!CC19*12-MIN('HRA Balance Calc'!Y31,'HRA Balance Calc'!$M$12)</f>
        <v>1315.9334869579568</v>
      </c>
      <c r="X22" s="489">
        <f>MIN('Winners-Losers HRA'!BS19*12,'HRA Balance Calc'!$L$12)-MIN('HRA Balance Calc'!$L$12,'HRA Balance Calc'!R31)</f>
        <v>0</v>
      </c>
      <c r="Y22" s="489">
        <f t="shared" si="2"/>
        <v>1315.9334869579568</v>
      </c>
      <c r="Z22" s="510">
        <f t="shared" si="3"/>
        <v>3.3645726154408369E+22</v>
      </c>
      <c r="AA22" s="510">
        <f t="shared" si="4"/>
        <v>3.3645726154408369E+22</v>
      </c>
      <c r="AC22" s="510">
        <f t="shared" si="5"/>
        <v>-288.26087712588196</v>
      </c>
      <c r="AD22">
        <f t="shared" si="6"/>
        <v>235.99498092576999</v>
      </c>
      <c r="AE22">
        <f t="shared" si="7"/>
        <v>235.99498092576999</v>
      </c>
      <c r="AF22">
        <f t="shared" si="8"/>
        <v>13</v>
      </c>
    </row>
    <row r="23" spans="1:32" x14ac:dyDescent="0.2">
      <c r="A23">
        <f>'HRA Balance Calc'!A32</f>
        <v>15</v>
      </c>
      <c r="B23" s="489">
        <f>'HRA Balance Calc'!N32+'HRA Balance Calc'!U32+IF('HRA Balance Calc'!$L32&lt;0,'HRA Balance Calc'!$L32*('HRA Balance Calc'!$G32/'HRA Balance Calc'!$L32),0)</f>
        <v>-288.26087712588196</v>
      </c>
      <c r="C23" s="489">
        <f>'HRA Balance Calc'!V32+'HRA Balance Calc'!O32+IF('HRA Balance Calc'!$L32&lt;0,'HRA Balance Calc'!$L32*('HRA Balance Calc'!$H32/'HRA Balance Calc'!$L32),0)</f>
        <v>0</v>
      </c>
      <c r="D23" s="489">
        <f>'HRA Balance Calc'!W32+'HRA Balance Calc'!P32+IF('HRA Balance Calc'!$L32&lt;0,'HRA Balance Calc'!$L32*('HRA Balance Calc'!$I32/'HRA Balance Calc'!$L32),0)</f>
        <v>0</v>
      </c>
      <c r="E23" s="489">
        <f>'HRA Balance Calc'!X32+'HRA Balance Calc'!Q32+IF('HRA Balance Calc'!$L32&lt;0,'HRA Balance Calc'!$L32*('HRA Balance Calc'!$J32/'HRA Balance Calc'!$L32),0)</f>
        <v>0</v>
      </c>
      <c r="F23" s="489">
        <f>'HRA Balance Calc'!E32</f>
        <v>471.98996185153999</v>
      </c>
      <c r="G23" s="489">
        <f>IF('HRA Balance Calc'!L32&lt;0,0,'HRA Balance Calc'!L32)</f>
        <v>3.3645726154408369E+22</v>
      </c>
      <c r="H23" s="489">
        <f>ROUND('HRA Balance Calc'!T32,2)</f>
        <v>0</v>
      </c>
      <c r="I23" s="489">
        <f>'HRA Balance Calc'!S32+'HRA Balance Calc'!U32</f>
        <v>-288.26087712588196</v>
      </c>
      <c r="K23" s="489">
        <f>'HRA Balance Calc'!$I$1*12+IF($H23=ROUND('HRA Balance Calc'!$I$12+'HRA Balance Calc'!$I$1*12,2),((B23-'HRA Balance Calc'!$I$1*12)/(I23-'HRA Balance Calc'!$I$1*12))*(H23-'HRA Balance Calc'!$I$1*12),B23-'HRA Balance Calc'!$I$1*12)</f>
        <v>-288.26087712588196</v>
      </c>
      <c r="L23" s="489">
        <f>IF($H23=ROUND('HRA Balance Calc'!$I$12+'HRA Balance Calc'!$I$1*12,2),((C23/($I23-'HRA Balance Calc'!$I$1*12))*($H23-'HRA Balance Calc'!$I$1*12)),C23)</f>
        <v>0</v>
      </c>
      <c r="M23" s="489">
        <f>IF($H23=ROUND('HRA Balance Calc'!$I$12+'HRA Balance Calc'!$I$1*12,2),((D23/($I23-'HRA Balance Calc'!$I$1*12))*($H23-'HRA Balance Calc'!$I$1*12)),D23)</f>
        <v>0</v>
      </c>
      <c r="N23" s="489">
        <f>IF($H23=ROUND('HRA Balance Calc'!$I$12+'HRA Balance Calc'!$I$1*12,2),((E23/($I23-'HRA Balance Calc'!$I$1*12))*($H23-'HRA Balance Calc'!$I$1*12)),E23)</f>
        <v>0</v>
      </c>
      <c r="P23" s="510">
        <f>B23+'HRA Balance Calc'!G32</f>
        <v>4155.0631123679523</v>
      </c>
      <c r="Q23" s="510">
        <f>C23+'HRA Balance Calc'!H32</f>
        <v>0</v>
      </c>
      <c r="R23" s="510">
        <f>D23+'HRA Balance Calc'!I32</f>
        <v>0</v>
      </c>
      <c r="S23" s="510">
        <f>E23+'HRA Balance Calc'!J32</f>
        <v>0</v>
      </c>
      <c r="T23" s="489">
        <f t="shared" si="0"/>
        <v>471.98996185153999</v>
      </c>
      <c r="U23" s="510">
        <f t="shared" si="1"/>
        <v>4627.0530742194924</v>
      </c>
      <c r="W23" s="489">
        <f>'Winners-Losers HRA'!CC20*12-MIN('HRA Balance Calc'!Y32,'HRA Balance Calc'!$M$12)</f>
        <v>1315.9334869579568</v>
      </c>
      <c r="X23" s="489">
        <f>MIN('Winners-Losers HRA'!BS20*12,'HRA Balance Calc'!$L$12)-MIN('HRA Balance Calc'!$L$12,'HRA Balance Calc'!R32)</f>
        <v>0</v>
      </c>
      <c r="Y23" s="489">
        <f t="shared" si="2"/>
        <v>1315.9334869579568</v>
      </c>
      <c r="Z23" s="510">
        <f t="shared" si="3"/>
        <v>3.3645726154408369E+22</v>
      </c>
      <c r="AA23" s="510">
        <f t="shared" si="4"/>
        <v>3.3645726154408369E+22</v>
      </c>
      <c r="AC23" s="510">
        <f t="shared" si="5"/>
        <v>-288.26087712588196</v>
      </c>
      <c r="AD23">
        <f t="shared" si="6"/>
        <v>235.99498092576999</v>
      </c>
      <c r="AE23">
        <f t="shared" si="7"/>
        <v>235.99498092576999</v>
      </c>
      <c r="AF23">
        <f t="shared" si="8"/>
        <v>14</v>
      </c>
    </row>
    <row r="24" spans="1:32" x14ac:dyDescent="0.2">
      <c r="A24">
        <f>'HRA Balance Calc'!A33</f>
        <v>16</v>
      </c>
      <c r="B24" s="489">
        <f>'HRA Balance Calc'!N33+'HRA Balance Calc'!U33+IF('HRA Balance Calc'!$L33&lt;0,'HRA Balance Calc'!$L33*('HRA Balance Calc'!$G33/'HRA Balance Calc'!$L33),0)</f>
        <v>-288.26087712588196</v>
      </c>
      <c r="C24" s="489">
        <f>'HRA Balance Calc'!V33+'HRA Balance Calc'!O33+IF('HRA Balance Calc'!$L33&lt;0,'HRA Balance Calc'!$L33*('HRA Balance Calc'!$H33/'HRA Balance Calc'!$L33),0)</f>
        <v>0</v>
      </c>
      <c r="D24" s="489">
        <f>'HRA Balance Calc'!W33+'HRA Balance Calc'!P33+IF('HRA Balance Calc'!$L33&lt;0,'HRA Balance Calc'!$L33*('HRA Balance Calc'!$I33/'HRA Balance Calc'!$L33),0)</f>
        <v>0</v>
      </c>
      <c r="E24" s="489">
        <f>'HRA Balance Calc'!X33+'HRA Balance Calc'!Q33+IF('HRA Balance Calc'!$L33&lt;0,'HRA Balance Calc'!$L33*('HRA Balance Calc'!$J33/'HRA Balance Calc'!$L33),0)</f>
        <v>0</v>
      </c>
      <c r="F24" s="489">
        <f>'HRA Balance Calc'!E33</f>
        <v>471.98996185153999</v>
      </c>
      <c r="G24" s="489">
        <f>IF('HRA Balance Calc'!L33&lt;0,0,'HRA Balance Calc'!L33)</f>
        <v>3.3645726154408369E+22</v>
      </c>
      <c r="H24" s="489">
        <f>ROUND('HRA Balance Calc'!T33,2)</f>
        <v>0</v>
      </c>
      <c r="I24" s="489">
        <f>'HRA Balance Calc'!S33+'HRA Balance Calc'!U33</f>
        <v>-288.26087712588196</v>
      </c>
      <c r="K24" s="489">
        <f>'HRA Balance Calc'!$I$1*12+IF($H24=ROUND('HRA Balance Calc'!$I$12+'HRA Balance Calc'!$I$1*12,2),((B24-'HRA Balance Calc'!$I$1*12)/(I24-'HRA Balance Calc'!$I$1*12))*(H24-'HRA Balance Calc'!$I$1*12),B24-'HRA Balance Calc'!$I$1*12)</f>
        <v>-288.26087712588196</v>
      </c>
      <c r="L24" s="489">
        <f>IF($H24=ROUND('HRA Balance Calc'!$I$12+'HRA Balance Calc'!$I$1*12,2),((C24/($I24-'HRA Balance Calc'!$I$1*12))*($H24-'HRA Balance Calc'!$I$1*12)),C24)</f>
        <v>0</v>
      </c>
      <c r="M24" s="489">
        <f>IF($H24=ROUND('HRA Balance Calc'!$I$12+'HRA Balance Calc'!$I$1*12,2),((D24/($I24-'HRA Balance Calc'!$I$1*12))*($H24-'HRA Balance Calc'!$I$1*12)),D24)</f>
        <v>0</v>
      </c>
      <c r="N24" s="489">
        <f>IF($H24=ROUND('HRA Balance Calc'!$I$12+'HRA Balance Calc'!$I$1*12,2),((E24/($I24-'HRA Balance Calc'!$I$1*12))*($H24-'HRA Balance Calc'!$I$1*12)),E24)</f>
        <v>0</v>
      </c>
      <c r="P24" s="510">
        <f>B24+'HRA Balance Calc'!G33</f>
        <v>4155.0631123679523</v>
      </c>
      <c r="Q24" s="510">
        <f>C24+'HRA Balance Calc'!H33</f>
        <v>0</v>
      </c>
      <c r="R24" s="510">
        <f>D24+'HRA Balance Calc'!I33</f>
        <v>0</v>
      </c>
      <c r="S24" s="510">
        <f>E24+'HRA Balance Calc'!J33</f>
        <v>0</v>
      </c>
      <c r="T24" s="489">
        <f t="shared" si="0"/>
        <v>471.98996185153999</v>
      </c>
      <c r="U24" s="510">
        <f t="shared" si="1"/>
        <v>4627.0530742194924</v>
      </c>
      <c r="W24" s="489">
        <f>'Winners-Losers HRA'!CC21*12-MIN('HRA Balance Calc'!Y33,'HRA Balance Calc'!$M$12)</f>
        <v>1315.9334869579568</v>
      </c>
      <c r="X24" s="489">
        <f>MIN('Winners-Losers HRA'!BS21*12,'HRA Balance Calc'!$L$12)-MIN('HRA Balance Calc'!$L$12,'HRA Balance Calc'!R33)</f>
        <v>0</v>
      </c>
      <c r="Y24" s="489">
        <f t="shared" si="2"/>
        <v>1315.9334869579568</v>
      </c>
      <c r="Z24" s="510">
        <f t="shared" si="3"/>
        <v>3.3645726154408369E+22</v>
      </c>
      <c r="AA24" s="510">
        <f t="shared" si="4"/>
        <v>3.3645726154408369E+22</v>
      </c>
      <c r="AC24" s="510">
        <f t="shared" si="5"/>
        <v>-288.26087712588196</v>
      </c>
      <c r="AD24">
        <f t="shared" si="6"/>
        <v>235.99498092576999</v>
      </c>
      <c r="AE24">
        <f t="shared" si="7"/>
        <v>235.99498092576999</v>
      </c>
      <c r="AF24">
        <f t="shared" si="8"/>
        <v>15</v>
      </c>
    </row>
    <row r="25" spans="1:32" x14ac:dyDescent="0.2">
      <c r="A25">
        <f>'HRA Balance Calc'!A34</f>
        <v>17</v>
      </c>
      <c r="B25" s="489">
        <f>'HRA Balance Calc'!N34+'HRA Balance Calc'!U34+IF('HRA Balance Calc'!$L34&lt;0,'HRA Balance Calc'!$L34*('HRA Balance Calc'!$G34/'HRA Balance Calc'!$L34),0)</f>
        <v>-288.26087712588196</v>
      </c>
      <c r="C25" s="489">
        <f>'HRA Balance Calc'!V34+'HRA Balance Calc'!O34+IF('HRA Balance Calc'!$L34&lt;0,'HRA Balance Calc'!$L34*('HRA Balance Calc'!$H34/'HRA Balance Calc'!$L34),0)</f>
        <v>0</v>
      </c>
      <c r="D25" s="489">
        <f>'HRA Balance Calc'!W34+'HRA Balance Calc'!P34+IF('HRA Balance Calc'!$L34&lt;0,'HRA Balance Calc'!$L34*('HRA Balance Calc'!$I34/'HRA Balance Calc'!$L34),0)</f>
        <v>0</v>
      </c>
      <c r="E25" s="489">
        <f>'HRA Balance Calc'!X34+'HRA Balance Calc'!Q34+IF('HRA Balance Calc'!$L34&lt;0,'HRA Balance Calc'!$L34*('HRA Balance Calc'!$J34/'HRA Balance Calc'!$L34),0)</f>
        <v>0</v>
      </c>
      <c r="F25" s="489">
        <f>'HRA Balance Calc'!E34</f>
        <v>471.98996185153999</v>
      </c>
      <c r="G25" s="489">
        <f>IF('HRA Balance Calc'!L34&lt;0,0,'HRA Balance Calc'!L34)</f>
        <v>3.3645726154408369E+22</v>
      </c>
      <c r="H25" s="489">
        <f>ROUND('HRA Balance Calc'!T34,2)</f>
        <v>0</v>
      </c>
      <c r="I25" s="489">
        <f>'HRA Balance Calc'!S34+'HRA Balance Calc'!U34</f>
        <v>-288.26087712588196</v>
      </c>
      <c r="K25" s="489">
        <f>'HRA Balance Calc'!$I$1*12+IF($H25=ROUND('HRA Balance Calc'!$I$12+'HRA Balance Calc'!$I$1*12,2),((B25-'HRA Balance Calc'!$I$1*12)/(I25-'HRA Balance Calc'!$I$1*12))*(H25-'HRA Balance Calc'!$I$1*12),B25-'HRA Balance Calc'!$I$1*12)</f>
        <v>-288.26087712588196</v>
      </c>
      <c r="L25" s="489">
        <f>IF($H25=ROUND('HRA Balance Calc'!$I$12+'HRA Balance Calc'!$I$1*12,2),((C25/($I25-'HRA Balance Calc'!$I$1*12))*($H25-'HRA Balance Calc'!$I$1*12)),C25)</f>
        <v>0</v>
      </c>
      <c r="M25" s="489">
        <f>IF($H25=ROUND('HRA Balance Calc'!$I$12+'HRA Balance Calc'!$I$1*12,2),((D25/($I25-'HRA Balance Calc'!$I$1*12))*($H25-'HRA Balance Calc'!$I$1*12)),D25)</f>
        <v>0</v>
      </c>
      <c r="N25" s="489">
        <f>IF($H25=ROUND('HRA Balance Calc'!$I$12+'HRA Balance Calc'!$I$1*12,2),((E25/($I25-'HRA Balance Calc'!$I$1*12))*($H25-'HRA Balance Calc'!$I$1*12)),E25)</f>
        <v>0</v>
      </c>
      <c r="P25" s="510">
        <f>B25+'HRA Balance Calc'!G34</f>
        <v>4155.0631123679523</v>
      </c>
      <c r="Q25" s="510">
        <f>C25+'HRA Balance Calc'!H34</f>
        <v>0</v>
      </c>
      <c r="R25" s="510">
        <f>D25+'HRA Balance Calc'!I34</f>
        <v>0</v>
      </c>
      <c r="S25" s="510">
        <f>E25+'HRA Balance Calc'!J34</f>
        <v>0</v>
      </c>
      <c r="T25" s="489">
        <f t="shared" si="0"/>
        <v>471.98996185153999</v>
      </c>
      <c r="U25" s="510">
        <f t="shared" si="1"/>
        <v>4627.0530742194924</v>
      </c>
      <c r="W25" s="489">
        <f>'Winners-Losers HRA'!CC22*12-MIN('HRA Balance Calc'!Y34,'HRA Balance Calc'!$M$12)</f>
        <v>1315.9334869579568</v>
      </c>
      <c r="X25" s="489">
        <f>MIN('Winners-Losers HRA'!BS22*12,'HRA Balance Calc'!$L$12)-MIN('HRA Balance Calc'!$L$12,'HRA Balance Calc'!R34)</f>
        <v>0</v>
      </c>
      <c r="Y25" s="489">
        <f t="shared" si="2"/>
        <v>1315.9334869579568</v>
      </c>
      <c r="Z25" s="510">
        <f t="shared" si="3"/>
        <v>3.3645726154408369E+22</v>
      </c>
      <c r="AA25" s="510">
        <f t="shared" si="4"/>
        <v>3.3645726154408369E+22</v>
      </c>
      <c r="AC25" s="510">
        <f t="shared" si="5"/>
        <v>-288.26087712588196</v>
      </c>
      <c r="AD25">
        <f t="shared" si="6"/>
        <v>235.99498092576999</v>
      </c>
      <c r="AE25">
        <f t="shared" si="7"/>
        <v>235.99498092576999</v>
      </c>
      <c r="AF25">
        <f t="shared" si="8"/>
        <v>16</v>
      </c>
    </row>
    <row r="26" spans="1:32" x14ac:dyDescent="0.2">
      <c r="A26">
        <f>'HRA Balance Calc'!A35</f>
        <v>18</v>
      </c>
      <c r="B26" s="489">
        <f>'HRA Balance Calc'!N35+'HRA Balance Calc'!U35+IF('HRA Balance Calc'!$L35&lt;0,'HRA Balance Calc'!$L35*('HRA Balance Calc'!$G35/'HRA Balance Calc'!$L35),0)</f>
        <v>-288.26087712588196</v>
      </c>
      <c r="C26" s="489">
        <f>'HRA Balance Calc'!V35+'HRA Balance Calc'!O35+IF('HRA Balance Calc'!$L35&lt;0,'HRA Balance Calc'!$L35*('HRA Balance Calc'!$H35/'HRA Balance Calc'!$L35),0)</f>
        <v>0</v>
      </c>
      <c r="D26" s="489">
        <f>'HRA Balance Calc'!W35+'HRA Balance Calc'!P35+IF('HRA Balance Calc'!$L35&lt;0,'HRA Balance Calc'!$L35*('HRA Balance Calc'!$I35/'HRA Balance Calc'!$L35),0)</f>
        <v>0</v>
      </c>
      <c r="E26" s="489">
        <f>'HRA Balance Calc'!X35+'HRA Balance Calc'!Q35+IF('HRA Balance Calc'!$L35&lt;0,'HRA Balance Calc'!$L35*('HRA Balance Calc'!$J35/'HRA Balance Calc'!$L35),0)</f>
        <v>0</v>
      </c>
      <c r="F26" s="489">
        <f>'HRA Balance Calc'!E35</f>
        <v>471.98996185153999</v>
      </c>
      <c r="G26" s="489">
        <f>IF('HRA Balance Calc'!L35&lt;0,0,'HRA Balance Calc'!L35)</f>
        <v>3.3645726154408369E+22</v>
      </c>
      <c r="H26" s="489">
        <f>ROUND('HRA Balance Calc'!T35,2)</f>
        <v>0</v>
      </c>
      <c r="I26" s="489">
        <f>'HRA Balance Calc'!S35+'HRA Balance Calc'!U35</f>
        <v>-288.26087712588196</v>
      </c>
      <c r="K26" s="489">
        <f>'HRA Balance Calc'!$I$1*12+IF($H26=ROUND('HRA Balance Calc'!$I$12+'HRA Balance Calc'!$I$1*12,2),((B26-'HRA Balance Calc'!$I$1*12)/(I26-'HRA Balance Calc'!$I$1*12))*(H26-'HRA Balance Calc'!$I$1*12),B26-'HRA Balance Calc'!$I$1*12)</f>
        <v>-288.26087712588196</v>
      </c>
      <c r="L26" s="489">
        <f>IF($H26=ROUND('HRA Balance Calc'!$I$12+'HRA Balance Calc'!$I$1*12,2),((C26/($I26-'HRA Balance Calc'!$I$1*12))*($H26-'HRA Balance Calc'!$I$1*12)),C26)</f>
        <v>0</v>
      </c>
      <c r="M26" s="489">
        <f>IF($H26=ROUND('HRA Balance Calc'!$I$12+'HRA Balance Calc'!$I$1*12,2),((D26/($I26-'HRA Balance Calc'!$I$1*12))*($H26-'HRA Balance Calc'!$I$1*12)),D26)</f>
        <v>0</v>
      </c>
      <c r="N26" s="489">
        <f>IF($H26=ROUND('HRA Balance Calc'!$I$12+'HRA Balance Calc'!$I$1*12,2),((E26/($I26-'HRA Balance Calc'!$I$1*12))*($H26-'HRA Balance Calc'!$I$1*12)),E26)</f>
        <v>0</v>
      </c>
      <c r="P26" s="510">
        <f>B26+'HRA Balance Calc'!G35</f>
        <v>4155.0631123679523</v>
      </c>
      <c r="Q26" s="510">
        <f>C26+'HRA Balance Calc'!H35</f>
        <v>0</v>
      </c>
      <c r="R26" s="510">
        <f>D26+'HRA Balance Calc'!I35</f>
        <v>0</v>
      </c>
      <c r="S26" s="510">
        <f>E26+'HRA Balance Calc'!J35</f>
        <v>0</v>
      </c>
      <c r="T26" s="489">
        <f t="shared" si="0"/>
        <v>471.98996185153999</v>
      </c>
      <c r="U26" s="510">
        <f t="shared" si="1"/>
        <v>4627.0530742194924</v>
      </c>
      <c r="W26" s="489">
        <f>'Winners-Losers HRA'!CC23*12-MIN('HRA Balance Calc'!Y35,'HRA Balance Calc'!$M$12)</f>
        <v>1315.9334869579568</v>
      </c>
      <c r="X26" s="489">
        <f>MIN('Winners-Losers HRA'!BS23*12,'HRA Balance Calc'!$L$12)-MIN('HRA Balance Calc'!$L$12,'HRA Balance Calc'!R35)</f>
        <v>0</v>
      </c>
      <c r="Y26" s="489">
        <f t="shared" si="2"/>
        <v>1315.9334869579568</v>
      </c>
      <c r="Z26" s="510">
        <f t="shared" si="3"/>
        <v>3.3645726154408369E+22</v>
      </c>
      <c r="AA26" s="510">
        <f t="shared" si="4"/>
        <v>3.3645726154408369E+22</v>
      </c>
      <c r="AC26" s="510">
        <f t="shared" si="5"/>
        <v>-288.26087712588196</v>
      </c>
      <c r="AD26">
        <f t="shared" si="6"/>
        <v>235.99498092576999</v>
      </c>
      <c r="AE26">
        <f t="shared" si="7"/>
        <v>235.99498092576999</v>
      </c>
      <c r="AF26">
        <f t="shared" si="8"/>
        <v>17</v>
      </c>
    </row>
    <row r="27" spans="1:32" x14ac:dyDescent="0.2">
      <c r="A27">
        <f>'HRA Balance Calc'!A36</f>
        <v>19</v>
      </c>
      <c r="B27" s="489">
        <f>'HRA Balance Calc'!N36+'HRA Balance Calc'!U36+IF('HRA Balance Calc'!$L36&lt;0,'HRA Balance Calc'!$L36*('HRA Balance Calc'!$G36/'HRA Balance Calc'!$L36),0)</f>
        <v>-288.26087712588196</v>
      </c>
      <c r="C27" s="489">
        <f>'HRA Balance Calc'!V36+'HRA Balance Calc'!O36+IF('HRA Balance Calc'!$L36&lt;0,'HRA Balance Calc'!$L36*('HRA Balance Calc'!$H36/'HRA Balance Calc'!$L36),0)</f>
        <v>0</v>
      </c>
      <c r="D27" s="489">
        <f>'HRA Balance Calc'!W36+'HRA Balance Calc'!P36+IF('HRA Balance Calc'!$L36&lt;0,'HRA Balance Calc'!$L36*('HRA Balance Calc'!$I36/'HRA Balance Calc'!$L36),0)</f>
        <v>0</v>
      </c>
      <c r="E27" s="489">
        <f>'HRA Balance Calc'!X36+'HRA Balance Calc'!Q36+IF('HRA Balance Calc'!$L36&lt;0,'HRA Balance Calc'!$L36*('HRA Balance Calc'!$J36/'HRA Balance Calc'!$L36),0)</f>
        <v>0</v>
      </c>
      <c r="F27" s="489">
        <f>'HRA Balance Calc'!E36</f>
        <v>471.98996185153999</v>
      </c>
      <c r="G27" s="489">
        <f>IF('HRA Balance Calc'!L36&lt;0,0,'HRA Balance Calc'!L36)</f>
        <v>3.3645726154408369E+22</v>
      </c>
      <c r="H27" s="489">
        <f>ROUND('HRA Balance Calc'!T36,2)</f>
        <v>0</v>
      </c>
      <c r="I27" s="489">
        <f>'HRA Balance Calc'!S36+'HRA Balance Calc'!U36</f>
        <v>-288.26087712588196</v>
      </c>
      <c r="K27" s="489">
        <f>'HRA Balance Calc'!$I$1*12+IF($H27=ROUND('HRA Balance Calc'!$I$12+'HRA Balance Calc'!$I$1*12,2),((B27-'HRA Balance Calc'!$I$1*12)/(I27-'HRA Balance Calc'!$I$1*12))*(H27-'HRA Balance Calc'!$I$1*12),B27-'HRA Balance Calc'!$I$1*12)</f>
        <v>-288.26087712588196</v>
      </c>
      <c r="L27" s="489">
        <f>IF($H27=ROUND('HRA Balance Calc'!$I$12+'HRA Balance Calc'!$I$1*12,2),((C27/($I27-'HRA Balance Calc'!$I$1*12))*($H27-'HRA Balance Calc'!$I$1*12)),C27)</f>
        <v>0</v>
      </c>
      <c r="M27" s="489">
        <f>IF($H27=ROUND('HRA Balance Calc'!$I$12+'HRA Balance Calc'!$I$1*12,2),((D27/($I27-'HRA Balance Calc'!$I$1*12))*($H27-'HRA Balance Calc'!$I$1*12)),D27)</f>
        <v>0</v>
      </c>
      <c r="N27" s="489">
        <f>IF($H27=ROUND('HRA Balance Calc'!$I$12+'HRA Balance Calc'!$I$1*12,2),((E27/($I27-'HRA Balance Calc'!$I$1*12))*($H27-'HRA Balance Calc'!$I$1*12)),E27)</f>
        <v>0</v>
      </c>
      <c r="P27" s="510">
        <f>B27+'HRA Balance Calc'!G36</f>
        <v>4155.0631123679523</v>
      </c>
      <c r="Q27" s="510">
        <f>C27+'HRA Balance Calc'!H36</f>
        <v>0</v>
      </c>
      <c r="R27" s="510">
        <f>D27+'HRA Balance Calc'!I36</f>
        <v>0</v>
      </c>
      <c r="S27" s="510">
        <f>E27+'HRA Balance Calc'!J36</f>
        <v>0</v>
      </c>
      <c r="T27" s="489">
        <f t="shared" si="0"/>
        <v>471.98996185153999</v>
      </c>
      <c r="U27" s="510">
        <f t="shared" si="1"/>
        <v>4627.0530742194924</v>
      </c>
      <c r="W27" s="489">
        <f>'Winners-Losers HRA'!CC24*12-MIN('HRA Balance Calc'!Y36,'HRA Balance Calc'!$M$12)</f>
        <v>1315.9334869579568</v>
      </c>
      <c r="X27" s="489">
        <f>MIN('Winners-Losers HRA'!BS24*12,'HRA Balance Calc'!$L$12)-MIN('HRA Balance Calc'!$L$12,'HRA Balance Calc'!R36)</f>
        <v>0</v>
      </c>
      <c r="Y27" s="489">
        <f t="shared" si="2"/>
        <v>1315.9334869579568</v>
      </c>
      <c r="Z27" s="510">
        <f t="shared" si="3"/>
        <v>3.3645726154408369E+22</v>
      </c>
      <c r="AA27" s="510">
        <f t="shared" si="4"/>
        <v>3.3645726154408369E+22</v>
      </c>
      <c r="AC27" s="510">
        <f t="shared" si="5"/>
        <v>-288.26087712588196</v>
      </c>
      <c r="AD27">
        <f t="shared" si="6"/>
        <v>235.99498092576999</v>
      </c>
      <c r="AE27">
        <f t="shared" si="7"/>
        <v>235.99498092576999</v>
      </c>
      <c r="AF27">
        <f t="shared" si="8"/>
        <v>18</v>
      </c>
    </row>
    <row r="28" spans="1:32" x14ac:dyDescent="0.2">
      <c r="A28">
        <f>'HRA Balance Calc'!A37</f>
        <v>20</v>
      </c>
      <c r="B28" s="489">
        <f>'HRA Balance Calc'!N37+'HRA Balance Calc'!U37+IF('HRA Balance Calc'!$L37&lt;0,'HRA Balance Calc'!$L37*('HRA Balance Calc'!$G37/'HRA Balance Calc'!$L37),0)</f>
        <v>-288.26087712588196</v>
      </c>
      <c r="C28" s="489">
        <f>'HRA Balance Calc'!V37+'HRA Balance Calc'!O37+IF('HRA Balance Calc'!$L37&lt;0,'HRA Balance Calc'!$L37*('HRA Balance Calc'!$H37/'HRA Balance Calc'!$L37),0)</f>
        <v>0</v>
      </c>
      <c r="D28" s="489">
        <f>'HRA Balance Calc'!W37+'HRA Balance Calc'!P37+IF('HRA Balance Calc'!$L37&lt;0,'HRA Balance Calc'!$L37*('HRA Balance Calc'!$I37/'HRA Balance Calc'!$L37),0)</f>
        <v>0</v>
      </c>
      <c r="E28" s="489">
        <f>'HRA Balance Calc'!X37+'HRA Balance Calc'!Q37+IF('HRA Balance Calc'!$L37&lt;0,'HRA Balance Calc'!$L37*('HRA Balance Calc'!$J37/'HRA Balance Calc'!$L37),0)</f>
        <v>0</v>
      </c>
      <c r="F28" s="489">
        <f>'HRA Balance Calc'!E37</f>
        <v>471.98996185153999</v>
      </c>
      <c r="G28" s="489">
        <f>IF('HRA Balance Calc'!L37&lt;0,0,'HRA Balance Calc'!L37)</f>
        <v>3.3645726154408369E+22</v>
      </c>
      <c r="H28" s="489">
        <f>ROUND('HRA Balance Calc'!T37,2)</f>
        <v>0</v>
      </c>
      <c r="I28" s="489">
        <f>'HRA Balance Calc'!S37+'HRA Balance Calc'!U37</f>
        <v>-288.26087712588196</v>
      </c>
      <c r="K28" s="489">
        <f>'HRA Balance Calc'!$I$1*12+IF($H28=ROUND('HRA Balance Calc'!$I$12+'HRA Balance Calc'!$I$1*12,2),((B28-'HRA Balance Calc'!$I$1*12)/(I28-'HRA Balance Calc'!$I$1*12))*(H28-'HRA Balance Calc'!$I$1*12),B28-'HRA Balance Calc'!$I$1*12)</f>
        <v>-288.26087712588196</v>
      </c>
      <c r="L28" s="489">
        <f>IF($H28=ROUND('HRA Balance Calc'!$I$12+'HRA Balance Calc'!$I$1*12,2),((C28/($I28-'HRA Balance Calc'!$I$1*12))*($H28-'HRA Balance Calc'!$I$1*12)),C28)</f>
        <v>0</v>
      </c>
      <c r="M28" s="489">
        <f>IF($H28=ROUND('HRA Balance Calc'!$I$12+'HRA Balance Calc'!$I$1*12,2),((D28/($I28-'HRA Balance Calc'!$I$1*12))*($H28-'HRA Balance Calc'!$I$1*12)),D28)</f>
        <v>0</v>
      </c>
      <c r="N28" s="489">
        <f>IF($H28=ROUND('HRA Balance Calc'!$I$12+'HRA Balance Calc'!$I$1*12,2),((E28/($I28-'HRA Balance Calc'!$I$1*12))*($H28-'HRA Balance Calc'!$I$1*12)),E28)</f>
        <v>0</v>
      </c>
      <c r="P28" s="510">
        <f>B28+'HRA Balance Calc'!G37</f>
        <v>4155.0631123679523</v>
      </c>
      <c r="Q28" s="510">
        <f>C28+'HRA Balance Calc'!H37</f>
        <v>0</v>
      </c>
      <c r="R28" s="510">
        <f>D28+'HRA Balance Calc'!I37</f>
        <v>0</v>
      </c>
      <c r="S28" s="510">
        <f>E28+'HRA Balance Calc'!J37</f>
        <v>0</v>
      </c>
      <c r="T28" s="489">
        <f t="shared" si="0"/>
        <v>471.98996185153999</v>
      </c>
      <c r="U28" s="510">
        <f t="shared" si="1"/>
        <v>4627.0530742194924</v>
      </c>
      <c r="W28" s="489">
        <f>'Winners-Losers HRA'!CC25*12-MIN('HRA Balance Calc'!Y37,'HRA Balance Calc'!$M$12)</f>
        <v>1315.9334869579568</v>
      </c>
      <c r="X28" s="489">
        <f>MIN('Winners-Losers HRA'!BS25*12,'HRA Balance Calc'!$L$12)-MIN('HRA Balance Calc'!$L$12,'HRA Balance Calc'!R37)</f>
        <v>0</v>
      </c>
      <c r="Y28" s="489">
        <f t="shared" si="2"/>
        <v>1315.9334869579568</v>
      </c>
      <c r="Z28" s="510">
        <f t="shared" si="3"/>
        <v>3.3645726154408369E+22</v>
      </c>
      <c r="AA28" s="510">
        <f t="shared" si="4"/>
        <v>3.3645726154408369E+22</v>
      </c>
      <c r="AC28" s="510">
        <f t="shared" si="5"/>
        <v>-288.26087712588196</v>
      </c>
      <c r="AD28">
        <f t="shared" si="6"/>
        <v>235.99498092576999</v>
      </c>
      <c r="AE28">
        <f t="shared" si="7"/>
        <v>235.99498092576999</v>
      </c>
      <c r="AF28">
        <f t="shared" si="8"/>
        <v>19</v>
      </c>
    </row>
    <row r="29" spans="1:32" x14ac:dyDescent="0.2">
      <c r="A29">
        <f>'HRA Balance Calc'!A38</f>
        <v>21</v>
      </c>
      <c r="B29" s="489">
        <f>'HRA Balance Calc'!N38+'HRA Balance Calc'!U38+IF('HRA Balance Calc'!$L38&lt;0,'HRA Balance Calc'!$L38*('HRA Balance Calc'!$G38/'HRA Balance Calc'!$L38),0)</f>
        <v>-288.26087712588196</v>
      </c>
      <c r="C29" s="489">
        <f>'HRA Balance Calc'!V38+'HRA Balance Calc'!O38+IF('HRA Balance Calc'!$L38&lt;0,'HRA Balance Calc'!$L38*('HRA Balance Calc'!$H38/'HRA Balance Calc'!$L38),0)</f>
        <v>0</v>
      </c>
      <c r="D29" s="489">
        <f>'HRA Balance Calc'!W38+'HRA Balance Calc'!P38+IF('HRA Balance Calc'!$L38&lt;0,'HRA Balance Calc'!$L38*('HRA Balance Calc'!$I38/'HRA Balance Calc'!$L38),0)</f>
        <v>0</v>
      </c>
      <c r="E29" s="489">
        <f>'HRA Balance Calc'!X38+'HRA Balance Calc'!Q38+IF('HRA Balance Calc'!$L38&lt;0,'HRA Balance Calc'!$L38*('HRA Balance Calc'!$J38/'HRA Balance Calc'!$L38),0)</f>
        <v>0</v>
      </c>
      <c r="F29" s="489">
        <f>'HRA Balance Calc'!E38</f>
        <v>471.98996185153999</v>
      </c>
      <c r="G29" s="489">
        <f>IF('HRA Balance Calc'!L38&lt;0,0,'HRA Balance Calc'!L38)</f>
        <v>3.3645726154408369E+22</v>
      </c>
      <c r="H29" s="489">
        <f>ROUND('HRA Balance Calc'!T38,2)</f>
        <v>0</v>
      </c>
      <c r="I29" s="489">
        <f>'HRA Balance Calc'!S38+'HRA Balance Calc'!U38</f>
        <v>-288.26087712588196</v>
      </c>
      <c r="K29" s="489">
        <f>'HRA Balance Calc'!$I$1*12+IF($H29=ROUND('HRA Balance Calc'!$I$12+'HRA Balance Calc'!$I$1*12,2),((B29-'HRA Balance Calc'!$I$1*12)/(I29-'HRA Balance Calc'!$I$1*12))*(H29-'HRA Balance Calc'!$I$1*12),B29-'HRA Balance Calc'!$I$1*12)</f>
        <v>-288.26087712588196</v>
      </c>
      <c r="L29" s="489">
        <f>IF($H29=ROUND('HRA Balance Calc'!$I$12+'HRA Balance Calc'!$I$1*12,2),((C29/($I29-'HRA Balance Calc'!$I$1*12))*($H29-'HRA Balance Calc'!$I$1*12)),C29)</f>
        <v>0</v>
      </c>
      <c r="M29" s="489">
        <f>IF($H29=ROUND('HRA Balance Calc'!$I$12+'HRA Balance Calc'!$I$1*12,2),((D29/($I29-'HRA Balance Calc'!$I$1*12))*($H29-'HRA Balance Calc'!$I$1*12)),D29)</f>
        <v>0</v>
      </c>
      <c r="N29" s="489">
        <f>IF($H29=ROUND('HRA Balance Calc'!$I$12+'HRA Balance Calc'!$I$1*12,2),((E29/($I29-'HRA Balance Calc'!$I$1*12))*($H29-'HRA Balance Calc'!$I$1*12)),E29)</f>
        <v>0</v>
      </c>
      <c r="P29" s="510">
        <f>B29+'HRA Balance Calc'!G38</f>
        <v>4155.0631123679523</v>
      </c>
      <c r="Q29" s="510">
        <f>C29+'HRA Balance Calc'!H38</f>
        <v>0</v>
      </c>
      <c r="R29" s="510">
        <f>D29+'HRA Balance Calc'!I38</f>
        <v>0</v>
      </c>
      <c r="S29" s="510">
        <f>E29+'HRA Balance Calc'!J38</f>
        <v>0</v>
      </c>
      <c r="T29" s="489">
        <f t="shared" si="0"/>
        <v>471.98996185153999</v>
      </c>
      <c r="U29" s="510">
        <f t="shared" si="1"/>
        <v>4627.0530742194924</v>
      </c>
      <c r="W29" s="489">
        <f>'Winners-Losers HRA'!CC26*12-MIN('HRA Balance Calc'!Y38,'HRA Balance Calc'!$M$12)</f>
        <v>1315.9334869579568</v>
      </c>
      <c r="X29" s="489">
        <f>MIN('Winners-Losers HRA'!BS26*12,'HRA Balance Calc'!$L$12)-MIN('HRA Balance Calc'!$L$12,'HRA Balance Calc'!R38)</f>
        <v>0</v>
      </c>
      <c r="Y29" s="489">
        <f t="shared" si="2"/>
        <v>1315.9334869579568</v>
      </c>
      <c r="Z29" s="510">
        <f t="shared" si="3"/>
        <v>3.3645726154408369E+22</v>
      </c>
      <c r="AA29" s="510">
        <f t="shared" si="4"/>
        <v>3.3645726154408369E+22</v>
      </c>
      <c r="AC29" s="510">
        <f t="shared" si="5"/>
        <v>-288.26087712588196</v>
      </c>
      <c r="AD29">
        <f t="shared" si="6"/>
        <v>235.99498092576999</v>
      </c>
      <c r="AE29">
        <f t="shared" si="7"/>
        <v>235.99498092576999</v>
      </c>
      <c r="AF29">
        <f t="shared" si="8"/>
        <v>20</v>
      </c>
    </row>
    <row r="30" spans="1:32" x14ac:dyDescent="0.2">
      <c r="A30">
        <f>'HRA Balance Calc'!A39</f>
        <v>22</v>
      </c>
      <c r="B30" s="489">
        <f>'HRA Balance Calc'!N39+'HRA Balance Calc'!U39+IF('HRA Balance Calc'!$L39&lt;0,'HRA Balance Calc'!$L39*('HRA Balance Calc'!$G39/'HRA Balance Calc'!$L39),0)</f>
        <v>-288.26087712588196</v>
      </c>
      <c r="C30" s="489">
        <f>'HRA Balance Calc'!V39+'HRA Balance Calc'!O39+IF('HRA Balance Calc'!$L39&lt;0,'HRA Balance Calc'!$L39*('HRA Balance Calc'!$H39/'HRA Balance Calc'!$L39),0)</f>
        <v>68.192231420560802</v>
      </c>
      <c r="D30" s="489">
        <f>'HRA Balance Calc'!W39+'HRA Balance Calc'!P39+IF('HRA Balance Calc'!$L39&lt;0,'HRA Balance Calc'!$L39*('HRA Balance Calc'!$I39/'HRA Balance Calc'!$L39),0)</f>
        <v>0</v>
      </c>
      <c r="E30" s="489">
        <f>'HRA Balance Calc'!X39+'HRA Balance Calc'!Q39+IF('HRA Balance Calc'!$L39&lt;0,'HRA Balance Calc'!$L39*('HRA Balance Calc'!$J39/'HRA Balance Calc'!$L39),0)</f>
        <v>0</v>
      </c>
      <c r="F30" s="489">
        <f>'HRA Balance Calc'!E39</f>
        <v>471.98996185153999</v>
      </c>
      <c r="G30" s="489">
        <f>IF('HRA Balance Calc'!L39&lt;0,0,'HRA Balance Calc'!L39)</f>
        <v>3.3645726154408369E+22</v>
      </c>
      <c r="H30" s="489">
        <f>ROUND('HRA Balance Calc'!T39,2)</f>
        <v>68.19</v>
      </c>
      <c r="I30" s="489">
        <f>'HRA Balance Calc'!S39+'HRA Balance Calc'!U39</f>
        <v>-220.06864570532116</v>
      </c>
      <c r="K30" s="489">
        <f>'HRA Balance Calc'!$I$1*12+IF($H30=ROUND('HRA Balance Calc'!$I$12+'HRA Balance Calc'!$I$1*12,2),((B30-'HRA Balance Calc'!$I$1*12)/(I30-'HRA Balance Calc'!$I$1*12))*(H30-'HRA Balance Calc'!$I$1*12),B30-'HRA Balance Calc'!$I$1*12)</f>
        <v>-288.26087712588196</v>
      </c>
      <c r="L30" s="489">
        <f>IF($H30=ROUND('HRA Balance Calc'!$I$12+'HRA Balance Calc'!$I$1*12,2),((C30/($I30-'HRA Balance Calc'!$I$1*12))*($H30-'HRA Balance Calc'!$I$1*12)),C30)</f>
        <v>68.192231420560802</v>
      </c>
      <c r="M30" s="489">
        <f>IF($H30=ROUND('HRA Balance Calc'!$I$12+'HRA Balance Calc'!$I$1*12,2),((D30/($I30-'HRA Balance Calc'!$I$1*12))*($H30-'HRA Balance Calc'!$I$1*12)),D30)</f>
        <v>0</v>
      </c>
      <c r="N30" s="489">
        <f>IF($H30=ROUND('HRA Balance Calc'!$I$12+'HRA Balance Calc'!$I$1*12,2),((E30/($I30-'HRA Balance Calc'!$I$1*12))*($H30-'HRA Balance Calc'!$I$1*12)),E30)</f>
        <v>0</v>
      </c>
      <c r="P30" s="510">
        <f>B30+'HRA Balance Calc'!G39</f>
        <v>4155.0631123679523</v>
      </c>
      <c r="Q30" s="510">
        <f>C30+'HRA Balance Calc'!H39</f>
        <v>25.998433471656007</v>
      </c>
      <c r="R30" s="510">
        <f>D30+'HRA Balance Calc'!I39</f>
        <v>0</v>
      </c>
      <c r="S30" s="510">
        <f>E30+'HRA Balance Calc'!J39</f>
        <v>0</v>
      </c>
      <c r="T30" s="489">
        <f t="shared" si="0"/>
        <v>471.98996185153999</v>
      </c>
      <c r="U30" s="510">
        <f t="shared" si="1"/>
        <v>4653.0515076911488</v>
      </c>
      <c r="W30" s="489">
        <f>'Winners-Losers HRA'!CC27*12-MIN('HRA Balance Calc'!Y39,'HRA Balance Calc'!$M$12)</f>
        <v>1323.3794513018811</v>
      </c>
      <c r="X30" s="489">
        <f>MIN('Winners-Losers HRA'!BS27*12,'HRA Balance Calc'!$L$12)-MIN('HRA Balance Calc'!$L$12,'HRA Balance Calc'!R39)</f>
        <v>-71.911658246282968</v>
      </c>
      <c r="Y30" s="489">
        <f t="shared" si="2"/>
        <v>1251.4677930555981</v>
      </c>
      <c r="Z30" s="510">
        <f t="shared" si="3"/>
        <v>3.3645726154408369E+22</v>
      </c>
      <c r="AA30" s="510">
        <f t="shared" si="4"/>
        <v>3.3645726154408369E+22</v>
      </c>
      <c r="AC30" s="510">
        <f t="shared" si="5"/>
        <v>-288.26087712588196</v>
      </c>
      <c r="AD30">
        <f t="shared" si="6"/>
        <v>304.1872123463308</v>
      </c>
      <c r="AE30">
        <f t="shared" si="7"/>
        <v>235.99498092576999</v>
      </c>
      <c r="AF30">
        <f t="shared" si="8"/>
        <v>21</v>
      </c>
    </row>
    <row r="31" spans="1:32" x14ac:dyDescent="0.2">
      <c r="A31">
        <f>'HRA Balance Calc'!A40</f>
        <v>23</v>
      </c>
      <c r="B31" s="489">
        <f>'HRA Balance Calc'!N40+'HRA Balance Calc'!U40+IF('HRA Balance Calc'!$L40&lt;0,'HRA Balance Calc'!$L40*('HRA Balance Calc'!$G40/'HRA Balance Calc'!$L40),0)</f>
        <v>-137.22987507534603</v>
      </c>
      <c r="C31" s="489">
        <f>'HRA Balance Calc'!V40+'HRA Balance Calc'!O40+IF('HRA Balance Calc'!$L40&lt;0,'HRA Balance Calc'!$L40*('HRA Balance Calc'!$H40/'HRA Balance Calc'!$L40),0)</f>
        <v>107.1239936598716</v>
      </c>
      <c r="D31" s="489">
        <f>'HRA Balance Calc'!W40+'HRA Balance Calc'!P40+IF('HRA Balance Calc'!$L40&lt;0,'HRA Balance Calc'!$L40*('HRA Balance Calc'!$I40/'HRA Balance Calc'!$L40),0)</f>
        <v>3.6697408309289605E-3</v>
      </c>
      <c r="E31" s="489">
        <f>'HRA Balance Calc'!X40+'HRA Balance Calc'!Q40+IF('HRA Balance Calc'!$L40&lt;0,'HRA Balance Calc'!$L40*('HRA Balance Calc'!$J40/'HRA Balance Calc'!$L40),0)</f>
        <v>1.059769715129564E-3</v>
      </c>
      <c r="F31" s="489">
        <f>'HRA Balance Calc'!E40</f>
        <v>471.98996185153999</v>
      </c>
      <c r="G31" s="489">
        <f>IF('HRA Balance Calc'!L40&lt;0,0,'HRA Balance Calc'!L40)</f>
        <v>3.3645726154408369E+22</v>
      </c>
      <c r="H31" s="489">
        <f>ROUND('HRA Balance Calc'!T40,2)</f>
        <v>258.16000000000003</v>
      </c>
      <c r="I31" s="489">
        <f>'HRA Balance Calc'!S40+'HRA Balance Calc'!U40</f>
        <v>-30.101151904928372</v>
      </c>
      <c r="K31" s="489">
        <f>'HRA Balance Calc'!$I$1*12+IF($H31=ROUND('HRA Balance Calc'!$I$12+'HRA Balance Calc'!$I$1*12,2),((B31-'HRA Balance Calc'!$I$1*12)/(I31-'HRA Balance Calc'!$I$1*12))*(H31-'HRA Balance Calc'!$I$1*12),B31-'HRA Balance Calc'!$I$1*12)</f>
        <v>-137.22987507534603</v>
      </c>
      <c r="L31" s="489">
        <f>IF($H31=ROUND('HRA Balance Calc'!$I$12+'HRA Balance Calc'!$I$1*12,2),((C31/($I31-'HRA Balance Calc'!$I$1*12))*($H31-'HRA Balance Calc'!$I$1*12)),C31)</f>
        <v>107.1239936598716</v>
      </c>
      <c r="M31" s="489">
        <f>IF($H31=ROUND('HRA Balance Calc'!$I$12+'HRA Balance Calc'!$I$1*12,2),((D31/($I31-'HRA Balance Calc'!$I$1*12))*($H31-'HRA Balance Calc'!$I$1*12)),D31)</f>
        <v>3.6697408309289605E-3</v>
      </c>
      <c r="N31" s="489">
        <f>IF($H31=ROUND('HRA Balance Calc'!$I$12+'HRA Balance Calc'!$I$1*12,2),((E31/($I31-'HRA Balance Calc'!$I$1*12))*($H31-'HRA Balance Calc'!$I$1*12)),E31)</f>
        <v>1.059769715129564E-3</v>
      </c>
      <c r="P31" s="510">
        <f>B31+'HRA Balance Calc'!G40</f>
        <v>4306.0941144184881</v>
      </c>
      <c r="Q31" s="510">
        <f>C31+'HRA Balance Calc'!H40</f>
        <v>151.66722491269746</v>
      </c>
      <c r="R31" s="510">
        <f>D31+'HRA Balance Calc'!I40</f>
        <v>2.0570161340881389E-2</v>
      </c>
      <c r="S31" s="510">
        <f>E31+'HRA Balance Calc'!J40</f>
        <v>1.524093967951217E-3</v>
      </c>
      <c r="T31" s="489">
        <f t="shared" si="0"/>
        <v>471.98996185153999</v>
      </c>
      <c r="U31" s="510">
        <f t="shared" si="1"/>
        <v>4929.7733954380355</v>
      </c>
      <c r="W31" s="489">
        <f>'Winners-Losers HRA'!CC28*12-MIN('HRA Balance Calc'!Y40,'HRA Balance Calc'!$M$12)</f>
        <v>1308.0688745400059</v>
      </c>
      <c r="X31" s="489">
        <f>MIN('Winners-Losers HRA'!BS28*12,'HRA Balance Calc'!$L$12)-MIN('HRA Balance Calc'!$L$12,'HRA Balance Calc'!R40)</f>
        <v>-215.30590315589637</v>
      </c>
      <c r="Y31" s="489">
        <f t="shared" si="2"/>
        <v>1092.7629713841095</v>
      </c>
      <c r="Z31" s="510">
        <f t="shared" si="3"/>
        <v>3.3645726154408369E+22</v>
      </c>
      <c r="AA31" s="510">
        <f t="shared" si="4"/>
        <v>3.3645726154408369E+22</v>
      </c>
      <c r="AC31" s="510">
        <f t="shared" si="5"/>
        <v>-137.2262053345151</v>
      </c>
      <c r="AD31">
        <f t="shared" si="6"/>
        <v>343.11897458564158</v>
      </c>
      <c r="AE31">
        <f t="shared" si="7"/>
        <v>235.99604069548514</v>
      </c>
      <c r="AF31">
        <f t="shared" si="8"/>
        <v>22</v>
      </c>
    </row>
    <row r="32" spans="1:32" x14ac:dyDescent="0.2">
      <c r="A32">
        <f>'HRA Balance Calc'!A41</f>
        <v>24</v>
      </c>
      <c r="B32" s="489">
        <f>'HRA Balance Calc'!N41+'HRA Balance Calc'!U41+IF('HRA Balance Calc'!$L41&lt;0,'HRA Balance Calc'!$L41*('HRA Balance Calc'!$G41/'HRA Balance Calc'!$L41),0)</f>
        <v>-64.046700341255303</v>
      </c>
      <c r="C32" s="489">
        <f>'HRA Balance Calc'!V41+'HRA Balance Calc'!O41+IF('HRA Balance Calc'!$L41&lt;0,'HRA Balance Calc'!$L41*('HRA Balance Calc'!$H41/'HRA Balance Calc'!$L41),0)</f>
        <v>15.94106812387643</v>
      </c>
      <c r="D32" s="489">
        <f>'HRA Balance Calc'!W41+'HRA Balance Calc'!P41+IF('HRA Balance Calc'!$L41&lt;0,'HRA Balance Calc'!$L41*('HRA Balance Calc'!$I41/'HRA Balance Calc'!$L41),0)</f>
        <v>0</v>
      </c>
      <c r="E32" s="489">
        <f>'HRA Balance Calc'!X41+'HRA Balance Calc'!Q41+IF('HRA Balance Calc'!$L41&lt;0,'HRA Balance Calc'!$L41*('HRA Balance Calc'!$J41/'HRA Balance Calc'!$L41),0)</f>
        <v>0.41774665158866481</v>
      </c>
      <c r="F32" s="489">
        <f>'HRA Balance Calc'!E41</f>
        <v>471.98996185153999</v>
      </c>
      <c r="G32" s="489">
        <f>IF('HRA Balance Calc'!L41&lt;0,0,'HRA Balance Calc'!L41)</f>
        <v>3.3645726154408369E+22</v>
      </c>
      <c r="H32" s="489">
        <f>ROUND('HRA Balance Calc'!T41,2)</f>
        <v>240.57</v>
      </c>
      <c r="I32" s="489">
        <f>'HRA Balance Calc'!S41+'HRA Balance Calc'!U41</f>
        <v>-47.687885565790197</v>
      </c>
      <c r="K32" s="489">
        <f>'HRA Balance Calc'!$I$1*12+IF($H32=ROUND('HRA Balance Calc'!$I$12+'HRA Balance Calc'!$I$1*12,2),((B32-'HRA Balance Calc'!$I$1*12)/(I32-'HRA Balance Calc'!$I$1*12))*(H32-'HRA Balance Calc'!$I$1*12),B32-'HRA Balance Calc'!$I$1*12)</f>
        <v>-64.046700341255303</v>
      </c>
      <c r="L32" s="489">
        <f>IF($H32=ROUND('HRA Balance Calc'!$I$12+'HRA Balance Calc'!$I$1*12,2),((C32/($I32-'HRA Balance Calc'!$I$1*12))*($H32-'HRA Balance Calc'!$I$1*12)),C32)</f>
        <v>15.94106812387643</v>
      </c>
      <c r="M32" s="489">
        <f>IF($H32=ROUND('HRA Balance Calc'!$I$12+'HRA Balance Calc'!$I$1*12,2),((D32/($I32-'HRA Balance Calc'!$I$1*12))*($H32-'HRA Balance Calc'!$I$1*12)),D32)</f>
        <v>0</v>
      </c>
      <c r="N32" s="489">
        <f>IF($H32=ROUND('HRA Balance Calc'!$I$12+'HRA Balance Calc'!$I$1*12,2),((E32/($I32-'HRA Balance Calc'!$I$1*12))*($H32-'HRA Balance Calc'!$I$1*12)),E32)</f>
        <v>0.41774665158866481</v>
      </c>
      <c r="P32" s="510">
        <f>B32+'HRA Balance Calc'!G41</f>
        <v>4379.2772891525792</v>
      </c>
      <c r="Q32" s="510">
        <f>C32+'HRA Balance Calc'!H41</f>
        <v>22.998354983931122</v>
      </c>
      <c r="R32" s="510">
        <f>D32+'HRA Balance Calc'!I41</f>
        <v>0</v>
      </c>
      <c r="S32" s="510">
        <f>E32+'HRA Balance Calc'!J41</f>
        <v>0.60077688834527954</v>
      </c>
      <c r="T32" s="489">
        <f t="shared" si="0"/>
        <v>471.98996185153999</v>
      </c>
      <c r="U32" s="510">
        <f t="shared" si="1"/>
        <v>4874.8663828763956</v>
      </c>
      <c r="W32" s="489">
        <f>'Winners-Losers HRA'!CC29*12-MIN('HRA Balance Calc'!Y41,'HRA Balance Calc'!$M$12)</f>
        <v>1314.2703367428289</v>
      </c>
      <c r="X32" s="489">
        <f>MIN('Winners-Losers HRA'!BS29*12,'HRA Balance Calc'!$L$12)-MIN('HRA Balance Calc'!$L$12,'HRA Balance Calc'!R41)</f>
        <v>-191.44209696617884</v>
      </c>
      <c r="Y32" s="489">
        <f t="shared" si="2"/>
        <v>1122.8282397766502</v>
      </c>
      <c r="Z32" s="510">
        <f t="shared" si="3"/>
        <v>3.3645726154408369E+22</v>
      </c>
      <c r="AA32" s="510">
        <f t="shared" si="4"/>
        <v>3.3645726154408369E+22</v>
      </c>
      <c r="AC32" s="510">
        <f t="shared" si="5"/>
        <v>-64.046700341255303</v>
      </c>
      <c r="AD32">
        <f t="shared" si="6"/>
        <v>251.93604904964641</v>
      </c>
      <c r="AE32">
        <f t="shared" si="7"/>
        <v>236.41272757735865</v>
      </c>
      <c r="AF32">
        <f t="shared" si="8"/>
        <v>23</v>
      </c>
    </row>
    <row r="33" spans="1:32" x14ac:dyDescent="0.2">
      <c r="A33">
        <f>'HRA Balance Calc'!A42</f>
        <v>25</v>
      </c>
      <c r="B33" s="489">
        <f>'HRA Balance Calc'!N42+'HRA Balance Calc'!U42+IF('HRA Balance Calc'!$L42&lt;0,'HRA Balance Calc'!$L42*('HRA Balance Calc'!$G42/'HRA Balance Calc'!$L42),0)</f>
        <v>-50.881803416741263</v>
      </c>
      <c r="C33" s="489">
        <f>'HRA Balance Calc'!V42+'HRA Balance Calc'!O42+IF('HRA Balance Calc'!$L42&lt;0,'HRA Balance Calc'!$L42*('HRA Balance Calc'!$H42/'HRA Balance Calc'!$L42),0)</f>
        <v>17.53811809952877</v>
      </c>
      <c r="D33" s="489">
        <f>'HRA Balance Calc'!W42+'HRA Balance Calc'!P42+IF('HRA Balance Calc'!$L42&lt;0,'HRA Balance Calc'!$L42*('HRA Balance Calc'!$I42/'HRA Balance Calc'!$L42),0)</f>
        <v>0</v>
      </c>
      <c r="E33" s="489">
        <f>'HRA Balance Calc'!X42+'HRA Balance Calc'!Q42+IF('HRA Balance Calc'!$L42&lt;0,'HRA Balance Calc'!$L42*('HRA Balance Calc'!$J42/'HRA Balance Calc'!$L42),0)</f>
        <v>2.027551968801558</v>
      </c>
      <c r="F33" s="489">
        <f>'HRA Balance Calc'!E42</f>
        <v>471.98996185153999</v>
      </c>
      <c r="G33" s="489">
        <f>IF('HRA Balance Calc'!L42&lt;0,0,'HRA Balance Calc'!L42)</f>
        <v>3.3645726154408369E+22</v>
      </c>
      <c r="H33" s="489">
        <f>ROUND('HRA Balance Calc'!T42,2)</f>
        <v>256.94</v>
      </c>
      <c r="I33" s="489">
        <f>'HRA Balance Calc'!S42+'HRA Balance Calc'!U42</f>
        <v>-31.316133348410915</v>
      </c>
      <c r="K33" s="489">
        <f>'HRA Balance Calc'!$I$1*12+IF($H33=ROUND('HRA Balance Calc'!$I$12+'HRA Balance Calc'!$I$1*12,2),((B33-'HRA Balance Calc'!$I$1*12)/(I33-'HRA Balance Calc'!$I$1*12))*(H33-'HRA Balance Calc'!$I$1*12),B33-'HRA Balance Calc'!$I$1*12)</f>
        <v>-50.881803416741263</v>
      </c>
      <c r="L33" s="489">
        <f>IF($H33=ROUND('HRA Balance Calc'!$I$12+'HRA Balance Calc'!$I$1*12,2),((C33/($I33-'HRA Balance Calc'!$I$1*12))*($H33-'HRA Balance Calc'!$I$1*12)),C33)</f>
        <v>17.53811809952877</v>
      </c>
      <c r="M33" s="489">
        <f>IF($H33=ROUND('HRA Balance Calc'!$I$12+'HRA Balance Calc'!$I$1*12,2),((D33/($I33-'HRA Balance Calc'!$I$1*12))*($H33-'HRA Balance Calc'!$I$1*12)),D33)</f>
        <v>0</v>
      </c>
      <c r="N33" s="489">
        <f>IF($H33=ROUND('HRA Balance Calc'!$I$12+'HRA Balance Calc'!$I$1*12,2),((E33/($I33-'HRA Balance Calc'!$I$1*12))*($H33-'HRA Balance Calc'!$I$1*12)),E33)</f>
        <v>2.027551968801558</v>
      </c>
      <c r="P33" s="510">
        <f>B33+'HRA Balance Calc'!G42</f>
        <v>4392.4421860770926</v>
      </c>
      <c r="Q33" s="510">
        <f>C33+'HRA Balance Calc'!H42</f>
        <v>24.762103383700548</v>
      </c>
      <c r="R33" s="510">
        <f>D33+'HRA Balance Calc'!I42</f>
        <v>0</v>
      </c>
      <c r="S33" s="510">
        <f>E33+'HRA Balance Calc'!J42</f>
        <v>2.9158973701944988</v>
      </c>
      <c r="T33" s="489">
        <f t="shared" si="0"/>
        <v>471.98996185153999</v>
      </c>
      <c r="U33" s="510">
        <f t="shared" si="1"/>
        <v>4892.1101486825273</v>
      </c>
      <c r="W33" s="489">
        <f>'Winners-Losers HRA'!CC30*12-MIN('HRA Balance Calc'!Y42,'HRA Balance Calc'!$M$12)</f>
        <v>1312.6311140566543</v>
      </c>
      <c r="X33" s="489">
        <f>MIN('Winners-Losers HRA'!BS30*12,'HRA Balance Calc'!$L$12)-MIN('HRA Balance Calc'!$L$12,'HRA Balance Calc'!R42)</f>
        <v>-202.54494577586016</v>
      </c>
      <c r="Y33" s="489">
        <f t="shared" si="2"/>
        <v>1110.086168280794</v>
      </c>
      <c r="Z33" s="510">
        <f t="shared" si="3"/>
        <v>3.3645726154408369E+22</v>
      </c>
      <c r="AA33" s="510">
        <f t="shared" si="4"/>
        <v>3.3645726154408369E+22</v>
      </c>
      <c r="AC33" s="510">
        <f t="shared" si="5"/>
        <v>-50.881803416741263</v>
      </c>
      <c r="AD33">
        <f t="shared" si="6"/>
        <v>253.53309902529875</v>
      </c>
      <c r="AE33">
        <f t="shared" si="7"/>
        <v>238.02253289457155</v>
      </c>
      <c r="AF33">
        <f t="shared" si="8"/>
        <v>24</v>
      </c>
    </row>
    <row r="34" spans="1:32" x14ac:dyDescent="0.2">
      <c r="A34">
        <f>'HRA Balance Calc'!A43</f>
        <v>26</v>
      </c>
      <c r="B34" s="489">
        <f>'HRA Balance Calc'!N43+'HRA Balance Calc'!U43+IF('HRA Balance Calc'!$L43&lt;0,'HRA Balance Calc'!$L43*('HRA Balance Calc'!$G43/'HRA Balance Calc'!$L43),0)</f>
        <v>-31.296885831014094</v>
      </c>
      <c r="C34" s="489">
        <f>'HRA Balance Calc'!V43+'HRA Balance Calc'!O43+IF('HRA Balance Calc'!$L43&lt;0,'HRA Balance Calc'!$L43*('HRA Balance Calc'!$H43/'HRA Balance Calc'!$L43),0)</f>
        <v>17.885714482343108</v>
      </c>
      <c r="D34" s="489">
        <f>'HRA Balance Calc'!W43+'HRA Balance Calc'!P43+IF('HRA Balance Calc'!$L43&lt;0,'HRA Balance Calc'!$L43*('HRA Balance Calc'!$I43/'HRA Balance Calc'!$L43),0)</f>
        <v>1.9926915893402298E-3</v>
      </c>
      <c r="E34" s="489">
        <f>'HRA Balance Calc'!X43+'HRA Balance Calc'!Q43+IF('HRA Balance Calc'!$L43&lt;0,'HRA Balance Calc'!$L43*('HRA Balance Calc'!$J43/'HRA Balance Calc'!$L43),0)</f>
        <v>4.8706647730851911</v>
      </c>
      <c r="F34" s="489">
        <f>'HRA Balance Calc'!E43</f>
        <v>471.98996185153999</v>
      </c>
      <c r="G34" s="489">
        <f>IF('HRA Balance Calc'!L43&lt;0,0,'HRA Balance Calc'!L43)</f>
        <v>3.3645726154408369E+22</v>
      </c>
      <c r="H34" s="489">
        <f>ROUND('HRA Balance Calc'!T43,2)</f>
        <v>279.72000000000003</v>
      </c>
      <c r="I34" s="489">
        <f>'HRA Balance Calc'!S43+'HRA Balance Calc'!U43</f>
        <v>-8.5385138839964156</v>
      </c>
      <c r="K34" s="489">
        <f>'HRA Balance Calc'!$I$1*12+IF($H34=ROUND('HRA Balance Calc'!$I$12+'HRA Balance Calc'!$I$1*12,2),((B34-'HRA Balance Calc'!$I$1*12)/(I34-'HRA Balance Calc'!$I$1*12))*(H34-'HRA Balance Calc'!$I$1*12),B34-'HRA Balance Calc'!$I$1*12)</f>
        <v>-31.296885831014094</v>
      </c>
      <c r="L34" s="489">
        <f>IF($H34=ROUND('HRA Balance Calc'!$I$12+'HRA Balance Calc'!$I$1*12,2),((C34/($I34-'HRA Balance Calc'!$I$1*12))*($H34-'HRA Balance Calc'!$I$1*12)),C34)</f>
        <v>17.885714482343108</v>
      </c>
      <c r="M34" s="489">
        <f>IF($H34=ROUND('HRA Balance Calc'!$I$12+'HRA Balance Calc'!$I$1*12,2),((D34/($I34-'HRA Balance Calc'!$I$1*12))*($H34-'HRA Balance Calc'!$I$1*12)),D34)</f>
        <v>1.9926915893402298E-3</v>
      </c>
      <c r="N34" s="489">
        <f>IF($H34=ROUND('HRA Balance Calc'!$I$12+'HRA Balance Calc'!$I$1*12,2),((E34/($I34-'HRA Balance Calc'!$I$1*12))*($H34-'HRA Balance Calc'!$I$1*12)),E34)</f>
        <v>4.8706647730851911</v>
      </c>
      <c r="P34" s="510">
        <f>B34+'HRA Balance Calc'!G43</f>
        <v>4412.0271036628201</v>
      </c>
      <c r="Q34" s="510">
        <f>C34+'HRA Balance Calc'!H43</f>
        <v>24.910756858513246</v>
      </c>
      <c r="R34" s="510">
        <f>D34+'HRA Balance Calc'!I43</f>
        <v>1.1169722708992955E-2</v>
      </c>
      <c r="S34" s="510">
        <f>E34+'HRA Balance Calc'!J43</f>
        <v>7.0046828991183885</v>
      </c>
      <c r="T34" s="489">
        <f t="shared" si="0"/>
        <v>471.98996185153999</v>
      </c>
      <c r="U34" s="510">
        <f t="shared" si="1"/>
        <v>4915.9436749947008</v>
      </c>
      <c r="W34" s="489">
        <f>'Winners-Losers HRA'!CC31*12-MIN('HRA Balance Calc'!Y43,'HRA Balance Calc'!$M$12)</f>
        <v>1309.8214893482909</v>
      </c>
      <c r="X34" s="489">
        <f>MIN('Winners-Losers HRA'!BS31*12,'HRA Balance Calc'!$L$12)-MIN('HRA Balance Calc'!$L$12,'HRA Balance Calc'!R43)</f>
        <v>-218.83545436028686</v>
      </c>
      <c r="Y34" s="489">
        <f t="shared" si="2"/>
        <v>1090.9860349880041</v>
      </c>
      <c r="Z34" s="510">
        <f t="shared" si="3"/>
        <v>3.3645726154408369E+22</v>
      </c>
      <c r="AA34" s="510">
        <f t="shared" si="4"/>
        <v>3.3645726154408369E+22</v>
      </c>
      <c r="AC34" s="510">
        <f t="shared" si="5"/>
        <v>-31.294893139424754</v>
      </c>
      <c r="AD34">
        <f t="shared" si="6"/>
        <v>253.8806954081131</v>
      </c>
      <c r="AE34">
        <f t="shared" si="7"/>
        <v>240.86564569885519</v>
      </c>
      <c r="AF34">
        <f t="shared" si="8"/>
        <v>25</v>
      </c>
    </row>
    <row r="35" spans="1:32" x14ac:dyDescent="0.2">
      <c r="A35">
        <f>'HRA Balance Calc'!A44</f>
        <v>27</v>
      </c>
      <c r="B35" s="489">
        <f>'HRA Balance Calc'!N44+'HRA Balance Calc'!U44+IF('HRA Balance Calc'!$L44&lt;0,'HRA Balance Calc'!$L44*('HRA Balance Calc'!$G44/'HRA Balance Calc'!$L44),0)</f>
        <v>-22.358114760875139</v>
      </c>
      <c r="C35" s="489">
        <f>'HRA Balance Calc'!V44+'HRA Balance Calc'!O44+IF('HRA Balance Calc'!$L44&lt;0,'HRA Balance Calc'!$L44*('HRA Balance Calc'!$H44/'HRA Balance Calc'!$L44),0)</f>
        <v>18.885615007892021</v>
      </c>
      <c r="D35" s="489">
        <f>'HRA Balance Calc'!W44+'HRA Balance Calc'!P44+IF('HRA Balance Calc'!$L44&lt;0,'HRA Balance Calc'!$L44*('HRA Balance Calc'!$I44/'HRA Balance Calc'!$L44),0)</f>
        <v>0</v>
      </c>
      <c r="E35" s="489">
        <f>'HRA Balance Calc'!X44+'HRA Balance Calc'!Q44+IF('HRA Balance Calc'!$L44&lt;0,'HRA Balance Calc'!$L44*('HRA Balance Calc'!$J44/'HRA Balance Calc'!$L44),0)</f>
        <v>7.1882439610624358</v>
      </c>
      <c r="F35" s="489">
        <f>'HRA Balance Calc'!E44</f>
        <v>471.98996185153999</v>
      </c>
      <c r="G35" s="489">
        <f>IF('HRA Balance Calc'!L44&lt;0,0,'HRA Balance Calc'!L44)</f>
        <v>3.3645726154408369E+22</v>
      </c>
      <c r="H35" s="489">
        <f>ROUND('HRA Balance Calc'!T44,2)</f>
        <v>291.98</v>
      </c>
      <c r="I35" s="489">
        <f>'HRA Balance Calc'!S44+'HRA Balance Calc'!U44</f>
        <v>3.715744208079343</v>
      </c>
      <c r="K35" s="489">
        <f>'HRA Balance Calc'!$I$1*12+IF($H35=ROUND('HRA Balance Calc'!$I$12+'HRA Balance Calc'!$I$1*12,2),((B35-'HRA Balance Calc'!$I$1*12)/(I35-'HRA Balance Calc'!$I$1*12))*(H35-'HRA Balance Calc'!$I$1*12),B35-'HRA Balance Calc'!$I$1*12)</f>
        <v>-22.358114760875139</v>
      </c>
      <c r="L35" s="489">
        <f>IF($H35=ROUND('HRA Balance Calc'!$I$12+'HRA Balance Calc'!$I$1*12,2),((C35/($I35-'HRA Balance Calc'!$I$1*12))*($H35-'HRA Balance Calc'!$I$1*12)),C35)</f>
        <v>18.885615007892021</v>
      </c>
      <c r="M35" s="489">
        <f>IF($H35=ROUND('HRA Balance Calc'!$I$12+'HRA Balance Calc'!$I$1*12,2),((D35/($I35-'HRA Balance Calc'!$I$1*12))*($H35-'HRA Balance Calc'!$I$1*12)),D35)</f>
        <v>0</v>
      </c>
      <c r="N35" s="489">
        <f>IF($H35=ROUND('HRA Balance Calc'!$I$12+'HRA Balance Calc'!$I$1*12,2),((E35/($I35-'HRA Balance Calc'!$I$1*12))*($H35-'HRA Balance Calc'!$I$1*12)),E35)</f>
        <v>7.1882439610624358</v>
      </c>
      <c r="P35" s="510">
        <f>B35+'HRA Balance Calc'!G44</f>
        <v>4420.9658747329595</v>
      </c>
      <c r="Q35" s="510">
        <f>C35+'HRA Balance Calc'!H44</f>
        <v>26.122862601419222</v>
      </c>
      <c r="R35" s="510">
        <f>D35+'HRA Balance Calc'!I44</f>
        <v>0</v>
      </c>
      <c r="S35" s="510">
        <f>E35+'HRA Balance Calc'!J44</f>
        <v>10.337679124825369</v>
      </c>
      <c r="T35" s="489">
        <f t="shared" si="0"/>
        <v>471.98996185153999</v>
      </c>
      <c r="U35" s="510">
        <f t="shared" si="1"/>
        <v>4929.4163783107442</v>
      </c>
      <c r="W35" s="489">
        <f>'Winners-Losers HRA'!CC32*12-MIN('HRA Balance Calc'!Y44,'HRA Balance Calc'!$M$12)</f>
        <v>1307.4680816568602</v>
      </c>
      <c r="X35" s="489">
        <f>MIN('Winners-Losers HRA'!BS32*12,'HRA Balance Calc'!$L$12)-MIN('HRA Balance Calc'!$L$12,'HRA Balance Calc'!R44)</f>
        <v>-224.96865923782292</v>
      </c>
      <c r="Y35" s="489">
        <f t="shared" si="2"/>
        <v>1082.4994224190373</v>
      </c>
      <c r="Z35" s="510">
        <f t="shared" si="3"/>
        <v>3.3645726154408369E+22</v>
      </c>
      <c r="AA35" s="510">
        <f t="shared" si="4"/>
        <v>3.3645726154408369E+22</v>
      </c>
      <c r="AC35" s="510">
        <f t="shared" si="5"/>
        <v>-22.358114760875139</v>
      </c>
      <c r="AD35">
        <f t="shared" si="6"/>
        <v>254.88059593366202</v>
      </c>
      <c r="AE35">
        <f t="shared" si="7"/>
        <v>243.18322488683242</v>
      </c>
      <c r="AF35">
        <f t="shared" si="8"/>
        <v>26</v>
      </c>
    </row>
    <row r="36" spans="1:32" x14ac:dyDescent="0.2">
      <c r="A36">
        <f>'HRA Balance Calc'!A45</f>
        <v>28</v>
      </c>
      <c r="B36" s="489">
        <f>'HRA Balance Calc'!N45+'HRA Balance Calc'!U45+IF('HRA Balance Calc'!$L45&lt;0,'HRA Balance Calc'!$L45*('HRA Balance Calc'!$G45/'HRA Balance Calc'!$L45),0)</f>
        <v>-8.4953236530423055</v>
      </c>
      <c r="C36" s="489">
        <f>'HRA Balance Calc'!V45+'HRA Balance Calc'!O45+IF('HRA Balance Calc'!$L45&lt;0,'HRA Balance Calc'!$L45*('HRA Balance Calc'!$H45/'HRA Balance Calc'!$L45),0)</f>
        <v>20.910440922083751</v>
      </c>
      <c r="D36" s="489">
        <f>'HRA Balance Calc'!W45+'HRA Balance Calc'!P45+IF('HRA Balance Calc'!$L45&lt;0,'HRA Balance Calc'!$L45*('HRA Balance Calc'!$I45/'HRA Balance Calc'!$L45),0)</f>
        <v>0</v>
      </c>
      <c r="E36" s="489">
        <f>'HRA Balance Calc'!X45+'HRA Balance Calc'!Q45+IF('HRA Balance Calc'!$L45&lt;0,'HRA Balance Calc'!$L45*('HRA Balance Calc'!$J45/'HRA Balance Calc'!$L45),0)</f>
        <v>6.7391729358835262</v>
      </c>
      <c r="F36" s="489">
        <f>'HRA Balance Calc'!E45</f>
        <v>471.98996185153999</v>
      </c>
      <c r="G36" s="489">
        <f>IF('HRA Balance Calc'!L45&lt;0,0,'HRA Balance Calc'!L45)</f>
        <v>3.3645726154408369E+22</v>
      </c>
      <c r="H36" s="489">
        <f>ROUND('HRA Balance Calc'!T45,2)</f>
        <v>307.42</v>
      </c>
      <c r="I36" s="489">
        <f>'HRA Balance Calc'!S45+'HRA Balance Calc'!U45</f>
        <v>19.154290204924962</v>
      </c>
      <c r="K36" s="489">
        <f>'HRA Balance Calc'!$I$1*12+IF($H36=ROUND('HRA Balance Calc'!$I$12+'HRA Balance Calc'!$I$1*12,2),((B36-'HRA Balance Calc'!$I$1*12)/(I36-'HRA Balance Calc'!$I$1*12))*(H36-'HRA Balance Calc'!$I$1*12),B36-'HRA Balance Calc'!$I$1*12)</f>
        <v>-8.4953236530423055</v>
      </c>
      <c r="L36" s="489">
        <f>IF($H36=ROUND('HRA Balance Calc'!$I$12+'HRA Balance Calc'!$I$1*12,2),((C36/($I36-'HRA Balance Calc'!$I$1*12))*($H36-'HRA Balance Calc'!$I$1*12)),C36)</f>
        <v>20.910440922083751</v>
      </c>
      <c r="M36" s="489">
        <f>IF($H36=ROUND('HRA Balance Calc'!$I$12+'HRA Balance Calc'!$I$1*12,2),((D36/($I36-'HRA Balance Calc'!$I$1*12))*($H36-'HRA Balance Calc'!$I$1*12)),D36)</f>
        <v>0</v>
      </c>
      <c r="N36" s="489">
        <f>IF($H36=ROUND('HRA Balance Calc'!$I$12+'HRA Balance Calc'!$I$1*12,2),((E36/($I36-'HRA Balance Calc'!$I$1*12))*($H36-'HRA Balance Calc'!$I$1*12)),E36)</f>
        <v>6.7391729358835262</v>
      </c>
      <c r="P36" s="510">
        <f>B36+'HRA Balance Calc'!G45</f>
        <v>4434.8286658407924</v>
      </c>
      <c r="Q36" s="510">
        <f>C36+'HRA Balance Calc'!H45</f>
        <v>28.922409770029105</v>
      </c>
      <c r="R36" s="510">
        <f>D36+'HRA Balance Calc'!I45</f>
        <v>0</v>
      </c>
      <c r="S36" s="510">
        <f>E36+'HRA Balance Calc'!J45</f>
        <v>9.6918534979124793</v>
      </c>
      <c r="T36" s="489">
        <f t="shared" si="0"/>
        <v>471.98996185153999</v>
      </c>
      <c r="U36" s="510">
        <f t="shared" si="1"/>
        <v>4945.4328909602737</v>
      </c>
      <c r="W36" s="489">
        <f>'Winners-Losers HRA'!CC33*12-MIN('HRA Balance Calc'!Y45,'HRA Balance Calc'!$M$12)</f>
        <v>1307.7804371665534</v>
      </c>
      <c r="X36" s="489">
        <f>MIN('Winners-Losers HRA'!BS33*12,'HRA Balance Calc'!$L$12)-MIN('HRA Balance Calc'!$L$12,'HRA Balance Calc'!R45)</f>
        <v>-236.79965327088692</v>
      </c>
      <c r="Y36" s="489">
        <f t="shared" si="2"/>
        <v>1070.9807838956665</v>
      </c>
      <c r="Z36" s="510">
        <f t="shared" si="3"/>
        <v>3.3645726154408369E+22</v>
      </c>
      <c r="AA36" s="510">
        <f t="shared" si="4"/>
        <v>3.3645726154408369E+22</v>
      </c>
      <c r="AC36" s="510">
        <f t="shared" si="5"/>
        <v>-8.4953236530423055</v>
      </c>
      <c r="AD36">
        <f t="shared" si="6"/>
        <v>256.90542184785375</v>
      </c>
      <c r="AE36">
        <f t="shared" si="7"/>
        <v>242.73415386165351</v>
      </c>
      <c r="AF36">
        <f t="shared" si="8"/>
        <v>27</v>
      </c>
    </row>
    <row r="37" spans="1:32" x14ac:dyDescent="0.2">
      <c r="A37">
        <f>'HRA Balance Calc'!A46</f>
        <v>29</v>
      </c>
      <c r="B37" s="489">
        <f>'HRA Balance Calc'!N46+'HRA Balance Calc'!U46+IF('HRA Balance Calc'!$L46&lt;0,'HRA Balance Calc'!$L46*('HRA Balance Calc'!$G46/'HRA Balance Calc'!$L46),0)</f>
        <v>7.0441975987256455</v>
      </c>
      <c r="C37" s="489">
        <f>'HRA Balance Calc'!V46+'HRA Balance Calc'!O46+IF('HRA Balance Calc'!$L46&lt;0,'HRA Balance Calc'!$L46*('HRA Balance Calc'!$H46/'HRA Balance Calc'!$L46),0)</f>
        <v>21.968278071714074</v>
      </c>
      <c r="D37" s="489">
        <f>'HRA Balance Calc'!W46+'HRA Balance Calc'!P46+IF('HRA Balance Calc'!$L46&lt;0,'HRA Balance Calc'!$L46*('HRA Balance Calc'!$I46/'HRA Balance Calc'!$L46),0)</f>
        <v>0</v>
      </c>
      <c r="E37" s="489">
        <f>'HRA Balance Calc'!X46+'HRA Balance Calc'!Q46+IF('HRA Balance Calc'!$L46&lt;0,'HRA Balance Calc'!$L46*('HRA Balance Calc'!$J46/'HRA Balance Calc'!$L46),0)</f>
        <v>7.110686412016614</v>
      </c>
      <c r="F37" s="489">
        <f>'HRA Balance Calc'!E46</f>
        <v>471.98996185153999</v>
      </c>
      <c r="G37" s="489">
        <f>IF('HRA Balance Calc'!L46&lt;0,0,'HRA Balance Calc'!L46)</f>
        <v>3.3645726154408369E+22</v>
      </c>
      <c r="H37" s="489">
        <f>ROUND('HRA Balance Calc'!T46,2)</f>
        <v>324.38</v>
      </c>
      <c r="I37" s="489">
        <f>'HRA Balance Calc'!S46+'HRA Balance Calc'!U46</f>
        <v>36.123162082456304</v>
      </c>
      <c r="K37" s="489">
        <f>'HRA Balance Calc'!$I$1*12+IF($H37=ROUND('HRA Balance Calc'!$I$12+'HRA Balance Calc'!$I$1*12,2),((B37-'HRA Balance Calc'!$I$1*12)/(I37-'HRA Balance Calc'!$I$1*12))*(H37-'HRA Balance Calc'!$I$1*12),B37-'HRA Balance Calc'!$I$1*12)</f>
        <v>7.0441975987256455</v>
      </c>
      <c r="L37" s="489">
        <f>IF($H37=ROUND('HRA Balance Calc'!$I$12+'HRA Balance Calc'!$I$1*12,2),((C37/($I37-'HRA Balance Calc'!$I$1*12))*($H37-'HRA Balance Calc'!$I$1*12)),C37)</f>
        <v>21.968278071714074</v>
      </c>
      <c r="M37" s="489">
        <f>IF($H37=ROUND('HRA Balance Calc'!$I$12+'HRA Balance Calc'!$I$1*12,2),((D37/($I37-'HRA Balance Calc'!$I$1*12))*($H37-'HRA Balance Calc'!$I$1*12)),D37)</f>
        <v>0</v>
      </c>
      <c r="N37" s="489">
        <f>IF($H37=ROUND('HRA Balance Calc'!$I$12+'HRA Balance Calc'!$I$1*12,2),((E37/($I37-'HRA Balance Calc'!$I$1*12))*($H37-'HRA Balance Calc'!$I$1*12)),E37)</f>
        <v>7.110686412016614</v>
      </c>
      <c r="P37" s="510">
        <f>B37+'HRA Balance Calc'!G46</f>
        <v>4450.3681870925602</v>
      </c>
      <c r="Q37" s="510">
        <f>C37+'HRA Balance Calc'!H46</f>
        <v>31.088501947469481</v>
      </c>
      <c r="R37" s="510">
        <f>D37+'HRA Balance Calc'!I46</f>
        <v>0</v>
      </c>
      <c r="S37" s="510">
        <f>E37+'HRA Balance Calc'!J46</f>
        <v>10.226140749098747</v>
      </c>
      <c r="T37" s="489">
        <f t="shared" si="0"/>
        <v>471.98996185153999</v>
      </c>
      <c r="U37" s="510">
        <f t="shared" si="1"/>
        <v>4963.6727916406689</v>
      </c>
      <c r="W37" s="489">
        <f>'Winners-Losers HRA'!CC34*12-MIN('HRA Balance Calc'!Y46,'HRA Balance Calc'!$M$12)</f>
        <v>1307.213349273748</v>
      </c>
      <c r="X37" s="489">
        <f>MIN('Winners-Losers HRA'!BS34*12,'HRA Balance Calc'!$L$12)-MIN('HRA Balance Calc'!$L$12,'HRA Balance Calc'!R46)</f>
        <v>-249.0666637863381</v>
      </c>
      <c r="Y37" s="489">
        <f t="shared" si="2"/>
        <v>1058.14668548741</v>
      </c>
      <c r="Z37" s="510">
        <f t="shared" si="3"/>
        <v>3.3645726154408369E+22</v>
      </c>
      <c r="AA37" s="510">
        <f t="shared" si="4"/>
        <v>3.3645726154408369E+22</v>
      </c>
      <c r="AC37" s="510">
        <f t="shared" si="5"/>
        <v>7.0441975987256455</v>
      </c>
      <c r="AD37">
        <f t="shared" si="6"/>
        <v>257.96325899748405</v>
      </c>
      <c r="AE37">
        <f t="shared" si="7"/>
        <v>243.1056673377866</v>
      </c>
      <c r="AF37">
        <f t="shared" si="8"/>
        <v>28</v>
      </c>
    </row>
    <row r="38" spans="1:32" x14ac:dyDescent="0.2">
      <c r="A38">
        <f>'HRA Balance Calc'!A47</f>
        <v>30</v>
      </c>
      <c r="B38" s="489">
        <f>'HRA Balance Calc'!N47+'HRA Balance Calc'!U47+IF('HRA Balance Calc'!$L47&lt;0,'HRA Balance Calc'!$L47*('HRA Balance Calc'!$G47/'HRA Balance Calc'!$L47),0)</f>
        <v>16.146248335865437</v>
      </c>
      <c r="C38" s="489">
        <f>'HRA Balance Calc'!V47+'HRA Balance Calc'!O47+IF('HRA Balance Calc'!$L47&lt;0,'HRA Balance Calc'!$L47*('HRA Balance Calc'!$H47/'HRA Balance Calc'!$L47),0)</f>
        <v>23.822363592859514</v>
      </c>
      <c r="D38" s="489">
        <f>'HRA Balance Calc'!W47+'HRA Balance Calc'!P47+IF('HRA Balance Calc'!$L47&lt;0,'HRA Balance Calc'!$L47*('HRA Balance Calc'!$I47/'HRA Balance Calc'!$L47),0)</f>
        <v>2.545763139961606E-3</v>
      </c>
      <c r="E38" s="489">
        <f>'HRA Balance Calc'!X47+'HRA Balance Calc'!Q47+IF('HRA Balance Calc'!$L47&lt;0,'HRA Balance Calc'!$L47*('HRA Balance Calc'!$J47/'HRA Balance Calc'!$L47),0)</f>
        <v>6.8929123951543279</v>
      </c>
      <c r="F38" s="489">
        <f>'HRA Balance Calc'!E47</f>
        <v>471.98996185153999</v>
      </c>
      <c r="G38" s="489">
        <f>IF('HRA Balance Calc'!L47&lt;0,0,'HRA Balance Calc'!L47)</f>
        <v>3.3645726154408369E+22</v>
      </c>
      <c r="H38" s="489">
        <f>ROUND('HRA Balance Calc'!T47,2)</f>
        <v>335.12</v>
      </c>
      <c r="I38" s="489">
        <f>'HRA Balance Calc'!S47+'HRA Balance Calc'!U47</f>
        <v>46.864070087019229</v>
      </c>
      <c r="K38" s="489">
        <f>'HRA Balance Calc'!$I$1*12+IF($H38=ROUND('HRA Balance Calc'!$I$12+'HRA Balance Calc'!$I$1*12,2),((B38-'HRA Balance Calc'!$I$1*12)/(I38-'HRA Balance Calc'!$I$1*12))*(H38-'HRA Balance Calc'!$I$1*12),B38-'HRA Balance Calc'!$I$1*12)</f>
        <v>16.146248335865437</v>
      </c>
      <c r="L38" s="489">
        <f>IF($H38=ROUND('HRA Balance Calc'!$I$12+'HRA Balance Calc'!$I$1*12,2),((C38/($I38-'HRA Balance Calc'!$I$1*12))*($H38-'HRA Balance Calc'!$I$1*12)),C38)</f>
        <v>23.822363592859514</v>
      </c>
      <c r="M38" s="489">
        <f>IF($H38=ROUND('HRA Balance Calc'!$I$12+'HRA Balance Calc'!$I$1*12,2),((D38/($I38-'HRA Balance Calc'!$I$1*12))*($H38-'HRA Balance Calc'!$I$1*12)),D38)</f>
        <v>2.545763139961606E-3</v>
      </c>
      <c r="N38" s="489">
        <f>IF($H38=ROUND('HRA Balance Calc'!$I$12+'HRA Balance Calc'!$I$1*12,2),((E38/($I38-'HRA Balance Calc'!$I$1*12))*($H38-'HRA Balance Calc'!$I$1*12)),E38)</f>
        <v>6.8929123951543279</v>
      </c>
      <c r="P38" s="510">
        <f>B38+'HRA Balance Calc'!G47</f>
        <v>4459.4702378296997</v>
      </c>
      <c r="Q38" s="510">
        <f>C38+'HRA Balance Calc'!H47</f>
        <v>33.23956473532543</v>
      </c>
      <c r="R38" s="510">
        <f>D38+'HRA Balance Calc'!I47</f>
        <v>1.4269879246873923E-2</v>
      </c>
      <c r="S38" s="510">
        <f>E38+'HRA Balance Calc'!J47</f>
        <v>9.9129518923708115</v>
      </c>
      <c r="T38" s="489">
        <f t="shared" si="0"/>
        <v>471.98996185153999</v>
      </c>
      <c r="U38" s="510">
        <f t="shared" si="1"/>
        <v>4974.6269861881829</v>
      </c>
      <c r="W38" s="489">
        <f>'Winners-Losers HRA'!CC35*12-MIN('HRA Balance Calc'!Y47,'HRA Balance Calc'!$M$12)</f>
        <v>1307.3766465759954</v>
      </c>
      <c r="X38" s="489">
        <f>MIN('Winners-Losers HRA'!BS35*12,'HRA Balance Calc'!$L$12)-MIN('HRA Balance Calc'!$L$12,'HRA Balance Calc'!R47)</f>
        <v>-255.67524263932677</v>
      </c>
      <c r="Y38" s="489">
        <f t="shared" si="2"/>
        <v>1051.7014039366686</v>
      </c>
      <c r="Z38" s="510">
        <f t="shared" si="3"/>
        <v>3.3645726154408369E+22</v>
      </c>
      <c r="AA38" s="510">
        <f t="shared" si="4"/>
        <v>3.3645726154408369E+22</v>
      </c>
      <c r="AC38" s="510">
        <f t="shared" si="5"/>
        <v>16.1487940990054</v>
      </c>
      <c r="AD38">
        <f t="shared" si="6"/>
        <v>259.81734451862951</v>
      </c>
      <c r="AE38">
        <f t="shared" si="7"/>
        <v>242.88789332092432</v>
      </c>
      <c r="AF38">
        <f t="shared" si="8"/>
        <v>29</v>
      </c>
    </row>
    <row r="39" spans="1:32" x14ac:dyDescent="0.2">
      <c r="A39">
        <f>'HRA Balance Calc'!A48</f>
        <v>31</v>
      </c>
      <c r="B39" s="489">
        <f>'HRA Balance Calc'!N48+'HRA Balance Calc'!U48+IF('HRA Balance Calc'!$L48&lt;0,'HRA Balance Calc'!$L48*('HRA Balance Calc'!$G48/'HRA Balance Calc'!$L48),0)</f>
        <v>26.673900951307871</v>
      </c>
      <c r="C39" s="489">
        <f>'HRA Balance Calc'!V48+'HRA Balance Calc'!O48+IF('HRA Balance Calc'!$L48&lt;0,'HRA Balance Calc'!$L48*('HRA Balance Calc'!$H48/'HRA Balance Calc'!$L48),0)</f>
        <v>23.64301445154905</v>
      </c>
      <c r="D39" s="489">
        <f>'HRA Balance Calc'!W48+'HRA Balance Calc'!P48+IF('HRA Balance Calc'!$L48&lt;0,'HRA Balance Calc'!$L48*('HRA Balance Calc'!$I48/'HRA Balance Calc'!$L48),0)</f>
        <v>0</v>
      </c>
      <c r="E39" s="489">
        <f>'HRA Balance Calc'!X48+'HRA Balance Calc'!Q48+IF('HRA Balance Calc'!$L48&lt;0,'HRA Balance Calc'!$L48*('HRA Balance Calc'!$J48/'HRA Balance Calc'!$L48),0)</f>
        <v>6.8107861527503264</v>
      </c>
      <c r="F39" s="489">
        <f>'HRA Balance Calc'!E48</f>
        <v>471.98996185153999</v>
      </c>
      <c r="G39" s="489">
        <f>IF('HRA Balance Calc'!L48&lt;0,0,'HRA Balance Calc'!L48)</f>
        <v>3.3645726154408369E+22</v>
      </c>
      <c r="H39" s="489">
        <f>ROUND('HRA Balance Calc'!T48,2)</f>
        <v>345.39</v>
      </c>
      <c r="I39" s="489">
        <f>'HRA Balance Calc'!S48+'HRA Balance Calc'!U48</f>
        <v>57.127701555607246</v>
      </c>
      <c r="K39" s="489">
        <f>'HRA Balance Calc'!$I$1*12+IF($H39=ROUND('HRA Balance Calc'!$I$12+'HRA Balance Calc'!$I$1*12,2),((B39-'HRA Balance Calc'!$I$1*12)/(I39-'HRA Balance Calc'!$I$1*12))*(H39-'HRA Balance Calc'!$I$1*12),B39-'HRA Balance Calc'!$I$1*12)</f>
        <v>26.673900951307871</v>
      </c>
      <c r="L39" s="489">
        <f>IF($H39=ROUND('HRA Balance Calc'!$I$12+'HRA Balance Calc'!$I$1*12,2),((C39/($I39-'HRA Balance Calc'!$I$1*12))*($H39-'HRA Balance Calc'!$I$1*12)),C39)</f>
        <v>23.64301445154905</v>
      </c>
      <c r="M39" s="489">
        <f>IF($H39=ROUND('HRA Balance Calc'!$I$12+'HRA Balance Calc'!$I$1*12,2),((D39/($I39-'HRA Balance Calc'!$I$1*12))*($H39-'HRA Balance Calc'!$I$1*12)),D39)</f>
        <v>0</v>
      </c>
      <c r="N39" s="489">
        <f>IF($H39=ROUND('HRA Balance Calc'!$I$12+'HRA Balance Calc'!$I$1*12,2),((E39/($I39-'HRA Balance Calc'!$I$1*12))*($H39-'HRA Balance Calc'!$I$1*12)),E39)</f>
        <v>6.8107861527503264</v>
      </c>
      <c r="P39" s="510">
        <f>B39+'HRA Balance Calc'!G48</f>
        <v>4469.9978904451418</v>
      </c>
      <c r="Q39" s="510">
        <f>C39+'HRA Balance Calc'!H48</f>
        <v>33.019227618127665</v>
      </c>
      <c r="R39" s="510">
        <f>D39+'HRA Balance Calc'!I48</f>
        <v>0</v>
      </c>
      <c r="S39" s="510">
        <f>E39+'HRA Balance Calc'!J48</f>
        <v>9.7948431099895981</v>
      </c>
      <c r="T39" s="489">
        <f t="shared" si="0"/>
        <v>471.98996185153999</v>
      </c>
      <c r="U39" s="510">
        <f t="shared" si="1"/>
        <v>4984.8019230247992</v>
      </c>
      <c r="W39" s="489">
        <f>'Winners-Losers HRA'!CC36*12-MIN('HRA Balance Calc'!Y48,'HRA Balance Calc'!$M$12)</f>
        <v>1307.4680749522809</v>
      </c>
      <c r="X39" s="489">
        <f>MIN('Winners-Losers HRA'!BS36*12,'HRA Balance Calc'!$L$12)-MIN('HRA Balance Calc'!$L$12,'HRA Balance Calc'!R48)</f>
        <v>-261.56214448022945</v>
      </c>
      <c r="Y39" s="489">
        <f t="shared" si="2"/>
        <v>1045.9059304720513</v>
      </c>
      <c r="Z39" s="510">
        <f t="shared" si="3"/>
        <v>3.3645726154408369E+22</v>
      </c>
      <c r="AA39" s="510">
        <f t="shared" si="4"/>
        <v>3.3645726154408369E+22</v>
      </c>
      <c r="AC39" s="510">
        <f t="shared" si="5"/>
        <v>26.673900951307871</v>
      </c>
      <c r="AD39">
        <f t="shared" si="6"/>
        <v>259.63799537731904</v>
      </c>
      <c r="AE39">
        <f t="shared" si="7"/>
        <v>242.80576707852032</v>
      </c>
      <c r="AF39">
        <f t="shared" si="8"/>
        <v>30</v>
      </c>
    </row>
    <row r="40" spans="1:32" x14ac:dyDescent="0.2">
      <c r="A40">
        <f>'HRA Balance Calc'!A49</f>
        <v>32</v>
      </c>
      <c r="B40" s="489">
        <f>'HRA Balance Calc'!N49+'HRA Balance Calc'!U49+IF('HRA Balance Calc'!$L49&lt;0,'HRA Balance Calc'!$L49*('HRA Balance Calc'!$G49/'HRA Balance Calc'!$L49),0)</f>
        <v>39.966860294912635</v>
      </c>
      <c r="C40" s="489">
        <f>'HRA Balance Calc'!V49+'HRA Balance Calc'!O49+IF('HRA Balance Calc'!$L49&lt;0,'HRA Balance Calc'!$L49*('HRA Balance Calc'!$H49/'HRA Balance Calc'!$L49),0)</f>
        <v>27.930518028540074</v>
      </c>
      <c r="D40" s="489">
        <f>'HRA Balance Calc'!W49+'HRA Balance Calc'!P49+IF('HRA Balance Calc'!$L49&lt;0,'HRA Balance Calc'!$L49*('HRA Balance Calc'!$I49/'HRA Balance Calc'!$L49),0)</f>
        <v>0</v>
      </c>
      <c r="E40" s="489">
        <f>'HRA Balance Calc'!X49+'HRA Balance Calc'!Q49+IF('HRA Balance Calc'!$L49&lt;0,'HRA Balance Calc'!$L49*('HRA Balance Calc'!$J49/'HRA Balance Calc'!$L49),0)</f>
        <v>6.6222788243116328</v>
      </c>
      <c r="F40" s="489">
        <f>'HRA Balance Calc'!E49</f>
        <v>471.98996185153999</v>
      </c>
      <c r="G40" s="489">
        <f>IF('HRA Balance Calc'!L49&lt;0,0,'HRA Balance Calc'!L49)</f>
        <v>3.3645726154408369E+22</v>
      </c>
      <c r="H40" s="489">
        <f>ROUND('HRA Balance Calc'!T49,2)</f>
        <v>362.78</v>
      </c>
      <c r="I40" s="489">
        <f>'HRA Balance Calc'!S49+'HRA Balance Calc'!U49</f>
        <v>74.519657147764349</v>
      </c>
      <c r="K40" s="489">
        <f>'HRA Balance Calc'!$I$1*12+IF($H40=ROUND('HRA Balance Calc'!$I$12+'HRA Balance Calc'!$I$1*12,2),((B40-'HRA Balance Calc'!$I$1*12)/(I40-'HRA Balance Calc'!$I$1*12))*(H40-'HRA Balance Calc'!$I$1*12),B40-'HRA Balance Calc'!$I$1*12)</f>
        <v>39.966860294912635</v>
      </c>
      <c r="L40" s="489">
        <f>IF($H40=ROUND('HRA Balance Calc'!$I$12+'HRA Balance Calc'!$I$1*12,2),((C40/($I40-'HRA Balance Calc'!$I$1*12))*($H40-'HRA Balance Calc'!$I$1*12)),C40)</f>
        <v>27.930518028540074</v>
      </c>
      <c r="M40" s="489">
        <f>IF($H40=ROUND('HRA Balance Calc'!$I$12+'HRA Balance Calc'!$I$1*12,2),((D40/($I40-'HRA Balance Calc'!$I$1*12))*($H40-'HRA Balance Calc'!$I$1*12)),D40)</f>
        <v>0</v>
      </c>
      <c r="N40" s="489">
        <f>IF($H40=ROUND('HRA Balance Calc'!$I$12+'HRA Balance Calc'!$I$1*12,2),((E40/($I40-'HRA Balance Calc'!$I$1*12))*($H40-'HRA Balance Calc'!$I$1*12)),E40)</f>
        <v>6.6222788243116328</v>
      </c>
      <c r="P40" s="510">
        <f>B40+'HRA Balance Calc'!G49</f>
        <v>4483.2908497887465</v>
      </c>
      <c r="Q40" s="510">
        <f>C40+'HRA Balance Calc'!H49</f>
        <v>39.573506872997839</v>
      </c>
      <c r="R40" s="510">
        <f>D40+'HRA Balance Calc'!I49</f>
        <v>0</v>
      </c>
      <c r="S40" s="510">
        <f>E40+'HRA Balance Calc'!J49</f>
        <v>9.5237437587943372</v>
      </c>
      <c r="T40" s="489">
        <f t="shared" si="0"/>
        <v>471.98996185153999</v>
      </c>
      <c r="U40" s="510">
        <f t="shared" si="1"/>
        <v>5004.3780622720788</v>
      </c>
      <c r="W40" s="489">
        <f>'Winners-Losers HRA'!CC37*12-MIN('HRA Balance Calc'!Y49,'HRA Balance Calc'!$M$12)</f>
        <v>1307.2565630434467</v>
      </c>
      <c r="X40" s="489">
        <f>MIN('Winners-Losers HRA'!BS37*12,'HRA Balance Calc'!$L$12)-MIN('HRA Balance Calc'!$L$12,'HRA Balance Calc'!R49)</f>
        <v>-274.14364788546453</v>
      </c>
      <c r="Y40" s="489">
        <f t="shared" si="2"/>
        <v>1033.1129151579821</v>
      </c>
      <c r="Z40" s="510">
        <f t="shared" si="3"/>
        <v>3.3645726154408369E+22</v>
      </c>
      <c r="AA40" s="510">
        <f t="shared" si="4"/>
        <v>3.3645726154408369E+22</v>
      </c>
      <c r="AC40" s="510">
        <f t="shared" si="5"/>
        <v>39.966860294912635</v>
      </c>
      <c r="AD40">
        <f t="shared" si="6"/>
        <v>263.92549895431006</v>
      </c>
      <c r="AE40">
        <f t="shared" si="7"/>
        <v>242.61725975008162</v>
      </c>
      <c r="AF40">
        <f t="shared" si="8"/>
        <v>31</v>
      </c>
    </row>
    <row r="41" spans="1:32" x14ac:dyDescent="0.2">
      <c r="A41">
        <f>'HRA Balance Calc'!A50</f>
        <v>33</v>
      </c>
      <c r="B41" s="489">
        <f>'HRA Balance Calc'!N50+'HRA Balance Calc'!U50+IF('HRA Balance Calc'!$L50&lt;0,'HRA Balance Calc'!$L50*('HRA Balance Calc'!$G50/'HRA Balance Calc'!$L50),0)</f>
        <v>49.998495296080421</v>
      </c>
      <c r="C41" s="489">
        <f>'HRA Balance Calc'!V50+'HRA Balance Calc'!O50+IF('HRA Balance Calc'!$L50&lt;0,'HRA Balance Calc'!$L50*('HRA Balance Calc'!$H50/'HRA Balance Calc'!$L50),0)</f>
        <v>29.029036801929692</v>
      </c>
      <c r="D41" s="489">
        <f>'HRA Balance Calc'!W50+'HRA Balance Calc'!P50+IF('HRA Balance Calc'!$L50&lt;0,'HRA Balance Calc'!$L50*('HRA Balance Calc'!$I50/'HRA Balance Calc'!$L50),0)</f>
        <v>0</v>
      </c>
      <c r="E41" s="489">
        <f>'HRA Balance Calc'!X50+'HRA Balance Calc'!Q50+IF('HRA Balance Calc'!$L50&lt;0,'HRA Balance Calc'!$L50*('HRA Balance Calc'!$J50/'HRA Balance Calc'!$L50),0)</f>
        <v>6.1391310482693076</v>
      </c>
      <c r="F41" s="489">
        <f>'HRA Balance Calc'!E50</f>
        <v>471.98996185153999</v>
      </c>
      <c r="G41" s="489">
        <f>IF('HRA Balance Calc'!L50&lt;0,0,'HRA Balance Calc'!L50)</f>
        <v>3.3645726154408369E+22</v>
      </c>
      <c r="H41" s="489">
        <f>ROUND('HRA Balance Calc'!T50,2)</f>
        <v>373.43</v>
      </c>
      <c r="I41" s="489">
        <f>'HRA Balance Calc'!S50+'HRA Balance Calc'!U50</f>
        <v>85.166663146279461</v>
      </c>
      <c r="K41" s="489">
        <f>'HRA Balance Calc'!$I$1*12+IF($H41=ROUND('HRA Balance Calc'!$I$12+'HRA Balance Calc'!$I$1*12,2),((B41-'HRA Balance Calc'!$I$1*12)/(I41-'HRA Balance Calc'!$I$1*12))*(H41-'HRA Balance Calc'!$I$1*12),B41-'HRA Balance Calc'!$I$1*12)</f>
        <v>49.998495296080421</v>
      </c>
      <c r="L41" s="489">
        <f>IF($H41=ROUND('HRA Balance Calc'!$I$12+'HRA Balance Calc'!$I$1*12,2),((C41/($I41-'HRA Balance Calc'!$I$1*12))*($H41-'HRA Balance Calc'!$I$1*12)),C41)</f>
        <v>29.029036801929692</v>
      </c>
      <c r="M41" s="489">
        <f>IF($H41=ROUND('HRA Balance Calc'!$I$12+'HRA Balance Calc'!$I$1*12,2),((D41/($I41-'HRA Balance Calc'!$I$1*12))*($H41-'HRA Balance Calc'!$I$1*12)),D41)</f>
        <v>0</v>
      </c>
      <c r="N41" s="489">
        <f>IF($H41=ROUND('HRA Balance Calc'!$I$12+'HRA Balance Calc'!$I$1*12,2),((E41/($I41-'HRA Balance Calc'!$I$1*12))*($H41-'HRA Balance Calc'!$I$1*12)),E41)</f>
        <v>6.1391310482693076</v>
      </c>
      <c r="P41" s="510">
        <f>B41+'HRA Balance Calc'!G50</f>
        <v>4493.3224847899146</v>
      </c>
      <c r="Q41" s="510">
        <f>C41+'HRA Balance Calc'!H50</f>
        <v>41.278943971568964</v>
      </c>
      <c r="R41" s="510">
        <f>D41+'HRA Balance Calc'!I50</f>
        <v>0</v>
      </c>
      <c r="S41" s="510">
        <f>E41+'HRA Balance Calc'!J50</f>
        <v>8.8289110979033545</v>
      </c>
      <c r="T41" s="489">
        <f t="shared" si="0"/>
        <v>471.98996185153999</v>
      </c>
      <c r="U41" s="510">
        <f t="shared" si="1"/>
        <v>5015.4203017109267</v>
      </c>
      <c r="W41" s="489">
        <f>'Winners-Losers HRA'!CC38*12-MIN('HRA Balance Calc'!Y50,'HRA Balance Calc'!$M$12)</f>
        <v>1307.6326075856337</v>
      </c>
      <c r="X41" s="489">
        <f>MIN('Winners-Losers HRA'!BS38*12,'HRA Balance Calc'!$L$12)-MIN('HRA Balance Calc'!$L$12,'HRA Balance Calc'!R50)</f>
        <v>-280.36072828221188</v>
      </c>
      <c r="Y41" s="489">
        <f t="shared" si="2"/>
        <v>1027.2718793034219</v>
      </c>
      <c r="Z41" s="510">
        <f t="shared" si="3"/>
        <v>3.3645726154408369E+22</v>
      </c>
      <c r="AA41" s="510">
        <f t="shared" si="4"/>
        <v>3.3645726154408369E+22</v>
      </c>
      <c r="AC41" s="510">
        <f t="shared" si="5"/>
        <v>49.998495296080421</v>
      </c>
      <c r="AD41">
        <f t="shared" si="6"/>
        <v>265.02401772769969</v>
      </c>
      <c r="AE41">
        <f t="shared" si="7"/>
        <v>242.13411197403931</v>
      </c>
      <c r="AF41">
        <f t="shared" si="8"/>
        <v>32</v>
      </c>
    </row>
    <row r="42" spans="1:32" x14ac:dyDescent="0.2">
      <c r="A42">
        <f>'HRA Balance Calc'!A51</f>
        <v>34</v>
      </c>
      <c r="B42" s="489">
        <f>'HRA Balance Calc'!N51+'HRA Balance Calc'!U51+IF('HRA Balance Calc'!$L51&lt;0,'HRA Balance Calc'!$L51*('HRA Balance Calc'!$G51/'HRA Balance Calc'!$L51),0)</f>
        <v>59.124314273682103</v>
      </c>
      <c r="C42" s="489">
        <f>'HRA Balance Calc'!V51+'HRA Balance Calc'!O51+IF('HRA Balance Calc'!$L51&lt;0,'HRA Balance Calc'!$L51*('HRA Balance Calc'!$H51/'HRA Balance Calc'!$L51),0)</f>
        <v>31.515912447043977</v>
      </c>
      <c r="D42" s="489">
        <f>'HRA Balance Calc'!W51+'HRA Balance Calc'!P51+IF('HRA Balance Calc'!$L51&lt;0,'HRA Balance Calc'!$L51*('HRA Balance Calc'!$I51/'HRA Balance Calc'!$L51),0)</f>
        <v>0</v>
      </c>
      <c r="E42" s="489">
        <f>'HRA Balance Calc'!X51+'HRA Balance Calc'!Q51+IF('HRA Balance Calc'!$L51&lt;0,'HRA Balance Calc'!$L51*('HRA Balance Calc'!$J51/'HRA Balance Calc'!$L51),0)</f>
        <v>5.7946844480408712</v>
      </c>
      <c r="F42" s="489">
        <f>'HRA Balance Calc'!E51</f>
        <v>471.98996185153999</v>
      </c>
      <c r="G42" s="489">
        <f>IF('HRA Balance Calc'!L51&lt;0,0,'HRA Balance Calc'!L51)</f>
        <v>3.3645726154408369E+22</v>
      </c>
      <c r="H42" s="489">
        <f>ROUND('HRA Balance Calc'!T51,2)</f>
        <v>384.7</v>
      </c>
      <c r="I42" s="489">
        <f>'HRA Balance Calc'!S51+'HRA Balance Calc'!U51</f>
        <v>96.434911168766916</v>
      </c>
      <c r="K42" s="489">
        <f>'HRA Balance Calc'!$I$1*12+IF($H42=ROUND('HRA Balance Calc'!$I$12+'HRA Balance Calc'!$I$1*12,2),((B42-'HRA Balance Calc'!$I$1*12)/(I42-'HRA Balance Calc'!$I$1*12))*(H42-'HRA Balance Calc'!$I$1*12),B42-'HRA Balance Calc'!$I$1*12)</f>
        <v>59.124314273682103</v>
      </c>
      <c r="L42" s="489">
        <f>IF($H42=ROUND('HRA Balance Calc'!$I$12+'HRA Balance Calc'!$I$1*12,2),((C42/($I42-'HRA Balance Calc'!$I$1*12))*($H42-'HRA Balance Calc'!$I$1*12)),C42)</f>
        <v>31.515912447043977</v>
      </c>
      <c r="M42" s="489">
        <f>IF($H42=ROUND('HRA Balance Calc'!$I$12+'HRA Balance Calc'!$I$1*12,2),((D42/($I42-'HRA Balance Calc'!$I$1*12))*($H42-'HRA Balance Calc'!$I$1*12)),D42)</f>
        <v>0</v>
      </c>
      <c r="N42" s="489">
        <f>IF($H42=ROUND('HRA Balance Calc'!$I$12+'HRA Balance Calc'!$I$1*12,2),((E42/($I42-'HRA Balance Calc'!$I$1*12))*($H42-'HRA Balance Calc'!$I$1*12)),E42)</f>
        <v>5.7946844480408712</v>
      </c>
      <c r="P42" s="510">
        <f>B42+'HRA Balance Calc'!G51</f>
        <v>4502.4483037675163</v>
      </c>
      <c r="Q42" s="510">
        <f>C42+'HRA Balance Calc'!H51</f>
        <v>45.239845345594389</v>
      </c>
      <c r="R42" s="510">
        <f>D42+'HRA Balance Calc'!I51</f>
        <v>0</v>
      </c>
      <c r="S42" s="510">
        <f>E42+'HRA Balance Calc'!J51</f>
        <v>8.3335497206202866</v>
      </c>
      <c r="T42" s="489">
        <f t="shared" si="0"/>
        <v>471.98996185153999</v>
      </c>
      <c r="U42" s="510">
        <f t="shared" si="1"/>
        <v>5028.0116606852707</v>
      </c>
      <c r="W42" s="489">
        <f>'Winners-Losers HRA'!CC39*12-MIN('HRA Balance Calc'!Y51,'HRA Balance Calc'!$M$12)</f>
        <v>1307.7169319984071</v>
      </c>
      <c r="X42" s="489">
        <f>MIN('Winners-Losers HRA'!BS39*12,'HRA Balance Calc'!$L$12)-MIN('HRA Balance Calc'!$L$12,'HRA Balance Calc'!R51)</f>
        <v>-286.6918229123487</v>
      </c>
      <c r="Y42" s="489">
        <f t="shared" si="2"/>
        <v>1021.0251090860584</v>
      </c>
      <c r="Z42" s="510">
        <f t="shared" si="3"/>
        <v>3.3645726154408369E+22</v>
      </c>
      <c r="AA42" s="510">
        <f t="shared" si="4"/>
        <v>3.3645726154408369E+22</v>
      </c>
      <c r="AC42" s="510">
        <f t="shared" si="5"/>
        <v>59.124314273682103</v>
      </c>
      <c r="AD42">
        <f t="shared" si="6"/>
        <v>267.510893372814</v>
      </c>
      <c r="AE42">
        <f t="shared" si="7"/>
        <v>241.78966537381086</v>
      </c>
      <c r="AF42">
        <f t="shared" si="8"/>
        <v>33</v>
      </c>
    </row>
    <row r="43" spans="1:32" x14ac:dyDescent="0.2">
      <c r="A43">
        <f>'HRA Balance Calc'!A52</f>
        <v>35</v>
      </c>
      <c r="B43" s="489">
        <f>'HRA Balance Calc'!N52+'HRA Balance Calc'!U52+IF('HRA Balance Calc'!$L52&lt;0,'HRA Balance Calc'!$L52*('HRA Balance Calc'!$G52/'HRA Balance Calc'!$L52),0)</f>
        <v>75.300499195034035</v>
      </c>
      <c r="C43" s="489">
        <f>'HRA Balance Calc'!V52+'HRA Balance Calc'!O52+IF('HRA Balance Calc'!$L52&lt;0,'HRA Balance Calc'!$L52*('HRA Balance Calc'!$H52/'HRA Balance Calc'!$L52),0)</f>
        <v>32.242598563081984</v>
      </c>
      <c r="D43" s="489">
        <f>'HRA Balance Calc'!W52+'HRA Balance Calc'!P52+IF('HRA Balance Calc'!$L52&lt;0,'HRA Balance Calc'!$L52*('HRA Balance Calc'!$I52/'HRA Balance Calc'!$L52),0)</f>
        <v>3.4743574205941476E-3</v>
      </c>
      <c r="E43" s="489">
        <f>'HRA Balance Calc'!X52+'HRA Balance Calc'!Q52+IF('HRA Balance Calc'!$L52&lt;0,'HRA Balance Calc'!$L52*('HRA Balance Calc'!$J52/'HRA Balance Calc'!$L52),0)</f>
        <v>4.8020447527575287</v>
      </c>
      <c r="F43" s="489">
        <f>'HRA Balance Calc'!E52</f>
        <v>471.98996185153999</v>
      </c>
      <c r="G43" s="489">
        <f>IF('HRA Balance Calc'!L52&lt;0,0,'HRA Balance Calc'!L52)</f>
        <v>3.3645726154408369E+22</v>
      </c>
      <c r="H43" s="489">
        <f>ROUND('HRA Balance Calc'!T52,2)</f>
        <v>400.61</v>
      </c>
      <c r="I43" s="489">
        <f>'HRA Balance Calc'!S52+'HRA Balance Calc'!U52</f>
        <v>112.34861686829413</v>
      </c>
      <c r="K43" s="489">
        <f>'HRA Balance Calc'!$I$1*12+IF($H43=ROUND('HRA Balance Calc'!$I$12+'HRA Balance Calc'!$I$1*12,2),((B43-'HRA Balance Calc'!$I$1*12)/(I43-'HRA Balance Calc'!$I$1*12))*(H43-'HRA Balance Calc'!$I$1*12),B43-'HRA Balance Calc'!$I$1*12)</f>
        <v>75.300499195034035</v>
      </c>
      <c r="L43" s="489">
        <f>IF($H43=ROUND('HRA Balance Calc'!$I$12+'HRA Balance Calc'!$I$1*12,2),((C43/($I43-'HRA Balance Calc'!$I$1*12))*($H43-'HRA Balance Calc'!$I$1*12)),C43)</f>
        <v>32.242598563081984</v>
      </c>
      <c r="M43" s="489">
        <f>IF($H43=ROUND('HRA Balance Calc'!$I$12+'HRA Balance Calc'!$I$1*12,2),((D43/($I43-'HRA Balance Calc'!$I$1*12))*($H43-'HRA Balance Calc'!$I$1*12)),D43)</f>
        <v>3.4743574205941476E-3</v>
      </c>
      <c r="N43" s="489">
        <f>IF($H43=ROUND('HRA Balance Calc'!$I$12+'HRA Balance Calc'!$I$1*12,2),((E43/($I43-'HRA Balance Calc'!$I$1*12))*($H43-'HRA Balance Calc'!$I$1*12)),E43)</f>
        <v>4.8020447527575287</v>
      </c>
      <c r="P43" s="510">
        <f>B43+'HRA Balance Calc'!G52</f>
        <v>4518.624488688868</v>
      </c>
      <c r="Q43" s="510">
        <f>C43+'HRA Balance Calc'!H52</f>
        <v>46.7919973724985</v>
      </c>
      <c r="R43" s="510">
        <f>D43+'HRA Balance Calc'!I52</f>
        <v>1.9474970029264609E-2</v>
      </c>
      <c r="S43" s="510">
        <f>E43+'HRA Balance Calc'!J52</f>
        <v>6.9059979135323513</v>
      </c>
      <c r="T43" s="489">
        <f t="shared" si="0"/>
        <v>471.98996185153999</v>
      </c>
      <c r="U43" s="510">
        <f t="shared" si="1"/>
        <v>5044.3319207964687</v>
      </c>
      <c r="W43" s="489">
        <f>'Winners-Losers HRA'!CC40*12-MIN('HRA Balance Calc'!Y52,'HRA Balance Calc'!$M$12)</f>
        <v>1308.5610776013125</v>
      </c>
      <c r="X43" s="489">
        <f>MIN('Winners-Losers HRA'!BS40*12,'HRA Balance Calc'!$L$12)-MIN('HRA Balance Calc'!$L$12,'HRA Balance Calc'!R52)</f>
        <v>-298.26082588195186</v>
      </c>
      <c r="Y43" s="489">
        <f t="shared" si="2"/>
        <v>1010.3002517193606</v>
      </c>
      <c r="Z43" s="510">
        <f t="shared" si="3"/>
        <v>3.3645726154408369E+22</v>
      </c>
      <c r="AA43" s="510">
        <f t="shared" si="4"/>
        <v>3.3645726154408369E+22</v>
      </c>
      <c r="AC43" s="510">
        <f t="shared" si="5"/>
        <v>75.303973552454636</v>
      </c>
      <c r="AD43">
        <f t="shared" si="6"/>
        <v>268.23757948885196</v>
      </c>
      <c r="AE43">
        <f t="shared" si="7"/>
        <v>240.79702567852752</v>
      </c>
      <c r="AF43">
        <f t="shared" si="8"/>
        <v>34</v>
      </c>
    </row>
    <row r="44" spans="1:32" x14ac:dyDescent="0.2">
      <c r="A44">
        <f>'HRA Balance Calc'!A53</f>
        <v>36</v>
      </c>
      <c r="B44" s="489">
        <f>'HRA Balance Calc'!N53+'HRA Balance Calc'!U53+IF('HRA Balance Calc'!$L53&lt;0,'HRA Balance Calc'!$L53*('HRA Balance Calc'!$G53/'HRA Balance Calc'!$L53),0)</f>
        <v>89.948649855111228</v>
      </c>
      <c r="C44" s="489">
        <f>'HRA Balance Calc'!V53+'HRA Balance Calc'!O53+IF('HRA Balance Calc'!$L53&lt;0,'HRA Balance Calc'!$L53*('HRA Balance Calc'!$H53/'HRA Balance Calc'!$L53),0)</f>
        <v>34.6358829890941</v>
      </c>
      <c r="D44" s="489">
        <f>'HRA Balance Calc'!W53+'HRA Balance Calc'!P53+IF('HRA Balance Calc'!$L53&lt;0,'HRA Balance Calc'!$L53*('HRA Balance Calc'!$I53/'HRA Balance Calc'!$L53),0)</f>
        <v>0</v>
      </c>
      <c r="E44" s="489">
        <f>'HRA Balance Calc'!X53+'HRA Balance Calc'!Q53+IF('HRA Balance Calc'!$L53&lt;0,'HRA Balance Calc'!$L53*('HRA Balance Calc'!$J53/'HRA Balance Calc'!$L53),0)</f>
        <v>5.4428002162578384</v>
      </c>
      <c r="F44" s="489">
        <f>'HRA Balance Calc'!E53</f>
        <v>471.98996185153999</v>
      </c>
      <c r="G44" s="489">
        <f>IF('HRA Balance Calc'!L53&lt;0,0,'HRA Balance Calc'!L53)</f>
        <v>3.3645726154408369E+22</v>
      </c>
      <c r="H44" s="489">
        <f>ROUND('HRA Balance Calc'!T53,2)</f>
        <v>418.29</v>
      </c>
      <c r="I44" s="489">
        <f>'HRA Balance Calc'!S53+'HRA Balance Calc'!U53</f>
        <v>130.02733306046315</v>
      </c>
      <c r="K44" s="489">
        <f>'HRA Balance Calc'!$I$1*12+IF($H44=ROUND('HRA Balance Calc'!$I$12+'HRA Balance Calc'!$I$1*12,2),((B44-'HRA Balance Calc'!$I$1*12)/(I44-'HRA Balance Calc'!$I$1*12))*(H44-'HRA Balance Calc'!$I$1*12),B44-'HRA Balance Calc'!$I$1*12)</f>
        <v>89.948649855111228</v>
      </c>
      <c r="L44" s="489">
        <f>IF($H44=ROUND('HRA Balance Calc'!$I$12+'HRA Balance Calc'!$I$1*12,2),((C44/($I44-'HRA Balance Calc'!$I$1*12))*($H44-'HRA Balance Calc'!$I$1*12)),C44)</f>
        <v>34.6358829890941</v>
      </c>
      <c r="M44" s="489">
        <f>IF($H44=ROUND('HRA Balance Calc'!$I$12+'HRA Balance Calc'!$I$1*12,2),((D44/($I44-'HRA Balance Calc'!$I$1*12))*($H44-'HRA Balance Calc'!$I$1*12)),D44)</f>
        <v>0</v>
      </c>
      <c r="N44" s="489">
        <f>IF($H44=ROUND('HRA Balance Calc'!$I$12+'HRA Balance Calc'!$I$1*12,2),((E44/($I44-'HRA Balance Calc'!$I$1*12))*($H44-'HRA Balance Calc'!$I$1*12)),E44)</f>
        <v>5.4428002162578384</v>
      </c>
      <c r="P44" s="510">
        <f>B44+'HRA Balance Calc'!G53</f>
        <v>4533.2726393489456</v>
      </c>
      <c r="Q44" s="510">
        <f>C44+'HRA Balance Calc'!H53</f>
        <v>50.384895732605138</v>
      </c>
      <c r="R44" s="510">
        <f>D44+'HRA Balance Calc'!I53</f>
        <v>0</v>
      </c>
      <c r="S44" s="510">
        <f>E44+'HRA Balance Calc'!J53</f>
        <v>7.8274920107034669</v>
      </c>
      <c r="T44" s="489">
        <f t="shared" si="0"/>
        <v>471.98996185153999</v>
      </c>
      <c r="U44" s="510">
        <f t="shared" si="1"/>
        <v>5063.4749889437944</v>
      </c>
      <c r="W44" s="489">
        <f>'Winners-Losers HRA'!CC41*12-MIN('HRA Balance Calc'!Y53,'HRA Balance Calc'!$M$12)</f>
        <v>1307.7114491987263</v>
      </c>
      <c r="X44" s="489">
        <f>MIN('Winners-Losers HRA'!BS41*12,'HRA Balance Calc'!$L$12)-MIN('HRA Balance Calc'!$L$12,'HRA Balance Calc'!R53)</f>
        <v>-309.61752677961232</v>
      </c>
      <c r="Y44" s="489">
        <f t="shared" si="2"/>
        <v>998.09392241911405</v>
      </c>
      <c r="Z44" s="510">
        <f t="shared" si="3"/>
        <v>3.3645726154408369E+22</v>
      </c>
      <c r="AA44" s="510">
        <f t="shared" si="4"/>
        <v>3.3645726154408369E+22</v>
      </c>
      <c r="AC44" s="510">
        <f t="shared" si="5"/>
        <v>89.948649855111228</v>
      </c>
      <c r="AD44">
        <f t="shared" si="6"/>
        <v>270.63086391486411</v>
      </c>
      <c r="AE44">
        <f t="shared" si="7"/>
        <v>241.43778114202783</v>
      </c>
      <c r="AF44">
        <f t="shared" si="8"/>
        <v>35</v>
      </c>
    </row>
    <row r="45" spans="1:32" x14ac:dyDescent="0.2">
      <c r="A45">
        <f>'HRA Balance Calc'!A54</f>
        <v>37</v>
      </c>
      <c r="B45" s="489">
        <f>'HRA Balance Calc'!N54+'HRA Balance Calc'!U54+IF('HRA Balance Calc'!$L54&lt;0,'HRA Balance Calc'!$L54*('HRA Balance Calc'!$G54/'HRA Balance Calc'!$L54),0)</f>
        <v>107.29470510627596</v>
      </c>
      <c r="C45" s="489">
        <f>'HRA Balance Calc'!V54+'HRA Balance Calc'!O54+IF('HRA Balance Calc'!$L54&lt;0,'HRA Balance Calc'!$L54*('HRA Balance Calc'!$H54/'HRA Balance Calc'!$L54),0)</f>
        <v>38.227562773706126</v>
      </c>
      <c r="D45" s="489">
        <f>'HRA Balance Calc'!W54+'HRA Balance Calc'!P54+IF('HRA Balance Calc'!$L54&lt;0,'HRA Balance Calc'!$L54*('HRA Balance Calc'!$I54/'HRA Balance Calc'!$L54),0)</f>
        <v>7.7814606563735879E-3</v>
      </c>
      <c r="E45" s="489">
        <f>'HRA Balance Calc'!X54+'HRA Balance Calc'!Q54+IF('HRA Balance Calc'!$L54&lt;0,'HRA Balance Calc'!$L54*('HRA Balance Calc'!$J54/'HRA Balance Calc'!$L54),0)</f>
        <v>5.8191982548548182</v>
      </c>
      <c r="F45" s="489">
        <f>'HRA Balance Calc'!E54</f>
        <v>471.98996185153999</v>
      </c>
      <c r="G45" s="489">
        <f>IF('HRA Balance Calc'!L54&lt;0,0,'HRA Balance Calc'!L54)</f>
        <v>3.3645726154408369E+22</v>
      </c>
      <c r="H45" s="489">
        <f>ROUND('HRA Balance Calc'!T54,2)</f>
        <v>439.61</v>
      </c>
      <c r="I45" s="489">
        <f>'HRA Balance Calc'!S54+'HRA Balance Calc'!U54</f>
        <v>151.3492475954933</v>
      </c>
      <c r="K45" s="489">
        <f>'HRA Balance Calc'!$I$1*12+IF($H45=ROUND('HRA Balance Calc'!$I$12+'HRA Balance Calc'!$I$1*12,2),((B45-'HRA Balance Calc'!$I$1*12)/(I45-'HRA Balance Calc'!$I$1*12))*(H45-'HRA Balance Calc'!$I$1*12),B45-'HRA Balance Calc'!$I$1*12)</f>
        <v>107.29470510627596</v>
      </c>
      <c r="L45" s="489">
        <f>IF($H45=ROUND('HRA Balance Calc'!$I$12+'HRA Balance Calc'!$I$1*12,2),((C45/($I45-'HRA Balance Calc'!$I$1*12))*($H45-'HRA Balance Calc'!$I$1*12)),C45)</f>
        <v>38.227562773706126</v>
      </c>
      <c r="M45" s="489">
        <f>IF($H45=ROUND('HRA Balance Calc'!$I$12+'HRA Balance Calc'!$I$1*12,2),((D45/($I45-'HRA Balance Calc'!$I$1*12))*($H45-'HRA Balance Calc'!$I$1*12)),D45)</f>
        <v>7.7814606563735879E-3</v>
      </c>
      <c r="N45" s="489">
        <f>IF($H45=ROUND('HRA Balance Calc'!$I$12+'HRA Balance Calc'!$I$1*12,2),((E45/($I45-'HRA Balance Calc'!$I$1*12))*($H45-'HRA Balance Calc'!$I$1*12)),E45)</f>
        <v>5.8191982548548182</v>
      </c>
      <c r="P45" s="510">
        <f>B45+'HRA Balance Calc'!G54</f>
        <v>4550.6186946001098</v>
      </c>
      <c r="Q45" s="510">
        <f>C45+'HRA Balance Calc'!H54</f>
        <v>55.115584256050283</v>
      </c>
      <c r="R45" s="510">
        <f>D45+'HRA Balance Calc'!I54</f>
        <v>4.3617767178617428E-2</v>
      </c>
      <c r="S45" s="510">
        <f>E45+'HRA Balance Calc'!J54</f>
        <v>8.3688039315712857</v>
      </c>
      <c r="T45" s="489">
        <f t="shared" si="0"/>
        <v>471.98996185153999</v>
      </c>
      <c r="U45" s="510">
        <f t="shared" si="1"/>
        <v>5086.1366624064503</v>
      </c>
      <c r="W45" s="489">
        <f>'Winners-Losers HRA'!CC42*12-MIN('HRA Balance Calc'!Y54,'HRA Balance Calc'!$M$12)</f>
        <v>1307.1277255638902</v>
      </c>
      <c r="X45" s="489">
        <f>MIN('Winners-Losers HRA'!BS42*12,'HRA Balance Calc'!$L$12)-MIN('HRA Balance Calc'!$L$12,'HRA Balance Calc'!R54)</f>
        <v>-324.70972729404781</v>
      </c>
      <c r="Y45" s="489">
        <f t="shared" si="2"/>
        <v>982.41799826984243</v>
      </c>
      <c r="Z45" s="510">
        <f t="shared" si="3"/>
        <v>3.3645726154408369E+22</v>
      </c>
      <c r="AA45" s="510">
        <f t="shared" si="4"/>
        <v>3.3645726154408369E+22</v>
      </c>
      <c r="AC45" s="510">
        <f t="shared" si="5"/>
        <v>107.30248656693233</v>
      </c>
      <c r="AD45">
        <f t="shared" si="6"/>
        <v>274.22254369947609</v>
      </c>
      <c r="AE45">
        <f t="shared" si="7"/>
        <v>241.81417918062482</v>
      </c>
      <c r="AF45">
        <f t="shared" si="8"/>
        <v>36</v>
      </c>
    </row>
    <row r="46" spans="1:32" x14ac:dyDescent="0.2">
      <c r="A46">
        <f>'HRA Balance Calc'!A55</f>
        <v>38</v>
      </c>
      <c r="B46" s="489">
        <f>'HRA Balance Calc'!N55+'HRA Balance Calc'!U55+IF('HRA Balance Calc'!$L55&lt;0,'HRA Balance Calc'!$L55*('HRA Balance Calc'!$G55/'HRA Balance Calc'!$L55),0)</f>
        <v>117.53050837410183</v>
      </c>
      <c r="C46" s="489">
        <f>'HRA Balance Calc'!V55+'HRA Balance Calc'!O55+IF('HRA Balance Calc'!$L55&lt;0,'HRA Balance Calc'!$L55*('HRA Balance Calc'!$H55/'HRA Balance Calc'!$L55),0)</f>
        <v>38.822154071252278</v>
      </c>
      <c r="D46" s="489">
        <f>'HRA Balance Calc'!W55+'HRA Balance Calc'!P55+IF('HRA Balance Calc'!$L55&lt;0,'HRA Balance Calc'!$L55*('HRA Balance Calc'!$I55/'HRA Balance Calc'!$L55),0)</f>
        <v>0</v>
      </c>
      <c r="E46" s="489">
        <f>'HRA Balance Calc'!X55+'HRA Balance Calc'!Q55+IF('HRA Balance Calc'!$L55&lt;0,'HRA Balance Calc'!$L55*('HRA Balance Calc'!$J55/'HRA Balance Calc'!$L55),0)</f>
        <v>6.389885758445188</v>
      </c>
      <c r="F46" s="489">
        <f>'HRA Balance Calc'!E55</f>
        <v>471.98996185153999</v>
      </c>
      <c r="G46" s="489">
        <f>IF('HRA Balance Calc'!L55&lt;0,0,'HRA Balance Calc'!L55)</f>
        <v>3.3645726154408369E+22</v>
      </c>
      <c r="H46" s="489">
        <f>ROUND('HRA Balance Calc'!T55,2)</f>
        <v>451</v>
      </c>
      <c r="I46" s="489">
        <f>'HRA Balance Calc'!S55+'HRA Balance Calc'!U55</f>
        <v>162.74254820379929</v>
      </c>
      <c r="K46" s="489">
        <f>'HRA Balance Calc'!$I$1*12+IF($H46=ROUND('HRA Balance Calc'!$I$12+'HRA Balance Calc'!$I$1*12,2),((B46-'HRA Balance Calc'!$I$1*12)/(I46-'HRA Balance Calc'!$I$1*12))*(H46-'HRA Balance Calc'!$I$1*12),B46-'HRA Balance Calc'!$I$1*12)</f>
        <v>117.53050837410183</v>
      </c>
      <c r="L46" s="489">
        <f>IF($H46=ROUND('HRA Balance Calc'!$I$12+'HRA Balance Calc'!$I$1*12,2),((C46/($I46-'HRA Balance Calc'!$I$1*12))*($H46-'HRA Balance Calc'!$I$1*12)),C46)</f>
        <v>38.822154071252278</v>
      </c>
      <c r="M46" s="489">
        <f>IF($H46=ROUND('HRA Balance Calc'!$I$12+'HRA Balance Calc'!$I$1*12,2),((D46/($I46-'HRA Balance Calc'!$I$1*12))*($H46-'HRA Balance Calc'!$I$1*12)),D46)</f>
        <v>0</v>
      </c>
      <c r="N46" s="489">
        <f>IF($H46=ROUND('HRA Balance Calc'!$I$12+'HRA Balance Calc'!$I$1*12,2),((E46/($I46-'HRA Balance Calc'!$I$1*12))*($H46-'HRA Balance Calc'!$I$1*12)),E46)</f>
        <v>6.389885758445188</v>
      </c>
      <c r="P46" s="510">
        <f>B46+'HRA Balance Calc'!G55</f>
        <v>4560.8544978679365</v>
      </c>
      <c r="Q46" s="510">
        <f>C46+'HRA Balance Calc'!H55</f>
        <v>58.607570250270008</v>
      </c>
      <c r="R46" s="510">
        <f>D46+'HRA Balance Calc'!I55</f>
        <v>0</v>
      </c>
      <c r="S46" s="510">
        <f>E46+'HRA Balance Calc'!J55</f>
        <v>9.1895307077661368</v>
      </c>
      <c r="T46" s="489">
        <f t="shared" si="0"/>
        <v>471.98996185153999</v>
      </c>
      <c r="U46" s="510">
        <f t="shared" si="1"/>
        <v>5100.6415606775126</v>
      </c>
      <c r="W46" s="489">
        <f>'Winners-Losers HRA'!CC43*12-MIN('HRA Balance Calc'!Y55,'HRA Balance Calc'!$M$12)</f>
        <v>1306.0520571679203</v>
      </c>
      <c r="X46" s="489">
        <f>MIN('Winners-Losers HRA'!BS43*12,'HRA Balance Calc'!$L$12)-MIN('HRA Balance Calc'!$L$12,'HRA Balance Calc'!R55)</f>
        <v>-329.2180412122633</v>
      </c>
      <c r="Y46" s="489">
        <f t="shared" si="2"/>
        <v>976.83401595565704</v>
      </c>
      <c r="Z46" s="510">
        <f t="shared" si="3"/>
        <v>3.3645726154408369E+22</v>
      </c>
      <c r="AA46" s="510">
        <f t="shared" si="4"/>
        <v>3.3645726154408369E+22</v>
      </c>
      <c r="AC46" s="510">
        <f t="shared" si="5"/>
        <v>117.53050837410183</v>
      </c>
      <c r="AD46">
        <f t="shared" si="6"/>
        <v>274.81713499702226</v>
      </c>
      <c r="AE46">
        <f t="shared" si="7"/>
        <v>242.38486668421518</v>
      </c>
      <c r="AF46">
        <f t="shared" si="8"/>
        <v>37</v>
      </c>
    </row>
    <row r="47" spans="1:32" x14ac:dyDescent="0.2">
      <c r="A47">
        <f>'HRA Balance Calc'!A56</f>
        <v>39</v>
      </c>
      <c r="B47" s="489">
        <f>'HRA Balance Calc'!N56+'HRA Balance Calc'!U56+IF('HRA Balance Calc'!$L56&lt;0,'HRA Balance Calc'!$L56*('HRA Balance Calc'!$G56/'HRA Balance Calc'!$L56),0)</f>
        <v>132.89993205118554</v>
      </c>
      <c r="C47" s="489">
        <f>'HRA Balance Calc'!V56+'HRA Balance Calc'!O56+IF('HRA Balance Calc'!$L56&lt;0,'HRA Balance Calc'!$L56*('HRA Balance Calc'!$H56/'HRA Balance Calc'!$L56),0)</f>
        <v>43.082637487643701</v>
      </c>
      <c r="D47" s="489">
        <f>'HRA Balance Calc'!W56+'HRA Balance Calc'!P56+IF('HRA Balance Calc'!$L56&lt;0,'HRA Balance Calc'!$L56*('HRA Balance Calc'!$I56/'HRA Balance Calc'!$L56),0)</f>
        <v>1.3257775682198353E-2</v>
      </c>
      <c r="E47" s="489">
        <f>'HRA Balance Calc'!X56+'HRA Balance Calc'!Q56+IF('HRA Balance Calc'!$L56&lt;0,'HRA Balance Calc'!$L56*('HRA Balance Calc'!$J56/'HRA Balance Calc'!$L56),0)</f>
        <v>8.0735101530162545</v>
      </c>
      <c r="F47" s="489">
        <f>'HRA Balance Calc'!E56</f>
        <v>471.98996185153999</v>
      </c>
      <c r="G47" s="489">
        <f>IF('HRA Balance Calc'!L56&lt;0,0,'HRA Balance Calc'!L56)</f>
        <v>3.3645726154408369E+22</v>
      </c>
      <c r="H47" s="489">
        <f>ROUND('HRA Balance Calc'!T56,2)</f>
        <v>472.33</v>
      </c>
      <c r="I47" s="489">
        <f>'HRA Balance Calc'!S56+'HRA Balance Calc'!U56</f>
        <v>184.0693374675277</v>
      </c>
      <c r="K47" s="489">
        <f>'HRA Balance Calc'!$I$1*12+IF($H47=ROUND('HRA Balance Calc'!$I$12+'HRA Balance Calc'!$I$1*12,2),((B47-'HRA Balance Calc'!$I$1*12)/(I47-'HRA Balance Calc'!$I$1*12))*(H47-'HRA Balance Calc'!$I$1*12),B47-'HRA Balance Calc'!$I$1*12)</f>
        <v>132.89993205118554</v>
      </c>
      <c r="L47" s="489">
        <f>IF($H47=ROUND('HRA Balance Calc'!$I$12+'HRA Balance Calc'!$I$1*12,2),((C47/($I47-'HRA Balance Calc'!$I$1*12))*($H47-'HRA Balance Calc'!$I$1*12)),C47)</f>
        <v>43.082637487643701</v>
      </c>
      <c r="M47" s="489">
        <f>IF($H47=ROUND('HRA Balance Calc'!$I$12+'HRA Balance Calc'!$I$1*12,2),((D47/($I47-'HRA Balance Calc'!$I$1*12))*($H47-'HRA Balance Calc'!$I$1*12)),D47)</f>
        <v>1.3257775682198353E-2</v>
      </c>
      <c r="N47" s="489">
        <f>IF($H47=ROUND('HRA Balance Calc'!$I$12+'HRA Balance Calc'!$I$1*12,2),((E47/($I47-'HRA Balance Calc'!$I$1*12))*($H47-'HRA Balance Calc'!$I$1*12)),E47)</f>
        <v>8.0735101530162545</v>
      </c>
      <c r="P47" s="510">
        <f>B47+'HRA Balance Calc'!G56</f>
        <v>4576.2239215450199</v>
      </c>
      <c r="Q47" s="510">
        <f>C47+'HRA Balance Calc'!H56</f>
        <v>64.19451216997092</v>
      </c>
      <c r="R47" s="510">
        <f>D47+'HRA Balance Calc'!I56</f>
        <v>7.4314399127471564E-2</v>
      </c>
      <c r="S47" s="510">
        <f>E47+'HRA Balance Calc'!J56</f>
        <v>11.610813131134472</v>
      </c>
      <c r="T47" s="489">
        <f t="shared" si="0"/>
        <v>471.98996185153999</v>
      </c>
      <c r="U47" s="510">
        <f t="shared" si="1"/>
        <v>5124.0935230967934</v>
      </c>
      <c r="W47" s="489">
        <f>'Winners-Losers HRA'!CC44*12-MIN('HRA Balance Calc'!Y56,'HRA Balance Calc'!$M$12)</f>
        <v>1304.1235771627455</v>
      </c>
      <c r="X47" s="489">
        <f>MIN('Winners-Losers HRA'!BS44*12,'HRA Balance Calc'!$L$12)-MIN('HRA Balance Calc'!$L$12,'HRA Balance Calc'!R56)</f>
        <v>-342.59624950168075</v>
      </c>
      <c r="Y47" s="489">
        <f t="shared" si="2"/>
        <v>961.52732766106476</v>
      </c>
      <c r="Z47" s="510">
        <f t="shared" si="3"/>
        <v>3.3645726154408369E+22</v>
      </c>
      <c r="AA47" s="510">
        <f t="shared" si="4"/>
        <v>3.3645726154408369E+22</v>
      </c>
      <c r="AC47" s="510">
        <f t="shared" si="5"/>
        <v>132.91318982686775</v>
      </c>
      <c r="AD47">
        <f t="shared" si="6"/>
        <v>279.07761841341369</v>
      </c>
      <c r="AE47">
        <f t="shared" si="7"/>
        <v>244.06849107878625</v>
      </c>
      <c r="AF47">
        <f t="shared" si="8"/>
        <v>38</v>
      </c>
    </row>
    <row r="48" spans="1:32" x14ac:dyDescent="0.2">
      <c r="A48">
        <f>'HRA Balance Calc'!A57</f>
        <v>40</v>
      </c>
      <c r="B48" s="489">
        <f>'HRA Balance Calc'!N57+'HRA Balance Calc'!U57+IF('HRA Balance Calc'!$L57&lt;0,'HRA Balance Calc'!$L57*('HRA Balance Calc'!$G57/'HRA Balance Calc'!$L57),0)</f>
        <v>151.48913587526283</v>
      </c>
      <c r="C48" s="489">
        <f>'HRA Balance Calc'!V57+'HRA Balance Calc'!O57+IF('HRA Balance Calc'!$L57&lt;0,'HRA Balance Calc'!$L57*('HRA Balance Calc'!$H57/'HRA Balance Calc'!$L57),0)</f>
        <v>43.60153728107332</v>
      </c>
      <c r="D48" s="489">
        <f>'HRA Balance Calc'!W57+'HRA Balance Calc'!P57+IF('HRA Balance Calc'!$L57&lt;0,'HRA Balance Calc'!$L57*('HRA Balance Calc'!$I57/'HRA Balance Calc'!$L57),0)</f>
        <v>0</v>
      </c>
      <c r="E48" s="489">
        <f>'HRA Balance Calc'!X57+'HRA Balance Calc'!Q57+IF('HRA Balance Calc'!$L57&lt;0,'HRA Balance Calc'!$L57*('HRA Balance Calc'!$J57/'HRA Balance Calc'!$L57),0)</f>
        <v>8.9434799230532711</v>
      </c>
      <c r="F48" s="489">
        <f>'HRA Balance Calc'!E57</f>
        <v>471.98996185153999</v>
      </c>
      <c r="G48" s="489">
        <f>IF('HRA Balance Calc'!L57&lt;0,0,'HRA Balance Calc'!L57)</f>
        <v>3.3645726154408369E+22</v>
      </c>
      <c r="H48" s="489">
        <f>ROUND('HRA Balance Calc'!T57,2)</f>
        <v>492.3</v>
      </c>
      <c r="I48" s="489">
        <f>'HRA Balance Calc'!S57+'HRA Balance Calc'!U57</f>
        <v>204.0341530793894</v>
      </c>
      <c r="K48" s="489">
        <f>'HRA Balance Calc'!$I$1*12+IF($H48=ROUND('HRA Balance Calc'!$I$12+'HRA Balance Calc'!$I$1*12,2),((B48-'HRA Balance Calc'!$I$1*12)/(I48-'HRA Balance Calc'!$I$1*12))*(H48-'HRA Balance Calc'!$I$1*12),B48-'HRA Balance Calc'!$I$1*12)</f>
        <v>151.48913587526283</v>
      </c>
      <c r="L48" s="489">
        <f>IF($H48=ROUND('HRA Balance Calc'!$I$12+'HRA Balance Calc'!$I$1*12,2),((C48/($I48-'HRA Balance Calc'!$I$1*12))*($H48-'HRA Balance Calc'!$I$1*12)),C48)</f>
        <v>43.60153728107332</v>
      </c>
      <c r="M48" s="489">
        <f>IF($H48=ROUND('HRA Balance Calc'!$I$12+'HRA Balance Calc'!$I$1*12,2),((D48/($I48-'HRA Balance Calc'!$I$1*12))*($H48-'HRA Balance Calc'!$I$1*12)),D48)</f>
        <v>0</v>
      </c>
      <c r="N48" s="489">
        <f>IF($H48=ROUND('HRA Balance Calc'!$I$12+'HRA Balance Calc'!$I$1*12,2),((E48/($I48-'HRA Balance Calc'!$I$1*12))*($H48-'HRA Balance Calc'!$I$1*12)),E48)</f>
        <v>8.9434799230532711</v>
      </c>
      <c r="P48" s="510">
        <f>B48+'HRA Balance Calc'!G57</f>
        <v>4594.8131253690972</v>
      </c>
      <c r="Q48" s="510">
        <f>C48+'HRA Balance Calc'!H57</f>
        <v>66.855508301952057</v>
      </c>
      <c r="R48" s="510">
        <f>D48+'HRA Balance Calc'!I57</f>
        <v>0</v>
      </c>
      <c r="S48" s="510">
        <f>E48+'HRA Balance Calc'!J57</f>
        <v>12.861948788140129</v>
      </c>
      <c r="T48" s="489">
        <f t="shared" si="0"/>
        <v>471.98996185153999</v>
      </c>
      <c r="U48" s="510">
        <f t="shared" si="1"/>
        <v>5146.5205443107297</v>
      </c>
      <c r="W48" s="489">
        <f>'Winners-Losers HRA'!CC45*12-MIN('HRA Balance Calc'!Y57,'HRA Balance Calc'!$M$12)</f>
        <v>1302.8863650900425</v>
      </c>
      <c r="X48" s="489">
        <f>MIN('Winners-Losers HRA'!BS45*12,'HRA Balance Calc'!$L$12)-MIN('HRA Balance Calc'!$L$12,'HRA Balance Calc'!R57)</f>
        <v>-355.09458041153982</v>
      </c>
      <c r="Y48" s="489">
        <f t="shared" si="2"/>
        <v>947.79178467850272</v>
      </c>
      <c r="Z48" s="510">
        <f t="shared" si="3"/>
        <v>3.3645726154408369E+22</v>
      </c>
      <c r="AA48" s="510">
        <f t="shared" si="4"/>
        <v>3.3645726154408369E+22</v>
      </c>
      <c r="AC48" s="510">
        <f t="shared" si="5"/>
        <v>151.48913587526283</v>
      </c>
      <c r="AD48">
        <f t="shared" si="6"/>
        <v>279.59651820684331</v>
      </c>
      <c r="AE48">
        <f t="shared" si="7"/>
        <v>244.93846084882327</v>
      </c>
      <c r="AF48">
        <f t="shared" si="8"/>
        <v>39</v>
      </c>
    </row>
    <row r="49" spans="1:32" x14ac:dyDescent="0.2">
      <c r="A49">
        <f>'HRA Balance Calc'!A58</f>
        <v>41</v>
      </c>
      <c r="B49" s="489">
        <f>'HRA Balance Calc'!N58+'HRA Balance Calc'!U58+IF('HRA Balance Calc'!$L58&lt;0,'HRA Balance Calc'!$L58*('HRA Balance Calc'!$G58/'HRA Balance Calc'!$L58),0)</f>
        <v>164.83772973368195</v>
      </c>
      <c r="C49" s="489">
        <f>'HRA Balance Calc'!V58+'HRA Balance Calc'!O58+IF('HRA Balance Calc'!$L58&lt;0,'HRA Balance Calc'!$L58*('HRA Balance Calc'!$H58/'HRA Balance Calc'!$L58),0)</f>
        <v>47.417485930235657</v>
      </c>
      <c r="D49" s="489">
        <f>'HRA Balance Calc'!W58+'HRA Balance Calc'!P58+IF('HRA Balance Calc'!$L58&lt;0,'HRA Balance Calc'!$L58*('HRA Balance Calc'!$I58/'HRA Balance Calc'!$L58),0)</f>
        <v>0</v>
      </c>
      <c r="E49" s="489">
        <f>'HRA Balance Calc'!X58+'HRA Balance Calc'!Q58+IF('HRA Balance Calc'!$L58&lt;0,'HRA Balance Calc'!$L58*('HRA Balance Calc'!$J58/'HRA Balance Calc'!$L58),0)</f>
        <v>10.009099676973475</v>
      </c>
      <c r="F49" s="489">
        <f>'HRA Balance Calc'!E58</f>
        <v>471.98996185153999</v>
      </c>
      <c r="G49" s="489">
        <f>IF('HRA Balance Calc'!L58&lt;0,0,'HRA Balance Calc'!L58)</f>
        <v>3.3645726154408369E+22</v>
      </c>
      <c r="H49" s="489">
        <f>ROUND('HRA Balance Calc'!T58,2)</f>
        <v>510.53</v>
      </c>
      <c r="I49" s="489">
        <f>'HRA Balance Calc'!S58+'HRA Balance Calc'!U58</f>
        <v>222.26431534089107</v>
      </c>
      <c r="K49" s="489">
        <f>'HRA Balance Calc'!$I$1*12+IF($H49=ROUND('HRA Balance Calc'!$I$12+'HRA Balance Calc'!$I$1*12,2),((B49-'HRA Balance Calc'!$I$1*12)/(I49-'HRA Balance Calc'!$I$1*12))*(H49-'HRA Balance Calc'!$I$1*12),B49-'HRA Balance Calc'!$I$1*12)</f>
        <v>164.83772973368195</v>
      </c>
      <c r="L49" s="489">
        <f>IF($H49=ROUND('HRA Balance Calc'!$I$12+'HRA Balance Calc'!$I$1*12,2),((C49/($I49-'HRA Balance Calc'!$I$1*12))*($H49-'HRA Balance Calc'!$I$1*12)),C49)</f>
        <v>47.417485930235657</v>
      </c>
      <c r="M49" s="489">
        <f>IF($H49=ROUND('HRA Balance Calc'!$I$12+'HRA Balance Calc'!$I$1*12,2),((D49/($I49-'HRA Balance Calc'!$I$1*12))*($H49-'HRA Balance Calc'!$I$1*12)),D49)</f>
        <v>0</v>
      </c>
      <c r="N49" s="489">
        <f>IF($H49=ROUND('HRA Balance Calc'!$I$12+'HRA Balance Calc'!$I$1*12,2),((E49/($I49-'HRA Balance Calc'!$I$1*12))*($H49-'HRA Balance Calc'!$I$1*12)),E49)</f>
        <v>10.009099676973475</v>
      </c>
      <c r="P49" s="510">
        <f>B49+'HRA Balance Calc'!G58</f>
        <v>4608.1617192275162</v>
      </c>
      <c r="Q49" s="510">
        <f>C49+'HRA Balance Calc'!H58</f>
        <v>73.062010859821996</v>
      </c>
      <c r="R49" s="510">
        <f>D49+'HRA Balance Calc'!I58</f>
        <v>0</v>
      </c>
      <c r="S49" s="510">
        <f>E49+'HRA Balance Calc'!J58</f>
        <v>14.394455912936468</v>
      </c>
      <c r="T49" s="489">
        <f t="shared" si="0"/>
        <v>471.98996185153999</v>
      </c>
      <c r="U49" s="510">
        <f t="shared" si="1"/>
        <v>5167.6081478518154</v>
      </c>
      <c r="W49" s="489">
        <f>'Winners-Losers HRA'!CC46*12-MIN('HRA Balance Calc'!Y58,'HRA Balance Calc'!$M$12)</f>
        <v>1301.3988828816446</v>
      </c>
      <c r="X49" s="489">
        <f>MIN('Winners-Losers HRA'!BS46*12,'HRA Balance Calc'!$L$12)-MIN('HRA Balance Calc'!$L$12,'HRA Balance Calc'!R58)</f>
        <v>-365.36672692007284</v>
      </c>
      <c r="Y49" s="489">
        <f t="shared" si="2"/>
        <v>936.03215596157179</v>
      </c>
      <c r="Z49" s="510">
        <f t="shared" si="3"/>
        <v>3.3645726154408369E+22</v>
      </c>
      <c r="AA49" s="510">
        <f t="shared" si="4"/>
        <v>3.3645726154408369E+22</v>
      </c>
      <c r="AC49" s="510">
        <f t="shared" si="5"/>
        <v>164.83772973368195</v>
      </c>
      <c r="AD49">
        <f t="shared" si="6"/>
        <v>283.41246685600566</v>
      </c>
      <c r="AE49">
        <f t="shared" si="7"/>
        <v>246.00408060274347</v>
      </c>
      <c r="AF49">
        <f t="shared" si="8"/>
        <v>40</v>
      </c>
    </row>
    <row r="50" spans="1:32" x14ac:dyDescent="0.2">
      <c r="A50">
        <f>'HRA Balance Calc'!A59</f>
        <v>42</v>
      </c>
      <c r="B50" s="489">
        <f>'HRA Balance Calc'!N59+'HRA Balance Calc'!U59+IF('HRA Balance Calc'!$L59&lt;0,'HRA Balance Calc'!$L59*('HRA Balance Calc'!$G59/'HRA Balance Calc'!$L59),0)</f>
        <v>175.6763548904363</v>
      </c>
      <c r="C50" s="489">
        <f>'HRA Balance Calc'!V59+'HRA Balance Calc'!O59+IF('HRA Balance Calc'!$L59&lt;0,'HRA Balance Calc'!$L59*('HRA Balance Calc'!$H59/'HRA Balance Calc'!$L59),0)</f>
        <v>51.038662931498266</v>
      </c>
      <c r="D50" s="489">
        <f>'HRA Balance Calc'!W59+'HRA Balance Calc'!P59+IF('HRA Balance Calc'!$L59&lt;0,'HRA Balance Calc'!$L59*('HRA Balance Calc'!$I59/'HRA Balance Calc'!$L59),0)</f>
        <v>0</v>
      </c>
      <c r="E50" s="489">
        <f>'HRA Balance Calc'!X59+'HRA Balance Calc'!Q59+IF('HRA Balance Calc'!$L59&lt;0,'HRA Balance Calc'!$L59*('HRA Balance Calc'!$J59/'HRA Balance Calc'!$L59),0)</f>
        <v>11.683781319577463</v>
      </c>
      <c r="F50" s="489">
        <f>'HRA Balance Calc'!E59</f>
        <v>471.98996185153999</v>
      </c>
      <c r="G50" s="489">
        <f>IF('HRA Balance Calc'!L59&lt;0,0,'HRA Balance Calc'!L59)</f>
        <v>3.3645726154408369E+22</v>
      </c>
      <c r="H50" s="489">
        <f>ROUND('HRA Balance Calc'!T59,2)</f>
        <v>526.66</v>
      </c>
      <c r="I50" s="489">
        <f>'HRA Balance Calc'!S59+'HRA Balance Calc'!U59</f>
        <v>238.39879914151197</v>
      </c>
      <c r="K50" s="489">
        <f>'HRA Balance Calc'!$I$1*12+IF($H50=ROUND('HRA Balance Calc'!$I$12+'HRA Balance Calc'!$I$1*12,2),((B50-'HRA Balance Calc'!$I$1*12)/(I50-'HRA Balance Calc'!$I$1*12))*(H50-'HRA Balance Calc'!$I$1*12),B50-'HRA Balance Calc'!$I$1*12)</f>
        <v>175.6763548904363</v>
      </c>
      <c r="L50" s="489">
        <f>IF($H50=ROUND('HRA Balance Calc'!$I$12+'HRA Balance Calc'!$I$1*12,2),((C50/($I50-'HRA Balance Calc'!$I$1*12))*($H50-'HRA Balance Calc'!$I$1*12)),C50)</f>
        <v>51.038662931498266</v>
      </c>
      <c r="M50" s="489">
        <f>IF($H50=ROUND('HRA Balance Calc'!$I$12+'HRA Balance Calc'!$I$1*12,2),((D50/($I50-'HRA Balance Calc'!$I$1*12))*($H50-'HRA Balance Calc'!$I$1*12)),D50)</f>
        <v>0</v>
      </c>
      <c r="N50" s="489">
        <f>IF($H50=ROUND('HRA Balance Calc'!$I$12+'HRA Balance Calc'!$I$1*12,2),((E50/($I50-'HRA Balance Calc'!$I$1*12))*($H50-'HRA Balance Calc'!$I$1*12)),E50)</f>
        <v>11.683781319577463</v>
      </c>
      <c r="P50" s="510">
        <f>B50+'HRA Balance Calc'!G59</f>
        <v>4619.0003443842706</v>
      </c>
      <c r="Q50" s="510">
        <f>C50+'HRA Balance Calc'!H59</f>
        <v>79.435709469726689</v>
      </c>
      <c r="R50" s="510">
        <f>D50+'HRA Balance Calc'!I59</f>
        <v>0</v>
      </c>
      <c r="S50" s="510">
        <f>E50+'HRA Balance Calc'!J59</f>
        <v>16.802877434417038</v>
      </c>
      <c r="T50" s="489">
        <f t="shared" si="0"/>
        <v>471.98996185153999</v>
      </c>
      <c r="U50" s="510">
        <f t="shared" si="1"/>
        <v>5187.2288931399544</v>
      </c>
      <c r="W50" s="489">
        <f>'Winners-Losers HRA'!CC47*12-MIN('HRA Balance Calc'!Y59,'HRA Balance Calc'!$M$12)</f>
        <v>1299.2384621316332</v>
      </c>
      <c r="X50" s="489">
        <f>MIN('Winners-Losers HRA'!BS47*12,'HRA Balance Calc'!$L$12)-MIN('HRA Balance Calc'!$L$12,'HRA Balance Calc'!R59)</f>
        <v>-372.58731839905397</v>
      </c>
      <c r="Y50" s="489">
        <f t="shared" si="2"/>
        <v>926.65114373257927</v>
      </c>
      <c r="Z50" s="510">
        <f t="shared" si="3"/>
        <v>3.3645726154408369E+22</v>
      </c>
      <c r="AA50" s="510">
        <f t="shared" si="4"/>
        <v>3.3645726154408369E+22</v>
      </c>
      <c r="AC50" s="510">
        <f t="shared" si="5"/>
        <v>175.6763548904363</v>
      </c>
      <c r="AD50">
        <f t="shared" si="6"/>
        <v>287.03364385726826</v>
      </c>
      <c r="AE50">
        <f t="shared" si="7"/>
        <v>247.67876224534746</v>
      </c>
      <c r="AF50">
        <f t="shared" si="8"/>
        <v>41</v>
      </c>
    </row>
    <row r="51" spans="1:32" x14ac:dyDescent="0.2">
      <c r="A51">
        <f>'HRA Balance Calc'!A60</f>
        <v>43</v>
      </c>
      <c r="B51" s="489">
        <f>'HRA Balance Calc'!N60+'HRA Balance Calc'!U60+IF('HRA Balance Calc'!$L60&lt;0,'HRA Balance Calc'!$L60*('HRA Balance Calc'!$G60/'HRA Balance Calc'!$L60),0)</f>
        <v>191.87738613445481</v>
      </c>
      <c r="C51" s="489">
        <f>'HRA Balance Calc'!V60+'HRA Balance Calc'!O60+IF('HRA Balance Calc'!$L60&lt;0,'HRA Balance Calc'!$L60*('HRA Balance Calc'!$H60/'HRA Balance Calc'!$L60),0)</f>
        <v>52.54203264621902</v>
      </c>
      <c r="D51" s="489">
        <f>'HRA Balance Calc'!W60+'HRA Balance Calc'!P60+IF('HRA Balance Calc'!$L60&lt;0,'HRA Balance Calc'!$L60*('HRA Balance Calc'!$I60/'HRA Balance Calc'!$L60),0)</f>
        <v>5.3404134594318099E-3</v>
      </c>
      <c r="E51" s="489">
        <f>'HRA Balance Calc'!X60+'HRA Balance Calc'!Q60+IF('HRA Balance Calc'!$L60&lt;0,'HRA Balance Calc'!$L60*('HRA Balance Calc'!$J60/'HRA Balance Calc'!$L60),0)</f>
        <v>12.768160234540703</v>
      </c>
      <c r="F51" s="489">
        <f>'HRA Balance Calc'!E60</f>
        <v>471.98996185153999</v>
      </c>
      <c r="G51" s="489">
        <f>IF('HRA Balance Calc'!L60&lt;0,0,'HRA Balance Calc'!L60)</f>
        <v>3.3645726154408369E+22</v>
      </c>
      <c r="H51" s="489">
        <f>ROUND('HRA Balance Calc'!T60,2)</f>
        <v>545.45000000000005</v>
      </c>
      <c r="I51" s="489">
        <f>'HRA Balance Calc'!S60+'HRA Balance Calc'!U60</f>
        <v>257.19291942867403</v>
      </c>
      <c r="K51" s="489">
        <f>'HRA Balance Calc'!$I$1*12+IF($H51=ROUND('HRA Balance Calc'!$I$12+'HRA Balance Calc'!$I$1*12,2),((B51-'HRA Balance Calc'!$I$1*12)/(I51-'HRA Balance Calc'!$I$1*12))*(H51-'HRA Balance Calc'!$I$1*12),B51-'HRA Balance Calc'!$I$1*12)</f>
        <v>191.87738613445481</v>
      </c>
      <c r="L51" s="489">
        <f>IF($H51=ROUND('HRA Balance Calc'!$I$12+'HRA Balance Calc'!$I$1*12,2),((C51/($I51-'HRA Balance Calc'!$I$1*12))*($H51-'HRA Balance Calc'!$I$1*12)),C51)</f>
        <v>52.54203264621902</v>
      </c>
      <c r="M51" s="489">
        <f>IF($H51=ROUND('HRA Balance Calc'!$I$12+'HRA Balance Calc'!$I$1*12,2),((D51/($I51-'HRA Balance Calc'!$I$1*12))*($H51-'HRA Balance Calc'!$I$1*12)),D51)</f>
        <v>5.3404134594318099E-3</v>
      </c>
      <c r="N51" s="489">
        <f>IF($H51=ROUND('HRA Balance Calc'!$I$12+'HRA Balance Calc'!$I$1*12,2),((E51/($I51-'HRA Balance Calc'!$I$1*12))*($H51-'HRA Balance Calc'!$I$1*12)),E51)</f>
        <v>12.768160234540703</v>
      </c>
      <c r="P51" s="510">
        <f>B51+'HRA Balance Calc'!G60</f>
        <v>4635.2013756282886</v>
      </c>
      <c r="Q51" s="510">
        <f>C51+'HRA Balance Calc'!H60</f>
        <v>81.373653167943417</v>
      </c>
      <c r="R51" s="510">
        <f>D51+'HRA Balance Calc'!I60</f>
        <v>2.9934856860101083E-2</v>
      </c>
      <c r="S51" s="510">
        <f>E51+'HRA Balance Calc'!J60</f>
        <v>18.362362801544091</v>
      </c>
      <c r="T51" s="489">
        <f t="shared" si="0"/>
        <v>471.98996185153999</v>
      </c>
      <c r="U51" s="510">
        <f t="shared" si="1"/>
        <v>5206.9572883061755</v>
      </c>
      <c r="W51" s="489">
        <f>'Winners-Losers HRA'!CC48*12-MIN('HRA Balance Calc'!Y60,'HRA Balance Calc'!$M$12)</f>
        <v>1298.0730534942763</v>
      </c>
      <c r="X51" s="489">
        <f>MIN('Winners-Losers HRA'!BS48*12,'HRA Balance Calc'!$L$12)-MIN('HRA Balance Calc'!$L$12,'HRA Balance Calc'!R60)</f>
        <v>-383.15720431368919</v>
      </c>
      <c r="Y51" s="489">
        <f t="shared" si="2"/>
        <v>914.9158491805872</v>
      </c>
      <c r="Z51" s="510">
        <f t="shared" si="3"/>
        <v>3.3645726154408369E+22</v>
      </c>
      <c r="AA51" s="510">
        <f t="shared" si="4"/>
        <v>3.3645726154408369E+22</v>
      </c>
      <c r="AC51" s="510">
        <f t="shared" si="5"/>
        <v>191.88272654791425</v>
      </c>
      <c r="AD51">
        <f t="shared" si="6"/>
        <v>288.53701357198901</v>
      </c>
      <c r="AE51">
        <f t="shared" si="7"/>
        <v>248.76314116031071</v>
      </c>
      <c r="AF51">
        <f t="shared" si="8"/>
        <v>42</v>
      </c>
    </row>
    <row r="52" spans="1:32" x14ac:dyDescent="0.2">
      <c r="A52">
        <f>'HRA Balance Calc'!A61</f>
        <v>44</v>
      </c>
      <c r="B52" s="489">
        <f>'HRA Balance Calc'!N61+'HRA Balance Calc'!U61+IF('HRA Balance Calc'!$L61&lt;0,'HRA Balance Calc'!$L61*('HRA Balance Calc'!$G61/'HRA Balance Calc'!$L61),0)</f>
        <v>211.30756570162839</v>
      </c>
      <c r="C52" s="489">
        <f>'HRA Balance Calc'!V61+'HRA Balance Calc'!O61+IF('HRA Balance Calc'!$L61&lt;0,'HRA Balance Calc'!$L61*('HRA Balance Calc'!$H61/'HRA Balance Calc'!$L61),0)</f>
        <v>57.777649455013091</v>
      </c>
      <c r="D52" s="489">
        <f>'HRA Balance Calc'!W61+'HRA Balance Calc'!P61+IF('HRA Balance Calc'!$L61&lt;0,'HRA Balance Calc'!$L61*('HRA Balance Calc'!$I61/'HRA Balance Calc'!$L61),0)</f>
        <v>0</v>
      </c>
      <c r="E52" s="489">
        <f>'HRA Balance Calc'!X61+'HRA Balance Calc'!Q61+IF('HRA Balance Calc'!$L61&lt;0,'HRA Balance Calc'!$L61*('HRA Balance Calc'!$J61/'HRA Balance Calc'!$L61),0)</f>
        <v>15.122299140973331</v>
      </c>
      <c r="F52" s="489">
        <f>'HRA Balance Calc'!E61</f>
        <v>471.98996185153999</v>
      </c>
      <c r="G52" s="489">
        <f>IF('HRA Balance Calc'!L61&lt;0,0,'HRA Balance Calc'!L61)</f>
        <v>3.3645726154408369E+22</v>
      </c>
      <c r="H52" s="489">
        <f>ROUND('HRA Balance Calc'!T61,2)</f>
        <v>572.47</v>
      </c>
      <c r="I52" s="489">
        <f>'HRA Balance Calc'!S61+'HRA Balance Calc'!U61</f>
        <v>284.20751429761481</v>
      </c>
      <c r="K52" s="489">
        <f>'HRA Balance Calc'!$I$1*12+IF($H52=ROUND('HRA Balance Calc'!$I$12+'HRA Balance Calc'!$I$1*12,2),((B52-'HRA Balance Calc'!$I$1*12)/(I52-'HRA Balance Calc'!$I$1*12))*(H52-'HRA Balance Calc'!$I$1*12),B52-'HRA Balance Calc'!$I$1*12)</f>
        <v>211.30756570162839</v>
      </c>
      <c r="L52" s="489">
        <f>IF($H52=ROUND('HRA Balance Calc'!$I$12+'HRA Balance Calc'!$I$1*12,2),((C52/($I52-'HRA Balance Calc'!$I$1*12))*($H52-'HRA Balance Calc'!$I$1*12)),C52)</f>
        <v>57.777649455013091</v>
      </c>
      <c r="M52" s="489">
        <f>IF($H52=ROUND('HRA Balance Calc'!$I$12+'HRA Balance Calc'!$I$1*12,2),((D52/($I52-'HRA Balance Calc'!$I$1*12))*($H52-'HRA Balance Calc'!$I$1*12)),D52)</f>
        <v>0</v>
      </c>
      <c r="N52" s="489">
        <f>IF($H52=ROUND('HRA Balance Calc'!$I$12+'HRA Balance Calc'!$I$1*12,2),((E52/($I52-'HRA Balance Calc'!$I$1*12))*($H52-'HRA Balance Calc'!$I$1*12)),E52)</f>
        <v>15.122299140973331</v>
      </c>
      <c r="P52" s="510">
        <f>B52+'HRA Balance Calc'!G61</f>
        <v>4654.6315551954631</v>
      </c>
      <c r="Q52" s="510">
        <f>C52+'HRA Balance Calc'!H61</f>
        <v>90.524449375536605</v>
      </c>
      <c r="R52" s="510">
        <f>D52+'HRA Balance Calc'!I61</f>
        <v>0</v>
      </c>
      <c r="S52" s="510">
        <f>E52+'HRA Balance Calc'!J61</f>
        <v>21.747936908626961</v>
      </c>
      <c r="T52" s="489">
        <f t="shared" si="0"/>
        <v>471.98996185153999</v>
      </c>
      <c r="U52" s="510">
        <f t="shared" si="1"/>
        <v>5238.8939033311663</v>
      </c>
      <c r="W52" s="489">
        <f>'Winners-Losers HRA'!CC49*12-MIN('HRA Balance Calc'!Y61,'HRA Balance Calc'!$M$12)</f>
        <v>1295.0323407721853</v>
      </c>
      <c r="X52" s="489">
        <f>MIN('Winners-Losers HRA'!BS49*12,'HRA Balance Calc'!$L$12)-MIN('HRA Balance Calc'!$L$12,'HRA Balance Calc'!R61)</f>
        <v>-399.76670012077921</v>
      </c>
      <c r="Y52" s="489">
        <f t="shared" si="2"/>
        <v>895.2656406514061</v>
      </c>
      <c r="Z52" s="510">
        <f t="shared" si="3"/>
        <v>3.3645726154408369E+22</v>
      </c>
      <c r="AA52" s="510">
        <f t="shared" si="4"/>
        <v>3.3645726154408369E+22</v>
      </c>
      <c r="AC52" s="510">
        <f t="shared" si="5"/>
        <v>211.30756570162839</v>
      </c>
      <c r="AD52">
        <f t="shared" si="6"/>
        <v>293.77263038078308</v>
      </c>
      <c r="AE52">
        <f t="shared" si="7"/>
        <v>251.11728006674332</v>
      </c>
      <c r="AF52">
        <f t="shared" si="8"/>
        <v>43</v>
      </c>
    </row>
    <row r="53" spans="1:32" x14ac:dyDescent="0.2">
      <c r="A53">
        <f>'HRA Balance Calc'!A62</f>
        <v>45</v>
      </c>
      <c r="B53" s="489">
        <f>'HRA Balance Calc'!N62+'HRA Balance Calc'!U62+IF('HRA Balance Calc'!$L62&lt;0,'HRA Balance Calc'!$L62*('HRA Balance Calc'!$G62/'HRA Balance Calc'!$L62),0)</f>
        <v>227.5862859635206</v>
      </c>
      <c r="C53" s="489">
        <f>'HRA Balance Calc'!V62+'HRA Balance Calc'!O62+IF('HRA Balance Calc'!$L62&lt;0,'HRA Balance Calc'!$L62*('HRA Balance Calc'!$H62/'HRA Balance Calc'!$L62),0)</f>
        <v>58.692913181717699</v>
      </c>
      <c r="D53" s="489">
        <f>'HRA Balance Calc'!W62+'HRA Balance Calc'!P62+IF('HRA Balance Calc'!$L62&lt;0,'HRA Balance Calc'!$L62*('HRA Balance Calc'!$I62/'HRA Balance Calc'!$L62),0)</f>
        <v>0</v>
      </c>
      <c r="E53" s="489">
        <f>'HRA Balance Calc'!X62+'HRA Balance Calc'!Q62+IF('HRA Balance Calc'!$L62&lt;0,'HRA Balance Calc'!$L62*('HRA Balance Calc'!$J62/'HRA Balance Calc'!$L62),0)</f>
        <v>17.663022120610613</v>
      </c>
      <c r="F53" s="489">
        <f>'HRA Balance Calc'!E62</f>
        <v>471.98996185153999</v>
      </c>
      <c r="G53" s="489">
        <f>IF('HRA Balance Calc'!L62&lt;0,0,'HRA Balance Calc'!L62)</f>
        <v>3.3645726154408369E+22</v>
      </c>
      <c r="H53" s="489">
        <f>ROUND('HRA Balance Calc'!T62,2)</f>
        <v>592.20000000000005</v>
      </c>
      <c r="I53" s="489">
        <f>'HRA Balance Calc'!S62+'HRA Balance Calc'!U62</f>
        <v>303.94222126584884</v>
      </c>
      <c r="K53" s="489">
        <f>'HRA Balance Calc'!$I$1*12+IF($H53=ROUND('HRA Balance Calc'!$I$12+'HRA Balance Calc'!$I$1*12,2),((B53-'HRA Balance Calc'!$I$1*12)/(I53-'HRA Balance Calc'!$I$1*12))*(H53-'HRA Balance Calc'!$I$1*12),B53-'HRA Balance Calc'!$I$1*12)</f>
        <v>227.5862859635206</v>
      </c>
      <c r="L53" s="489">
        <f>IF($H53=ROUND('HRA Balance Calc'!$I$12+'HRA Balance Calc'!$I$1*12,2),((C53/($I53-'HRA Balance Calc'!$I$1*12))*($H53-'HRA Balance Calc'!$I$1*12)),C53)</f>
        <v>58.692913181717699</v>
      </c>
      <c r="M53" s="489">
        <f>IF($H53=ROUND('HRA Balance Calc'!$I$12+'HRA Balance Calc'!$I$1*12,2),((D53/($I53-'HRA Balance Calc'!$I$1*12))*($H53-'HRA Balance Calc'!$I$1*12)),D53)</f>
        <v>0</v>
      </c>
      <c r="N53" s="489">
        <f>IF($H53=ROUND('HRA Balance Calc'!$I$12+'HRA Balance Calc'!$I$1*12,2),((E53/($I53-'HRA Balance Calc'!$I$1*12))*($H53-'HRA Balance Calc'!$I$1*12)),E53)</f>
        <v>17.663022120610613</v>
      </c>
      <c r="P53" s="510">
        <f>B53+'HRA Balance Calc'!G62</f>
        <v>4670.9102754573551</v>
      </c>
      <c r="Q53" s="510">
        <f>C53+'HRA Balance Calc'!H62</f>
        <v>93.563504578016051</v>
      </c>
      <c r="R53" s="510">
        <f>D53+'HRA Balance Calc'!I62</f>
        <v>0</v>
      </c>
      <c r="S53" s="510">
        <f>E53+'HRA Balance Calc'!J62</f>
        <v>25.401844462521169</v>
      </c>
      <c r="T53" s="489">
        <f t="shared" si="0"/>
        <v>471.98996185153999</v>
      </c>
      <c r="U53" s="510">
        <f t="shared" si="1"/>
        <v>5261.8655863494323</v>
      </c>
      <c r="W53" s="489">
        <f>'Winners-Losers HRA'!CC50*12-MIN('HRA Balance Calc'!Y62,'HRA Balance Calc'!$M$12)</f>
        <v>1292.116831061529</v>
      </c>
      <c r="X53" s="489">
        <f>MIN('Winners-Losers HRA'!BS50*12,'HRA Balance Calc'!$L$12)-MIN('HRA Balance Calc'!$L$12,'HRA Balance Calc'!R62)</f>
        <v>-408.83467357445949</v>
      </c>
      <c r="Y53" s="489">
        <f t="shared" si="2"/>
        <v>883.28215748706953</v>
      </c>
      <c r="Z53" s="510">
        <f t="shared" si="3"/>
        <v>3.3645726154408369E+22</v>
      </c>
      <c r="AA53" s="510">
        <f t="shared" si="4"/>
        <v>3.3645726154408369E+22</v>
      </c>
      <c r="AC53" s="510">
        <f t="shared" si="5"/>
        <v>227.5862859635206</v>
      </c>
      <c r="AD53">
        <f t="shared" si="6"/>
        <v>294.68789410748769</v>
      </c>
      <c r="AE53">
        <f t="shared" si="7"/>
        <v>253.6580030463806</v>
      </c>
      <c r="AF53">
        <f t="shared" si="8"/>
        <v>44</v>
      </c>
    </row>
    <row r="54" spans="1:32" x14ac:dyDescent="0.2">
      <c r="A54">
        <f>'HRA Balance Calc'!A63</f>
        <v>46</v>
      </c>
      <c r="B54" s="489">
        <f>'HRA Balance Calc'!N63+'HRA Balance Calc'!U63+IF('HRA Balance Calc'!$L63&lt;0,'HRA Balance Calc'!$L63*('HRA Balance Calc'!$G63/'HRA Balance Calc'!$L63),0)</f>
        <v>242.72511386804626</v>
      </c>
      <c r="C54" s="489">
        <f>'HRA Balance Calc'!V63+'HRA Balance Calc'!O63+IF('HRA Balance Calc'!$L63&lt;0,'HRA Balance Calc'!$L63*('HRA Balance Calc'!$H63/'HRA Balance Calc'!$L63),0)</f>
        <v>63.040895893032015</v>
      </c>
      <c r="D54" s="489">
        <f>'HRA Balance Calc'!W63+'HRA Balance Calc'!P63+IF('HRA Balance Calc'!$L63&lt;0,'HRA Balance Calc'!$L63*('HRA Balance Calc'!$I63/'HRA Balance Calc'!$L63),0)</f>
        <v>1.2444358975429696E-2</v>
      </c>
      <c r="E54" s="489">
        <f>'HRA Balance Calc'!X63+'HRA Balance Calc'!Q63+IF('HRA Balance Calc'!$L63&lt;0,'HRA Balance Calc'!$L63*('HRA Balance Calc'!$J63/'HRA Balance Calc'!$L63),0)</f>
        <v>19.457820069554497</v>
      </c>
      <c r="F54" s="489">
        <f>'HRA Balance Calc'!E63</f>
        <v>471.98996185153999</v>
      </c>
      <c r="G54" s="489">
        <f>IF('HRA Balance Calc'!L63&lt;0,0,'HRA Balance Calc'!L63)</f>
        <v>3.3645726154408369E+22</v>
      </c>
      <c r="H54" s="489">
        <f>ROUND('HRA Balance Calc'!T63,2)</f>
        <v>613.5</v>
      </c>
      <c r="I54" s="489">
        <f>'HRA Balance Calc'!S63+'HRA Balance Calc'!U63</f>
        <v>325.23627418960825</v>
      </c>
      <c r="K54" s="489">
        <f>'HRA Balance Calc'!$I$1*12+IF($H54=ROUND('HRA Balance Calc'!$I$12+'HRA Balance Calc'!$I$1*12,2),((B54-'HRA Balance Calc'!$I$1*12)/(I54-'HRA Balance Calc'!$I$1*12))*(H54-'HRA Balance Calc'!$I$1*12),B54-'HRA Balance Calc'!$I$1*12)</f>
        <v>242.72511386804626</v>
      </c>
      <c r="L54" s="489">
        <f>IF($H54=ROUND('HRA Balance Calc'!$I$12+'HRA Balance Calc'!$I$1*12,2),((C54/($I54-'HRA Balance Calc'!$I$1*12))*($H54-'HRA Balance Calc'!$I$1*12)),C54)</f>
        <v>63.040895893032015</v>
      </c>
      <c r="M54" s="489">
        <f>IF($H54=ROUND('HRA Balance Calc'!$I$12+'HRA Balance Calc'!$I$1*12,2),((D54/($I54-'HRA Balance Calc'!$I$1*12))*($H54-'HRA Balance Calc'!$I$1*12)),D54)</f>
        <v>1.2444358975429696E-2</v>
      </c>
      <c r="N54" s="489">
        <f>IF($H54=ROUND('HRA Balance Calc'!$I$12+'HRA Balance Calc'!$I$1*12,2),((E54/($I54-'HRA Balance Calc'!$I$1*12))*($H54-'HRA Balance Calc'!$I$1*12)),E54)</f>
        <v>19.457820069554497</v>
      </c>
      <c r="P54" s="510">
        <f>B54+'HRA Balance Calc'!G63</f>
        <v>4686.04910336188</v>
      </c>
      <c r="Q54" s="510">
        <f>C54+'HRA Balance Calc'!H63</f>
        <v>101.74419849432094</v>
      </c>
      <c r="R54" s="510">
        <f>D54+'HRA Balance Calc'!I63</f>
        <v>6.9754918317660772E-2</v>
      </c>
      <c r="S54" s="510">
        <f>E54+'HRA Balance Calc'!J63</f>
        <v>27.983009680421517</v>
      </c>
      <c r="T54" s="489">
        <f t="shared" si="0"/>
        <v>471.98996185153999</v>
      </c>
      <c r="U54" s="510">
        <f t="shared" si="1"/>
        <v>5287.8360283064803</v>
      </c>
      <c r="W54" s="489">
        <f>'Winners-Losers HRA'!CC51*12-MIN('HRA Balance Calc'!Y63,'HRA Balance Calc'!$M$12)</f>
        <v>1289.635558683585</v>
      </c>
      <c r="X54" s="489">
        <f>MIN('Winners-Losers HRA'!BS51*12,'HRA Balance Calc'!$L$12)-MIN('HRA Balance Calc'!$L$12,'HRA Balance Calc'!R63)</f>
        <v>-419.59290380479865</v>
      </c>
      <c r="Y54" s="489">
        <f t="shared" si="2"/>
        <v>870.04265487878638</v>
      </c>
      <c r="Z54" s="510">
        <f t="shared" si="3"/>
        <v>3.3645726154408369E+22</v>
      </c>
      <c r="AA54" s="510">
        <f t="shared" si="4"/>
        <v>3.3645726154408369E+22</v>
      </c>
      <c r="AC54" s="510">
        <f t="shared" si="5"/>
        <v>242.73755822702171</v>
      </c>
      <c r="AD54">
        <f t="shared" si="6"/>
        <v>299.03587681880202</v>
      </c>
      <c r="AE54">
        <f t="shared" si="7"/>
        <v>255.45280099532448</v>
      </c>
      <c r="AF54">
        <f t="shared" si="8"/>
        <v>45</v>
      </c>
    </row>
    <row r="55" spans="1:32" x14ac:dyDescent="0.2">
      <c r="A55">
        <f>'HRA Balance Calc'!A64</f>
        <v>47</v>
      </c>
      <c r="B55" s="489">
        <f>'HRA Balance Calc'!N64+'HRA Balance Calc'!U64+IF('HRA Balance Calc'!$L64&lt;0,'HRA Balance Calc'!$L64*('HRA Balance Calc'!$G64/'HRA Balance Calc'!$L64),0)</f>
        <v>263.13045529127373</v>
      </c>
      <c r="C55" s="489">
        <f>'HRA Balance Calc'!V64+'HRA Balance Calc'!O64+IF('HRA Balance Calc'!$L64&lt;0,'HRA Balance Calc'!$L64*('HRA Balance Calc'!$H64/'HRA Balance Calc'!$L64),0)</f>
        <v>67.312326676909692</v>
      </c>
      <c r="D55" s="489">
        <f>'HRA Balance Calc'!W64+'HRA Balance Calc'!P64+IF('HRA Balance Calc'!$L64&lt;0,'HRA Balance Calc'!$L64*('HRA Balance Calc'!$I64/'HRA Balance Calc'!$L64),0)</f>
        <v>0</v>
      </c>
      <c r="E55" s="489">
        <f>'HRA Balance Calc'!X64+'HRA Balance Calc'!Q64+IF('HRA Balance Calc'!$L64&lt;0,'HRA Balance Calc'!$L64*('HRA Balance Calc'!$J64/'HRA Balance Calc'!$L64),0)</f>
        <v>22.318136606334306</v>
      </c>
      <c r="F55" s="489">
        <f>'HRA Balance Calc'!E64</f>
        <v>471.98996185153999</v>
      </c>
      <c r="G55" s="489">
        <f>IF('HRA Balance Calc'!L64&lt;0,0,'HRA Balance Calc'!L64)</f>
        <v>3.3645726154408369E+22</v>
      </c>
      <c r="H55" s="489">
        <f>ROUND('HRA Balance Calc'!T64,2)</f>
        <v>641.02</v>
      </c>
      <c r="I55" s="489">
        <f>'HRA Balance Calc'!S64+'HRA Balance Calc'!U64</f>
        <v>352.76091857451763</v>
      </c>
      <c r="K55" s="489">
        <f>'HRA Balance Calc'!$I$1*12+IF($H55=ROUND('HRA Balance Calc'!$I$12+'HRA Balance Calc'!$I$1*12,2),((B55-'HRA Balance Calc'!$I$1*12)/(I55-'HRA Balance Calc'!$I$1*12))*(H55-'HRA Balance Calc'!$I$1*12),B55-'HRA Balance Calc'!$I$1*12)</f>
        <v>263.13045529127373</v>
      </c>
      <c r="L55" s="489">
        <f>IF($H55=ROUND('HRA Balance Calc'!$I$12+'HRA Balance Calc'!$I$1*12,2),((C55/($I55-'HRA Balance Calc'!$I$1*12))*($H55-'HRA Balance Calc'!$I$1*12)),C55)</f>
        <v>67.312326676909692</v>
      </c>
      <c r="M55" s="489">
        <f>IF($H55=ROUND('HRA Balance Calc'!$I$12+'HRA Balance Calc'!$I$1*12,2),((D55/($I55-'HRA Balance Calc'!$I$1*12))*($H55-'HRA Balance Calc'!$I$1*12)),D55)</f>
        <v>0</v>
      </c>
      <c r="N55" s="489">
        <f>IF($H55=ROUND('HRA Balance Calc'!$I$12+'HRA Balance Calc'!$I$1*12,2),((E55/($I55-'HRA Balance Calc'!$I$1*12))*($H55-'HRA Balance Calc'!$I$1*12)),E55)</f>
        <v>22.318136606334306</v>
      </c>
      <c r="P55" s="510">
        <f>B55+'HRA Balance Calc'!G64</f>
        <v>4706.4544447851076</v>
      </c>
      <c r="Q55" s="510">
        <f>C55+'HRA Balance Calc'!H64</f>
        <v>108.21602613637772</v>
      </c>
      <c r="R55" s="510">
        <f>D55+'HRA Balance Calc'!I64</f>
        <v>0</v>
      </c>
      <c r="S55" s="510">
        <f>E55+'HRA Balance Calc'!J64</f>
        <v>32.096536532436019</v>
      </c>
      <c r="T55" s="489">
        <f t="shared" si="0"/>
        <v>471.98996185153999</v>
      </c>
      <c r="U55" s="510">
        <f t="shared" si="1"/>
        <v>5318.756969305462</v>
      </c>
      <c r="W55" s="489">
        <f>'Winners-Losers HRA'!CC52*12-MIN('HRA Balance Calc'!Y64,'HRA Balance Calc'!$M$12)</f>
        <v>1286.3970504470105</v>
      </c>
      <c r="X55" s="489">
        <f>MIN('Winners-Losers HRA'!BS52*12,'HRA Balance Calc'!$L$12)-MIN('HRA Balance Calc'!$L$12,'HRA Balance Calc'!R64)</f>
        <v>-435.51784540232177</v>
      </c>
      <c r="Y55" s="489">
        <f t="shared" si="2"/>
        <v>850.87920504468877</v>
      </c>
      <c r="Z55" s="510">
        <f t="shared" si="3"/>
        <v>3.3645726154408369E+22</v>
      </c>
      <c r="AA55" s="510">
        <f t="shared" si="4"/>
        <v>3.3645726154408369E+22</v>
      </c>
      <c r="AC55" s="510">
        <f t="shared" si="5"/>
        <v>263.13045529127373</v>
      </c>
      <c r="AD55">
        <f t="shared" si="6"/>
        <v>303.30730760267966</v>
      </c>
      <c r="AE55">
        <f t="shared" si="7"/>
        <v>258.31311753210429</v>
      </c>
      <c r="AF55">
        <f t="shared" si="8"/>
        <v>46</v>
      </c>
    </row>
    <row r="56" spans="1:32" x14ac:dyDescent="0.2">
      <c r="A56">
        <f>'HRA Balance Calc'!A65</f>
        <v>48</v>
      </c>
      <c r="B56" s="489">
        <f>'HRA Balance Calc'!N65+'HRA Balance Calc'!U65+IF('HRA Balance Calc'!$L65&lt;0,'HRA Balance Calc'!$L65*('HRA Balance Calc'!$G65/'HRA Balance Calc'!$L65),0)</f>
        <v>284.96901770279476</v>
      </c>
      <c r="C56" s="489">
        <f>'HRA Balance Calc'!V65+'HRA Balance Calc'!O65+IF('HRA Balance Calc'!$L65&lt;0,'HRA Balance Calc'!$L65*('HRA Balance Calc'!$H65/'HRA Balance Calc'!$L65),0)</f>
        <v>69.152760241020275</v>
      </c>
      <c r="D56" s="489">
        <f>'HRA Balance Calc'!W65+'HRA Balance Calc'!P65+IF('HRA Balance Calc'!$L65&lt;0,'HRA Balance Calc'!$L65*('HRA Balance Calc'!$I65/'HRA Balance Calc'!$L65),0)</f>
        <v>6.994347478584198E-3</v>
      </c>
      <c r="E56" s="489">
        <f>'HRA Balance Calc'!X65+'HRA Balance Calc'!Q65+IF('HRA Balance Calc'!$L65&lt;0,'HRA Balance Calc'!$L65*('HRA Balance Calc'!$J65/'HRA Balance Calc'!$L65),0)</f>
        <v>25.562446610364734</v>
      </c>
      <c r="F56" s="489">
        <f>'HRA Balance Calc'!E65</f>
        <v>471.98996185153999</v>
      </c>
      <c r="G56" s="489">
        <f>IF('HRA Balance Calc'!L65&lt;0,0,'HRA Balance Calc'!L65)</f>
        <v>3.3645726154408369E+22</v>
      </c>
      <c r="H56" s="489">
        <f>ROUND('HRA Balance Calc'!T65,2)</f>
        <v>667.95</v>
      </c>
      <c r="I56" s="489">
        <f>'HRA Balance Calc'!S65+'HRA Balance Calc'!U65</f>
        <v>379.69121890165832</v>
      </c>
      <c r="K56" s="489">
        <f>'HRA Balance Calc'!$I$1*12+IF($H56=ROUND('HRA Balance Calc'!$I$12+'HRA Balance Calc'!$I$1*12,2),((B56-'HRA Balance Calc'!$I$1*12)/(I56-'HRA Balance Calc'!$I$1*12))*(H56-'HRA Balance Calc'!$I$1*12),B56-'HRA Balance Calc'!$I$1*12)</f>
        <v>284.96901770279476</v>
      </c>
      <c r="L56" s="489">
        <f>IF($H56=ROUND('HRA Balance Calc'!$I$12+'HRA Balance Calc'!$I$1*12,2),((C56/($I56-'HRA Balance Calc'!$I$1*12))*($H56-'HRA Balance Calc'!$I$1*12)),C56)</f>
        <v>69.152760241020275</v>
      </c>
      <c r="M56" s="489">
        <f>IF($H56=ROUND('HRA Balance Calc'!$I$12+'HRA Balance Calc'!$I$1*12,2),((D56/($I56-'HRA Balance Calc'!$I$1*12))*($H56-'HRA Balance Calc'!$I$1*12)),D56)</f>
        <v>6.994347478584198E-3</v>
      </c>
      <c r="N56" s="489">
        <f>IF($H56=ROUND('HRA Balance Calc'!$I$12+'HRA Balance Calc'!$I$1*12,2),((E56/($I56-'HRA Balance Calc'!$I$1*12))*($H56-'HRA Balance Calc'!$I$1*12)),E56)</f>
        <v>25.562446610364734</v>
      </c>
      <c r="P56" s="510">
        <f>B56+'HRA Balance Calc'!G65</f>
        <v>4728.2930071966293</v>
      </c>
      <c r="Q56" s="510">
        <f>C56+'HRA Balance Calc'!H65</f>
        <v>112.10608573786645</v>
      </c>
      <c r="R56" s="510">
        <f>D56+'HRA Balance Calc'!I65</f>
        <v>3.9205726708565217E-2</v>
      </c>
      <c r="S56" s="510">
        <f>E56+'HRA Balance Calc'!J65</f>
        <v>36.762298571788172</v>
      </c>
      <c r="T56" s="489">
        <f t="shared" si="0"/>
        <v>471.98996185153999</v>
      </c>
      <c r="U56" s="510">
        <f t="shared" si="1"/>
        <v>5349.1905590845317</v>
      </c>
      <c r="W56" s="489">
        <f>'Winners-Losers HRA'!CC53*12-MIN('HRA Balance Calc'!Y65,'HRA Balance Calc'!$M$12)</f>
        <v>1282.7853573694611</v>
      </c>
      <c r="X56" s="489">
        <f>MIN('Winners-Losers HRA'!BS53*12,'HRA Balance Calc'!$L$12)-MIN('HRA Balance Calc'!$L$12,'HRA Balance Calc'!R65)</f>
        <v>-450.12111543453176</v>
      </c>
      <c r="Y56" s="489">
        <f t="shared" si="2"/>
        <v>832.66424193492935</v>
      </c>
      <c r="Z56" s="510">
        <f t="shared" si="3"/>
        <v>3.3645726154408369E+22</v>
      </c>
      <c r="AA56" s="510">
        <f t="shared" si="4"/>
        <v>3.3645726154408369E+22</v>
      </c>
      <c r="AC56" s="510">
        <f t="shared" si="5"/>
        <v>284.97601205027337</v>
      </c>
      <c r="AD56">
        <f t="shared" si="6"/>
        <v>305.1477411667903</v>
      </c>
      <c r="AE56">
        <f t="shared" si="7"/>
        <v>261.55742753613475</v>
      </c>
      <c r="AF56">
        <f t="shared" si="8"/>
        <v>47</v>
      </c>
    </row>
    <row r="57" spans="1:32" x14ac:dyDescent="0.2">
      <c r="A57">
        <f>'HRA Balance Calc'!A66</f>
        <v>49</v>
      </c>
      <c r="B57" s="489">
        <f>'HRA Balance Calc'!N66+'HRA Balance Calc'!U66+IF('HRA Balance Calc'!$L66&lt;0,'HRA Balance Calc'!$L66*('HRA Balance Calc'!$G66/'HRA Balance Calc'!$L66),0)</f>
        <v>301.80802722502744</v>
      </c>
      <c r="C57" s="489">
        <f>'HRA Balance Calc'!V66+'HRA Balance Calc'!O66+IF('HRA Balance Calc'!$L66&lt;0,'HRA Balance Calc'!$L66*('HRA Balance Calc'!$H66/'HRA Balance Calc'!$L66),0)</f>
        <v>73.695616134755184</v>
      </c>
      <c r="D57" s="489">
        <f>'HRA Balance Calc'!W66+'HRA Balance Calc'!P66+IF('HRA Balance Calc'!$L66&lt;0,'HRA Balance Calc'!$L66*('HRA Balance Calc'!$I66/'HRA Balance Calc'!$L66),0)</f>
        <v>0</v>
      </c>
      <c r="E57" s="489">
        <f>'HRA Balance Calc'!X66+'HRA Balance Calc'!Q66+IF('HRA Balance Calc'!$L66&lt;0,'HRA Balance Calc'!$L66*('HRA Balance Calc'!$J66/'HRA Balance Calc'!$L66),0)</f>
        <v>28.082583116560425</v>
      </c>
      <c r="F57" s="489">
        <f>'HRA Balance Calc'!E66</f>
        <v>471.98996185153999</v>
      </c>
      <c r="G57" s="489">
        <f>IF('HRA Balance Calc'!L66&lt;0,0,'HRA Balance Calc'!L66)</f>
        <v>3.3645726154408369E+22</v>
      </c>
      <c r="H57" s="489">
        <f>ROUND('HRA Balance Calc'!T66,2)</f>
        <v>691.85</v>
      </c>
      <c r="I57" s="489">
        <f>'HRA Balance Calc'!S66+'HRA Balance Calc'!U66</f>
        <v>403.58622647634309</v>
      </c>
      <c r="K57" s="489">
        <f>'HRA Balance Calc'!$I$1*12+IF($H57=ROUND('HRA Balance Calc'!$I$12+'HRA Balance Calc'!$I$1*12,2),((B57-'HRA Balance Calc'!$I$1*12)/(I57-'HRA Balance Calc'!$I$1*12))*(H57-'HRA Balance Calc'!$I$1*12),B57-'HRA Balance Calc'!$I$1*12)</f>
        <v>301.80802722502744</v>
      </c>
      <c r="L57" s="489">
        <f>IF($H57=ROUND('HRA Balance Calc'!$I$12+'HRA Balance Calc'!$I$1*12,2),((C57/($I57-'HRA Balance Calc'!$I$1*12))*($H57-'HRA Balance Calc'!$I$1*12)),C57)</f>
        <v>73.695616134755184</v>
      </c>
      <c r="M57" s="489">
        <f>IF($H57=ROUND('HRA Balance Calc'!$I$12+'HRA Balance Calc'!$I$1*12,2),((D57/($I57-'HRA Balance Calc'!$I$1*12))*($H57-'HRA Balance Calc'!$I$1*12)),D57)</f>
        <v>0</v>
      </c>
      <c r="N57" s="489">
        <f>IF($H57=ROUND('HRA Balance Calc'!$I$12+'HRA Balance Calc'!$I$1*12,2),((E57/($I57-'HRA Balance Calc'!$I$1*12))*($H57-'HRA Balance Calc'!$I$1*12)),E57)</f>
        <v>28.082583116560425</v>
      </c>
      <c r="P57" s="510">
        <f>B57+'HRA Balance Calc'!G66</f>
        <v>4745.1320167188615</v>
      </c>
      <c r="Q57" s="510">
        <f>C57+'HRA Balance Calc'!H66</f>
        <v>121.15522922417534</v>
      </c>
      <c r="R57" s="510">
        <f>D57+'HRA Balance Calc'!I66</f>
        <v>0</v>
      </c>
      <c r="S57" s="510">
        <f>E57+'HRA Balance Calc'!J66</f>
        <v>40.386599957902916</v>
      </c>
      <c r="T57" s="489">
        <f t="shared" si="0"/>
        <v>471.98996185153999</v>
      </c>
      <c r="U57" s="510">
        <f t="shared" si="1"/>
        <v>5378.6638077524794</v>
      </c>
      <c r="W57" s="489">
        <f>'Winners-Losers HRA'!CC54*12-MIN('HRA Balance Calc'!Y66,'HRA Balance Calc'!$M$12)</f>
        <v>1279.4756780020869</v>
      </c>
      <c r="X57" s="489">
        <f>MIN('Winners-Losers HRA'!BS54*12,'HRA Balance Calc'!$L$12)-MIN('HRA Balance Calc'!$L$12,'HRA Balance Calc'!R66)</f>
        <v>-461.54261431179026</v>
      </c>
      <c r="Y57" s="489">
        <f t="shared" si="2"/>
        <v>817.93306369029665</v>
      </c>
      <c r="Z57" s="510">
        <f t="shared" si="3"/>
        <v>3.3645726154408369E+22</v>
      </c>
      <c r="AA57" s="510">
        <f t="shared" si="4"/>
        <v>3.3645726154408369E+22</v>
      </c>
      <c r="AC57" s="510">
        <f t="shared" si="5"/>
        <v>301.80802722502744</v>
      </c>
      <c r="AD57">
        <f t="shared" si="6"/>
        <v>309.69059706052519</v>
      </c>
      <c r="AE57">
        <f t="shared" si="7"/>
        <v>264.07756404233044</v>
      </c>
      <c r="AF57">
        <f t="shared" si="8"/>
        <v>48</v>
      </c>
    </row>
    <row r="58" spans="1:32" x14ac:dyDescent="0.2">
      <c r="A58">
        <f>'HRA Balance Calc'!A67</f>
        <v>50</v>
      </c>
      <c r="B58" s="489">
        <f>'HRA Balance Calc'!N67+'HRA Balance Calc'!U67+IF('HRA Balance Calc'!$L67&lt;0,'HRA Balance Calc'!$L67*('HRA Balance Calc'!$G67/'HRA Balance Calc'!$L67),0)</f>
        <v>319.22379982143173</v>
      </c>
      <c r="C58" s="489">
        <f>'HRA Balance Calc'!V67+'HRA Balance Calc'!O67+IF('HRA Balance Calc'!$L67&lt;0,'HRA Balance Calc'!$L67*('HRA Balance Calc'!$H67/'HRA Balance Calc'!$L67),0)</f>
        <v>78.319817018274833</v>
      </c>
      <c r="D58" s="489">
        <f>'HRA Balance Calc'!W67+'HRA Balance Calc'!P67+IF('HRA Balance Calc'!$L67&lt;0,'HRA Balance Calc'!$L67*('HRA Balance Calc'!$I67/'HRA Balance Calc'!$L67),0)</f>
        <v>2.9950154587783558E-2</v>
      </c>
      <c r="E58" s="489">
        <f>'HRA Balance Calc'!X67+'HRA Balance Calc'!Q67+IF('HRA Balance Calc'!$L67&lt;0,'HRA Balance Calc'!$L67*('HRA Balance Calc'!$J67/'HRA Balance Calc'!$L67),0)</f>
        <v>30.390559498851569</v>
      </c>
      <c r="F58" s="489">
        <f>'HRA Balance Calc'!E67</f>
        <v>471.98996185153999</v>
      </c>
      <c r="G58" s="489">
        <f>IF('HRA Balance Calc'!L67&lt;0,0,'HRA Balance Calc'!L67)</f>
        <v>3.3645726154408369E+22</v>
      </c>
      <c r="H58" s="489">
        <f>ROUND('HRA Balance Calc'!T67,2)</f>
        <v>716.23</v>
      </c>
      <c r="I58" s="489">
        <f>'HRA Balance Calc'!S67+'HRA Balance Calc'!U67</f>
        <v>427.96412649314595</v>
      </c>
      <c r="K58" s="489">
        <f>'HRA Balance Calc'!$I$1*12+IF($H58=ROUND('HRA Balance Calc'!$I$12+'HRA Balance Calc'!$I$1*12,2),((B58-'HRA Balance Calc'!$I$1*12)/(I58-'HRA Balance Calc'!$I$1*12))*(H58-'HRA Balance Calc'!$I$1*12),B58-'HRA Balance Calc'!$I$1*12)</f>
        <v>319.22379982143173</v>
      </c>
      <c r="L58" s="489">
        <f>IF($H58=ROUND('HRA Balance Calc'!$I$12+'HRA Balance Calc'!$I$1*12,2),((C58/($I58-'HRA Balance Calc'!$I$1*12))*($H58-'HRA Balance Calc'!$I$1*12)),C58)</f>
        <v>78.319817018274833</v>
      </c>
      <c r="M58" s="489">
        <f>IF($H58=ROUND('HRA Balance Calc'!$I$12+'HRA Balance Calc'!$I$1*12,2),((D58/($I58-'HRA Balance Calc'!$I$1*12))*($H58-'HRA Balance Calc'!$I$1*12)),D58)</f>
        <v>2.9950154587783558E-2</v>
      </c>
      <c r="N58" s="489">
        <f>IF($H58=ROUND('HRA Balance Calc'!$I$12+'HRA Balance Calc'!$I$1*12,2),((E58/($I58-'HRA Balance Calc'!$I$1*12))*($H58-'HRA Balance Calc'!$I$1*12)),E58)</f>
        <v>30.390559498851569</v>
      </c>
      <c r="P58" s="510">
        <f>B58+'HRA Balance Calc'!G67</f>
        <v>4762.5477893152656</v>
      </c>
      <c r="Q58" s="510">
        <f>C58+'HRA Balance Calc'!H67</f>
        <v>131.81616579039013</v>
      </c>
      <c r="R58" s="510">
        <f>D58+'HRA Balance Calc'!I67</f>
        <v>0.16788093231616352</v>
      </c>
      <c r="S58" s="510">
        <f>E58+'HRA Balance Calc'!J67</f>
        <v>43.705786034090949</v>
      </c>
      <c r="T58" s="489">
        <f t="shared" si="0"/>
        <v>471.98996185153999</v>
      </c>
      <c r="U58" s="510">
        <f t="shared" si="1"/>
        <v>5410.2275839236027</v>
      </c>
      <c r="W58" s="489">
        <f>'Winners-Losers HRA'!CC55*12-MIN('HRA Balance Calc'!Y67,'HRA Balance Calc'!$M$12)</f>
        <v>1276.0780545973682</v>
      </c>
      <c r="X58" s="489">
        <f>MIN('Winners-Losers HRA'!BS55*12,'HRA Balance Calc'!$L$12)-MIN('HRA Balance Calc'!$L$12,'HRA Balance Calc'!R67)</f>
        <v>-472.89942845610193</v>
      </c>
      <c r="Y58" s="489">
        <f t="shared" si="2"/>
        <v>803.17862614126625</v>
      </c>
      <c r="Z58" s="510">
        <f t="shared" si="3"/>
        <v>3.3645726154408369E+22</v>
      </c>
      <c r="AA58" s="510">
        <f t="shared" si="4"/>
        <v>3.3645726154408369E+22</v>
      </c>
      <c r="AC58" s="510">
        <f t="shared" si="5"/>
        <v>319.25374997601949</v>
      </c>
      <c r="AD58">
        <f t="shared" si="6"/>
        <v>314.31479794404481</v>
      </c>
      <c r="AE58">
        <f t="shared" si="7"/>
        <v>266.38554042462158</v>
      </c>
      <c r="AF58">
        <f t="shared" si="8"/>
        <v>49</v>
      </c>
    </row>
    <row r="59" spans="1:32" x14ac:dyDescent="0.2">
      <c r="A59">
        <f>'HRA Balance Calc'!A68</f>
        <v>51</v>
      </c>
      <c r="B59" s="489">
        <f>'HRA Balance Calc'!N68+'HRA Balance Calc'!U68+IF('HRA Balance Calc'!$L68&lt;0,'HRA Balance Calc'!$L68*('HRA Balance Calc'!$G68/'HRA Balance Calc'!$L68),0)</f>
        <v>339.06191474420007</v>
      </c>
      <c r="C59" s="489">
        <f>'HRA Balance Calc'!V68+'HRA Balance Calc'!O68+IF('HRA Balance Calc'!$L68&lt;0,'HRA Balance Calc'!$L68*('HRA Balance Calc'!$H68/'HRA Balance Calc'!$L68),0)</f>
        <v>81.12562487711044</v>
      </c>
      <c r="D59" s="489">
        <f>'HRA Balance Calc'!W68+'HRA Balance Calc'!P68+IF('HRA Balance Calc'!$L68&lt;0,'HRA Balance Calc'!$L68*('HRA Balance Calc'!$I68/'HRA Balance Calc'!$L68),0)</f>
        <v>0</v>
      </c>
      <c r="E59" s="489">
        <f>'HRA Balance Calc'!X68+'HRA Balance Calc'!Q68+IF('HRA Balance Calc'!$L68&lt;0,'HRA Balance Calc'!$L68*('HRA Balance Calc'!$J68/'HRA Balance Calc'!$L68),0)</f>
        <v>36.930859981176177</v>
      </c>
      <c r="F59" s="489">
        <f>'HRA Balance Calc'!E68</f>
        <v>471.98996185153999</v>
      </c>
      <c r="G59" s="489">
        <f>IF('HRA Balance Calc'!L68&lt;0,0,'HRA Balance Calc'!L68)</f>
        <v>3.3645726154408369E+22</v>
      </c>
      <c r="H59" s="489">
        <f>ROUND('HRA Balance Calc'!T68,2)</f>
        <v>745.38</v>
      </c>
      <c r="I59" s="489">
        <f>'HRA Balance Calc'!S68+'HRA Balance Calc'!U68</f>
        <v>457.11839960248665</v>
      </c>
      <c r="K59" s="489">
        <f>'HRA Balance Calc'!$I$1*12+IF($H59=ROUND('HRA Balance Calc'!$I$12+'HRA Balance Calc'!$I$1*12,2),((B59-'HRA Balance Calc'!$I$1*12)/(I59-'HRA Balance Calc'!$I$1*12))*(H59-'HRA Balance Calc'!$I$1*12),B59-'HRA Balance Calc'!$I$1*12)</f>
        <v>339.06191474420007</v>
      </c>
      <c r="L59" s="489">
        <f>IF($H59=ROUND('HRA Balance Calc'!$I$12+'HRA Balance Calc'!$I$1*12,2),((C59/($I59-'HRA Balance Calc'!$I$1*12))*($H59-'HRA Balance Calc'!$I$1*12)),C59)</f>
        <v>81.12562487711044</v>
      </c>
      <c r="M59" s="489">
        <f>IF($H59=ROUND('HRA Balance Calc'!$I$12+'HRA Balance Calc'!$I$1*12,2),((D59/($I59-'HRA Balance Calc'!$I$1*12))*($H59-'HRA Balance Calc'!$I$1*12)),D59)</f>
        <v>0</v>
      </c>
      <c r="N59" s="489">
        <f>IF($H59=ROUND('HRA Balance Calc'!$I$12+'HRA Balance Calc'!$I$1*12,2),((E59/($I59-'HRA Balance Calc'!$I$1*12))*($H59-'HRA Balance Calc'!$I$1*12)),E59)</f>
        <v>36.930859981176177</v>
      </c>
      <c r="P59" s="510">
        <f>B59+'HRA Balance Calc'!G68</f>
        <v>4782.3859042380345</v>
      </c>
      <c r="Q59" s="510">
        <f>C59+'HRA Balance Calc'!H68</f>
        <v>138.41183887558751</v>
      </c>
      <c r="R59" s="510">
        <f>D59+'HRA Balance Calc'!I68</f>
        <v>0</v>
      </c>
      <c r="S59" s="510">
        <f>E59+'HRA Balance Calc'!J68</f>
        <v>53.111633711556152</v>
      </c>
      <c r="T59" s="489">
        <f t="shared" si="0"/>
        <v>471.98996185153999</v>
      </c>
      <c r="U59" s="510">
        <f t="shared" si="1"/>
        <v>5445.8993386767188</v>
      </c>
      <c r="W59" s="489">
        <f>'Winners-Losers HRA'!CC56*12-MIN('HRA Balance Calc'!Y68,'HRA Balance Calc'!$M$12)</f>
        <v>1268.8932950946964</v>
      </c>
      <c r="X59" s="489">
        <f>MIN('Winners-Losers HRA'!BS56*12,'HRA Balance Calc'!$L$12)-MIN('HRA Balance Calc'!$L$12,'HRA Balance Calc'!R68)</f>
        <v>-484.75940287816536</v>
      </c>
      <c r="Y59" s="489">
        <f t="shared" si="2"/>
        <v>784.13389221653108</v>
      </c>
      <c r="Z59" s="510">
        <f t="shared" si="3"/>
        <v>3.3645726154408369E+22</v>
      </c>
      <c r="AA59" s="510">
        <f t="shared" si="4"/>
        <v>3.3645726154408369E+22</v>
      </c>
      <c r="AC59" s="510">
        <f t="shared" si="5"/>
        <v>339.06191474420007</v>
      </c>
      <c r="AD59">
        <f t="shared" si="6"/>
        <v>317.12060580288045</v>
      </c>
      <c r="AE59">
        <f t="shared" si="7"/>
        <v>272.92584090694618</v>
      </c>
      <c r="AF59">
        <f t="shared" si="8"/>
        <v>50</v>
      </c>
    </row>
    <row r="60" spans="1:32" x14ac:dyDescent="0.2">
      <c r="A60">
        <f>'HRA Balance Calc'!A69</f>
        <v>52</v>
      </c>
      <c r="B60" s="489">
        <f>'HRA Balance Calc'!N69+'HRA Balance Calc'!U69+IF('HRA Balance Calc'!$L69&lt;0,'HRA Balance Calc'!$L69*('HRA Balance Calc'!$G69/'HRA Balance Calc'!$L69),0)</f>
        <v>358.86008850128212</v>
      </c>
      <c r="C60" s="489">
        <f>'HRA Balance Calc'!V69+'HRA Balance Calc'!O69+IF('HRA Balance Calc'!$L69&lt;0,'HRA Balance Calc'!$L69*('HRA Balance Calc'!$H69/'HRA Balance Calc'!$L69),0)</f>
        <v>84.593538033815946</v>
      </c>
      <c r="D60" s="489">
        <f>'HRA Balance Calc'!W69+'HRA Balance Calc'!P69+IF('HRA Balance Calc'!$L69&lt;0,'HRA Balance Calc'!$L69*('HRA Balance Calc'!$I69/'HRA Balance Calc'!$L69),0)</f>
        <v>1.6518416929835827E-2</v>
      </c>
      <c r="E60" s="489">
        <f>'HRA Balance Calc'!X69+'HRA Balance Calc'!Q69+IF('HRA Balance Calc'!$L69&lt;0,'HRA Balance Calc'!$L69*('HRA Balance Calc'!$J69/'HRA Balance Calc'!$L69),0)</f>
        <v>41.467608223856054</v>
      </c>
      <c r="F60" s="489">
        <f>'HRA Balance Calc'!E69</f>
        <v>471.98996185153999</v>
      </c>
      <c r="G60" s="489">
        <f>IF('HRA Balance Calc'!L69&lt;0,0,'HRA Balance Calc'!L69)</f>
        <v>3.3645726154408369E+22</v>
      </c>
      <c r="H60" s="489">
        <f>ROUND('HRA Balance Calc'!T69,2)</f>
        <v>773.2</v>
      </c>
      <c r="I60" s="489">
        <f>'HRA Balance Calc'!S69+'HRA Balance Calc'!U69</f>
        <v>484.93775317588393</v>
      </c>
      <c r="K60" s="489">
        <f>'HRA Balance Calc'!$I$1*12+IF($H60=ROUND('HRA Balance Calc'!$I$12+'HRA Balance Calc'!$I$1*12,2),((B60-'HRA Balance Calc'!$I$1*12)/(I60-'HRA Balance Calc'!$I$1*12))*(H60-'HRA Balance Calc'!$I$1*12),B60-'HRA Balance Calc'!$I$1*12)</f>
        <v>358.86008850128212</v>
      </c>
      <c r="L60" s="489">
        <f>IF($H60=ROUND('HRA Balance Calc'!$I$12+'HRA Balance Calc'!$I$1*12,2),((C60/($I60-'HRA Balance Calc'!$I$1*12))*($H60-'HRA Balance Calc'!$I$1*12)),C60)</f>
        <v>84.593538033815946</v>
      </c>
      <c r="M60" s="489">
        <f>IF($H60=ROUND('HRA Balance Calc'!$I$12+'HRA Balance Calc'!$I$1*12,2),((D60/($I60-'HRA Balance Calc'!$I$1*12))*($H60-'HRA Balance Calc'!$I$1*12)),D60)</f>
        <v>1.6518416929835827E-2</v>
      </c>
      <c r="N60" s="489">
        <f>IF($H60=ROUND('HRA Balance Calc'!$I$12+'HRA Balance Calc'!$I$1*12,2),((E60/($I60-'HRA Balance Calc'!$I$1*12))*($H60-'HRA Balance Calc'!$I$1*12)),E60)</f>
        <v>41.467608223856054</v>
      </c>
      <c r="P60" s="510">
        <f>B60+'HRA Balance Calc'!G69</f>
        <v>4802.1840779951162</v>
      </c>
      <c r="Q60" s="510">
        <f>C60+'HRA Balance Calc'!H69</f>
        <v>144.40188418109807</v>
      </c>
      <c r="R60" s="510">
        <f>D60+'HRA Balance Calc'!I69</f>
        <v>9.2591416396197043E-2</v>
      </c>
      <c r="S60" s="510">
        <f>E60+'HRA Balance Calc'!J69</f>
        <v>59.636098915712651</v>
      </c>
      <c r="T60" s="489">
        <f t="shared" si="0"/>
        <v>471.98996185153999</v>
      </c>
      <c r="U60" s="510">
        <f t="shared" si="1"/>
        <v>5478.304614359864</v>
      </c>
      <c r="W60" s="489">
        <f>'Winners-Losers HRA'!CC57*12-MIN('HRA Balance Calc'!Y69,'HRA Balance Calc'!$M$12)</f>
        <v>1263.8980400611451</v>
      </c>
      <c r="X60" s="489">
        <f>MIN('Winners-Losers HRA'!BS57*12,'HRA Balance Calc'!$L$12)-MIN('HRA Balance Calc'!$L$12,'HRA Balance Calc'!R69)</f>
        <v>-496.96340027380933</v>
      </c>
      <c r="Y60" s="489">
        <f t="shared" si="2"/>
        <v>766.93463978733575</v>
      </c>
      <c r="Z60" s="510">
        <f t="shared" si="3"/>
        <v>3.3645726154408369E+22</v>
      </c>
      <c r="AA60" s="510">
        <f t="shared" si="4"/>
        <v>3.3645726154408369E+22</v>
      </c>
      <c r="AC60" s="510">
        <f t="shared" si="5"/>
        <v>358.87660691821196</v>
      </c>
      <c r="AD60">
        <f t="shared" si="6"/>
        <v>320.58851895958594</v>
      </c>
      <c r="AE60">
        <f t="shared" si="7"/>
        <v>277.46258914962607</v>
      </c>
      <c r="AF60">
        <f t="shared" si="8"/>
        <v>51</v>
      </c>
    </row>
    <row r="61" spans="1:32" x14ac:dyDescent="0.2">
      <c r="A61">
        <f>'HRA Balance Calc'!A70</f>
        <v>53</v>
      </c>
      <c r="B61" s="489">
        <f>'HRA Balance Calc'!N70+'HRA Balance Calc'!U70+IF('HRA Balance Calc'!$L70&lt;0,'HRA Balance Calc'!$L70*('HRA Balance Calc'!$G70/'HRA Balance Calc'!$L70),0)</f>
        <v>380.41522716493671</v>
      </c>
      <c r="C61" s="489">
        <f>'HRA Balance Calc'!V70+'HRA Balance Calc'!O70+IF('HRA Balance Calc'!$L70&lt;0,'HRA Balance Calc'!$L70*('HRA Balance Calc'!$H70/'HRA Balance Calc'!$L70),0)</f>
        <v>91.066385266225112</v>
      </c>
      <c r="D61" s="489">
        <f>'HRA Balance Calc'!W70+'HRA Balance Calc'!P70+IF('HRA Balance Calc'!$L70&lt;0,'HRA Balance Calc'!$L70*('HRA Balance Calc'!$I70/'HRA Balance Calc'!$L70),0)</f>
        <v>1.7181983229086106E-2</v>
      </c>
      <c r="E61" s="489">
        <f>'HRA Balance Calc'!X70+'HRA Balance Calc'!Q70+IF('HRA Balance Calc'!$L70&lt;0,'HRA Balance Calc'!$L70*('HRA Balance Calc'!$J70/'HRA Balance Calc'!$L70),0)</f>
        <v>44.01697513064061</v>
      </c>
      <c r="F61" s="489">
        <f>'HRA Balance Calc'!E70</f>
        <v>471.98996185153999</v>
      </c>
      <c r="G61" s="489">
        <f>IF('HRA Balance Calc'!L70&lt;0,0,'HRA Balance Calc'!L70)</f>
        <v>3.3645726154408369E+22</v>
      </c>
      <c r="H61" s="489">
        <f>ROUND('HRA Balance Calc'!T70,2)</f>
        <v>803.78</v>
      </c>
      <c r="I61" s="489">
        <f>'HRA Balance Calc'!S70+'HRA Balance Calc'!U70</f>
        <v>515.5157695450315</v>
      </c>
      <c r="K61" s="489">
        <f>'HRA Balance Calc'!$I$1*12+IF($H61=ROUND('HRA Balance Calc'!$I$12+'HRA Balance Calc'!$I$1*12,2),((B61-'HRA Balance Calc'!$I$1*12)/(I61-'HRA Balance Calc'!$I$1*12))*(H61-'HRA Balance Calc'!$I$1*12),B61-'HRA Balance Calc'!$I$1*12)</f>
        <v>380.41522716493671</v>
      </c>
      <c r="L61" s="489">
        <f>IF($H61=ROUND('HRA Balance Calc'!$I$12+'HRA Balance Calc'!$I$1*12,2),((C61/($I61-'HRA Balance Calc'!$I$1*12))*($H61-'HRA Balance Calc'!$I$1*12)),C61)</f>
        <v>91.066385266225112</v>
      </c>
      <c r="M61" s="489">
        <f>IF($H61=ROUND('HRA Balance Calc'!$I$12+'HRA Balance Calc'!$I$1*12,2),((D61/($I61-'HRA Balance Calc'!$I$1*12))*($H61-'HRA Balance Calc'!$I$1*12)),D61)</f>
        <v>1.7181983229086106E-2</v>
      </c>
      <c r="N61" s="489">
        <f>IF($H61=ROUND('HRA Balance Calc'!$I$12+'HRA Balance Calc'!$I$1*12,2),((E61/($I61-'HRA Balance Calc'!$I$1*12))*($H61-'HRA Balance Calc'!$I$1*12)),E61)</f>
        <v>44.01697513064061</v>
      </c>
      <c r="P61" s="510">
        <f>B61+'HRA Balance Calc'!G70</f>
        <v>4823.7392166587706</v>
      </c>
      <c r="Q61" s="510">
        <f>C61+'HRA Balance Calc'!H70</f>
        <v>159.61664484233233</v>
      </c>
      <c r="R61" s="510">
        <f>D61+'HRA Balance Calc'!I70</f>
        <v>9.6310934058291608E-2</v>
      </c>
      <c r="S61" s="510">
        <f>E61+'HRA Balance Calc'!J70</f>
        <v>63.302437620484724</v>
      </c>
      <c r="T61" s="489">
        <f t="shared" si="0"/>
        <v>471.98996185153999</v>
      </c>
      <c r="U61" s="510">
        <f t="shared" si="1"/>
        <v>5518.7445719071857</v>
      </c>
      <c r="W61" s="489">
        <f>'Winners-Losers HRA'!CC58*12-MIN('HRA Balance Calc'!Y70,'HRA Balance Calc'!$M$12)</f>
        <v>1259.8054432637391</v>
      </c>
      <c r="X61" s="489">
        <f>MIN('Winners-Losers HRA'!BS58*12,'HRA Balance Calc'!$L$12)-MIN('HRA Balance Calc'!$L$12,'HRA Balance Calc'!R70)</f>
        <v>-512.36320220465905</v>
      </c>
      <c r="Y61" s="489">
        <f t="shared" si="2"/>
        <v>747.44224105908006</v>
      </c>
      <c r="Z61" s="510">
        <f t="shared" si="3"/>
        <v>3.3645726154408369E+22</v>
      </c>
      <c r="AA61" s="510">
        <f t="shared" si="4"/>
        <v>3.3645726154408369E+22</v>
      </c>
      <c r="AC61" s="510">
        <f t="shared" si="5"/>
        <v>380.43240914816579</v>
      </c>
      <c r="AD61">
        <f t="shared" si="6"/>
        <v>327.06136619199509</v>
      </c>
      <c r="AE61">
        <f t="shared" si="7"/>
        <v>280.01195605641061</v>
      </c>
      <c r="AF61">
        <f t="shared" si="8"/>
        <v>52</v>
      </c>
    </row>
    <row r="62" spans="1:32" x14ac:dyDescent="0.2">
      <c r="A62">
        <f>'HRA Balance Calc'!A71</f>
        <v>54</v>
      </c>
      <c r="B62" s="489">
        <f>'HRA Balance Calc'!N71+'HRA Balance Calc'!U71+IF('HRA Balance Calc'!$L71&lt;0,'HRA Balance Calc'!$L71*('HRA Balance Calc'!$G71/'HRA Balance Calc'!$L71),0)</f>
        <v>402.14945284001658</v>
      </c>
      <c r="C62" s="489">
        <f>'HRA Balance Calc'!V71+'HRA Balance Calc'!O71+IF('HRA Balance Calc'!$L71&lt;0,'HRA Balance Calc'!$L71*('HRA Balance Calc'!$H71/'HRA Balance Calc'!$L71),0)</f>
        <v>93.489041533980469</v>
      </c>
      <c r="D62" s="489">
        <f>'HRA Balance Calc'!W71+'HRA Balance Calc'!P71+IF('HRA Balance Calc'!$L71&lt;0,'HRA Balance Calc'!$L71*('HRA Balance Calc'!$I71/'HRA Balance Calc'!$L71),0)</f>
        <v>0</v>
      </c>
      <c r="E62" s="489">
        <f>'HRA Balance Calc'!X71+'HRA Balance Calc'!Q71+IF('HRA Balance Calc'!$L71&lt;0,'HRA Balance Calc'!$L71*('HRA Balance Calc'!$J71/'HRA Balance Calc'!$L71),0)</f>
        <v>47.534865717536022</v>
      </c>
      <c r="F62" s="489">
        <f>'HRA Balance Calc'!E71</f>
        <v>471.98996185153999</v>
      </c>
      <c r="G62" s="489">
        <f>IF('HRA Balance Calc'!L71&lt;0,0,'HRA Balance Calc'!L71)</f>
        <v>3.3645726154408369E+22</v>
      </c>
      <c r="H62" s="489">
        <f>ROUND('HRA Balance Calc'!T71,2)</f>
        <v>831.43</v>
      </c>
      <c r="I62" s="489">
        <f>'HRA Balance Calc'!S71+'HRA Balance Calc'!U71</f>
        <v>543.17336009153303</v>
      </c>
      <c r="K62" s="489">
        <f>'HRA Balance Calc'!$I$1*12+IF($H62=ROUND('HRA Balance Calc'!$I$12+'HRA Balance Calc'!$I$1*12,2),((B62-'HRA Balance Calc'!$I$1*12)/(I62-'HRA Balance Calc'!$I$1*12))*(H62-'HRA Balance Calc'!$I$1*12),B62-'HRA Balance Calc'!$I$1*12)</f>
        <v>402.14945284001658</v>
      </c>
      <c r="L62" s="489">
        <f>IF($H62=ROUND('HRA Balance Calc'!$I$12+'HRA Balance Calc'!$I$1*12,2),((C62/($I62-'HRA Balance Calc'!$I$1*12))*($H62-'HRA Balance Calc'!$I$1*12)),C62)</f>
        <v>93.489041533980469</v>
      </c>
      <c r="M62" s="489">
        <f>IF($H62=ROUND('HRA Balance Calc'!$I$12+'HRA Balance Calc'!$I$1*12,2),((D62/($I62-'HRA Balance Calc'!$I$1*12))*($H62-'HRA Balance Calc'!$I$1*12)),D62)</f>
        <v>0</v>
      </c>
      <c r="N62" s="489">
        <f>IF($H62=ROUND('HRA Balance Calc'!$I$12+'HRA Balance Calc'!$I$1*12,2),((E62/($I62-'HRA Balance Calc'!$I$1*12))*($H62-'HRA Balance Calc'!$I$1*12)),E62)</f>
        <v>47.534865717536022</v>
      </c>
      <c r="P62" s="510">
        <f>B62+'HRA Balance Calc'!G71</f>
        <v>4845.4734423338505</v>
      </c>
      <c r="Q62" s="510">
        <f>C62+'HRA Balance Calc'!H71</f>
        <v>167.10672631803243</v>
      </c>
      <c r="R62" s="510">
        <f>D62+'HRA Balance Calc'!I71</f>
        <v>0</v>
      </c>
      <c r="S62" s="510">
        <f>E62+'HRA Balance Calc'!J71</f>
        <v>68.361646000245003</v>
      </c>
      <c r="T62" s="489">
        <f t="shared" si="0"/>
        <v>471.98996185153999</v>
      </c>
      <c r="U62" s="510">
        <f t="shared" si="1"/>
        <v>5552.9317765036676</v>
      </c>
      <c r="W62" s="489">
        <f>'Winners-Losers HRA'!CC59*12-MIN('HRA Balance Calc'!Y71,'HRA Balance Calc'!$M$12)</f>
        <v>1255.4072651020588</v>
      </c>
      <c r="X62" s="489">
        <f>MIN('Winners-Losers HRA'!BS59*12,'HRA Balance Calc'!$L$12)-MIN('HRA Balance Calc'!$L$12,'HRA Balance Calc'!R71)</f>
        <v>-523.97224573615074</v>
      </c>
      <c r="Y62" s="489">
        <f t="shared" si="2"/>
        <v>731.43501936590803</v>
      </c>
      <c r="Z62" s="510">
        <f t="shared" si="3"/>
        <v>3.3645726154408369E+22</v>
      </c>
      <c r="AA62" s="510">
        <f t="shared" si="4"/>
        <v>3.3645726154408369E+22</v>
      </c>
      <c r="AC62" s="510">
        <f t="shared" si="5"/>
        <v>402.14945284001658</v>
      </c>
      <c r="AD62">
        <f t="shared" si="6"/>
        <v>329.48402245975046</v>
      </c>
      <c r="AE62">
        <f t="shared" si="7"/>
        <v>283.52984664330603</v>
      </c>
      <c r="AF62">
        <f t="shared" si="8"/>
        <v>53</v>
      </c>
    </row>
    <row r="63" spans="1:32" x14ac:dyDescent="0.2">
      <c r="A63">
        <f>'HRA Balance Calc'!A72</f>
        <v>55</v>
      </c>
      <c r="B63" s="489">
        <f>'HRA Balance Calc'!N72+'HRA Balance Calc'!U72+IF('HRA Balance Calc'!$L72&lt;0,'HRA Balance Calc'!$L72*('HRA Balance Calc'!$G72/'HRA Balance Calc'!$L72),0)</f>
        <v>414.91251968500035</v>
      </c>
      <c r="C63" s="489">
        <f>'HRA Balance Calc'!V72+'HRA Balance Calc'!O72+IF('HRA Balance Calc'!$L72&lt;0,'HRA Balance Calc'!$L72*('HRA Balance Calc'!$H72/'HRA Balance Calc'!$L72),0)</f>
        <v>94.975054324789383</v>
      </c>
      <c r="D63" s="489">
        <f>'HRA Balance Calc'!W72+'HRA Balance Calc'!P72+IF('HRA Balance Calc'!$L72&lt;0,'HRA Balance Calc'!$L72*('HRA Balance Calc'!$I72/'HRA Balance Calc'!$L72),0)</f>
        <v>2.8814718920177573E-2</v>
      </c>
      <c r="E63" s="489">
        <f>'HRA Balance Calc'!X72+'HRA Balance Calc'!Q72+IF('HRA Balance Calc'!$L72&lt;0,'HRA Balance Calc'!$L72*('HRA Balance Calc'!$J72/'HRA Balance Calc'!$L72),0)</f>
        <v>53.887987501002314</v>
      </c>
      <c r="F63" s="489">
        <f>'HRA Balance Calc'!E72</f>
        <v>471.98996185153999</v>
      </c>
      <c r="G63" s="489">
        <f>IF('HRA Balance Calc'!L72&lt;0,0,'HRA Balance Calc'!L72)</f>
        <v>3.3645726154408369E+22</v>
      </c>
      <c r="H63" s="489">
        <f>ROUND('HRA Balance Calc'!T72,2)</f>
        <v>852.07</v>
      </c>
      <c r="I63" s="489">
        <f>'HRA Balance Calc'!S72+'HRA Balance Calc'!U72</f>
        <v>563.80437622971226</v>
      </c>
      <c r="K63" s="489">
        <f>'HRA Balance Calc'!$I$1*12+IF($H63=ROUND('HRA Balance Calc'!$I$12+'HRA Balance Calc'!$I$1*12,2),((B63-'HRA Balance Calc'!$I$1*12)/(I63-'HRA Balance Calc'!$I$1*12))*(H63-'HRA Balance Calc'!$I$1*12),B63-'HRA Balance Calc'!$I$1*12)</f>
        <v>414.91251968500035</v>
      </c>
      <c r="L63" s="489">
        <f>IF($H63=ROUND('HRA Balance Calc'!$I$12+'HRA Balance Calc'!$I$1*12,2),((C63/($I63-'HRA Balance Calc'!$I$1*12))*($H63-'HRA Balance Calc'!$I$1*12)),C63)</f>
        <v>94.975054324789383</v>
      </c>
      <c r="M63" s="489">
        <f>IF($H63=ROUND('HRA Balance Calc'!$I$12+'HRA Balance Calc'!$I$1*12,2),((D63/($I63-'HRA Balance Calc'!$I$1*12))*($H63-'HRA Balance Calc'!$I$1*12)),D63)</f>
        <v>2.8814718920177573E-2</v>
      </c>
      <c r="N63" s="489">
        <f>IF($H63=ROUND('HRA Balance Calc'!$I$12+'HRA Balance Calc'!$I$1*12,2),((E63/($I63-'HRA Balance Calc'!$I$1*12))*($H63-'HRA Balance Calc'!$I$1*12)),E63)</f>
        <v>53.887987501002314</v>
      </c>
      <c r="P63" s="510">
        <f>B63+'HRA Balance Calc'!G72</f>
        <v>4858.2365091788342</v>
      </c>
      <c r="Q63" s="510">
        <f>C63+'HRA Balance Calc'!H72</f>
        <v>170.79147687921957</v>
      </c>
      <c r="R63" s="510">
        <f>D63+'HRA Balance Calc'!I72</f>
        <v>0.16151642431657978</v>
      </c>
      <c r="S63" s="510">
        <f>E63+'HRA Balance Calc'!J72</f>
        <v>77.498305077784963</v>
      </c>
      <c r="T63" s="489">
        <f t="shared" si="0"/>
        <v>471.98996185153999</v>
      </c>
      <c r="U63" s="510">
        <f t="shared" si="1"/>
        <v>5578.6777694116954</v>
      </c>
      <c r="W63" s="489">
        <f>'Winners-Losers HRA'!CC60*12-MIN('HRA Balance Calc'!Y72,'HRA Balance Calc'!$M$12)</f>
        <v>1248.6427128228675</v>
      </c>
      <c r="X63" s="489">
        <f>MIN('Winners-Losers HRA'!BS60*12,'HRA Balance Calc'!$L$12)-MIN('HRA Balance Calc'!$L$12,'HRA Balance Calc'!R72)</f>
        <v>-525.66411857964772</v>
      </c>
      <c r="Y63" s="489">
        <f t="shared" si="2"/>
        <v>722.97859424321973</v>
      </c>
      <c r="Z63" s="510">
        <f t="shared" si="3"/>
        <v>3.3645726154408369E+22</v>
      </c>
      <c r="AA63" s="510">
        <f t="shared" si="4"/>
        <v>3.3645726154408369E+22</v>
      </c>
      <c r="AC63" s="510">
        <f t="shared" si="5"/>
        <v>414.94133440392051</v>
      </c>
      <c r="AD63">
        <f t="shared" si="6"/>
        <v>330.97003525055936</v>
      </c>
      <c r="AE63">
        <f t="shared" si="7"/>
        <v>289.88296842677232</v>
      </c>
      <c r="AF63">
        <f t="shared" si="8"/>
        <v>54</v>
      </c>
    </row>
    <row r="64" spans="1:32" x14ac:dyDescent="0.2">
      <c r="A64">
        <f>'HRA Balance Calc'!A73</f>
        <v>56</v>
      </c>
      <c r="B64" s="489">
        <f>'HRA Balance Calc'!N73+'HRA Balance Calc'!U73+IF('HRA Balance Calc'!$L73&lt;0,'HRA Balance Calc'!$L73*('HRA Balance Calc'!$G73/'HRA Balance Calc'!$L73),0)</f>
        <v>435.96844381798121</v>
      </c>
      <c r="C64" s="489">
        <f>'HRA Balance Calc'!V73+'HRA Balance Calc'!O73+IF('HRA Balance Calc'!$L73&lt;0,'HRA Balance Calc'!$L73*('HRA Balance Calc'!$H73/'HRA Balance Calc'!$L73),0)</f>
        <v>100.06285310381439</v>
      </c>
      <c r="D64" s="489">
        <f>'HRA Balance Calc'!W73+'HRA Balance Calc'!P73+IF('HRA Balance Calc'!$L73&lt;0,'HRA Balance Calc'!$L73*('HRA Balance Calc'!$I73/'HRA Balance Calc'!$L73),0)</f>
        <v>9.9236041149143618E-3</v>
      </c>
      <c r="E64" s="489">
        <f>'HRA Balance Calc'!X73+'HRA Balance Calc'!Q73+IF('HRA Balance Calc'!$L73&lt;0,'HRA Balance Calc'!$L73*('HRA Balance Calc'!$J73/'HRA Balance Calc'!$L73),0)</f>
        <v>60.097181835748415</v>
      </c>
      <c r="F64" s="489">
        <f>'HRA Balance Calc'!E73</f>
        <v>471.98996185153999</v>
      </c>
      <c r="G64" s="489">
        <f>IF('HRA Balance Calc'!L73&lt;0,0,'HRA Balance Calc'!L73)</f>
        <v>3.3645726154408369E+22</v>
      </c>
      <c r="H64" s="489">
        <f>ROUND('HRA Balance Calc'!T73,2)</f>
        <v>884.4</v>
      </c>
      <c r="I64" s="489">
        <f>'HRA Balance Calc'!S73+'HRA Balance Calc'!U73</f>
        <v>596.1384023616589</v>
      </c>
      <c r="K64" s="489">
        <f>'HRA Balance Calc'!$I$1*12+IF($H64=ROUND('HRA Balance Calc'!$I$12+'HRA Balance Calc'!$I$1*12,2),((B64-'HRA Balance Calc'!$I$1*12)/(I64-'HRA Balance Calc'!$I$1*12))*(H64-'HRA Balance Calc'!$I$1*12),B64-'HRA Balance Calc'!$I$1*12)</f>
        <v>435.96844381798121</v>
      </c>
      <c r="L64" s="489">
        <f>IF($H64=ROUND('HRA Balance Calc'!$I$12+'HRA Balance Calc'!$I$1*12,2),((C64/($I64-'HRA Balance Calc'!$I$1*12))*($H64-'HRA Balance Calc'!$I$1*12)),C64)</f>
        <v>100.06285310381439</v>
      </c>
      <c r="M64" s="489">
        <f>IF($H64=ROUND('HRA Balance Calc'!$I$12+'HRA Balance Calc'!$I$1*12,2),((D64/($I64-'HRA Balance Calc'!$I$1*12))*($H64-'HRA Balance Calc'!$I$1*12)),D64)</f>
        <v>9.9236041149143618E-3</v>
      </c>
      <c r="N64" s="489">
        <f>IF($H64=ROUND('HRA Balance Calc'!$I$12+'HRA Balance Calc'!$I$1*12,2),((E64/($I64-'HRA Balance Calc'!$I$1*12))*($H64-'HRA Balance Calc'!$I$1*12)),E64)</f>
        <v>60.097181835748415</v>
      </c>
      <c r="P64" s="510">
        <f>B64+'HRA Balance Calc'!G73</f>
        <v>4879.2924333118153</v>
      </c>
      <c r="Q64" s="510">
        <f>C64+'HRA Balance Calc'!H73</f>
        <v>183.53708709463177</v>
      </c>
      <c r="R64" s="510">
        <f>D64+'HRA Balance Calc'!I73</f>
        <v>5.5625219090785008E-2</v>
      </c>
      <c r="S64" s="510">
        <f>E64+'HRA Balance Calc'!J73</f>
        <v>86.427976775627769</v>
      </c>
      <c r="T64" s="489">
        <f t="shared" si="0"/>
        <v>471.98996185153999</v>
      </c>
      <c r="U64" s="510">
        <f t="shared" si="1"/>
        <v>5621.303084252706</v>
      </c>
      <c r="W64" s="489">
        <f>'Winners-Losers HRA'!CC61*12-MIN('HRA Balance Calc'!Y73,'HRA Balance Calc'!$M$12)</f>
        <v>1241.0974929564802</v>
      </c>
      <c r="X64" s="489">
        <f>MIN('Winners-Losers HRA'!BS61*12,'HRA Balance Calc'!$L$12)-MIN('HRA Balance Calc'!$L$12,'HRA Balance Calc'!R73)</f>
        <v>-537.92448508102427</v>
      </c>
      <c r="Y64" s="489">
        <f t="shared" si="2"/>
        <v>703.17300787545594</v>
      </c>
      <c r="Z64" s="510">
        <f t="shared" si="3"/>
        <v>3.3645726154408369E+22</v>
      </c>
      <c r="AA64" s="510">
        <f t="shared" si="4"/>
        <v>3.3645726154408369E+22</v>
      </c>
      <c r="AC64" s="510">
        <f t="shared" si="5"/>
        <v>435.97836742209614</v>
      </c>
      <c r="AD64">
        <f t="shared" si="6"/>
        <v>336.0578340295844</v>
      </c>
      <c r="AE64">
        <f t="shared" si="7"/>
        <v>296.09216276151841</v>
      </c>
      <c r="AF64">
        <f t="shared" si="8"/>
        <v>55</v>
      </c>
    </row>
    <row r="65" spans="1:32" x14ac:dyDescent="0.2">
      <c r="A65">
        <f>'HRA Balance Calc'!A74</f>
        <v>57</v>
      </c>
      <c r="B65" s="489">
        <f>'HRA Balance Calc'!N74+'HRA Balance Calc'!U74+IF('HRA Balance Calc'!$L74&lt;0,'HRA Balance Calc'!$L74*('HRA Balance Calc'!$G74/'HRA Balance Calc'!$L74),0)</f>
        <v>466.41202719814555</v>
      </c>
      <c r="C65" s="489">
        <f>'HRA Balance Calc'!V74+'HRA Balance Calc'!O74+IF('HRA Balance Calc'!$L74&lt;0,'HRA Balance Calc'!$L74*('HRA Balance Calc'!$H74/'HRA Balance Calc'!$L74),0)</f>
        <v>103.65987120192754</v>
      </c>
      <c r="D65" s="489">
        <f>'HRA Balance Calc'!W74+'HRA Balance Calc'!P74+IF('HRA Balance Calc'!$L74&lt;0,'HRA Balance Calc'!$L74*('HRA Balance Calc'!$I74/'HRA Balance Calc'!$L74),0)</f>
        <v>2.1022896267539351E-2</v>
      </c>
      <c r="E65" s="489">
        <f>'HRA Balance Calc'!X74+'HRA Balance Calc'!Q74+IF('HRA Balance Calc'!$L74&lt;0,'HRA Balance Calc'!$L74*('HRA Balance Calc'!$J74/'HRA Balance Calc'!$L74),0)</f>
        <v>69.842543455177733</v>
      </c>
      <c r="F65" s="489">
        <f>'HRA Balance Calc'!E74</f>
        <v>471.98996185153999</v>
      </c>
      <c r="G65" s="489">
        <f>IF('HRA Balance Calc'!L74&lt;0,0,'HRA Balance Calc'!L74)</f>
        <v>3.3645726154408369E+22</v>
      </c>
      <c r="H65" s="489">
        <f>ROUND('HRA Balance Calc'!T74,2)</f>
        <v>928.2</v>
      </c>
      <c r="I65" s="489">
        <f>'HRA Balance Calc'!S74+'HRA Balance Calc'!U74</f>
        <v>639.93546475151834</v>
      </c>
      <c r="K65" s="489">
        <f>'HRA Balance Calc'!$I$1*12+IF($H65=ROUND('HRA Balance Calc'!$I$12+'HRA Balance Calc'!$I$1*12,2),((B65-'HRA Balance Calc'!$I$1*12)/(I65-'HRA Balance Calc'!$I$1*12))*(H65-'HRA Balance Calc'!$I$1*12),B65-'HRA Balance Calc'!$I$1*12)</f>
        <v>466.41202719814555</v>
      </c>
      <c r="L65" s="489">
        <f>IF($H65=ROUND('HRA Balance Calc'!$I$12+'HRA Balance Calc'!$I$1*12,2),((C65/($I65-'HRA Balance Calc'!$I$1*12))*($H65-'HRA Balance Calc'!$I$1*12)),C65)</f>
        <v>103.65987120192754</v>
      </c>
      <c r="M65" s="489">
        <f>IF($H65=ROUND('HRA Balance Calc'!$I$12+'HRA Balance Calc'!$I$1*12,2),((D65/($I65-'HRA Balance Calc'!$I$1*12))*($H65-'HRA Balance Calc'!$I$1*12)),D65)</f>
        <v>2.1022896267539351E-2</v>
      </c>
      <c r="N65" s="489">
        <f>IF($H65=ROUND('HRA Balance Calc'!$I$12+'HRA Balance Calc'!$I$1*12,2),((E65/($I65-'HRA Balance Calc'!$I$1*12))*($H65-'HRA Balance Calc'!$I$1*12)),E65)</f>
        <v>69.842543455177733</v>
      </c>
      <c r="P65" s="510">
        <f>B65+'HRA Balance Calc'!G74</f>
        <v>4909.7360166919798</v>
      </c>
      <c r="Q65" s="510">
        <f>C65+'HRA Balance Calc'!H74</f>
        <v>192.05281939450936</v>
      </c>
      <c r="R65" s="510">
        <f>D65+'HRA Balance Calc'!I74</f>
        <v>0.11784057457987525</v>
      </c>
      <c r="S65" s="510">
        <f>E65+'HRA Balance Calc'!J74</f>
        <v>100.44314124733535</v>
      </c>
      <c r="T65" s="489">
        <f t="shared" si="0"/>
        <v>471.98996185153999</v>
      </c>
      <c r="U65" s="510">
        <f t="shared" si="1"/>
        <v>5674.3397797599437</v>
      </c>
      <c r="W65" s="489">
        <f>'Winners-Losers HRA'!CC62*12-MIN('HRA Balance Calc'!Y74,'HRA Balance Calc'!$M$12)</f>
        <v>1230.4751024667389</v>
      </c>
      <c r="X65" s="489">
        <f>MIN('Winners-Losers HRA'!BS62*12,'HRA Balance Calc'!$L$12)-MIN('HRA Balance Calc'!$L$12,'HRA Balance Calc'!R74)</f>
        <v>-557.85032742057399</v>
      </c>
      <c r="Y65" s="489">
        <f t="shared" si="2"/>
        <v>672.62477504616493</v>
      </c>
      <c r="Z65" s="510">
        <f t="shared" si="3"/>
        <v>3.3645726154408369E+22</v>
      </c>
      <c r="AA65" s="510">
        <f t="shared" si="4"/>
        <v>3.3645726154408369E+22</v>
      </c>
      <c r="AC65" s="510">
        <f t="shared" si="5"/>
        <v>466.43305009441309</v>
      </c>
      <c r="AD65">
        <f t="shared" si="6"/>
        <v>339.65485212769755</v>
      </c>
      <c r="AE65">
        <f t="shared" si="7"/>
        <v>305.83752438094774</v>
      </c>
      <c r="AF65">
        <f t="shared" si="8"/>
        <v>56</v>
      </c>
    </row>
    <row r="66" spans="1:32" x14ac:dyDescent="0.2">
      <c r="A66">
        <f>'HRA Balance Calc'!A75</f>
        <v>58</v>
      </c>
      <c r="B66" s="489">
        <f>'HRA Balance Calc'!N75+'HRA Balance Calc'!U75+IF('HRA Balance Calc'!$L75&lt;0,'HRA Balance Calc'!$L75*('HRA Balance Calc'!$G75/'HRA Balance Calc'!$L75),0)</f>
        <v>492.60742857661307</v>
      </c>
      <c r="C66" s="489">
        <f>'HRA Balance Calc'!V75+'HRA Balance Calc'!O75+IF('HRA Balance Calc'!$L75&lt;0,'HRA Balance Calc'!$L75*('HRA Balance Calc'!$H75/'HRA Balance Calc'!$L75),0)</f>
        <v>110.04001288850969</v>
      </c>
      <c r="D66" s="489">
        <f>'HRA Balance Calc'!W75+'HRA Balance Calc'!P75+IF('HRA Balance Calc'!$L75&lt;0,'HRA Balance Calc'!$L75*('HRA Balance Calc'!$I75/'HRA Balance Calc'!$L75),0)</f>
        <v>0</v>
      </c>
      <c r="E66" s="489">
        <f>'HRA Balance Calc'!X75+'HRA Balance Calc'!Q75+IF('HRA Balance Calc'!$L75&lt;0,'HRA Balance Calc'!$L75*('HRA Balance Calc'!$J75/'HRA Balance Calc'!$L75),0)</f>
        <v>74.675485099837147</v>
      </c>
      <c r="F66" s="489">
        <f>'HRA Balance Calc'!E75</f>
        <v>471.98996185153999</v>
      </c>
      <c r="G66" s="489">
        <f>IF('HRA Balance Calc'!L75&lt;0,0,'HRA Balance Calc'!L75)</f>
        <v>3.3645726154408369E+22</v>
      </c>
      <c r="H66" s="489">
        <f>ROUND('HRA Balance Calc'!T75,2)</f>
        <v>965.58</v>
      </c>
      <c r="I66" s="489">
        <f>'HRA Balance Calc'!S75+'HRA Balance Calc'!U75</f>
        <v>677.32292656495986</v>
      </c>
      <c r="K66" s="489">
        <f>'HRA Balance Calc'!$I$1*12+IF($H66=ROUND('HRA Balance Calc'!$I$12+'HRA Balance Calc'!$I$1*12,2),((B66-'HRA Balance Calc'!$I$1*12)/(I66-'HRA Balance Calc'!$I$1*12))*(H66-'HRA Balance Calc'!$I$1*12),B66-'HRA Balance Calc'!$I$1*12)</f>
        <v>492.60742857661307</v>
      </c>
      <c r="L66" s="489">
        <f>IF($H66=ROUND('HRA Balance Calc'!$I$12+'HRA Balance Calc'!$I$1*12,2),((C66/($I66-'HRA Balance Calc'!$I$1*12))*($H66-'HRA Balance Calc'!$I$1*12)),C66)</f>
        <v>110.04001288850969</v>
      </c>
      <c r="M66" s="489">
        <f>IF($H66=ROUND('HRA Balance Calc'!$I$12+'HRA Balance Calc'!$I$1*12,2),((D66/($I66-'HRA Balance Calc'!$I$1*12))*($H66-'HRA Balance Calc'!$I$1*12)),D66)</f>
        <v>0</v>
      </c>
      <c r="N66" s="489">
        <f>IF($H66=ROUND('HRA Balance Calc'!$I$12+'HRA Balance Calc'!$I$1*12,2),((E66/($I66-'HRA Balance Calc'!$I$1*12))*($H66-'HRA Balance Calc'!$I$1*12)),E66)</f>
        <v>74.675485099837147</v>
      </c>
      <c r="P66" s="510">
        <f>B66+'HRA Balance Calc'!G75</f>
        <v>4935.9314180704478</v>
      </c>
      <c r="Q66" s="510">
        <f>C66+'HRA Balance Calc'!H75</f>
        <v>207.06953017385831</v>
      </c>
      <c r="R66" s="510">
        <f>D66+'HRA Balance Calc'!I75</f>
        <v>0</v>
      </c>
      <c r="S66" s="510">
        <f>E66+'HRA Balance Calc'!J75</f>
        <v>107.39357312223103</v>
      </c>
      <c r="T66" s="489">
        <f t="shared" si="0"/>
        <v>471.98996185153999</v>
      </c>
      <c r="U66" s="510">
        <f t="shared" si="1"/>
        <v>5722.3844832180766</v>
      </c>
      <c r="W66" s="489">
        <f>'Winners-Losers HRA'!CC63*12-MIN('HRA Balance Calc'!Y75,'HRA Balance Calc'!$M$12)</f>
        <v>1224.1351458665877</v>
      </c>
      <c r="X66" s="489">
        <f>MIN('Winners-Losers HRA'!BS63*12,'HRA Balance Calc'!$L$12)-MIN('HRA Balance Calc'!$L$12,'HRA Balance Calc'!R75)</f>
        <v>-574.93111120814092</v>
      </c>
      <c r="Y66" s="489">
        <f t="shared" si="2"/>
        <v>649.20403465844674</v>
      </c>
      <c r="Z66" s="510">
        <f t="shared" si="3"/>
        <v>3.3645726154408369E+22</v>
      </c>
      <c r="AA66" s="510">
        <f t="shared" si="4"/>
        <v>3.3645726154408369E+22</v>
      </c>
      <c r="AC66" s="510">
        <f t="shared" si="5"/>
        <v>492.60742857661307</v>
      </c>
      <c r="AD66">
        <f t="shared" si="6"/>
        <v>346.03499381427969</v>
      </c>
      <c r="AE66">
        <f t="shared" si="7"/>
        <v>310.67046602560714</v>
      </c>
      <c r="AF66">
        <f t="shared" si="8"/>
        <v>57</v>
      </c>
    </row>
    <row r="67" spans="1:32" x14ac:dyDescent="0.2">
      <c r="A67">
        <f>'HRA Balance Calc'!A76</f>
        <v>59</v>
      </c>
      <c r="B67" s="489">
        <f>'HRA Balance Calc'!N76+'HRA Balance Calc'!U76+IF('HRA Balance Calc'!$L76&lt;0,'HRA Balance Calc'!$L76*('HRA Balance Calc'!$G76/'HRA Balance Calc'!$L76),0)</f>
        <v>513.08825275239576</v>
      </c>
      <c r="C67" s="489">
        <f>'HRA Balance Calc'!V76+'HRA Balance Calc'!O76+IF('HRA Balance Calc'!$L76&lt;0,'HRA Balance Calc'!$L76*('HRA Balance Calc'!$H76/'HRA Balance Calc'!$L76),0)</f>
        <v>115.45765759634914</v>
      </c>
      <c r="D67" s="489">
        <f>'HRA Balance Calc'!W76+'HRA Balance Calc'!P76+IF('HRA Balance Calc'!$L76&lt;0,'HRA Balance Calc'!$L76*('HRA Balance Calc'!$I76/'HRA Balance Calc'!$L76),0)</f>
        <v>4.7077338798162879E-2</v>
      </c>
      <c r="E67" s="489">
        <f>'HRA Balance Calc'!X76+'HRA Balance Calc'!Q76+IF('HRA Balance Calc'!$L76&lt;0,'HRA Balance Calc'!$L76*('HRA Balance Calc'!$J76/'HRA Balance Calc'!$L76),0)</f>
        <v>80.080837095507817</v>
      </c>
      <c r="F67" s="489">
        <f>'HRA Balance Calc'!E76</f>
        <v>471.98996185153999</v>
      </c>
      <c r="G67" s="489">
        <f>IF('HRA Balance Calc'!L76&lt;0,0,'HRA Balance Calc'!L76)</f>
        <v>3.3645726154408369E+22</v>
      </c>
      <c r="H67" s="489">
        <f>ROUND('HRA Balance Calc'!T76,2)</f>
        <v>996.93</v>
      </c>
      <c r="I67" s="489">
        <f>'HRA Balance Calc'!S76+'HRA Balance Calc'!U76</f>
        <v>708.6738247830508</v>
      </c>
      <c r="K67" s="489">
        <f>'HRA Balance Calc'!$I$1*12+IF($H67=ROUND('HRA Balance Calc'!$I$12+'HRA Balance Calc'!$I$1*12,2),((B67-'HRA Balance Calc'!$I$1*12)/(I67-'HRA Balance Calc'!$I$1*12))*(H67-'HRA Balance Calc'!$I$1*12),B67-'HRA Balance Calc'!$I$1*12)</f>
        <v>513.08825275239576</v>
      </c>
      <c r="L67" s="489">
        <f>IF($H67=ROUND('HRA Balance Calc'!$I$12+'HRA Balance Calc'!$I$1*12,2),((C67/($I67-'HRA Balance Calc'!$I$1*12))*($H67-'HRA Balance Calc'!$I$1*12)),C67)</f>
        <v>115.45765759634914</v>
      </c>
      <c r="M67" s="489">
        <f>IF($H67=ROUND('HRA Balance Calc'!$I$12+'HRA Balance Calc'!$I$1*12,2),((D67/($I67-'HRA Balance Calc'!$I$1*12))*($H67-'HRA Balance Calc'!$I$1*12)),D67)</f>
        <v>4.7077338798162879E-2</v>
      </c>
      <c r="N67" s="489">
        <f>IF($H67=ROUND('HRA Balance Calc'!$I$12+'HRA Balance Calc'!$I$1*12,2),((E67/($I67-'HRA Balance Calc'!$I$1*12))*($H67-'HRA Balance Calc'!$I$1*12)),E67)</f>
        <v>80.080837095507817</v>
      </c>
      <c r="P67" s="510">
        <f>B67+'HRA Balance Calc'!G76</f>
        <v>4956.4122422462297</v>
      </c>
      <c r="Q67" s="510">
        <f>C67+'HRA Balance Calc'!H76</f>
        <v>219.75673938780193</v>
      </c>
      <c r="R67" s="510">
        <f>D67+'HRA Balance Calc'!I76</f>
        <v>0.26388469899995826</v>
      </c>
      <c r="S67" s="510">
        <f>E67+'HRA Balance Calc'!J76</f>
        <v>115.16720946382772</v>
      </c>
      <c r="T67" s="489">
        <f t="shared" si="0"/>
        <v>471.98996185153999</v>
      </c>
      <c r="U67" s="510">
        <f t="shared" si="1"/>
        <v>5763.5900376483996</v>
      </c>
      <c r="W67" s="489">
        <f>'Winners-Losers HRA'!CC64*12-MIN('HRA Balance Calc'!Y76,'HRA Balance Calc'!$M$12)</f>
        <v>1217.4086694239218</v>
      </c>
      <c r="X67" s="489">
        <f>MIN('Winners-Losers HRA'!BS64*12,'HRA Balance Calc'!$L$12)-MIN('HRA Balance Calc'!$L$12,'HRA Balance Calc'!R76)</f>
        <v>-584.85148154164017</v>
      </c>
      <c r="Y67" s="489">
        <f t="shared" si="2"/>
        <v>632.5571878822816</v>
      </c>
      <c r="Z67" s="510">
        <f t="shared" si="3"/>
        <v>3.3645726154408369E+22</v>
      </c>
      <c r="AA67" s="510">
        <f t="shared" si="4"/>
        <v>3.3645726154408369E+22</v>
      </c>
      <c r="AC67" s="510">
        <f t="shared" si="5"/>
        <v>513.13533009119396</v>
      </c>
      <c r="AD67">
        <f t="shared" si="6"/>
        <v>351.45263852211912</v>
      </c>
      <c r="AE67">
        <f t="shared" si="7"/>
        <v>316.07581802127783</v>
      </c>
      <c r="AF67">
        <f t="shared" si="8"/>
        <v>58</v>
      </c>
    </row>
    <row r="68" spans="1:32" x14ac:dyDescent="0.2">
      <c r="A68">
        <f>'HRA Balance Calc'!A77</f>
        <v>60</v>
      </c>
      <c r="B68" s="489">
        <f>'HRA Balance Calc'!N77+'HRA Balance Calc'!U77+IF('HRA Balance Calc'!$L77&lt;0,'HRA Balance Calc'!$L77*('HRA Balance Calc'!$G77/'HRA Balance Calc'!$L77),0)</f>
        <v>538.51862569484229</v>
      </c>
      <c r="C68" s="489">
        <f>'HRA Balance Calc'!V77+'HRA Balance Calc'!O77+IF('HRA Balance Calc'!$L77&lt;0,'HRA Balance Calc'!$L77*('HRA Balance Calc'!$H77/'HRA Balance Calc'!$L77),0)</f>
        <v>115.46875318235587</v>
      </c>
      <c r="D68" s="489">
        <f>'HRA Balance Calc'!W77+'HRA Balance Calc'!P77+IF('HRA Balance Calc'!$L77&lt;0,'HRA Balance Calc'!$L77*('HRA Balance Calc'!$I77/'HRA Balance Calc'!$L77),0)</f>
        <v>3.6584920869071507</v>
      </c>
      <c r="E68" s="489">
        <f>'HRA Balance Calc'!X77+'HRA Balance Calc'!Q77+IF('HRA Balance Calc'!$L77&lt;0,'HRA Balance Calc'!$L77*('HRA Balance Calc'!$J77/'HRA Balance Calc'!$L77),0)</f>
        <v>87.937063942152051</v>
      </c>
      <c r="F68" s="489">
        <f>'HRA Balance Calc'!E77</f>
        <v>471.98996185153999</v>
      </c>
      <c r="G68" s="489">
        <f>IF('HRA Balance Calc'!L77&lt;0,0,'HRA Balance Calc'!L77)</f>
        <v>3.3645726154408369E+22</v>
      </c>
      <c r="H68" s="489">
        <f>ROUND('HRA Balance Calc'!T77,2)</f>
        <v>1033.8399999999999</v>
      </c>
      <c r="I68" s="489">
        <f>'HRA Balance Calc'!S77+'HRA Balance Calc'!U77</f>
        <v>745.58293490625738</v>
      </c>
      <c r="K68" s="489">
        <f>'HRA Balance Calc'!$I$1*12+IF($H68=ROUND('HRA Balance Calc'!$I$12+'HRA Balance Calc'!$I$1*12,2),((B68-'HRA Balance Calc'!$I$1*12)/(I68-'HRA Balance Calc'!$I$1*12))*(H68-'HRA Balance Calc'!$I$1*12),B68-'HRA Balance Calc'!$I$1*12)</f>
        <v>538.51862569484229</v>
      </c>
      <c r="L68" s="489">
        <f>IF($H68=ROUND('HRA Balance Calc'!$I$12+'HRA Balance Calc'!$I$1*12,2),((C68/($I68-'HRA Balance Calc'!$I$1*12))*($H68-'HRA Balance Calc'!$I$1*12)),C68)</f>
        <v>115.46875318235587</v>
      </c>
      <c r="M68" s="489">
        <f>IF($H68=ROUND('HRA Balance Calc'!$I$12+'HRA Balance Calc'!$I$1*12,2),((D68/($I68-'HRA Balance Calc'!$I$1*12))*($H68-'HRA Balance Calc'!$I$1*12)),D68)</f>
        <v>3.6584920869071507</v>
      </c>
      <c r="N68" s="489">
        <f>IF($H68=ROUND('HRA Balance Calc'!$I$12+'HRA Balance Calc'!$I$1*12,2),((E68/($I68-'HRA Balance Calc'!$I$1*12))*($H68-'HRA Balance Calc'!$I$1*12)),E68)</f>
        <v>87.937063942152051</v>
      </c>
      <c r="P68" s="510">
        <f>B68+'HRA Balance Calc'!G77</f>
        <v>4981.8426151886761</v>
      </c>
      <c r="Q68" s="510">
        <f>C68+'HRA Balance Calc'!H77</f>
        <v>224.4909126573362</v>
      </c>
      <c r="R68" s="510">
        <f>D68+'HRA Balance Calc'!I77</f>
        <v>20.507108256189213</v>
      </c>
      <c r="S68" s="510">
        <f>E68+'HRA Balance Calc'!J77</f>
        <v>126.46553944711378</v>
      </c>
      <c r="T68" s="489">
        <f t="shared" si="0"/>
        <v>471.98996185153999</v>
      </c>
      <c r="U68" s="510">
        <f t="shared" si="1"/>
        <v>5825.2961374008555</v>
      </c>
      <c r="W68" s="489">
        <f>'Winners-Losers HRA'!CC65*12-MIN('HRA Balance Calc'!Y77,'HRA Balance Calc'!$M$12)</f>
        <v>1205.7839331962291</v>
      </c>
      <c r="X68" s="489">
        <f>MIN('Winners-Losers HRA'!BS65*12,'HRA Balance Calc'!$L$12)-MIN('HRA Balance Calc'!$L$12,'HRA Balance Calc'!R77)</f>
        <v>-594.83212667603561</v>
      </c>
      <c r="Y68" s="489">
        <f t="shared" si="2"/>
        <v>610.95180652019349</v>
      </c>
      <c r="Z68" s="510">
        <f t="shared" si="3"/>
        <v>3.3645726154408369E+22</v>
      </c>
      <c r="AA68" s="510">
        <f t="shared" si="4"/>
        <v>3.3645726154408369E+22</v>
      </c>
      <c r="AC68" s="510">
        <f t="shared" si="5"/>
        <v>542.17711778174942</v>
      </c>
      <c r="AD68">
        <f t="shared" si="6"/>
        <v>351.46373410812589</v>
      </c>
      <c r="AE68">
        <f t="shared" si="7"/>
        <v>323.93204486792206</v>
      </c>
      <c r="AF68">
        <f t="shared" si="8"/>
        <v>59</v>
      </c>
    </row>
    <row r="69" spans="1:32" x14ac:dyDescent="0.2">
      <c r="A69">
        <f>'HRA Balance Calc'!A78</f>
        <v>61</v>
      </c>
      <c r="B69" s="489">
        <f>'HRA Balance Calc'!N78+'HRA Balance Calc'!U78+IF('HRA Balance Calc'!$L78&lt;0,'HRA Balance Calc'!$L78*('HRA Balance Calc'!$G78/'HRA Balance Calc'!$L78),0)</f>
        <v>569.74227772707741</v>
      </c>
      <c r="C69" s="489">
        <f>'HRA Balance Calc'!V78+'HRA Balance Calc'!O78+IF('HRA Balance Calc'!$L78&lt;0,'HRA Balance Calc'!$L78*('HRA Balance Calc'!$H78/'HRA Balance Calc'!$L78),0)</f>
        <v>122.69035230389707</v>
      </c>
      <c r="D69" s="489">
        <f>'HRA Balance Calc'!W78+'HRA Balance Calc'!P78+IF('HRA Balance Calc'!$L78&lt;0,'HRA Balance Calc'!$L78*('HRA Balance Calc'!$I78/'HRA Balance Calc'!$L78),0)</f>
        <v>1.2788696082067706E-2</v>
      </c>
      <c r="E69" s="489">
        <f>'HRA Balance Calc'!X78+'HRA Balance Calc'!Q78+IF('HRA Balance Calc'!$L78&lt;0,'HRA Balance Calc'!$L78*('HRA Balance Calc'!$J78/'HRA Balance Calc'!$L78),0)</f>
        <v>101.48334531373051</v>
      </c>
      <c r="F69" s="489">
        <f>'HRA Balance Calc'!E78</f>
        <v>471.98996185153999</v>
      </c>
      <c r="G69" s="489">
        <f>IF('HRA Balance Calc'!L78&lt;0,0,'HRA Balance Calc'!L78)</f>
        <v>3.3645726154408369E+22</v>
      </c>
      <c r="H69" s="489">
        <f>ROUND('HRA Balance Calc'!T78,2)</f>
        <v>1082.19</v>
      </c>
      <c r="I69" s="489">
        <f>'HRA Balance Calc'!S78+'HRA Balance Calc'!U78</f>
        <v>793.9287640407872</v>
      </c>
      <c r="K69" s="489">
        <f>'HRA Balance Calc'!$I$1*12+IF($H69=ROUND('HRA Balance Calc'!$I$12+'HRA Balance Calc'!$I$1*12,2),((B69-'HRA Balance Calc'!$I$1*12)/(I69-'HRA Balance Calc'!$I$1*12))*(H69-'HRA Balance Calc'!$I$1*12),B69-'HRA Balance Calc'!$I$1*12)</f>
        <v>569.74227772707741</v>
      </c>
      <c r="L69" s="489">
        <f>IF($H69=ROUND('HRA Balance Calc'!$I$12+'HRA Balance Calc'!$I$1*12,2),((C69/($I69-'HRA Balance Calc'!$I$1*12))*($H69-'HRA Balance Calc'!$I$1*12)),C69)</f>
        <v>122.69035230389707</v>
      </c>
      <c r="M69" s="489">
        <f>IF($H69=ROUND('HRA Balance Calc'!$I$12+'HRA Balance Calc'!$I$1*12,2),((D69/($I69-'HRA Balance Calc'!$I$1*12))*($H69-'HRA Balance Calc'!$I$1*12)),D69)</f>
        <v>1.2788696082067706E-2</v>
      </c>
      <c r="N69" s="489">
        <f>IF($H69=ROUND('HRA Balance Calc'!$I$12+'HRA Balance Calc'!$I$1*12,2),((E69/($I69-'HRA Balance Calc'!$I$1*12))*($H69-'HRA Balance Calc'!$I$1*12)),E69)</f>
        <v>101.48334531373051</v>
      </c>
      <c r="P69" s="510">
        <f>B69+'HRA Balance Calc'!G78</f>
        <v>5013.0662672209119</v>
      </c>
      <c r="Q69" s="510">
        <f>C69+'HRA Balance Calc'!H78</f>
        <v>241.92456132452617</v>
      </c>
      <c r="R69" s="510">
        <f>D69+'HRA Balance Calc'!I78</f>
        <v>7.1685046401774852E-2</v>
      </c>
      <c r="S69" s="510">
        <f>E69+'HRA Balance Calc'!J78</f>
        <v>145.94694699428885</v>
      </c>
      <c r="T69" s="489">
        <f t="shared" si="0"/>
        <v>471.98996185153999</v>
      </c>
      <c r="U69" s="510">
        <f t="shared" si="1"/>
        <v>5872.9994224376687</v>
      </c>
      <c r="W69" s="489">
        <f>'Winners-Losers HRA'!CC66*12-MIN('HRA Balance Calc'!Y78,'HRA Balance Calc'!$M$12)</f>
        <v>1193.3984171669999</v>
      </c>
      <c r="X69" s="489">
        <f>MIN('Winners-Losers HRA'!BS66*12,'HRA Balance Calc'!$L$12)-MIN('HRA Balance Calc'!$L$12,'HRA Balance Calc'!R78)</f>
        <v>-614.68502453614929</v>
      </c>
      <c r="Y69" s="489">
        <f t="shared" si="2"/>
        <v>578.71339263085065</v>
      </c>
      <c r="Z69" s="510">
        <f t="shared" si="3"/>
        <v>3.3645726154408369E+22</v>
      </c>
      <c r="AA69" s="510">
        <f t="shared" si="4"/>
        <v>3.3645726154408369E+22</v>
      </c>
      <c r="AC69" s="510">
        <f t="shared" si="5"/>
        <v>569.75506642315952</v>
      </c>
      <c r="AD69">
        <f t="shared" si="6"/>
        <v>358.68533322966709</v>
      </c>
      <c r="AE69">
        <f t="shared" si="7"/>
        <v>337.47832623950052</v>
      </c>
      <c r="AF69">
        <f t="shared" si="8"/>
        <v>60</v>
      </c>
    </row>
    <row r="70" spans="1:32" x14ac:dyDescent="0.2">
      <c r="A70">
        <f>'HRA Balance Calc'!A79</f>
        <v>62</v>
      </c>
      <c r="B70" s="489">
        <f>'HRA Balance Calc'!N79+'HRA Balance Calc'!U79+IF('HRA Balance Calc'!$L79&lt;0,'HRA Balance Calc'!$L79*('HRA Balance Calc'!$G79/'HRA Balance Calc'!$L79),0)</f>
        <v>599.18583627159501</v>
      </c>
      <c r="C70" s="489">
        <f>'HRA Balance Calc'!V79+'HRA Balance Calc'!O79+IF('HRA Balance Calc'!$L79&lt;0,'HRA Balance Calc'!$L79*('HRA Balance Calc'!$H79/'HRA Balance Calc'!$L79),0)</f>
        <v>130.58873037358862</v>
      </c>
      <c r="D70" s="489">
        <f>'HRA Balance Calc'!W79+'HRA Balance Calc'!P79+IF('HRA Balance Calc'!$L79&lt;0,'HRA Balance Calc'!$L79*('HRA Balance Calc'!$I79/'HRA Balance Calc'!$L79),0)</f>
        <v>0</v>
      </c>
      <c r="E70" s="489">
        <f>'HRA Balance Calc'!X79+'HRA Balance Calc'!Q79+IF('HRA Balance Calc'!$L79&lt;0,'HRA Balance Calc'!$L79*('HRA Balance Calc'!$J79/'HRA Balance Calc'!$L79),0)</f>
        <v>112.08893891776289</v>
      </c>
      <c r="F70" s="489">
        <f>'HRA Balance Calc'!E79</f>
        <v>471.98996185153999</v>
      </c>
      <c r="G70" s="489">
        <f>IF('HRA Balance Calc'!L79&lt;0,0,'HRA Balance Calc'!L79)</f>
        <v>3.3645726154408369E+22</v>
      </c>
      <c r="H70" s="489">
        <f>ROUND('HRA Balance Calc'!T79,2)</f>
        <v>1130.1199999999999</v>
      </c>
      <c r="I70" s="489">
        <f>'HRA Balance Calc'!S79+'HRA Balance Calc'!U79</f>
        <v>841.86350556294656</v>
      </c>
      <c r="K70" s="489">
        <f>'HRA Balance Calc'!$I$1*12+IF($H70=ROUND('HRA Balance Calc'!$I$12+'HRA Balance Calc'!$I$1*12,2),((B70-'HRA Balance Calc'!$I$1*12)/(I70-'HRA Balance Calc'!$I$1*12))*(H70-'HRA Balance Calc'!$I$1*12),B70-'HRA Balance Calc'!$I$1*12)</f>
        <v>599.18583627159501</v>
      </c>
      <c r="L70" s="489">
        <f>IF($H70=ROUND('HRA Balance Calc'!$I$12+'HRA Balance Calc'!$I$1*12,2),((C70/($I70-'HRA Balance Calc'!$I$1*12))*($H70-'HRA Balance Calc'!$I$1*12)),C70)</f>
        <v>130.58873037358862</v>
      </c>
      <c r="M70" s="489">
        <f>IF($H70=ROUND('HRA Balance Calc'!$I$12+'HRA Balance Calc'!$I$1*12,2),((D70/($I70-'HRA Balance Calc'!$I$1*12))*($H70-'HRA Balance Calc'!$I$1*12)),D70)</f>
        <v>0</v>
      </c>
      <c r="N70" s="489">
        <f>IF($H70=ROUND('HRA Balance Calc'!$I$12+'HRA Balance Calc'!$I$1*12,2),((E70/($I70-'HRA Balance Calc'!$I$1*12))*($H70-'HRA Balance Calc'!$I$1*12)),E70)</f>
        <v>112.08893891776289</v>
      </c>
      <c r="P70" s="510">
        <f>B70+'HRA Balance Calc'!G79</f>
        <v>5042.509825765429</v>
      </c>
      <c r="Q70" s="510">
        <f>C70+'HRA Balance Calc'!H79</f>
        <v>258.82943477776428</v>
      </c>
      <c r="R70" s="510">
        <f>D70+'HRA Balance Calc'!I79</f>
        <v>0</v>
      </c>
      <c r="S70" s="510">
        <f>E70+'HRA Balance Calc'!J79</f>
        <v>161.19924285412253</v>
      </c>
      <c r="T70" s="489">
        <f t="shared" si="0"/>
        <v>471.98996185153999</v>
      </c>
      <c r="U70" s="510">
        <f t="shared" si="1"/>
        <v>5934.5284652488563</v>
      </c>
      <c r="W70" s="489">
        <f>'Winners-Losers HRA'!CC67*12-MIN('HRA Balance Calc'!Y79,'HRA Balance Calc'!$M$12)</f>
        <v>1181.2138354982806</v>
      </c>
      <c r="X70" s="489">
        <f>MIN('Winners-Losers HRA'!BS67*12,'HRA Balance Calc'!$L$12)-MIN('HRA Balance Calc'!$L$12,'HRA Balance Calc'!R79)</f>
        <v>-633.3168807452879</v>
      </c>
      <c r="Y70" s="489">
        <f t="shared" si="2"/>
        <v>547.89695475299266</v>
      </c>
      <c r="Z70" s="510">
        <f t="shared" si="3"/>
        <v>3.3645726154408369E+22</v>
      </c>
      <c r="AA70" s="510">
        <f t="shared" si="4"/>
        <v>3.3645726154408369E+22</v>
      </c>
      <c r="AC70" s="510">
        <f t="shared" si="5"/>
        <v>599.18583627159501</v>
      </c>
      <c r="AD70">
        <f t="shared" si="6"/>
        <v>366.58371129935858</v>
      </c>
      <c r="AE70">
        <f t="shared" si="7"/>
        <v>348.0839198435329</v>
      </c>
      <c r="AF70">
        <f t="shared" si="8"/>
        <v>61</v>
      </c>
    </row>
    <row r="71" spans="1:32" x14ac:dyDescent="0.2">
      <c r="A71">
        <f>'HRA Balance Calc'!A80</f>
        <v>63</v>
      </c>
      <c r="B71" s="489">
        <f>'HRA Balance Calc'!N80+'HRA Balance Calc'!U80+IF('HRA Balance Calc'!$L80&lt;0,'HRA Balance Calc'!$L80*('HRA Balance Calc'!$G80/'HRA Balance Calc'!$L80),0)</f>
        <v>628.13337522580184</v>
      </c>
      <c r="C71" s="489">
        <f>'HRA Balance Calc'!V80+'HRA Balance Calc'!O80+IF('HRA Balance Calc'!$L80&lt;0,'HRA Balance Calc'!$L80*('HRA Balance Calc'!$H80/'HRA Balance Calc'!$L80),0)</f>
        <v>135.41197742162629</v>
      </c>
      <c r="D71" s="489">
        <f>'HRA Balance Calc'!W80+'HRA Balance Calc'!P80+IF('HRA Balance Calc'!$L80&lt;0,'HRA Balance Calc'!$L80*('HRA Balance Calc'!$I80/'HRA Balance Calc'!$L80),0)</f>
        <v>1.3981720536605723E-2</v>
      </c>
      <c r="E71" s="489">
        <f>'HRA Balance Calc'!X80+'HRA Balance Calc'!Q80+IF('HRA Balance Calc'!$L80&lt;0,'HRA Balance Calc'!$L80*('HRA Balance Calc'!$J80/'HRA Balance Calc'!$L80),0)</f>
        <v>123.58503268407377</v>
      </c>
      <c r="F71" s="489">
        <f>'HRA Balance Calc'!E80</f>
        <v>471.98996185153999</v>
      </c>
      <c r="G71" s="489">
        <f>IF('HRA Balance Calc'!L80&lt;0,0,'HRA Balance Calc'!L80)</f>
        <v>3.3645726154408369E+22</v>
      </c>
      <c r="H71" s="489">
        <f>ROUND('HRA Balance Calc'!T80,2)</f>
        <v>1175.4100000000001</v>
      </c>
      <c r="I71" s="489">
        <f>'HRA Balance Calc'!S80+'HRA Balance Calc'!U80</f>
        <v>887.14436705203843</v>
      </c>
      <c r="K71" s="489">
        <f>'HRA Balance Calc'!$I$1*12+IF($H71=ROUND('HRA Balance Calc'!$I$12+'HRA Balance Calc'!$I$1*12,2),((B71-'HRA Balance Calc'!$I$1*12)/(I71-'HRA Balance Calc'!$I$1*12))*(H71-'HRA Balance Calc'!$I$1*12),B71-'HRA Balance Calc'!$I$1*12)</f>
        <v>628.13337522580184</v>
      </c>
      <c r="L71" s="489">
        <f>IF($H71=ROUND('HRA Balance Calc'!$I$12+'HRA Balance Calc'!$I$1*12,2),((C71/($I71-'HRA Balance Calc'!$I$1*12))*($H71-'HRA Balance Calc'!$I$1*12)),C71)</f>
        <v>135.41197742162629</v>
      </c>
      <c r="M71" s="489">
        <f>IF($H71=ROUND('HRA Balance Calc'!$I$12+'HRA Balance Calc'!$I$1*12,2),((D71/($I71-'HRA Balance Calc'!$I$1*12))*($H71-'HRA Balance Calc'!$I$1*12)),D71)</f>
        <v>1.3981720536605723E-2</v>
      </c>
      <c r="N71" s="489">
        <f>IF($H71=ROUND('HRA Balance Calc'!$I$12+'HRA Balance Calc'!$I$1*12,2),((E71/($I71-'HRA Balance Calc'!$I$1*12))*($H71-'HRA Balance Calc'!$I$1*12)),E71)</f>
        <v>123.58503268407377</v>
      </c>
      <c r="P71" s="510">
        <f>B71+'HRA Balance Calc'!G80</f>
        <v>5071.4573647196357</v>
      </c>
      <c r="Q71" s="510">
        <f>C71+'HRA Balance Calc'!H80</f>
        <v>273.27258715532275</v>
      </c>
      <c r="R71" s="510">
        <f>D71+'HRA Balance Calc'!I80</f>
        <v>7.8372359387649054E-2</v>
      </c>
      <c r="S71" s="510">
        <f>E71+'HRA Balance Calc'!J80</f>
        <v>177.7321998862962</v>
      </c>
      <c r="T71" s="489">
        <f t="shared" si="0"/>
        <v>471.98996185153999</v>
      </c>
      <c r="U71" s="510">
        <f t="shared" si="1"/>
        <v>5994.5304859721828</v>
      </c>
      <c r="W71" s="489">
        <f>'Winners-Losers HRA'!CC68*12-MIN('HRA Balance Calc'!Y80,'HRA Balance Calc'!$M$12)</f>
        <v>1168.0087483257864</v>
      </c>
      <c r="X71" s="489">
        <f>MIN('Winners-Losers HRA'!BS68*12,'HRA Balance Calc'!$L$12)-MIN('HRA Balance Calc'!$L$12,'HRA Balance Calc'!R80)</f>
        <v>-647.1958130734007</v>
      </c>
      <c r="Y71" s="489">
        <f t="shared" si="2"/>
        <v>520.81293525238573</v>
      </c>
      <c r="Z71" s="510">
        <f t="shared" si="3"/>
        <v>3.3645726154408369E+22</v>
      </c>
      <c r="AA71" s="510">
        <f t="shared" si="4"/>
        <v>3.3645726154408369E+22</v>
      </c>
      <c r="AC71" s="510">
        <f t="shared" si="5"/>
        <v>628.1473569463385</v>
      </c>
      <c r="AD71">
        <f t="shared" si="6"/>
        <v>371.40695834739631</v>
      </c>
      <c r="AE71">
        <f t="shared" si="7"/>
        <v>359.58001360984377</v>
      </c>
      <c r="AF71">
        <f t="shared" si="8"/>
        <v>62</v>
      </c>
    </row>
    <row r="72" spans="1:32" x14ac:dyDescent="0.2">
      <c r="A72">
        <f>'HRA Balance Calc'!A81</f>
        <v>64</v>
      </c>
      <c r="B72" s="489">
        <f>'HRA Balance Calc'!N81+'HRA Balance Calc'!U81+IF('HRA Balance Calc'!$L81&lt;0,'HRA Balance Calc'!$L81*('HRA Balance Calc'!$G81/'HRA Balance Calc'!$L81),0)</f>
        <v>653.63092109842273</v>
      </c>
      <c r="C72" s="489">
        <f>'HRA Balance Calc'!V81+'HRA Balance Calc'!O81+IF('HRA Balance Calc'!$L81&lt;0,'HRA Balance Calc'!$L81*('HRA Balance Calc'!$H81/'HRA Balance Calc'!$L81),0)</f>
        <v>137.99026838333137</v>
      </c>
      <c r="D72" s="489">
        <f>'HRA Balance Calc'!W81+'HRA Balance Calc'!P81+IF('HRA Balance Calc'!$L81&lt;0,'HRA Balance Calc'!$L81*('HRA Balance Calc'!$I81/'HRA Balance Calc'!$L81),0)</f>
        <v>0</v>
      </c>
      <c r="E72" s="489">
        <f>'HRA Balance Calc'!X81+'HRA Balance Calc'!Q81+IF('HRA Balance Calc'!$L81&lt;0,'HRA Balance Calc'!$L81*('HRA Balance Calc'!$J81/'HRA Balance Calc'!$L81),0)</f>
        <v>132.76412704303854</v>
      </c>
      <c r="F72" s="489">
        <f>'HRA Balance Calc'!E81</f>
        <v>471.98996185153999</v>
      </c>
      <c r="G72" s="489">
        <f>IF('HRA Balance Calc'!L81&lt;0,0,'HRA Balance Calc'!L81)</f>
        <v>3.3645726154408369E+22</v>
      </c>
      <c r="H72" s="489">
        <f>ROUND('HRA Balance Calc'!T81,2)</f>
        <v>1212.6500000000001</v>
      </c>
      <c r="I72" s="489">
        <f>'HRA Balance Calc'!S81+'HRA Balance Calc'!U81</f>
        <v>924.38531652479264</v>
      </c>
      <c r="K72" s="489">
        <f>'HRA Balance Calc'!$I$1*12+IF($H72=ROUND('HRA Balance Calc'!$I$12+'HRA Balance Calc'!$I$1*12,2),((B72-'HRA Balance Calc'!$I$1*12)/(I72-'HRA Balance Calc'!$I$1*12))*(H72-'HRA Balance Calc'!$I$1*12),B72-'HRA Balance Calc'!$I$1*12)</f>
        <v>653.63092109842273</v>
      </c>
      <c r="L72" s="489">
        <f>IF($H72=ROUND('HRA Balance Calc'!$I$12+'HRA Balance Calc'!$I$1*12,2),((C72/($I72-'HRA Balance Calc'!$I$1*12))*($H72-'HRA Balance Calc'!$I$1*12)),C72)</f>
        <v>137.99026838333137</v>
      </c>
      <c r="M72" s="489">
        <f>IF($H72=ROUND('HRA Balance Calc'!$I$12+'HRA Balance Calc'!$I$1*12,2),((D72/($I72-'HRA Balance Calc'!$I$1*12))*($H72-'HRA Balance Calc'!$I$1*12)),D72)</f>
        <v>0</v>
      </c>
      <c r="N72" s="489">
        <f>IF($H72=ROUND('HRA Balance Calc'!$I$12+'HRA Balance Calc'!$I$1*12,2),((E72/($I72-'HRA Balance Calc'!$I$1*12))*($H72-'HRA Balance Calc'!$I$1*12)),E72)</f>
        <v>132.76412704303854</v>
      </c>
      <c r="P72" s="510">
        <f>B72+'HRA Balance Calc'!G81</f>
        <v>5096.954910592257</v>
      </c>
      <c r="Q72" s="510">
        <f>C72+'HRA Balance Calc'!H81</f>
        <v>288.42932880696981</v>
      </c>
      <c r="R72" s="510">
        <f>D72+'HRA Balance Calc'!I81</f>
        <v>0</v>
      </c>
      <c r="S72" s="510">
        <f>E72+'HRA Balance Calc'!J81</f>
        <v>190.93299449670164</v>
      </c>
      <c r="T72" s="489">
        <f t="shared" si="0"/>
        <v>471.98996185153999</v>
      </c>
      <c r="U72" s="510">
        <f t="shared" si="1"/>
        <v>6048.3071957474685</v>
      </c>
      <c r="W72" s="489">
        <f>'Winners-Losers HRA'!CC69*12-MIN('HRA Balance Calc'!Y81,'HRA Balance Calc'!$M$12)</f>
        <v>1156.6212904283939</v>
      </c>
      <c r="X72" s="489">
        <f>MIN('Winners-Losers HRA'!BS69*12,'HRA Balance Calc'!$L$12)-MIN('HRA Balance Calc'!$L$12,'HRA Balance Calc'!R81)</f>
        <v>-653.93793220482598</v>
      </c>
      <c r="Y72" s="489">
        <f t="shared" si="2"/>
        <v>502.68335822356789</v>
      </c>
      <c r="Z72" s="510">
        <f t="shared" si="3"/>
        <v>3.3645726154408369E+22</v>
      </c>
      <c r="AA72" s="510">
        <f t="shared" si="4"/>
        <v>3.3645726154408369E+22</v>
      </c>
      <c r="AC72" s="510">
        <f t="shared" si="5"/>
        <v>653.63092109842273</v>
      </c>
      <c r="AD72">
        <f t="shared" si="6"/>
        <v>373.98524930910139</v>
      </c>
      <c r="AE72">
        <f t="shared" si="7"/>
        <v>368.75910796880851</v>
      </c>
      <c r="AF72">
        <f t="shared" si="8"/>
        <v>63</v>
      </c>
    </row>
    <row r="73" spans="1:32" x14ac:dyDescent="0.2">
      <c r="A73">
        <f>'HRA Balance Calc'!A82</f>
        <v>65</v>
      </c>
      <c r="B73" s="489">
        <f>'HRA Balance Calc'!N82+'HRA Balance Calc'!U82+IF('HRA Balance Calc'!$L82&lt;0,'HRA Balance Calc'!$L82*('HRA Balance Calc'!$G82/'HRA Balance Calc'!$L82),0)</f>
        <v>687.08706103495092</v>
      </c>
      <c r="C73" s="489">
        <f>'HRA Balance Calc'!V82+'HRA Balance Calc'!O82+IF('HRA Balance Calc'!$L82&lt;0,'HRA Balance Calc'!$L82*('HRA Balance Calc'!$H82/'HRA Balance Calc'!$L82),0)</f>
        <v>146.79222961922045</v>
      </c>
      <c r="D73" s="489">
        <f>'HRA Balance Calc'!W82+'HRA Balance Calc'!P82+IF('HRA Balance Calc'!$L82&lt;0,'HRA Balance Calc'!$L82*('HRA Balance Calc'!$I82/'HRA Balance Calc'!$L82),0)</f>
        <v>3.0587815896372505E-2</v>
      </c>
      <c r="E73" s="489">
        <f>'HRA Balance Calc'!X82+'HRA Balance Calc'!Q82+IF('HRA Balance Calc'!$L82&lt;0,'HRA Balance Calc'!$L82*('HRA Balance Calc'!$J82/'HRA Balance Calc'!$L82),0)</f>
        <v>146.92262624527891</v>
      </c>
      <c r="F73" s="489">
        <f>'HRA Balance Calc'!E82</f>
        <v>471.98996185153999</v>
      </c>
      <c r="G73" s="489">
        <f>IF('HRA Balance Calc'!L82&lt;0,0,'HRA Balance Calc'!L82)</f>
        <v>3.3645726154408369E+22</v>
      </c>
      <c r="H73" s="489">
        <f>ROUND('HRA Balance Calc'!T82,2)</f>
        <v>1269.0899999999999</v>
      </c>
      <c r="I73" s="489">
        <f>'HRA Balance Calc'!S82+'HRA Balance Calc'!U82</f>
        <v>980.83250471534666</v>
      </c>
      <c r="K73" s="489">
        <f>'HRA Balance Calc'!$I$1*12+IF($H73=ROUND('HRA Balance Calc'!$I$12+'HRA Balance Calc'!$I$1*12,2),((B73-'HRA Balance Calc'!$I$1*12)/(I73-'HRA Balance Calc'!$I$1*12))*(H73-'HRA Balance Calc'!$I$1*12),B73-'HRA Balance Calc'!$I$1*12)</f>
        <v>687.08706103495092</v>
      </c>
      <c r="L73" s="489">
        <f>IF($H73=ROUND('HRA Balance Calc'!$I$12+'HRA Balance Calc'!$I$1*12,2),((C73/($I73-'HRA Balance Calc'!$I$1*12))*($H73-'HRA Balance Calc'!$I$1*12)),C73)</f>
        <v>146.79222961922045</v>
      </c>
      <c r="M73" s="489">
        <f>IF($H73=ROUND('HRA Balance Calc'!$I$12+'HRA Balance Calc'!$I$1*12,2),((D73/($I73-'HRA Balance Calc'!$I$1*12))*($H73-'HRA Balance Calc'!$I$1*12)),D73)</f>
        <v>3.0587815896372505E-2</v>
      </c>
      <c r="N73" s="489">
        <f>IF($H73=ROUND('HRA Balance Calc'!$I$12+'HRA Balance Calc'!$I$1*12,2),((E73/($I73-'HRA Balance Calc'!$I$1*12))*($H73-'HRA Balance Calc'!$I$1*12)),E73)</f>
        <v>146.92262624527891</v>
      </c>
      <c r="P73" s="510">
        <f>B73+'HRA Balance Calc'!G82</f>
        <v>5130.4110505287854</v>
      </c>
      <c r="Q73" s="510">
        <f>C73+'HRA Balance Calc'!H82</f>
        <v>306.00766444680113</v>
      </c>
      <c r="R73" s="510">
        <f>D73+'HRA Balance Calc'!I82</f>
        <v>0.17145524358304171</v>
      </c>
      <c r="S73" s="510">
        <f>E73+'HRA Balance Calc'!J82</f>
        <v>211.29485511727853</v>
      </c>
      <c r="T73" s="489">
        <f t="shared" ref="T73:T108" si="9">F73</f>
        <v>471.98996185153999</v>
      </c>
      <c r="U73" s="510">
        <f t="shared" si="1"/>
        <v>6119.8749871879882</v>
      </c>
      <c r="W73" s="489">
        <f>'Winners-Losers HRA'!CC70*12-MIN('HRA Balance Calc'!Y82,'HRA Balance Calc'!$M$12)</f>
        <v>1140.8891603146894</v>
      </c>
      <c r="X73" s="489">
        <f>MIN('Winners-Losers HRA'!BS70*12,'HRA Balance Calc'!$L$12)-MIN('HRA Balance Calc'!$L$12,'HRA Balance Calc'!R82)</f>
        <v>-674.66251324544317</v>
      </c>
      <c r="Y73" s="489">
        <f t="shared" si="2"/>
        <v>466.22664706924627</v>
      </c>
      <c r="Z73" s="510">
        <f t="shared" si="3"/>
        <v>3.3645726154408369E+22</v>
      </c>
      <c r="AA73" s="510">
        <f t="shared" si="4"/>
        <v>3.3645726154408369E+22</v>
      </c>
      <c r="AC73" s="510">
        <f t="shared" si="5"/>
        <v>687.11764885084733</v>
      </c>
      <c r="AD73">
        <f t="shared" si="6"/>
        <v>382.78721054499044</v>
      </c>
      <c r="AE73">
        <f t="shared" si="7"/>
        <v>382.91760717104887</v>
      </c>
      <c r="AF73">
        <f t="shared" si="8"/>
        <v>64</v>
      </c>
    </row>
    <row r="74" spans="1:32" x14ac:dyDescent="0.2">
      <c r="A74">
        <f>'HRA Balance Calc'!A83</f>
        <v>66</v>
      </c>
      <c r="B74" s="489">
        <f>'HRA Balance Calc'!N83+'HRA Balance Calc'!U83+IF('HRA Balance Calc'!$L83&lt;0,'HRA Balance Calc'!$L83*('HRA Balance Calc'!$G83/'HRA Balance Calc'!$L83),0)</f>
        <v>714.88928818152954</v>
      </c>
      <c r="C74" s="489">
        <f>'HRA Balance Calc'!V83+'HRA Balance Calc'!O83+IF('HRA Balance Calc'!$L83&lt;0,'HRA Balance Calc'!$L83*('HRA Balance Calc'!$H83/'HRA Balance Calc'!$L83),0)</f>
        <v>152.9157903537627</v>
      </c>
      <c r="D74" s="489">
        <f>'HRA Balance Calc'!W83+'HRA Balance Calc'!P83+IF('HRA Balance Calc'!$L83&lt;0,'HRA Balance Calc'!$L83*('HRA Balance Calc'!$I83/'HRA Balance Calc'!$L83),0)</f>
        <v>1.643970561205689E-2</v>
      </c>
      <c r="E74" s="489">
        <f>'HRA Balance Calc'!X83+'HRA Balance Calc'!Q83+IF('HRA Balance Calc'!$L83&lt;0,'HRA Balance Calc'!$L83*('HRA Balance Calc'!$J83/'HRA Balance Calc'!$L83),0)</f>
        <v>157.57706492413527</v>
      </c>
      <c r="F74" s="489">
        <f>'HRA Balance Calc'!E83</f>
        <v>471.98996185153999</v>
      </c>
      <c r="G74" s="489">
        <f>IF('HRA Balance Calc'!L83&lt;0,0,'HRA Balance Calc'!L83)</f>
        <v>3.3645726154408369E+22</v>
      </c>
      <c r="H74" s="489">
        <f>ROUND('HRA Balance Calc'!T83,2)</f>
        <v>1313.66</v>
      </c>
      <c r="I74" s="489">
        <f>'HRA Balance Calc'!S83+'HRA Balance Calc'!U83</f>
        <v>1025.3985831650396</v>
      </c>
      <c r="K74" s="489">
        <f>'HRA Balance Calc'!$I$1*12+IF($H74=ROUND('HRA Balance Calc'!$I$12+'HRA Balance Calc'!$I$1*12,2),((B74-'HRA Balance Calc'!$I$1*12)/(I74-'HRA Balance Calc'!$I$1*12))*(H74-'HRA Balance Calc'!$I$1*12),B74-'HRA Balance Calc'!$I$1*12)</f>
        <v>714.88928818152954</v>
      </c>
      <c r="L74" s="489">
        <f>IF($H74=ROUND('HRA Balance Calc'!$I$12+'HRA Balance Calc'!$I$1*12,2),((C74/($I74-'HRA Balance Calc'!$I$1*12))*($H74-'HRA Balance Calc'!$I$1*12)),C74)</f>
        <v>152.9157903537627</v>
      </c>
      <c r="M74" s="489">
        <f>IF($H74=ROUND('HRA Balance Calc'!$I$12+'HRA Balance Calc'!$I$1*12,2),((D74/($I74-'HRA Balance Calc'!$I$1*12))*($H74-'HRA Balance Calc'!$I$1*12)),D74)</f>
        <v>1.643970561205689E-2</v>
      </c>
      <c r="N74" s="489">
        <f>IF($H74=ROUND('HRA Balance Calc'!$I$12+'HRA Balance Calc'!$I$1*12,2),((E74/($I74-'HRA Balance Calc'!$I$1*12))*($H74-'HRA Balance Calc'!$I$1*12)),E74)</f>
        <v>157.57706492413527</v>
      </c>
      <c r="P74" s="510">
        <f>B74+'HRA Balance Calc'!G83</f>
        <v>5158.2132776753642</v>
      </c>
      <c r="Q74" s="510">
        <f>C74+'HRA Balance Calc'!H83</f>
        <v>323.69415629625661</v>
      </c>
      <c r="R74" s="510">
        <f>D74+'HRA Balance Calc'!I83</f>
        <v>9.2150212349191837E-2</v>
      </c>
      <c r="S74" s="510">
        <f>E74+'HRA Balance Calc'!J83</f>
        <v>226.61739688321856</v>
      </c>
      <c r="T74" s="489">
        <f t="shared" si="9"/>
        <v>471.98996185153999</v>
      </c>
      <c r="U74" s="510">
        <f t="shared" ref="U74:U108" si="10">SUM(P74:T74)</f>
        <v>6180.6069429187282</v>
      </c>
      <c r="W74" s="489">
        <f>'Winners-Losers HRA'!CC71*12-MIN('HRA Balance Calc'!Y83,'HRA Balance Calc'!$M$12)</f>
        <v>1128.2057026604277</v>
      </c>
      <c r="X74" s="489">
        <f>MIN('Winners-Losers HRA'!BS71*12,'HRA Balance Calc'!$L$12)-MIN('HRA Balance Calc'!$L$12,'HRA Balance Calc'!R83)</f>
        <v>-685.41173930826687</v>
      </c>
      <c r="Y74" s="489">
        <f t="shared" ref="Y74:Y108" si="11">W74+X74</f>
        <v>442.79396335216086</v>
      </c>
      <c r="Z74" s="510">
        <f t="shared" ref="Z74:Z108" si="12">G74</f>
        <v>3.3645726154408369E+22</v>
      </c>
      <c r="AA74" s="510">
        <f t="shared" ref="AA74:AA108" si="13">Y74+Z74</f>
        <v>3.3645726154408369E+22</v>
      </c>
      <c r="AC74" s="510">
        <f t="shared" ref="AC74:AC108" si="14">SUM(B74,D74)</f>
        <v>714.90572788714155</v>
      </c>
      <c r="AD74">
        <f t="shared" ref="AD74:AD108" si="15">SUM(C74,$F74/2)</f>
        <v>388.9107712795327</v>
      </c>
      <c r="AE74">
        <f t="shared" ref="AE74:AE108" si="16">SUM(E74,$F74/2)</f>
        <v>393.57204584990529</v>
      </c>
      <c r="AF74">
        <f t="shared" ref="AF74:AF108" si="17">A74-1</f>
        <v>65</v>
      </c>
    </row>
    <row r="75" spans="1:32" x14ac:dyDescent="0.2">
      <c r="A75">
        <f>'HRA Balance Calc'!A84</f>
        <v>67</v>
      </c>
      <c r="B75" s="489">
        <f>'HRA Balance Calc'!N84+'HRA Balance Calc'!U84+IF('HRA Balance Calc'!$L84&lt;0,'HRA Balance Calc'!$L84*('HRA Balance Calc'!$G84/'HRA Balance Calc'!$L84),0)</f>
        <v>744.24986043974423</v>
      </c>
      <c r="C75" s="489">
        <f>'HRA Balance Calc'!V84+'HRA Balance Calc'!O84+IF('HRA Balance Calc'!$L84&lt;0,'HRA Balance Calc'!$L84*('HRA Balance Calc'!$H84/'HRA Balance Calc'!$L84),0)</f>
        <v>157.93271487100992</v>
      </c>
      <c r="D75" s="489">
        <f>'HRA Balance Calc'!W84+'HRA Balance Calc'!P84+IF('HRA Balance Calc'!$L84&lt;0,'HRA Balance Calc'!$L84*('HRA Balance Calc'!$I84/'HRA Balance Calc'!$L84),0)</f>
        <v>0</v>
      </c>
      <c r="E75" s="489">
        <f>'HRA Balance Calc'!X84+'HRA Balance Calc'!Q84+IF('HRA Balance Calc'!$L84&lt;0,'HRA Balance Calc'!$L84*('HRA Balance Calc'!$J84/'HRA Balance Calc'!$L84),0)</f>
        <v>166.38721674506573</v>
      </c>
      <c r="F75" s="489">
        <f>'HRA Balance Calc'!E84</f>
        <v>471.98996185153999</v>
      </c>
      <c r="G75" s="489">
        <f>IF('HRA Balance Calc'!L84&lt;0,0,'HRA Balance Calc'!L84)</f>
        <v>3.3645726154408369E+22</v>
      </c>
      <c r="H75" s="489">
        <f>ROUND('HRA Balance Calc'!T84,2)</f>
        <v>1356.83</v>
      </c>
      <c r="I75" s="489">
        <f>'HRA Balance Calc'!S84+'HRA Balance Calc'!U84</f>
        <v>1068.5697920558198</v>
      </c>
      <c r="K75" s="489">
        <f>'HRA Balance Calc'!$I$1*12+IF($H75=ROUND('HRA Balance Calc'!$I$12+'HRA Balance Calc'!$I$1*12,2),((B75-'HRA Balance Calc'!$I$1*12)/(I75-'HRA Balance Calc'!$I$1*12))*(H75-'HRA Balance Calc'!$I$1*12),B75-'HRA Balance Calc'!$I$1*12)</f>
        <v>744.24986043974423</v>
      </c>
      <c r="L75" s="489">
        <f>IF($H75=ROUND('HRA Balance Calc'!$I$12+'HRA Balance Calc'!$I$1*12,2),((C75/($I75-'HRA Balance Calc'!$I$1*12))*($H75-'HRA Balance Calc'!$I$1*12)),C75)</f>
        <v>157.93271487100992</v>
      </c>
      <c r="M75" s="489">
        <f>IF($H75=ROUND('HRA Balance Calc'!$I$12+'HRA Balance Calc'!$I$1*12,2),((D75/($I75-'HRA Balance Calc'!$I$1*12))*($H75-'HRA Balance Calc'!$I$1*12)),D75)</f>
        <v>0</v>
      </c>
      <c r="N75" s="489">
        <f>IF($H75=ROUND('HRA Balance Calc'!$I$12+'HRA Balance Calc'!$I$1*12,2),((E75/($I75-'HRA Balance Calc'!$I$1*12))*($H75-'HRA Balance Calc'!$I$1*12)),E75)</f>
        <v>166.38721674506573</v>
      </c>
      <c r="P75" s="510">
        <f>B75+'HRA Balance Calc'!G84</f>
        <v>5187.5738499335785</v>
      </c>
      <c r="Q75" s="510">
        <f>C75+'HRA Balance Calc'!H84</f>
        <v>343.82599213994536</v>
      </c>
      <c r="R75" s="510">
        <f>D75+'HRA Balance Calc'!I84</f>
        <v>0</v>
      </c>
      <c r="S75" s="510">
        <f>E75+'HRA Balance Calc'!J84</f>
        <v>239.28760160347039</v>
      </c>
      <c r="T75" s="489">
        <f t="shared" si="9"/>
        <v>471.98996185153999</v>
      </c>
      <c r="U75" s="510">
        <f t="shared" si="10"/>
        <v>6242.677405528535</v>
      </c>
      <c r="W75" s="489">
        <f>'Winners-Losers HRA'!CC72*12-MIN('HRA Balance Calc'!Y84,'HRA Balance Calc'!$M$12)</f>
        <v>1116.7415742242554</v>
      </c>
      <c r="X75" s="489">
        <f>MIN('Winners-Losers HRA'!BS72*12,'HRA Balance Calc'!$L$12)-MIN('HRA Balance Calc'!$L$12,'HRA Balance Calc'!R84)</f>
        <v>-694.58945553454691</v>
      </c>
      <c r="Y75" s="489">
        <f t="shared" si="11"/>
        <v>422.15211868970846</v>
      </c>
      <c r="Z75" s="510">
        <f t="shared" si="12"/>
        <v>3.3645726154408369E+22</v>
      </c>
      <c r="AA75" s="510">
        <f t="shared" si="13"/>
        <v>3.3645726154408369E+22</v>
      </c>
      <c r="AC75" s="510">
        <f t="shared" si="14"/>
        <v>744.24986043974423</v>
      </c>
      <c r="AD75">
        <f t="shared" si="15"/>
        <v>393.92769579677991</v>
      </c>
      <c r="AE75">
        <f t="shared" si="16"/>
        <v>402.38219767083569</v>
      </c>
      <c r="AF75">
        <f t="shared" si="17"/>
        <v>66</v>
      </c>
    </row>
    <row r="76" spans="1:32" x14ac:dyDescent="0.2">
      <c r="A76">
        <f>'HRA Balance Calc'!A85</f>
        <v>68</v>
      </c>
      <c r="B76" s="489">
        <f>'HRA Balance Calc'!N85+'HRA Balance Calc'!U85+IF('HRA Balance Calc'!$L85&lt;0,'HRA Balance Calc'!$L85*('HRA Balance Calc'!$G85/'HRA Balance Calc'!$L85),0)</f>
        <v>786.23940911838145</v>
      </c>
      <c r="C76" s="489">
        <f>'HRA Balance Calc'!V85+'HRA Balance Calc'!O85+IF('HRA Balance Calc'!$L85&lt;0,'HRA Balance Calc'!$L85*('HRA Balance Calc'!$H85/'HRA Balance Calc'!$L85),0)</f>
        <v>173.62247231967586</v>
      </c>
      <c r="D76" s="489">
        <f>'HRA Balance Calc'!W85+'HRA Balance Calc'!P85+IF('HRA Balance Calc'!$L85&lt;0,'HRA Balance Calc'!$L85*('HRA Balance Calc'!$I85/'HRA Balance Calc'!$L85),0)</f>
        <v>0</v>
      </c>
      <c r="E76" s="489">
        <f>'HRA Balance Calc'!X85+'HRA Balance Calc'!Q85+IF('HRA Balance Calc'!$L85&lt;0,'HRA Balance Calc'!$L85*('HRA Balance Calc'!$J85/'HRA Balance Calc'!$L85),0)</f>
        <v>182.07229649039522</v>
      </c>
      <c r="F76" s="489">
        <f>'HRA Balance Calc'!E85</f>
        <v>471.98996185153999</v>
      </c>
      <c r="G76" s="489">
        <f>IF('HRA Balance Calc'!L85&lt;0,0,'HRA Balance Calc'!L85)</f>
        <v>3.3645726154408369E+22</v>
      </c>
      <c r="H76" s="489">
        <f>ROUND('HRA Balance Calc'!T85,2)</f>
        <v>1430.2</v>
      </c>
      <c r="I76" s="489">
        <f>'HRA Balance Calc'!S85+'HRA Balance Calc'!U85</f>
        <v>1141.9341779284528</v>
      </c>
      <c r="K76" s="489">
        <f>'HRA Balance Calc'!$I$1*12+IF($H76=ROUND('HRA Balance Calc'!$I$12+'HRA Balance Calc'!$I$1*12,2),((B76-'HRA Balance Calc'!$I$1*12)/(I76-'HRA Balance Calc'!$I$1*12))*(H76-'HRA Balance Calc'!$I$1*12),B76-'HRA Balance Calc'!$I$1*12)</f>
        <v>786.23940911838145</v>
      </c>
      <c r="L76" s="489">
        <f>IF($H76=ROUND('HRA Balance Calc'!$I$12+'HRA Balance Calc'!$I$1*12,2),((C76/($I76-'HRA Balance Calc'!$I$1*12))*($H76-'HRA Balance Calc'!$I$1*12)),C76)</f>
        <v>173.62247231967586</v>
      </c>
      <c r="M76" s="489">
        <f>IF($H76=ROUND('HRA Balance Calc'!$I$12+'HRA Balance Calc'!$I$1*12,2),((D76/($I76-'HRA Balance Calc'!$I$1*12))*($H76-'HRA Balance Calc'!$I$1*12)),D76)</f>
        <v>0</v>
      </c>
      <c r="N76" s="489">
        <f>IF($H76=ROUND('HRA Balance Calc'!$I$12+'HRA Balance Calc'!$I$1*12,2),((E76/($I76-'HRA Balance Calc'!$I$1*12))*($H76-'HRA Balance Calc'!$I$1*12)),E76)</f>
        <v>182.07229649039522</v>
      </c>
      <c r="P76" s="510">
        <f>B76+'HRA Balance Calc'!G85</f>
        <v>5229.5633986122157</v>
      </c>
      <c r="Q76" s="510">
        <f>C76+'HRA Balance Calc'!H85</f>
        <v>375.18249705282358</v>
      </c>
      <c r="R76" s="510">
        <f>D76+'HRA Balance Calc'!I85</f>
        <v>0</v>
      </c>
      <c r="S76" s="510">
        <f>E76+'HRA Balance Calc'!J85</f>
        <v>261.84489408447689</v>
      </c>
      <c r="T76" s="489">
        <f t="shared" si="9"/>
        <v>471.98996185153999</v>
      </c>
      <c r="U76" s="510">
        <f t="shared" si="10"/>
        <v>6338.5807516010564</v>
      </c>
      <c r="W76" s="489">
        <f>'Winners-Losers HRA'!CC73*12-MIN('HRA Balance Calc'!Y85,'HRA Balance Calc'!$M$12)</f>
        <v>1098.2917743381827</v>
      </c>
      <c r="X76" s="489">
        <f>MIN('Winners-Losers HRA'!BS73*12,'HRA Balance Calc'!$L$12)-MIN('HRA Balance Calc'!$L$12,'HRA Balance Calc'!R85)</f>
        <v>-725.76279464278571</v>
      </c>
      <c r="Y76" s="489">
        <f t="shared" si="11"/>
        <v>372.52897969539697</v>
      </c>
      <c r="Z76" s="510">
        <f t="shared" si="12"/>
        <v>3.3645726154408369E+22</v>
      </c>
      <c r="AA76" s="510">
        <f t="shared" si="13"/>
        <v>3.3645726154408369E+22</v>
      </c>
      <c r="AC76" s="510">
        <f t="shared" si="14"/>
        <v>786.23940911838145</v>
      </c>
      <c r="AD76">
        <f t="shared" si="15"/>
        <v>409.61745324544586</v>
      </c>
      <c r="AE76">
        <f t="shared" si="16"/>
        <v>418.06727741616521</v>
      </c>
      <c r="AF76">
        <f t="shared" si="17"/>
        <v>67</v>
      </c>
    </row>
    <row r="77" spans="1:32" x14ac:dyDescent="0.2">
      <c r="A77">
        <f>'HRA Balance Calc'!A86</f>
        <v>69</v>
      </c>
      <c r="B77" s="489">
        <f>'HRA Balance Calc'!N86+'HRA Balance Calc'!U86+IF('HRA Balance Calc'!$L86&lt;0,'HRA Balance Calc'!$L86*('HRA Balance Calc'!$G86/'HRA Balance Calc'!$L86),0)</f>
        <v>821.9032787908609</v>
      </c>
      <c r="C77" s="489">
        <f>'HRA Balance Calc'!V86+'HRA Balance Calc'!O86+IF('HRA Balance Calc'!$L86&lt;0,'HRA Balance Calc'!$L86*('HRA Balance Calc'!$H86/'HRA Balance Calc'!$L86),0)</f>
        <v>174.43000788890654</v>
      </c>
      <c r="D77" s="489">
        <f>'HRA Balance Calc'!W86+'HRA Balance Calc'!P86+IF('HRA Balance Calc'!$L86&lt;0,'HRA Balance Calc'!$L86*('HRA Balance Calc'!$I86/'HRA Balance Calc'!$L86),0)</f>
        <v>1.9354814138102677E-2</v>
      </c>
      <c r="E77" s="489">
        <f>'HRA Balance Calc'!X86+'HRA Balance Calc'!Q86+IF('HRA Balance Calc'!$L86&lt;0,'HRA Balance Calc'!$L86*('HRA Balance Calc'!$J86/'HRA Balance Calc'!$L86),0)</f>
        <v>201.58413182648118</v>
      </c>
      <c r="F77" s="489">
        <f>'HRA Balance Calc'!E86</f>
        <v>471.98996185153999</v>
      </c>
      <c r="G77" s="489">
        <f>IF('HRA Balance Calc'!L86&lt;0,0,'HRA Balance Calc'!L86)</f>
        <v>3.3645726154408369E+22</v>
      </c>
      <c r="H77" s="489">
        <f>ROUND('HRA Balance Calc'!T86,2)</f>
        <v>1486.2</v>
      </c>
      <c r="I77" s="489">
        <f>'HRA Balance Calc'!S86+'HRA Balance Calc'!U86</f>
        <v>1197.9367733203869</v>
      </c>
      <c r="K77" s="489">
        <f>'HRA Balance Calc'!$I$1*12+IF($H77=ROUND('HRA Balance Calc'!$I$12+'HRA Balance Calc'!$I$1*12,2),((B77-'HRA Balance Calc'!$I$1*12)/(I77-'HRA Balance Calc'!$I$1*12))*(H77-'HRA Balance Calc'!$I$1*12),B77-'HRA Balance Calc'!$I$1*12)</f>
        <v>821.9032787908609</v>
      </c>
      <c r="L77" s="489">
        <f>IF($H77=ROUND('HRA Balance Calc'!$I$12+'HRA Balance Calc'!$I$1*12,2),((C77/($I77-'HRA Balance Calc'!$I$1*12))*($H77-'HRA Balance Calc'!$I$1*12)),C77)</f>
        <v>174.43000788890654</v>
      </c>
      <c r="M77" s="489">
        <f>IF($H77=ROUND('HRA Balance Calc'!$I$12+'HRA Balance Calc'!$I$1*12,2),((D77/($I77-'HRA Balance Calc'!$I$1*12))*($H77-'HRA Balance Calc'!$I$1*12)),D77)</f>
        <v>1.9354814138102677E-2</v>
      </c>
      <c r="N77" s="489">
        <f>IF($H77=ROUND('HRA Balance Calc'!$I$12+'HRA Balance Calc'!$I$1*12,2),((E77/($I77-'HRA Balance Calc'!$I$1*12))*($H77-'HRA Balance Calc'!$I$1*12)),E77)</f>
        <v>201.58413182648118</v>
      </c>
      <c r="P77" s="510">
        <f>B77+'HRA Balance Calc'!G86</f>
        <v>5265.2272682846951</v>
      </c>
      <c r="Q77" s="510">
        <f>C77+'HRA Balance Calc'!H86</f>
        <v>386.7651612112021</v>
      </c>
      <c r="R77" s="510">
        <f>D77+'HRA Balance Calc'!I86</f>
        <v>0.10849039970017742</v>
      </c>
      <c r="S77" s="510">
        <f>E77+'HRA Balance Calc'!J86</f>
        <v>289.90558511465071</v>
      </c>
      <c r="T77" s="489">
        <f t="shared" si="9"/>
        <v>471.98996185153999</v>
      </c>
      <c r="U77" s="510">
        <f t="shared" si="10"/>
        <v>6413.9964668617877</v>
      </c>
      <c r="W77" s="489">
        <f>'Winners-Losers HRA'!CC74*12-MIN('HRA Balance Calc'!Y86,'HRA Balance Calc'!$M$12)</f>
        <v>1076.8627159124419</v>
      </c>
      <c r="X77" s="489">
        <f>MIN('Winners-Losers HRA'!BS74*12,'HRA Balance Calc'!$L$12)-MIN('HRA Balance Calc'!$L$12,'HRA Balance Calc'!R86)</f>
        <v>-735.12663269128473</v>
      </c>
      <c r="Y77" s="489">
        <f t="shared" si="11"/>
        <v>341.73608322115717</v>
      </c>
      <c r="Z77" s="510">
        <f t="shared" si="12"/>
        <v>3.3645726154408369E+22</v>
      </c>
      <c r="AA77" s="510">
        <f t="shared" si="13"/>
        <v>3.3645726154408369E+22</v>
      </c>
      <c r="AC77" s="510">
        <f t="shared" si="14"/>
        <v>821.92263360499896</v>
      </c>
      <c r="AD77">
        <f t="shared" si="15"/>
        <v>410.42498881467657</v>
      </c>
      <c r="AE77">
        <f t="shared" si="16"/>
        <v>437.57911275225115</v>
      </c>
      <c r="AF77">
        <f t="shared" si="17"/>
        <v>68</v>
      </c>
    </row>
    <row r="78" spans="1:32" x14ac:dyDescent="0.2">
      <c r="A78">
        <f>'HRA Balance Calc'!A87</f>
        <v>70</v>
      </c>
      <c r="B78" s="489">
        <f>'HRA Balance Calc'!N87+'HRA Balance Calc'!U87+IF('HRA Balance Calc'!$L87&lt;0,'HRA Balance Calc'!$L87*('HRA Balance Calc'!$G87/'HRA Balance Calc'!$L87),0)</f>
        <v>856.13040935571235</v>
      </c>
      <c r="C78" s="489">
        <f>'HRA Balance Calc'!V87+'HRA Balance Calc'!O87+IF('HRA Balance Calc'!$L87&lt;0,'HRA Balance Calc'!$L87*('HRA Balance Calc'!$H87/'HRA Balance Calc'!$L87),0)</f>
        <v>183.92951798542151</v>
      </c>
      <c r="D78" s="489">
        <f>'HRA Balance Calc'!W87+'HRA Balance Calc'!P87+IF('HRA Balance Calc'!$L87&lt;0,'HRA Balance Calc'!$L87*('HRA Balance Calc'!$I87/'HRA Balance Calc'!$L87),0)</f>
        <v>5.9940163007354039E-2</v>
      </c>
      <c r="E78" s="489">
        <f>'HRA Balance Calc'!X87+'HRA Balance Calc'!Q87+IF('HRA Balance Calc'!$L87&lt;0,'HRA Balance Calc'!$L87*('HRA Balance Calc'!$J87/'HRA Balance Calc'!$L87),0)</f>
        <v>217.72456506580906</v>
      </c>
      <c r="F78" s="489">
        <f>'HRA Balance Calc'!E87</f>
        <v>471.98996185153999</v>
      </c>
      <c r="G78" s="489">
        <f>IF('HRA Balance Calc'!L87&lt;0,0,'HRA Balance Calc'!L87)</f>
        <v>3.3645726154408369E+22</v>
      </c>
      <c r="H78" s="489">
        <f>ROUND('HRA Balance Calc'!T87,2)</f>
        <v>1546.11</v>
      </c>
      <c r="I78" s="489">
        <f>'HRA Balance Calc'!S87+'HRA Balance Calc'!U87</f>
        <v>1257.8444325699502</v>
      </c>
      <c r="K78" s="489">
        <f>'HRA Balance Calc'!$I$1*12+IF($H78=ROUND('HRA Balance Calc'!$I$12+'HRA Balance Calc'!$I$1*12,2),((B78-'HRA Balance Calc'!$I$1*12)/(I78-'HRA Balance Calc'!$I$1*12))*(H78-'HRA Balance Calc'!$I$1*12),B78-'HRA Balance Calc'!$I$1*12)</f>
        <v>856.13040935571235</v>
      </c>
      <c r="L78" s="489">
        <f>IF($H78=ROUND('HRA Balance Calc'!$I$12+'HRA Balance Calc'!$I$1*12,2),((C78/($I78-'HRA Balance Calc'!$I$1*12))*($H78-'HRA Balance Calc'!$I$1*12)),C78)</f>
        <v>183.92951798542151</v>
      </c>
      <c r="M78" s="489">
        <f>IF($H78=ROUND('HRA Balance Calc'!$I$12+'HRA Balance Calc'!$I$1*12,2),((D78/($I78-'HRA Balance Calc'!$I$1*12))*($H78-'HRA Balance Calc'!$I$1*12)),D78)</f>
        <v>5.9940163007354039E-2</v>
      </c>
      <c r="N78" s="489">
        <f>IF($H78=ROUND('HRA Balance Calc'!$I$12+'HRA Balance Calc'!$I$1*12,2),((E78/($I78-'HRA Balance Calc'!$I$1*12))*($H78-'HRA Balance Calc'!$I$1*12)),E78)</f>
        <v>217.72456506580906</v>
      </c>
      <c r="P78" s="510">
        <f>B78+'HRA Balance Calc'!G87</f>
        <v>5299.4543988495461</v>
      </c>
      <c r="Q78" s="510">
        <f>C78+'HRA Balance Calc'!H87</f>
        <v>412.07320756535796</v>
      </c>
      <c r="R78" s="510">
        <f>D78+'HRA Balance Calc'!I87</f>
        <v>0.33598525908650767</v>
      </c>
      <c r="S78" s="510">
        <f>E78+'HRA Balance Calc'!J87</f>
        <v>313.11773827301067</v>
      </c>
      <c r="T78" s="489">
        <f t="shared" si="9"/>
        <v>471.98996185153999</v>
      </c>
      <c r="U78" s="510">
        <f t="shared" si="10"/>
        <v>6496.9712917985407</v>
      </c>
      <c r="W78" s="489">
        <f>'Winners-Losers HRA'!CC75*12-MIN('HRA Balance Calc'!Y87,'HRA Balance Calc'!$M$12)</f>
        <v>1057.8995569493213</v>
      </c>
      <c r="X78" s="489">
        <f>MIN('Winners-Losers HRA'!BS75*12,'HRA Balance Calc'!$L$12)-MIN('HRA Balance Calc'!$L$12,'HRA Balance Calc'!R87)</f>
        <v>-749.16774896365314</v>
      </c>
      <c r="Y78" s="489">
        <f t="shared" si="11"/>
        <v>308.73180798566818</v>
      </c>
      <c r="Z78" s="510">
        <f t="shared" si="12"/>
        <v>3.3645726154408369E+22</v>
      </c>
      <c r="AA78" s="510">
        <f t="shared" si="13"/>
        <v>3.3645726154408369E+22</v>
      </c>
      <c r="AC78" s="510">
        <f t="shared" si="14"/>
        <v>856.1903495187197</v>
      </c>
      <c r="AD78">
        <f t="shared" si="15"/>
        <v>419.92449891119151</v>
      </c>
      <c r="AE78">
        <f t="shared" si="16"/>
        <v>453.71954599157903</v>
      </c>
      <c r="AF78">
        <f t="shared" si="17"/>
        <v>69</v>
      </c>
    </row>
    <row r="79" spans="1:32" x14ac:dyDescent="0.2">
      <c r="A79">
        <f>'HRA Balance Calc'!A88</f>
        <v>71</v>
      </c>
      <c r="B79" s="489">
        <f>'HRA Balance Calc'!N88+'HRA Balance Calc'!U88+IF('HRA Balance Calc'!$L88&lt;0,'HRA Balance Calc'!$L88*('HRA Balance Calc'!$G88/'HRA Balance Calc'!$L88),0)</f>
        <v>896.79634877950775</v>
      </c>
      <c r="C79" s="489">
        <f>'HRA Balance Calc'!V88+'HRA Balance Calc'!O88+IF('HRA Balance Calc'!$L88&lt;0,'HRA Balance Calc'!$L88*('HRA Balance Calc'!$H88/'HRA Balance Calc'!$L88),0)</f>
        <v>190.71347267499993</v>
      </c>
      <c r="D79" s="489">
        <f>'HRA Balance Calc'!W88+'HRA Balance Calc'!P88+IF('HRA Balance Calc'!$L88&lt;0,'HRA Balance Calc'!$L88*('HRA Balance Calc'!$I88/'HRA Balance Calc'!$L88),0)</f>
        <v>4.2314805899639679E-2</v>
      </c>
      <c r="E79" s="489">
        <f>'HRA Balance Calc'!X88+'HRA Balance Calc'!Q88+IF('HRA Balance Calc'!$L88&lt;0,'HRA Balance Calc'!$L88*('HRA Balance Calc'!$J88/'HRA Balance Calc'!$L88),0)</f>
        <v>238.68472705438464</v>
      </c>
      <c r="F79" s="489">
        <f>'HRA Balance Calc'!E88</f>
        <v>471.98996185153999</v>
      </c>
      <c r="G79" s="489">
        <f>IF('HRA Balance Calc'!L88&lt;0,0,'HRA Balance Calc'!L88)</f>
        <v>3.3645726154408369E+22</v>
      </c>
      <c r="H79" s="489">
        <f>ROUND('HRA Balance Calc'!T88,2)</f>
        <v>1614.5</v>
      </c>
      <c r="I79" s="489">
        <f>'HRA Balance Calc'!S88+'HRA Balance Calc'!U88</f>
        <v>1326.2368633147919</v>
      </c>
      <c r="K79" s="489">
        <f>'HRA Balance Calc'!$I$1*12+IF($H79=ROUND('HRA Balance Calc'!$I$12+'HRA Balance Calc'!$I$1*12,2),((B79-'HRA Balance Calc'!$I$1*12)/(I79-'HRA Balance Calc'!$I$1*12))*(H79-'HRA Balance Calc'!$I$1*12),B79-'HRA Balance Calc'!$I$1*12)</f>
        <v>896.79634877950775</v>
      </c>
      <c r="L79" s="489">
        <f>IF($H79=ROUND('HRA Balance Calc'!$I$12+'HRA Balance Calc'!$I$1*12,2),((C79/($I79-'HRA Balance Calc'!$I$1*12))*($H79-'HRA Balance Calc'!$I$1*12)),C79)</f>
        <v>190.71347267499993</v>
      </c>
      <c r="M79" s="489">
        <f>IF($H79=ROUND('HRA Balance Calc'!$I$12+'HRA Balance Calc'!$I$1*12,2),((D79/($I79-'HRA Balance Calc'!$I$1*12))*($H79-'HRA Balance Calc'!$I$1*12)),D79)</f>
        <v>4.2314805899639679E-2</v>
      </c>
      <c r="N79" s="489">
        <f>IF($H79=ROUND('HRA Balance Calc'!$I$12+'HRA Balance Calc'!$I$1*12,2),((E79/($I79-'HRA Balance Calc'!$I$1*12))*($H79-'HRA Balance Calc'!$I$1*12)),E79)</f>
        <v>238.68472705438464</v>
      </c>
      <c r="P79" s="510">
        <f>B79+'HRA Balance Calc'!G88</f>
        <v>5340.120338273342</v>
      </c>
      <c r="Q79" s="510">
        <f>C79+'HRA Balance Calc'!H88</f>
        <v>436.56198722618763</v>
      </c>
      <c r="R79" s="510">
        <f>D79+'HRA Balance Calc'!I88</f>
        <v>0.23718906172546483</v>
      </c>
      <c r="S79" s="510">
        <f>E79+'HRA Balance Calc'!J88</f>
        <v>343.26132135338099</v>
      </c>
      <c r="T79" s="489">
        <f t="shared" si="9"/>
        <v>471.98996185153999</v>
      </c>
      <c r="U79" s="510">
        <f t="shared" si="10"/>
        <v>6592.1707977661763</v>
      </c>
      <c r="W79" s="489">
        <f>'Winners-Losers HRA'!CC76*12-MIN('HRA Balance Calc'!Y88,'HRA Balance Calc'!$M$12)</f>
        <v>1033.8293383493933</v>
      </c>
      <c r="X79" s="489">
        <f>MIN('Winners-Losers HRA'!BS76*12,'HRA Balance Calc'!$L$12)-MIN('HRA Balance Calc'!$L$12,'HRA Balance Calc'!R88)</f>
        <v>-764.76523513156633</v>
      </c>
      <c r="Y79" s="489">
        <f t="shared" si="11"/>
        <v>269.06410321782698</v>
      </c>
      <c r="Z79" s="510">
        <f t="shared" si="12"/>
        <v>3.3645726154408369E+22</v>
      </c>
      <c r="AA79" s="510">
        <f t="shared" si="13"/>
        <v>3.3645726154408369E+22</v>
      </c>
      <c r="AC79" s="510">
        <f t="shared" si="14"/>
        <v>896.8386635854074</v>
      </c>
      <c r="AD79">
        <f t="shared" si="15"/>
        <v>426.70845360076993</v>
      </c>
      <c r="AE79">
        <f t="shared" si="16"/>
        <v>474.6797079801546</v>
      </c>
      <c r="AF79">
        <f t="shared" si="17"/>
        <v>70</v>
      </c>
    </row>
    <row r="80" spans="1:32" x14ac:dyDescent="0.2">
      <c r="A80">
        <f>'HRA Balance Calc'!A89</f>
        <v>72</v>
      </c>
      <c r="B80" s="489">
        <f>'HRA Balance Calc'!N89+'HRA Balance Calc'!U89+IF('HRA Balance Calc'!$L89&lt;0,'HRA Balance Calc'!$L89*('HRA Balance Calc'!$G89/'HRA Balance Calc'!$L89),0)</f>
        <v>928.33029432833064</v>
      </c>
      <c r="C80" s="489">
        <f>'HRA Balance Calc'!V89+'HRA Balance Calc'!O89+IF('HRA Balance Calc'!$L89&lt;0,'HRA Balance Calc'!$L89*('HRA Balance Calc'!$H89/'HRA Balance Calc'!$L89),0)</f>
        <v>202.30023645775162</v>
      </c>
      <c r="D80" s="489">
        <f>'HRA Balance Calc'!W89+'HRA Balance Calc'!P89+IF('HRA Balance Calc'!$L89&lt;0,'HRA Balance Calc'!$L89*('HRA Balance Calc'!$I89/'HRA Balance Calc'!$L89),0)</f>
        <v>0</v>
      </c>
      <c r="E80" s="489">
        <f>'HRA Balance Calc'!X89+'HRA Balance Calc'!Q89+IF('HRA Balance Calc'!$L89&lt;0,'HRA Balance Calc'!$L89*('HRA Balance Calc'!$J89/'HRA Balance Calc'!$L89),0)</f>
        <v>259.24609701188808</v>
      </c>
      <c r="F80" s="489">
        <f>'HRA Balance Calc'!E89</f>
        <v>471.98996185153999</v>
      </c>
      <c r="G80" s="489">
        <f>IF('HRA Balance Calc'!L89&lt;0,0,'HRA Balance Calc'!L89)</f>
        <v>3.3645726154408369E+22</v>
      </c>
      <c r="H80" s="489">
        <f>ROUND('HRA Balance Calc'!T89,2)</f>
        <v>1678.14</v>
      </c>
      <c r="I80" s="489">
        <f>'HRA Balance Calc'!S89+'HRA Balance Calc'!U89</f>
        <v>1389.8766277979703</v>
      </c>
      <c r="K80" s="489">
        <f>'HRA Balance Calc'!$I$1*12+IF($H80=ROUND('HRA Balance Calc'!$I$12+'HRA Balance Calc'!$I$1*12,2),((B80-'HRA Balance Calc'!$I$1*12)/(I80-'HRA Balance Calc'!$I$1*12))*(H80-'HRA Balance Calc'!$I$1*12),B80-'HRA Balance Calc'!$I$1*12)</f>
        <v>928.33029432833064</v>
      </c>
      <c r="L80" s="489">
        <f>IF($H80=ROUND('HRA Balance Calc'!$I$12+'HRA Balance Calc'!$I$1*12,2),((C80/($I80-'HRA Balance Calc'!$I$1*12))*($H80-'HRA Balance Calc'!$I$1*12)),C80)</f>
        <v>202.30023645775162</v>
      </c>
      <c r="M80" s="489">
        <f>IF($H80=ROUND('HRA Balance Calc'!$I$12+'HRA Balance Calc'!$I$1*12,2),((D80/($I80-'HRA Balance Calc'!$I$1*12))*($H80-'HRA Balance Calc'!$I$1*12)),D80)</f>
        <v>0</v>
      </c>
      <c r="N80" s="489">
        <f>IF($H80=ROUND('HRA Balance Calc'!$I$12+'HRA Balance Calc'!$I$1*12,2),((E80/($I80-'HRA Balance Calc'!$I$1*12))*($H80-'HRA Balance Calc'!$I$1*12)),E80)</f>
        <v>259.24609701188808</v>
      </c>
      <c r="P80" s="510">
        <f>B80+'HRA Balance Calc'!G89</f>
        <v>5371.6542838221649</v>
      </c>
      <c r="Q80" s="510">
        <f>C80+'HRA Balance Calc'!H89</f>
        <v>469.30663663035261</v>
      </c>
      <c r="R80" s="510">
        <f>D80+'HRA Balance Calc'!I89</f>
        <v>0</v>
      </c>
      <c r="S80" s="510">
        <f>E80+'HRA Balance Calc'!J89</f>
        <v>372.83138688522456</v>
      </c>
      <c r="T80" s="489">
        <f t="shared" si="9"/>
        <v>471.98996185153999</v>
      </c>
      <c r="U80" s="510">
        <f t="shared" si="10"/>
        <v>6685.7822691892825</v>
      </c>
      <c r="W80" s="489">
        <f>'Winners-Losers HRA'!CC77*12-MIN('HRA Balance Calc'!Y89,'HRA Balance Calc'!$M$12)</f>
        <v>1009.5686134450215</v>
      </c>
      <c r="X80" s="489">
        <f>MIN('Winners-Losers HRA'!BS77*12,'HRA Balance Calc'!$L$12)-MIN('HRA Balance Calc'!$L$12,'HRA Balance Calc'!R89)</f>
        <v>-773.43507471298994</v>
      </c>
      <c r="Y80" s="489">
        <f t="shared" si="11"/>
        <v>236.13353873203152</v>
      </c>
      <c r="Z80" s="510">
        <f t="shared" si="12"/>
        <v>3.3645726154408369E+22</v>
      </c>
      <c r="AA80" s="510">
        <f t="shared" si="13"/>
        <v>3.3645726154408369E+22</v>
      </c>
      <c r="AC80" s="510">
        <f t="shared" si="14"/>
        <v>928.33029432833064</v>
      </c>
      <c r="AD80">
        <f t="shared" si="15"/>
        <v>438.29521738352162</v>
      </c>
      <c r="AE80">
        <f t="shared" si="16"/>
        <v>495.24107793765808</v>
      </c>
      <c r="AF80">
        <f t="shared" si="17"/>
        <v>71</v>
      </c>
    </row>
    <row r="81" spans="1:32" x14ac:dyDescent="0.2">
      <c r="A81">
        <f>'HRA Balance Calc'!A90</f>
        <v>73</v>
      </c>
      <c r="B81" s="489">
        <f>'HRA Balance Calc'!N90+'HRA Balance Calc'!U90+IF('HRA Balance Calc'!$L90&lt;0,'HRA Balance Calc'!$L90*('HRA Balance Calc'!$G90/'HRA Balance Calc'!$L90),0)</f>
        <v>982.11726752528239</v>
      </c>
      <c r="C81" s="489">
        <f>'HRA Balance Calc'!V90+'HRA Balance Calc'!O90+IF('HRA Balance Calc'!$L90&lt;0,'HRA Balance Calc'!$L90*('HRA Balance Calc'!$H90/'HRA Balance Calc'!$L90),0)</f>
        <v>209.73819397098148</v>
      </c>
      <c r="D81" s="489">
        <f>'HRA Balance Calc'!W90+'HRA Balance Calc'!P90+IF('HRA Balance Calc'!$L90&lt;0,'HRA Balance Calc'!$L90*('HRA Balance Calc'!$I90/'HRA Balance Calc'!$L90),0)</f>
        <v>4.5901650760452078E-2</v>
      </c>
      <c r="E81" s="489">
        <f>'HRA Balance Calc'!X90+'HRA Balance Calc'!Q90+IF('HRA Balance Calc'!$L90&lt;0,'HRA Balance Calc'!$L90*('HRA Balance Calc'!$J90/'HRA Balance Calc'!$L90),0)</f>
        <v>277.04321890092046</v>
      </c>
      <c r="F81" s="489">
        <f>'HRA Balance Calc'!E90</f>
        <v>471.98996185153999</v>
      </c>
      <c r="G81" s="489">
        <f>IF('HRA Balance Calc'!L90&lt;0,0,'HRA Balance Calc'!L90)</f>
        <v>3.3645726154408369E+22</v>
      </c>
      <c r="H81" s="489">
        <f>ROUND('HRA Balance Calc'!T90,2)</f>
        <v>1757.21</v>
      </c>
      <c r="I81" s="489">
        <f>'HRA Balance Calc'!S90+'HRA Balance Calc'!U90</f>
        <v>1468.9445820479446</v>
      </c>
      <c r="K81" s="489">
        <f>'HRA Balance Calc'!$I$1*12+IF($H81=ROUND('HRA Balance Calc'!$I$12+'HRA Balance Calc'!$I$1*12,2),((B81-'HRA Balance Calc'!$I$1*12)/(I81-'HRA Balance Calc'!$I$1*12))*(H81-'HRA Balance Calc'!$I$1*12),B81-'HRA Balance Calc'!$I$1*12)</f>
        <v>982.11726752528239</v>
      </c>
      <c r="L81" s="489">
        <f>IF($H81=ROUND('HRA Balance Calc'!$I$12+'HRA Balance Calc'!$I$1*12,2),((C81/($I81-'HRA Balance Calc'!$I$1*12))*($H81-'HRA Balance Calc'!$I$1*12)),C81)</f>
        <v>209.73819397098148</v>
      </c>
      <c r="M81" s="489">
        <f>IF($H81=ROUND('HRA Balance Calc'!$I$12+'HRA Balance Calc'!$I$1*12,2),((D81/($I81-'HRA Balance Calc'!$I$1*12))*($H81-'HRA Balance Calc'!$I$1*12)),D81)</f>
        <v>4.5901650760452078E-2</v>
      </c>
      <c r="N81" s="489">
        <f>IF($H81=ROUND('HRA Balance Calc'!$I$12+'HRA Balance Calc'!$I$1*12,2),((E81/($I81-'HRA Balance Calc'!$I$1*12))*($H81-'HRA Balance Calc'!$I$1*12)),E81)</f>
        <v>277.04321890092046</v>
      </c>
      <c r="P81" s="510">
        <f>B81+'HRA Balance Calc'!G90</f>
        <v>5425.4412570191162</v>
      </c>
      <c r="Q81" s="510">
        <f>C81+'HRA Balance Calc'!H90</f>
        <v>497.92903094017424</v>
      </c>
      <c r="R81" s="510">
        <f>D81+'HRA Balance Calc'!I90</f>
        <v>0.25729456260165201</v>
      </c>
      <c r="S81" s="510">
        <f>E81+'HRA Balance Calc'!J90</f>
        <v>398.42608517743861</v>
      </c>
      <c r="T81" s="489">
        <f t="shared" si="9"/>
        <v>471.98996185153999</v>
      </c>
      <c r="U81" s="510">
        <f t="shared" si="10"/>
        <v>6794.0436295508707</v>
      </c>
      <c r="W81" s="489">
        <f>'Winners-Losers HRA'!CC78*12-MIN('HRA Balance Calc'!Y90,'HRA Balance Calc'!$M$12)</f>
        <v>987.99575690155973</v>
      </c>
      <c r="X81" s="489">
        <f>MIN('Winners-Losers HRA'!BS78*12,'HRA Balance Calc'!$L$12)-MIN('HRA Balance Calc'!$L$12,'HRA Balance Calc'!R90)</f>
        <v>-798.33765742762489</v>
      </c>
      <c r="Y81" s="489">
        <f t="shared" si="11"/>
        <v>189.65809947393484</v>
      </c>
      <c r="Z81" s="510">
        <f t="shared" si="12"/>
        <v>3.3645726154408369E+22</v>
      </c>
      <c r="AA81" s="510">
        <f t="shared" si="13"/>
        <v>3.3645726154408369E+22</v>
      </c>
      <c r="AC81" s="510">
        <f t="shared" si="14"/>
        <v>982.16316917604286</v>
      </c>
      <c r="AD81">
        <f t="shared" si="15"/>
        <v>445.73317489675151</v>
      </c>
      <c r="AE81">
        <f t="shared" si="16"/>
        <v>513.03819982669052</v>
      </c>
      <c r="AF81">
        <f t="shared" si="17"/>
        <v>72</v>
      </c>
    </row>
    <row r="82" spans="1:32" x14ac:dyDescent="0.2">
      <c r="A82">
        <f>'HRA Balance Calc'!A91</f>
        <v>74</v>
      </c>
      <c r="B82" s="489">
        <f>'HRA Balance Calc'!N91+'HRA Balance Calc'!U91+IF('HRA Balance Calc'!$L91&lt;0,'HRA Balance Calc'!$L91*('HRA Balance Calc'!$G91/'HRA Balance Calc'!$L91),0)</f>
        <v>1020.2744051960588</v>
      </c>
      <c r="C82" s="489">
        <f>'HRA Balance Calc'!V91+'HRA Balance Calc'!O91+IF('HRA Balance Calc'!$L91&lt;0,'HRA Balance Calc'!$L91*('HRA Balance Calc'!$H91/'HRA Balance Calc'!$L91),0)</f>
        <v>225.01891834135461</v>
      </c>
      <c r="D82" s="489">
        <f>'HRA Balance Calc'!W91+'HRA Balance Calc'!P91+IF('HRA Balance Calc'!$L91&lt;0,'HRA Balance Calc'!$L91*('HRA Balance Calc'!$I91/'HRA Balance Calc'!$L91),0)</f>
        <v>0.14628348957346599</v>
      </c>
      <c r="E82" s="489">
        <f>'HRA Balance Calc'!X91+'HRA Balance Calc'!Q91+IF('HRA Balance Calc'!$L91&lt;0,'HRA Balance Calc'!$L91*('HRA Balance Calc'!$J91/'HRA Balance Calc'!$L91),0)</f>
        <v>301.51514845411788</v>
      </c>
      <c r="F82" s="489">
        <f>'HRA Balance Calc'!E91</f>
        <v>471.98996185153999</v>
      </c>
      <c r="G82" s="489">
        <f>IF('HRA Balance Calc'!L91&lt;0,0,'HRA Balance Calc'!L91)</f>
        <v>3.3645726154408369E+22</v>
      </c>
      <c r="H82" s="489">
        <f>ROUND('HRA Balance Calc'!T91,2)</f>
        <v>1835.22</v>
      </c>
      <c r="I82" s="489">
        <f>'HRA Balance Calc'!S91+'HRA Balance Calc'!U91</f>
        <v>1546.9547554811047</v>
      </c>
      <c r="K82" s="489">
        <f>'HRA Balance Calc'!$I$1*12+IF($H82=ROUND('HRA Balance Calc'!$I$12+'HRA Balance Calc'!$I$1*12,2),((B82-'HRA Balance Calc'!$I$1*12)/(I82-'HRA Balance Calc'!$I$1*12))*(H82-'HRA Balance Calc'!$I$1*12),B82-'HRA Balance Calc'!$I$1*12)</f>
        <v>1020.2744051960588</v>
      </c>
      <c r="L82" s="489">
        <f>IF($H82=ROUND('HRA Balance Calc'!$I$12+'HRA Balance Calc'!$I$1*12,2),((C82/($I82-'HRA Balance Calc'!$I$1*12))*($H82-'HRA Balance Calc'!$I$1*12)),C82)</f>
        <v>225.01891834135461</v>
      </c>
      <c r="M82" s="489">
        <f>IF($H82=ROUND('HRA Balance Calc'!$I$12+'HRA Balance Calc'!$I$1*12,2),((D82/($I82-'HRA Balance Calc'!$I$1*12))*($H82-'HRA Balance Calc'!$I$1*12)),D82)</f>
        <v>0.14628348957346599</v>
      </c>
      <c r="N82" s="489">
        <f>IF($H82=ROUND('HRA Balance Calc'!$I$12+'HRA Balance Calc'!$I$1*12,2),((E82/($I82-'HRA Balance Calc'!$I$1*12))*($H82-'HRA Balance Calc'!$I$1*12)),E82)</f>
        <v>301.51514845411788</v>
      </c>
      <c r="P82" s="510">
        <f>B82+'HRA Balance Calc'!G91</f>
        <v>5463.5983946898932</v>
      </c>
      <c r="Q82" s="510">
        <f>C82+'HRA Balance Calc'!H91</f>
        <v>534.66373080553217</v>
      </c>
      <c r="R82" s="510">
        <f>D82+'HRA Balance Calc'!I91</f>
        <v>0.81996934406717115</v>
      </c>
      <c r="S82" s="510">
        <f>E82+'HRA Balance Calc'!J91</f>
        <v>433.62007089309515</v>
      </c>
      <c r="T82" s="489">
        <f t="shared" si="9"/>
        <v>471.98996185153999</v>
      </c>
      <c r="U82" s="510">
        <f t="shared" si="10"/>
        <v>6904.6921275841287</v>
      </c>
      <c r="W82" s="489">
        <f>'Winners-Losers HRA'!CC79*12-MIN('HRA Balance Calc'!Y91,'HRA Balance Calc'!$M$12)</f>
        <v>959.65625056524982</v>
      </c>
      <c r="X82" s="489">
        <f>MIN('Winners-Losers HRA'!BS79*12,'HRA Balance Calc'!$L$12)-MIN('HRA Balance Calc'!$L$12,'HRA Balance Calc'!R91)</f>
        <v>-812.57145692663812</v>
      </c>
      <c r="Y82" s="489">
        <f t="shared" si="11"/>
        <v>147.0847936386117</v>
      </c>
      <c r="Z82" s="510">
        <f t="shared" si="12"/>
        <v>3.3645726154408369E+22</v>
      </c>
      <c r="AA82" s="510">
        <f t="shared" si="13"/>
        <v>3.3645726154408369E+22</v>
      </c>
      <c r="AC82" s="510">
        <f t="shared" si="14"/>
        <v>1020.4206886856322</v>
      </c>
      <c r="AD82">
        <f t="shared" si="15"/>
        <v>461.0138992671246</v>
      </c>
      <c r="AE82">
        <f t="shared" si="16"/>
        <v>537.51012937988787</v>
      </c>
      <c r="AF82">
        <f t="shared" si="17"/>
        <v>73</v>
      </c>
    </row>
    <row r="83" spans="1:32" x14ac:dyDescent="0.2">
      <c r="A83">
        <f>'HRA Balance Calc'!A92</f>
        <v>75</v>
      </c>
      <c r="B83" s="489">
        <f>'HRA Balance Calc'!N92+'HRA Balance Calc'!U92+IF('HRA Balance Calc'!$L92&lt;0,'HRA Balance Calc'!$L92*('HRA Balance Calc'!$G92/'HRA Balance Calc'!$L92),0)</f>
        <v>1070.9950720329232</v>
      </c>
      <c r="C83" s="489">
        <f>'HRA Balance Calc'!V92+'HRA Balance Calc'!O92+IF('HRA Balance Calc'!$L92&lt;0,'HRA Balance Calc'!$L92*('HRA Balance Calc'!$H92/'HRA Balance Calc'!$L92),0)</f>
        <v>232.12287123736775</v>
      </c>
      <c r="D83" s="489">
        <f>'HRA Balance Calc'!W92+'HRA Balance Calc'!P92+IF('HRA Balance Calc'!$L92&lt;0,'HRA Balance Calc'!$L92*('HRA Balance Calc'!$I92/'HRA Balance Calc'!$L92),0)</f>
        <v>2.6431957952223962E-2</v>
      </c>
      <c r="E83" s="489">
        <f>'HRA Balance Calc'!X92+'HRA Balance Calc'!Q92+IF('HRA Balance Calc'!$L92&lt;0,'HRA Balance Calc'!$L92*('HRA Balance Calc'!$J92/'HRA Balance Calc'!$L92),0)</f>
        <v>327.83196251487868</v>
      </c>
      <c r="F83" s="489">
        <f>'HRA Balance Calc'!E92</f>
        <v>471.98996185153999</v>
      </c>
      <c r="G83" s="489">
        <f>IF('HRA Balance Calc'!L92&lt;0,0,'HRA Balance Calc'!L92)</f>
        <v>3.3645726154408369E+22</v>
      </c>
      <c r="H83" s="489">
        <f>ROUND('HRA Balance Calc'!T92,2)</f>
        <v>1919.24</v>
      </c>
      <c r="I83" s="489">
        <f>'HRA Balance Calc'!S92+'HRA Balance Calc'!U92</f>
        <v>1630.9763377431218</v>
      </c>
      <c r="K83" s="489">
        <f>'HRA Balance Calc'!$I$1*12+IF($H83=ROUND('HRA Balance Calc'!$I$12+'HRA Balance Calc'!$I$1*12,2),((B83-'HRA Balance Calc'!$I$1*12)/(I83-'HRA Balance Calc'!$I$1*12))*(H83-'HRA Balance Calc'!$I$1*12),B83-'HRA Balance Calc'!$I$1*12)</f>
        <v>1070.9950720329232</v>
      </c>
      <c r="L83" s="489">
        <f>IF($H83=ROUND('HRA Balance Calc'!$I$12+'HRA Balance Calc'!$I$1*12,2),((C83/($I83-'HRA Balance Calc'!$I$1*12))*($H83-'HRA Balance Calc'!$I$1*12)),C83)</f>
        <v>232.12287123736775</v>
      </c>
      <c r="M83" s="489">
        <f>IF($H83=ROUND('HRA Balance Calc'!$I$12+'HRA Balance Calc'!$I$1*12,2),((D83/($I83-'HRA Balance Calc'!$I$1*12))*($H83-'HRA Balance Calc'!$I$1*12)),D83)</f>
        <v>2.6431957952223962E-2</v>
      </c>
      <c r="N83" s="489">
        <f>IF($H83=ROUND('HRA Balance Calc'!$I$12+'HRA Balance Calc'!$I$1*12,2),((E83/($I83-'HRA Balance Calc'!$I$1*12))*($H83-'HRA Balance Calc'!$I$1*12)),E83)</f>
        <v>327.83196251487868</v>
      </c>
      <c r="P83" s="510">
        <f>B83+'HRA Balance Calc'!G92</f>
        <v>5514.3190615267577</v>
      </c>
      <c r="Q83" s="510">
        <f>C83+'HRA Balance Calc'!H92</f>
        <v>561.46760835625571</v>
      </c>
      <c r="R83" s="510">
        <f>D83+'HRA Balance Calc'!I92</f>
        <v>0.14816022838730131</v>
      </c>
      <c r="S83" s="510">
        <f>E83+'HRA Balance Calc'!J92</f>
        <v>471.46725315645665</v>
      </c>
      <c r="T83" s="489">
        <f t="shared" si="9"/>
        <v>471.98996185153999</v>
      </c>
      <c r="U83" s="510">
        <f t="shared" si="10"/>
        <v>7019.3920451193972</v>
      </c>
      <c r="W83" s="489">
        <f>'Winners-Losers HRA'!CC80*12-MIN('HRA Balance Calc'!Y92,'HRA Balance Calc'!$M$12)</f>
        <v>929.96038349202104</v>
      </c>
      <c r="X83" s="489">
        <f>MIN('Winners-Losers HRA'!BS80*12,'HRA Balance Calc'!$L$12)-MIN('HRA Balance Calc'!$L$12,'HRA Balance Calc'!R92)</f>
        <v>-828.53394255078422</v>
      </c>
      <c r="Y83" s="489">
        <f t="shared" si="11"/>
        <v>101.42644094123682</v>
      </c>
      <c r="Z83" s="510">
        <f t="shared" si="12"/>
        <v>3.3645726154408369E+22</v>
      </c>
      <c r="AA83" s="510">
        <f t="shared" si="13"/>
        <v>3.3645726154408369E+22</v>
      </c>
      <c r="AC83" s="510">
        <f t="shared" si="14"/>
        <v>1071.0215039908753</v>
      </c>
      <c r="AD83">
        <f t="shared" si="15"/>
        <v>468.11785216313774</v>
      </c>
      <c r="AE83">
        <f t="shared" si="16"/>
        <v>563.82694344064862</v>
      </c>
      <c r="AF83">
        <f t="shared" si="17"/>
        <v>74</v>
      </c>
    </row>
    <row r="84" spans="1:32" x14ac:dyDescent="0.2">
      <c r="A84">
        <f>'HRA Balance Calc'!A93</f>
        <v>76</v>
      </c>
      <c r="B84" s="489">
        <f>'HRA Balance Calc'!N93+'HRA Balance Calc'!U93+IF('HRA Balance Calc'!$L93&lt;0,'HRA Balance Calc'!$L93*('HRA Balance Calc'!$G93/'HRA Balance Calc'!$L93),0)</f>
        <v>1115.4946341000586</v>
      </c>
      <c r="C84" s="489">
        <f>'HRA Balance Calc'!V93+'HRA Balance Calc'!O93+IF('HRA Balance Calc'!$L93&lt;0,'HRA Balance Calc'!$L93*('HRA Balance Calc'!$H93/'HRA Balance Calc'!$L93),0)</f>
        <v>247.61399723181486</v>
      </c>
      <c r="D84" s="489">
        <f>'HRA Balance Calc'!W93+'HRA Balance Calc'!P93+IF('HRA Balance Calc'!$L93&lt;0,'HRA Balance Calc'!$L93*('HRA Balance Calc'!$I93/'HRA Balance Calc'!$L93),0)</f>
        <v>0.13759077105328746</v>
      </c>
      <c r="E84" s="489">
        <f>'HRA Balance Calc'!X93+'HRA Balance Calc'!Q93+IF('HRA Balance Calc'!$L93&lt;0,'HRA Balance Calc'!$L93*('HRA Balance Calc'!$J93/'HRA Balance Calc'!$L93),0)</f>
        <v>357.57851026688763</v>
      </c>
      <c r="F84" s="489">
        <f>'HRA Balance Calc'!E93</f>
        <v>471.98996185153999</v>
      </c>
      <c r="G84" s="489">
        <f>IF('HRA Balance Calc'!L93&lt;0,0,'HRA Balance Calc'!L93)</f>
        <v>3.3645726154408369E+22</v>
      </c>
      <c r="H84" s="489">
        <f>ROUND('HRA Balance Calc'!T93,2)</f>
        <v>2009.09</v>
      </c>
      <c r="I84" s="489">
        <f>'HRA Balance Calc'!S93+'HRA Balance Calc'!U93</f>
        <v>1720.8247323698142</v>
      </c>
      <c r="K84" s="489">
        <f>'HRA Balance Calc'!$I$1*12+IF($H84=ROUND('HRA Balance Calc'!$I$12+'HRA Balance Calc'!$I$1*12,2),((B84-'HRA Balance Calc'!$I$1*12)/(I84-'HRA Balance Calc'!$I$1*12))*(H84-'HRA Balance Calc'!$I$1*12),B84-'HRA Balance Calc'!$I$1*12)</f>
        <v>1115.4946341000586</v>
      </c>
      <c r="L84" s="489">
        <f>IF($H84=ROUND('HRA Balance Calc'!$I$12+'HRA Balance Calc'!$I$1*12,2),((C84/($I84-'HRA Balance Calc'!$I$1*12))*($H84-'HRA Balance Calc'!$I$1*12)),C84)</f>
        <v>247.61399723181486</v>
      </c>
      <c r="M84" s="489">
        <f>IF($H84=ROUND('HRA Balance Calc'!$I$12+'HRA Balance Calc'!$I$1*12,2),((D84/($I84-'HRA Balance Calc'!$I$1*12))*($H84-'HRA Balance Calc'!$I$1*12)),D84)</f>
        <v>0.13759077105328746</v>
      </c>
      <c r="N84" s="489">
        <f>IF($H84=ROUND('HRA Balance Calc'!$I$12+'HRA Balance Calc'!$I$1*12,2),((E84/($I84-'HRA Balance Calc'!$I$1*12))*($H84-'HRA Balance Calc'!$I$1*12)),E84)</f>
        <v>357.57851026688763</v>
      </c>
      <c r="P84" s="510">
        <f>B84+'HRA Balance Calc'!G93</f>
        <v>5558.8186235938929</v>
      </c>
      <c r="Q84" s="510">
        <f>C84+'HRA Balance Calc'!H93</f>
        <v>608.99014485332782</v>
      </c>
      <c r="R84" s="510">
        <f>D84+'HRA Balance Calc'!I93</f>
        <v>0.77124366269373312</v>
      </c>
      <c r="S84" s="510">
        <f>E84+'HRA Balance Calc'!J93</f>
        <v>514.24686211203721</v>
      </c>
      <c r="T84" s="489">
        <f t="shared" si="9"/>
        <v>471.98996185153999</v>
      </c>
      <c r="U84" s="510">
        <f t="shared" si="10"/>
        <v>7154.8168360734917</v>
      </c>
      <c r="W84" s="489">
        <f>'Winners-Losers HRA'!CC81*12-MIN('HRA Balance Calc'!Y93,'HRA Balance Calc'!$M$12)</f>
        <v>894.47089424757155</v>
      </c>
      <c r="X84" s="489">
        <f>MIN('Winners-Losers HRA'!BS81*12,'HRA Balance Calc'!$L$12)-MIN('HRA Balance Calc'!$L$12,'HRA Balance Calc'!R93)</f>
        <v>-841.66413859293596</v>
      </c>
      <c r="Y84" s="489">
        <f t="shared" si="11"/>
        <v>52.806755654635595</v>
      </c>
      <c r="Z84" s="510">
        <f t="shared" si="12"/>
        <v>3.3645726154408369E+22</v>
      </c>
      <c r="AA84" s="510">
        <f t="shared" si="13"/>
        <v>3.3645726154408369E+22</v>
      </c>
      <c r="AC84" s="510">
        <f t="shared" si="14"/>
        <v>1115.6322248711119</v>
      </c>
      <c r="AD84">
        <f t="shared" si="15"/>
        <v>483.60897815758483</v>
      </c>
      <c r="AE84">
        <f t="shared" si="16"/>
        <v>593.57349119265768</v>
      </c>
      <c r="AF84">
        <f t="shared" si="17"/>
        <v>75</v>
      </c>
    </row>
    <row r="85" spans="1:32" x14ac:dyDescent="0.2">
      <c r="A85">
        <f>'HRA Balance Calc'!A94</f>
        <v>77</v>
      </c>
      <c r="B85" s="489">
        <f>'HRA Balance Calc'!N94+'HRA Balance Calc'!U94+IF('HRA Balance Calc'!$L94&lt;0,'HRA Balance Calc'!$L94*('HRA Balance Calc'!$G94/'HRA Balance Calc'!$L94),0)</f>
        <v>1161.377152895984</v>
      </c>
      <c r="C85" s="489">
        <f>'HRA Balance Calc'!V94+'HRA Balance Calc'!O94+IF('HRA Balance Calc'!$L94&lt;0,'HRA Balance Calc'!$L94*('HRA Balance Calc'!$H94/'HRA Balance Calc'!$L94),0)</f>
        <v>259.98432087513731</v>
      </c>
      <c r="D85" s="489">
        <f>'HRA Balance Calc'!W94+'HRA Balance Calc'!P94+IF('HRA Balance Calc'!$L94&lt;0,'HRA Balance Calc'!$L94*('HRA Balance Calc'!$I94/'HRA Balance Calc'!$L94),0)</f>
        <v>5.8525351978922432E-2</v>
      </c>
      <c r="E85" s="489">
        <f>'HRA Balance Calc'!X94+'HRA Balance Calc'!Q94+IF('HRA Balance Calc'!$L94&lt;0,'HRA Balance Calc'!$L94*('HRA Balance Calc'!$J94/'HRA Balance Calc'!$L94),0)</f>
        <v>384.46218758830759</v>
      </c>
      <c r="F85" s="489">
        <f>'HRA Balance Calc'!E94</f>
        <v>471.98996185153999</v>
      </c>
      <c r="G85" s="489">
        <f>IF('HRA Balance Calc'!L94&lt;0,0,'HRA Balance Calc'!L94)</f>
        <v>3.3645726154408369E+22</v>
      </c>
      <c r="H85" s="489">
        <f>ROUND('HRA Balance Calc'!T94,2)</f>
        <v>2094.14</v>
      </c>
      <c r="I85" s="489">
        <f>'HRA Balance Calc'!S94+'HRA Balance Calc'!U94</f>
        <v>1805.8821867114075</v>
      </c>
      <c r="K85" s="489">
        <f>'HRA Balance Calc'!$I$1*12+IF($H85=ROUND('HRA Balance Calc'!$I$12+'HRA Balance Calc'!$I$1*12,2),((B85-'HRA Balance Calc'!$I$1*12)/(I85-'HRA Balance Calc'!$I$1*12))*(H85-'HRA Balance Calc'!$I$1*12),B85-'HRA Balance Calc'!$I$1*12)</f>
        <v>1161.377152895984</v>
      </c>
      <c r="L85" s="489">
        <f>IF($H85=ROUND('HRA Balance Calc'!$I$12+'HRA Balance Calc'!$I$1*12,2),((C85/($I85-'HRA Balance Calc'!$I$1*12))*($H85-'HRA Balance Calc'!$I$1*12)),C85)</f>
        <v>259.98432087513731</v>
      </c>
      <c r="M85" s="489">
        <f>IF($H85=ROUND('HRA Balance Calc'!$I$12+'HRA Balance Calc'!$I$1*12,2),((D85/($I85-'HRA Balance Calc'!$I$1*12))*($H85-'HRA Balance Calc'!$I$1*12)),D85)</f>
        <v>5.8525351978922432E-2</v>
      </c>
      <c r="N85" s="489">
        <f>IF($H85=ROUND('HRA Balance Calc'!$I$12+'HRA Balance Calc'!$I$1*12,2),((E85/($I85-'HRA Balance Calc'!$I$1*12))*($H85-'HRA Balance Calc'!$I$1*12)),E85)</f>
        <v>384.46218758830759</v>
      </c>
      <c r="P85" s="510">
        <f>B85+'HRA Balance Calc'!G94</f>
        <v>5604.7011423898184</v>
      </c>
      <c r="Q85" s="510">
        <f>C85+'HRA Balance Calc'!H94</f>
        <v>652.89775216647479</v>
      </c>
      <c r="R85" s="510">
        <f>D85+'HRA Balance Calc'!I94</f>
        <v>0.32805475596312239</v>
      </c>
      <c r="S85" s="510">
        <f>E85+'HRA Balance Calc'!J94</f>
        <v>552.90927136659286</v>
      </c>
      <c r="T85" s="489">
        <f t="shared" si="9"/>
        <v>471.98996185153999</v>
      </c>
      <c r="U85" s="510">
        <f t="shared" si="10"/>
        <v>7282.8261825303898</v>
      </c>
      <c r="W85" s="489">
        <f>'Winners-Losers HRA'!CC82*12-MIN('HRA Balance Calc'!Y94,'HRA Balance Calc'!$M$12)</f>
        <v>862.08607101165126</v>
      </c>
      <c r="X85" s="489">
        <f>MIN('Winners-Losers HRA'!BS82*12,'HRA Balance Calc'!$L$12)-MIN('HRA Balance Calc'!$L$12,'HRA Balance Calc'!R94)</f>
        <v>-849.85753501663044</v>
      </c>
      <c r="Y85" s="489">
        <f t="shared" si="11"/>
        <v>12.22853599502082</v>
      </c>
      <c r="Z85" s="510">
        <f t="shared" si="12"/>
        <v>3.3645726154408369E+22</v>
      </c>
      <c r="AA85" s="510">
        <f t="shared" si="13"/>
        <v>3.3645726154408369E+22</v>
      </c>
      <c r="AC85" s="510">
        <f t="shared" si="14"/>
        <v>1161.4356782479629</v>
      </c>
      <c r="AD85">
        <f t="shared" si="15"/>
        <v>495.97930180090731</v>
      </c>
      <c r="AE85">
        <f t="shared" si="16"/>
        <v>620.45716851407758</v>
      </c>
      <c r="AF85">
        <f t="shared" si="17"/>
        <v>76</v>
      </c>
    </row>
    <row r="86" spans="1:32" x14ac:dyDescent="0.2">
      <c r="A86">
        <f>'HRA Balance Calc'!A95</f>
        <v>78</v>
      </c>
      <c r="B86" s="489">
        <f>'HRA Balance Calc'!N95+'HRA Balance Calc'!U95+IF('HRA Balance Calc'!$L95&lt;0,'HRA Balance Calc'!$L95*('HRA Balance Calc'!$G95/'HRA Balance Calc'!$L95),0)</f>
        <v>1229.7422102607318</v>
      </c>
      <c r="C86" s="489">
        <f>'HRA Balance Calc'!V95+'HRA Balance Calc'!O95+IF('HRA Balance Calc'!$L95&lt;0,'HRA Balance Calc'!$L95*('HRA Balance Calc'!$H95/'HRA Balance Calc'!$L95),0)</f>
        <v>271.96673171848965</v>
      </c>
      <c r="D86" s="489">
        <f>'HRA Balance Calc'!W95+'HRA Balance Calc'!P95+IF('HRA Balance Calc'!$L95&lt;0,'HRA Balance Calc'!$L95*('HRA Balance Calc'!$I95/'HRA Balance Calc'!$L95),0)</f>
        <v>9.3466800459685154E-2</v>
      </c>
      <c r="E86" s="489">
        <f>'HRA Balance Calc'!X95+'HRA Balance Calc'!Q95+IF('HRA Balance Calc'!$L95&lt;0,'HRA Balance Calc'!$L95*('HRA Balance Calc'!$J95/'HRA Balance Calc'!$L95),0)</f>
        <v>419.8454508720024</v>
      </c>
      <c r="F86" s="489">
        <f>'HRA Balance Calc'!E95</f>
        <v>471.98996185153999</v>
      </c>
      <c r="G86" s="489">
        <f>IF('HRA Balance Calc'!L95&lt;0,0,'HRA Balance Calc'!L95)</f>
        <v>3.3645726154408369E+22</v>
      </c>
      <c r="H86" s="489">
        <f>ROUND('HRA Balance Calc'!T95,2)</f>
        <v>2209.91</v>
      </c>
      <c r="I86" s="489">
        <f>'HRA Balance Calc'!S95+'HRA Balance Calc'!U95</f>
        <v>1921.6478596516836</v>
      </c>
      <c r="K86" s="489">
        <f>'HRA Balance Calc'!$I$1*12+IF($H86=ROUND('HRA Balance Calc'!$I$12+'HRA Balance Calc'!$I$1*12,2),((B86-'HRA Balance Calc'!$I$1*12)/(I86-'HRA Balance Calc'!$I$1*12))*(H86-'HRA Balance Calc'!$I$1*12),B86-'HRA Balance Calc'!$I$1*12)</f>
        <v>1229.7422102607318</v>
      </c>
      <c r="L86" s="489">
        <f>IF($H86=ROUND('HRA Balance Calc'!$I$12+'HRA Balance Calc'!$I$1*12,2),((C86/($I86-'HRA Balance Calc'!$I$1*12))*($H86-'HRA Balance Calc'!$I$1*12)),C86)</f>
        <v>271.96673171848965</v>
      </c>
      <c r="M86" s="489">
        <f>IF($H86=ROUND('HRA Balance Calc'!$I$12+'HRA Balance Calc'!$I$1*12,2),((D86/($I86-'HRA Balance Calc'!$I$1*12))*($H86-'HRA Balance Calc'!$I$1*12)),D86)</f>
        <v>9.3466800459685154E-2</v>
      </c>
      <c r="N86" s="489">
        <f>IF($H86=ROUND('HRA Balance Calc'!$I$12+'HRA Balance Calc'!$I$1*12,2),((E86/($I86-'HRA Balance Calc'!$I$1*12))*($H86-'HRA Balance Calc'!$I$1*12)),E86)</f>
        <v>419.8454508720024</v>
      </c>
      <c r="P86" s="510">
        <f>B86+'HRA Balance Calc'!G95</f>
        <v>5673.0661997545658</v>
      </c>
      <c r="Q86" s="510">
        <f>C86+'HRA Balance Calc'!H95</f>
        <v>688.9556613088829</v>
      </c>
      <c r="R86" s="510">
        <f>D86+'HRA Balance Calc'!I95</f>
        <v>0.52391360972077017</v>
      </c>
      <c r="S86" s="510">
        <f>E86+'HRA Balance Calc'!J95</f>
        <v>603.79524910989539</v>
      </c>
      <c r="T86" s="489">
        <f t="shared" si="9"/>
        <v>471.98996185153999</v>
      </c>
      <c r="U86" s="510">
        <f t="shared" si="10"/>
        <v>7438.330985634605</v>
      </c>
      <c r="W86" s="489">
        <f>'Winners-Losers HRA'!CC83*12-MIN('HRA Balance Calc'!Y95,'HRA Balance Calc'!$M$12)</f>
        <v>822.42579319189781</v>
      </c>
      <c r="X86" s="489">
        <f>MIN('Winners-Losers HRA'!BS83*12,'HRA Balance Calc'!$L$12)-MIN('HRA Balance Calc'!$L$12,'HRA Balance Calc'!R95)</f>
        <v>-877.84631522594168</v>
      </c>
      <c r="Y86" s="489">
        <f t="shared" si="11"/>
        <v>-55.42052203404387</v>
      </c>
      <c r="Z86" s="510">
        <f t="shared" si="12"/>
        <v>3.3645726154408369E+22</v>
      </c>
      <c r="AA86" s="510">
        <f t="shared" si="13"/>
        <v>3.3645726154408369E+22</v>
      </c>
      <c r="AC86" s="510">
        <f t="shared" si="14"/>
        <v>1229.8356770611915</v>
      </c>
      <c r="AD86">
        <f t="shared" si="15"/>
        <v>507.96171264425965</v>
      </c>
      <c r="AE86">
        <f t="shared" si="16"/>
        <v>655.84043179777245</v>
      </c>
      <c r="AF86">
        <f t="shared" si="17"/>
        <v>77</v>
      </c>
    </row>
    <row r="87" spans="1:32" x14ac:dyDescent="0.2">
      <c r="A87">
        <f>'HRA Balance Calc'!A96</f>
        <v>79</v>
      </c>
      <c r="B87" s="489">
        <f>'HRA Balance Calc'!N96+'HRA Balance Calc'!U96+IF('HRA Balance Calc'!$L96&lt;0,'HRA Balance Calc'!$L96*('HRA Balance Calc'!$G96/'HRA Balance Calc'!$L96),0)</f>
        <v>1267.9795293670634</v>
      </c>
      <c r="C87" s="489">
        <f>'HRA Balance Calc'!V96+'HRA Balance Calc'!O96+IF('HRA Balance Calc'!$L96&lt;0,'HRA Balance Calc'!$L96*('HRA Balance Calc'!$H96/'HRA Balance Calc'!$L96),0)</f>
        <v>295.05509793181665</v>
      </c>
      <c r="D87" s="489">
        <f>'HRA Balance Calc'!W96+'HRA Balance Calc'!P96+IF('HRA Balance Calc'!$L96&lt;0,'HRA Balance Calc'!$L96*('HRA Balance Calc'!$I96/'HRA Balance Calc'!$L96),0)</f>
        <v>0.16490250234220491</v>
      </c>
      <c r="E87" s="489">
        <f>'HRA Balance Calc'!X96+'HRA Balance Calc'!Q96+IF('HRA Balance Calc'!$L96&lt;0,'HRA Balance Calc'!$L96*('HRA Balance Calc'!$J96/'HRA Balance Calc'!$L96),0)</f>
        <v>455.16117424826399</v>
      </c>
      <c r="F87" s="489">
        <f>'HRA Balance Calc'!E96</f>
        <v>471.98996185153999</v>
      </c>
      <c r="G87" s="489">
        <f>IF('HRA Balance Calc'!L96&lt;0,0,'HRA Balance Calc'!L96)</f>
        <v>3.3645726154408369E+22</v>
      </c>
      <c r="H87" s="489">
        <f>ROUND('HRA Balance Calc'!T96,2)</f>
        <v>2306.62</v>
      </c>
      <c r="I87" s="489">
        <f>'HRA Balance Calc'!S96+'HRA Balance Calc'!U96</f>
        <v>2018.3607040494862</v>
      </c>
      <c r="K87" s="489">
        <f>'HRA Balance Calc'!$I$1*12+IF($H87=ROUND('HRA Balance Calc'!$I$12+'HRA Balance Calc'!$I$1*12,2),((B87-'HRA Balance Calc'!$I$1*12)/(I87-'HRA Balance Calc'!$I$1*12))*(H87-'HRA Balance Calc'!$I$1*12),B87-'HRA Balance Calc'!$I$1*12)</f>
        <v>1267.9795293670634</v>
      </c>
      <c r="L87" s="489">
        <f>IF($H87=ROUND('HRA Balance Calc'!$I$12+'HRA Balance Calc'!$I$1*12,2),((C87/($I87-'HRA Balance Calc'!$I$1*12))*($H87-'HRA Balance Calc'!$I$1*12)),C87)</f>
        <v>295.05509793181665</v>
      </c>
      <c r="M87" s="489">
        <f>IF($H87=ROUND('HRA Balance Calc'!$I$12+'HRA Balance Calc'!$I$1*12,2),((D87/($I87-'HRA Balance Calc'!$I$1*12))*($H87-'HRA Balance Calc'!$I$1*12)),D87)</f>
        <v>0.16490250234220491</v>
      </c>
      <c r="N87" s="489">
        <f>IF($H87=ROUND('HRA Balance Calc'!$I$12+'HRA Balance Calc'!$I$1*12,2),((E87/($I87-'HRA Balance Calc'!$I$1*12))*($H87-'HRA Balance Calc'!$I$1*12)),E87)</f>
        <v>455.16117424826399</v>
      </c>
      <c r="P87" s="510">
        <f>B87+'HRA Balance Calc'!G96</f>
        <v>5711.3035188608974</v>
      </c>
      <c r="Q87" s="510">
        <f>C87+'HRA Balance Calc'!H96</f>
        <v>763.15445112559109</v>
      </c>
      <c r="R87" s="510">
        <f>D87+'HRA Balance Calc'!I96</f>
        <v>0.92433532365705373</v>
      </c>
      <c r="S87" s="510">
        <f>E87+'HRA Balance Calc'!J96</f>
        <v>654.58409521785734</v>
      </c>
      <c r="T87" s="489">
        <f t="shared" si="9"/>
        <v>471.98996185153999</v>
      </c>
      <c r="U87" s="510">
        <f t="shared" si="10"/>
        <v>7601.956362379543</v>
      </c>
      <c r="W87" s="489">
        <f>'Winners-Losers HRA'!CC84*12-MIN('HRA Balance Calc'!Y96,'HRA Balance Calc'!$M$12)</f>
        <v>778.03252694232413</v>
      </c>
      <c r="X87" s="489">
        <f>MIN('Winners-Losers HRA'!BS84*12,'HRA Balance Calc'!$L$12)-MIN('HRA Balance Calc'!$L$12,'HRA Balance Calc'!R96)</f>
        <v>-877.58687812569292</v>
      </c>
      <c r="Y87" s="489">
        <f t="shared" si="11"/>
        <v>-99.554351183368794</v>
      </c>
      <c r="Z87" s="510">
        <f t="shared" si="12"/>
        <v>3.3645726154408369E+22</v>
      </c>
      <c r="AA87" s="510">
        <f t="shared" si="13"/>
        <v>3.3645726154408369E+22</v>
      </c>
      <c r="AC87" s="510">
        <f t="shared" si="14"/>
        <v>1268.1444318694055</v>
      </c>
      <c r="AD87">
        <f t="shared" si="15"/>
        <v>531.05007885758664</v>
      </c>
      <c r="AE87">
        <f t="shared" si="16"/>
        <v>691.15615517403398</v>
      </c>
      <c r="AF87">
        <f t="shared" si="17"/>
        <v>78</v>
      </c>
    </row>
    <row r="88" spans="1:32" x14ac:dyDescent="0.2">
      <c r="A88">
        <f>'HRA Balance Calc'!A97</f>
        <v>80</v>
      </c>
      <c r="B88" s="489">
        <f>'HRA Balance Calc'!N97+'HRA Balance Calc'!U97+IF('HRA Balance Calc'!$L97&lt;0,'HRA Balance Calc'!$L97*('HRA Balance Calc'!$G97/'HRA Balance Calc'!$L97),0)</f>
        <v>1337.8851097601287</v>
      </c>
      <c r="C88" s="489">
        <f>'HRA Balance Calc'!V97+'HRA Balance Calc'!O97+IF('HRA Balance Calc'!$L97&lt;0,'HRA Balance Calc'!$L97*('HRA Balance Calc'!$H97/'HRA Balance Calc'!$L97),0)</f>
        <v>300.93616750247838</v>
      </c>
      <c r="D88" s="489">
        <f>'HRA Balance Calc'!W97+'HRA Balance Calc'!P97+IF('HRA Balance Calc'!$L97&lt;0,'HRA Balance Calc'!$L97*('HRA Balance Calc'!$I97/'HRA Balance Calc'!$L97),0)</f>
        <v>0.24828518737945443</v>
      </c>
      <c r="E88" s="489">
        <f>'HRA Balance Calc'!X97+'HRA Balance Calc'!Q97+IF('HRA Balance Calc'!$L97&lt;0,'HRA Balance Calc'!$L97*('HRA Balance Calc'!$J97/'HRA Balance Calc'!$L97),0)</f>
        <v>499.66412128316682</v>
      </c>
      <c r="F88" s="489">
        <f>'HRA Balance Calc'!E97</f>
        <v>471.98996185153999</v>
      </c>
      <c r="G88" s="489">
        <f>IF('HRA Balance Calc'!L97&lt;0,0,'HRA Balance Calc'!L97)</f>
        <v>3.3645726154408369E+22</v>
      </c>
      <c r="H88" s="489">
        <f>ROUND('HRA Balance Calc'!T97,2)</f>
        <v>2426.9899999999998</v>
      </c>
      <c r="I88" s="489">
        <f>'HRA Balance Calc'!S97+'HRA Balance Calc'!U97</f>
        <v>2138.7336837331532</v>
      </c>
      <c r="K88" s="489">
        <f>'HRA Balance Calc'!$I$1*12+IF($H88=ROUND('HRA Balance Calc'!$I$12+'HRA Balance Calc'!$I$1*12,2),((B88-'HRA Balance Calc'!$I$1*12)/(I88-'HRA Balance Calc'!$I$1*12))*(H88-'HRA Balance Calc'!$I$1*12),B88-'HRA Balance Calc'!$I$1*12)</f>
        <v>1337.8851097601287</v>
      </c>
      <c r="L88" s="489">
        <f>IF($H88=ROUND('HRA Balance Calc'!$I$12+'HRA Balance Calc'!$I$1*12,2),((C88/($I88-'HRA Balance Calc'!$I$1*12))*($H88-'HRA Balance Calc'!$I$1*12)),C88)</f>
        <v>300.93616750247838</v>
      </c>
      <c r="M88" s="489">
        <f>IF($H88=ROUND('HRA Balance Calc'!$I$12+'HRA Balance Calc'!$I$1*12,2),((D88/($I88-'HRA Balance Calc'!$I$1*12))*($H88-'HRA Balance Calc'!$I$1*12)),D88)</f>
        <v>0.24828518737945443</v>
      </c>
      <c r="N88" s="489">
        <f>IF($H88=ROUND('HRA Balance Calc'!$I$12+'HRA Balance Calc'!$I$1*12,2),((E88/($I88-'HRA Balance Calc'!$I$1*12))*($H88-'HRA Balance Calc'!$I$1*12)),E88)</f>
        <v>499.66412128316682</v>
      </c>
      <c r="P88" s="510">
        <f>B88+'HRA Balance Calc'!G97</f>
        <v>5781.2090992539634</v>
      </c>
      <c r="Q88" s="510">
        <f>C88+'HRA Balance Calc'!H97</f>
        <v>779.74071797199144</v>
      </c>
      <c r="R88" s="510">
        <f>D88+'HRA Balance Calc'!I97</f>
        <v>1.39172399312283</v>
      </c>
      <c r="S88" s="510">
        <f>E88+'HRA Balance Calc'!J97</f>
        <v>718.58542698232986</v>
      </c>
      <c r="T88" s="489">
        <f t="shared" si="9"/>
        <v>471.98996185153999</v>
      </c>
      <c r="U88" s="510">
        <f t="shared" si="10"/>
        <v>7752.9169300529475</v>
      </c>
      <c r="W88" s="489">
        <f>'Winners-Losers HRA'!CC85*12-MIN('HRA Balance Calc'!Y97,'HRA Balance Calc'!$M$12)</f>
        <v>731.57266168503884</v>
      </c>
      <c r="X88" s="489">
        <f>MIN('Winners-Losers HRA'!BS85*12,'HRA Balance Calc'!$L$12)-MIN('HRA Balance Calc'!$L$12,'HRA Balance Calc'!R97)</f>
        <v>-894.37214423152648</v>
      </c>
      <c r="Y88" s="489">
        <f t="shared" si="11"/>
        <v>-162.79948254648764</v>
      </c>
      <c r="Z88" s="510">
        <f t="shared" si="12"/>
        <v>3.3645726154408369E+22</v>
      </c>
      <c r="AA88" s="510">
        <f t="shared" si="13"/>
        <v>3.3645726154408369E+22</v>
      </c>
      <c r="AC88" s="510">
        <f t="shared" si="14"/>
        <v>1338.1333949475081</v>
      </c>
      <c r="AD88">
        <f t="shared" si="15"/>
        <v>536.93114842824843</v>
      </c>
      <c r="AE88">
        <f t="shared" si="16"/>
        <v>735.65910220893682</v>
      </c>
      <c r="AF88">
        <f t="shared" si="17"/>
        <v>79</v>
      </c>
    </row>
    <row r="89" spans="1:32" x14ac:dyDescent="0.2">
      <c r="A89">
        <f>'HRA Balance Calc'!A98</f>
        <v>81</v>
      </c>
      <c r="B89" s="489">
        <f>'HRA Balance Calc'!N98+'HRA Balance Calc'!U98+IF('HRA Balance Calc'!$L98&lt;0,'HRA Balance Calc'!$L98*('HRA Balance Calc'!$G98/'HRA Balance Calc'!$L98),0)</f>
        <v>1389.7328922767601</v>
      </c>
      <c r="C89" s="489">
        <f>'HRA Balance Calc'!V98+'HRA Balance Calc'!O98+IF('HRA Balance Calc'!$L98&lt;0,'HRA Balance Calc'!$L98*('HRA Balance Calc'!$H98/'HRA Balance Calc'!$L98),0)</f>
        <v>326.39539663847381</v>
      </c>
      <c r="D89" s="489">
        <f>'HRA Balance Calc'!W98+'HRA Balance Calc'!P98+IF('HRA Balance Calc'!$L98&lt;0,'HRA Balance Calc'!$L98*('HRA Balance Calc'!$I98/'HRA Balance Calc'!$L98),0)</f>
        <v>0.22454834480181329</v>
      </c>
      <c r="E89" s="489">
        <f>'HRA Balance Calc'!X98+'HRA Balance Calc'!Q98+IF('HRA Balance Calc'!$L98&lt;0,'HRA Balance Calc'!$L98*('HRA Balance Calc'!$J98/'HRA Balance Calc'!$L98),0)</f>
        <v>535.01808928802518</v>
      </c>
      <c r="F89" s="489">
        <f>'HRA Balance Calc'!E98</f>
        <v>471.98996185153999</v>
      </c>
      <c r="G89" s="489">
        <f>IF('HRA Balance Calc'!L98&lt;0,0,'HRA Balance Calc'!L98)</f>
        <v>3.3645726154408369E+22</v>
      </c>
      <c r="H89" s="489">
        <f>ROUND('HRA Balance Calc'!T98,2)</f>
        <v>2539.63</v>
      </c>
      <c r="I89" s="489">
        <f>'HRA Balance Calc'!S98+'HRA Balance Calc'!U98</f>
        <v>2251.3709265480611</v>
      </c>
      <c r="K89" s="489">
        <f>'HRA Balance Calc'!$I$1*12+IF($H89=ROUND('HRA Balance Calc'!$I$12+'HRA Balance Calc'!$I$1*12,2),((B89-'HRA Balance Calc'!$I$1*12)/(I89-'HRA Balance Calc'!$I$1*12))*(H89-'HRA Balance Calc'!$I$1*12),B89-'HRA Balance Calc'!$I$1*12)</f>
        <v>1389.7328922767601</v>
      </c>
      <c r="L89" s="489">
        <f>IF($H89=ROUND('HRA Balance Calc'!$I$12+'HRA Balance Calc'!$I$1*12,2),((C89/($I89-'HRA Balance Calc'!$I$1*12))*($H89-'HRA Balance Calc'!$I$1*12)),C89)</f>
        <v>326.39539663847381</v>
      </c>
      <c r="M89" s="489">
        <f>IF($H89=ROUND('HRA Balance Calc'!$I$12+'HRA Balance Calc'!$I$1*12,2),((D89/($I89-'HRA Balance Calc'!$I$1*12))*($H89-'HRA Balance Calc'!$I$1*12)),D89)</f>
        <v>0.22454834480181329</v>
      </c>
      <c r="N89" s="489">
        <f>IF($H89=ROUND('HRA Balance Calc'!$I$12+'HRA Balance Calc'!$I$1*12,2),((E89/($I89-'HRA Balance Calc'!$I$1*12))*($H89-'HRA Balance Calc'!$I$1*12)),E89)</f>
        <v>535.01808928802518</v>
      </c>
      <c r="P89" s="510">
        <f>B89+'HRA Balance Calc'!G98</f>
        <v>5833.0568817705944</v>
      </c>
      <c r="Q89" s="510">
        <f>C89+'HRA Balance Calc'!H98</f>
        <v>868.79551637797567</v>
      </c>
      <c r="R89" s="510">
        <f>D89+'HRA Balance Calc'!I98</f>
        <v>1.2586708146994423</v>
      </c>
      <c r="S89" s="510">
        <f>E89+'HRA Balance Calc'!J98</f>
        <v>769.42927410317111</v>
      </c>
      <c r="T89" s="489">
        <f t="shared" si="9"/>
        <v>471.98996185153999</v>
      </c>
      <c r="U89" s="510">
        <f t="shared" si="10"/>
        <v>7944.5303049179811</v>
      </c>
      <c r="W89" s="489">
        <f>'Winners-Losers HRA'!CC86*12-MIN('HRA Balance Calc'!Y98,'HRA Balance Calc'!$M$12)</f>
        <v>685.01523728003758</v>
      </c>
      <c r="X89" s="489">
        <f>MIN('Winners-Losers HRA'!BS86*12,'HRA Balance Calc'!$L$12)-MIN('HRA Balance Calc'!$L$12,'HRA Balance Calc'!R98)</f>
        <v>-897.69989643243684</v>
      </c>
      <c r="Y89" s="489">
        <f t="shared" si="11"/>
        <v>-212.68465915239926</v>
      </c>
      <c r="Z89" s="510">
        <f t="shared" si="12"/>
        <v>3.3645726154408369E+22</v>
      </c>
      <c r="AA89" s="510">
        <f t="shared" si="13"/>
        <v>3.3645726154408369E+22</v>
      </c>
      <c r="AC89" s="510">
        <f t="shared" si="14"/>
        <v>1389.957440621562</v>
      </c>
      <c r="AD89">
        <f t="shared" si="15"/>
        <v>562.39037756424386</v>
      </c>
      <c r="AE89">
        <f t="shared" si="16"/>
        <v>771.01307021379512</v>
      </c>
      <c r="AF89">
        <f t="shared" si="17"/>
        <v>80</v>
      </c>
    </row>
    <row r="90" spans="1:32" x14ac:dyDescent="0.2">
      <c r="A90">
        <f>'HRA Balance Calc'!A99</f>
        <v>82</v>
      </c>
      <c r="B90" s="489">
        <f>'HRA Balance Calc'!N99+'HRA Balance Calc'!U99+IF('HRA Balance Calc'!$L99&lt;0,'HRA Balance Calc'!$L99*('HRA Balance Calc'!$G99/'HRA Balance Calc'!$L99),0)</f>
        <v>1444.2827217751758</v>
      </c>
      <c r="C90" s="489">
        <f>'HRA Balance Calc'!V99+'HRA Balance Calc'!O99+IF('HRA Balance Calc'!$L99&lt;0,'HRA Balance Calc'!$L99*('HRA Balance Calc'!$H99/'HRA Balance Calc'!$L99),0)</f>
        <v>350.61207597171455</v>
      </c>
      <c r="D90" s="489">
        <f>'HRA Balance Calc'!W99+'HRA Balance Calc'!P99+IF('HRA Balance Calc'!$L99&lt;0,'HRA Balance Calc'!$L99*('HRA Balance Calc'!$I99/'HRA Balance Calc'!$L99),0)</f>
        <v>0.11988032601470772</v>
      </c>
      <c r="E90" s="489">
        <f>'HRA Balance Calc'!X99+'HRA Balance Calc'!Q99+IF('HRA Balance Calc'!$L99&lt;0,'HRA Balance Calc'!$L99*('HRA Balance Calc'!$J99/'HRA Balance Calc'!$L99),0)</f>
        <v>588.94737646842259</v>
      </c>
      <c r="F90" s="489">
        <f>'HRA Balance Calc'!E99</f>
        <v>471.98996185153999</v>
      </c>
      <c r="G90" s="489">
        <f>IF('HRA Balance Calc'!L99&lt;0,0,'HRA Balance Calc'!L99)</f>
        <v>3.3645726154408369E+22</v>
      </c>
      <c r="H90" s="489">
        <f>ROUND('HRA Balance Calc'!T99,2)</f>
        <v>2672.22</v>
      </c>
      <c r="I90" s="489">
        <f>'HRA Balance Calc'!S99+'HRA Balance Calc'!U99</f>
        <v>2383.9620545413277</v>
      </c>
      <c r="K90" s="489">
        <f>'HRA Balance Calc'!$I$1*12+IF($H90=ROUND('HRA Balance Calc'!$I$12+'HRA Balance Calc'!$I$1*12,2),((B90-'HRA Balance Calc'!$I$1*12)/(I90-'HRA Balance Calc'!$I$1*12))*(H90-'HRA Balance Calc'!$I$1*12),B90-'HRA Balance Calc'!$I$1*12)</f>
        <v>1444.2827217751758</v>
      </c>
      <c r="L90" s="489">
        <f>IF($H90=ROUND('HRA Balance Calc'!$I$12+'HRA Balance Calc'!$I$1*12,2),((C90/($I90-'HRA Balance Calc'!$I$1*12))*($H90-'HRA Balance Calc'!$I$1*12)),C90)</f>
        <v>350.61207597171455</v>
      </c>
      <c r="M90" s="489">
        <f>IF($H90=ROUND('HRA Balance Calc'!$I$12+'HRA Balance Calc'!$I$1*12,2),((D90/($I90-'HRA Balance Calc'!$I$1*12))*($H90-'HRA Balance Calc'!$I$1*12)),D90)</f>
        <v>0.11988032601470772</v>
      </c>
      <c r="N90" s="489">
        <f>IF($H90=ROUND('HRA Balance Calc'!$I$12+'HRA Balance Calc'!$I$1*12,2),((E90/($I90-'HRA Balance Calc'!$I$1*12))*($H90-'HRA Balance Calc'!$I$1*12)),E90)</f>
        <v>588.94737646842259</v>
      </c>
      <c r="P90" s="510">
        <f>B90+'HRA Balance Calc'!G99</f>
        <v>5887.6067112690098</v>
      </c>
      <c r="Q90" s="510">
        <f>C90+'HRA Balance Calc'!H99</f>
        <v>947.87678157649907</v>
      </c>
      <c r="R90" s="510">
        <f>D90+'HRA Balance Calc'!I99</f>
        <v>0.67197051817301312</v>
      </c>
      <c r="S90" s="510">
        <f>E90+'HRA Balance Calc'!J99</f>
        <v>846.98697377522103</v>
      </c>
      <c r="T90" s="489">
        <f t="shared" si="9"/>
        <v>471.98996185153999</v>
      </c>
      <c r="U90" s="510">
        <f t="shared" si="10"/>
        <v>8155.132398990444</v>
      </c>
      <c r="W90" s="489">
        <f>'Winners-Losers HRA'!CC87*12-MIN('HRA Balance Calc'!Y99,'HRA Balance Calc'!$M$12)</f>
        <v>621.489028878309</v>
      </c>
      <c r="X90" s="489">
        <f>MIN('Winners-Losers HRA'!BS87*12,'HRA Balance Calc'!$L$12)-MIN('HRA Balance Calc'!$L$12,'HRA Balance Calc'!R99)</f>
        <v>-896.67554724812271</v>
      </c>
      <c r="Y90" s="489">
        <f t="shared" si="11"/>
        <v>-275.18651836981371</v>
      </c>
      <c r="Z90" s="510">
        <f t="shared" si="12"/>
        <v>3.3645726154408369E+22</v>
      </c>
      <c r="AA90" s="510">
        <f t="shared" si="13"/>
        <v>3.3645726154408369E+22</v>
      </c>
      <c r="AC90" s="510">
        <f t="shared" si="14"/>
        <v>1444.4026021011905</v>
      </c>
      <c r="AD90">
        <f t="shared" si="15"/>
        <v>586.60705689748454</v>
      </c>
      <c r="AE90">
        <f t="shared" si="16"/>
        <v>824.94235739419264</v>
      </c>
      <c r="AF90">
        <f t="shared" si="17"/>
        <v>81</v>
      </c>
    </row>
    <row r="91" spans="1:32" x14ac:dyDescent="0.2">
      <c r="A91">
        <f>'HRA Balance Calc'!A100</f>
        <v>83</v>
      </c>
      <c r="B91" s="489">
        <f>'HRA Balance Calc'!N100+'HRA Balance Calc'!U100+IF('HRA Balance Calc'!$L100&lt;0,'HRA Balance Calc'!$L100*('HRA Balance Calc'!$G100/'HRA Balance Calc'!$L100),0)</f>
        <v>1529.7558295998458</v>
      </c>
      <c r="C91" s="489">
        <f>'HRA Balance Calc'!V100+'HRA Balance Calc'!O100+IF('HRA Balance Calc'!$L100&lt;0,'HRA Balance Calc'!$L100*('HRA Balance Calc'!$H100/'HRA Balance Calc'!$L100),0)</f>
        <v>362.11078630129771</v>
      </c>
      <c r="D91" s="489">
        <f>'HRA Balance Calc'!W100+'HRA Balance Calc'!P100+IF('HRA Balance Calc'!$L100&lt;0,'HRA Balance Calc'!$L100*('HRA Balance Calc'!$I100/'HRA Balance Calc'!$L100),0)</f>
        <v>8.6154020865124734E-2</v>
      </c>
      <c r="E91" s="489">
        <f>'HRA Balance Calc'!X100+'HRA Balance Calc'!Q100+IF('HRA Balance Calc'!$L100&lt;0,'HRA Balance Calc'!$L100*('HRA Balance Calc'!$J100/'HRA Balance Calc'!$L100),0)</f>
        <v>634.020024912503</v>
      </c>
      <c r="F91" s="489">
        <f>'HRA Balance Calc'!E100</f>
        <v>471.98996185153999</v>
      </c>
      <c r="G91" s="489">
        <f>IF('HRA Balance Calc'!L100&lt;0,0,'HRA Balance Calc'!L100)</f>
        <v>3.3645726154408369E+22</v>
      </c>
      <c r="H91" s="489">
        <f>ROUND('HRA Balance Calc'!T100,2)</f>
        <v>2814.23</v>
      </c>
      <c r="I91" s="489">
        <f>'HRA Balance Calc'!S100+'HRA Balance Calc'!U100</f>
        <v>2525.9727948345117</v>
      </c>
      <c r="K91" s="489">
        <f>'HRA Balance Calc'!$I$1*12+IF($H91=ROUND('HRA Balance Calc'!$I$12+'HRA Balance Calc'!$I$1*12,2),((B91-'HRA Balance Calc'!$I$1*12)/(I91-'HRA Balance Calc'!$I$1*12))*(H91-'HRA Balance Calc'!$I$1*12),B91-'HRA Balance Calc'!$I$1*12)</f>
        <v>1529.7558295998458</v>
      </c>
      <c r="L91" s="489">
        <f>IF($H91=ROUND('HRA Balance Calc'!$I$12+'HRA Balance Calc'!$I$1*12,2),((C91/($I91-'HRA Balance Calc'!$I$1*12))*($H91-'HRA Balance Calc'!$I$1*12)),C91)</f>
        <v>362.11078630129771</v>
      </c>
      <c r="M91" s="489">
        <f>IF($H91=ROUND('HRA Balance Calc'!$I$12+'HRA Balance Calc'!$I$1*12,2),((D91/($I91-'HRA Balance Calc'!$I$1*12))*($H91-'HRA Balance Calc'!$I$1*12)),D91)</f>
        <v>8.6154020865124734E-2</v>
      </c>
      <c r="N91" s="489">
        <f>IF($H91=ROUND('HRA Balance Calc'!$I$12+'HRA Balance Calc'!$I$1*12,2),((E91/($I91-'HRA Balance Calc'!$I$1*12))*($H91-'HRA Balance Calc'!$I$1*12)),E91)</f>
        <v>634.020024912503</v>
      </c>
      <c r="P91" s="510">
        <f>B91+'HRA Balance Calc'!G100</f>
        <v>5973.0798190936803</v>
      </c>
      <c r="Q91" s="510">
        <f>C91+'HRA Balance Calc'!H100</f>
        <v>999.23482197100543</v>
      </c>
      <c r="R91" s="510">
        <f>D91+'HRA Balance Calc'!I100</f>
        <v>0.48292296132330975</v>
      </c>
      <c r="S91" s="510">
        <f>E91+'HRA Balance Calc'!J100</f>
        <v>911.80761417709391</v>
      </c>
      <c r="T91" s="489">
        <f t="shared" si="9"/>
        <v>471.98996185153999</v>
      </c>
      <c r="U91" s="510">
        <f t="shared" si="10"/>
        <v>8356.5951400546419</v>
      </c>
      <c r="W91" s="489">
        <f>'Winners-Losers HRA'!CC88*12-MIN('HRA Balance Calc'!Y100,'HRA Balance Calc'!$M$12)</f>
        <v>569.40979064365979</v>
      </c>
      <c r="X91" s="489">
        <f>MIN('Winners-Losers HRA'!BS88*12,'HRA Balance Calc'!$L$12)-MIN('HRA Balance Calc'!$L$12,'HRA Balance Calc'!R100)</f>
        <v>-909.12168023097956</v>
      </c>
      <c r="Y91" s="489">
        <f t="shared" si="11"/>
        <v>-339.71188958731977</v>
      </c>
      <c r="Z91" s="510">
        <f t="shared" si="12"/>
        <v>3.3645726154408369E+22</v>
      </c>
      <c r="AA91" s="510">
        <f t="shared" si="13"/>
        <v>3.3645726154408369E+22</v>
      </c>
      <c r="AC91" s="510">
        <f t="shared" si="14"/>
        <v>1529.8419836207108</v>
      </c>
      <c r="AD91">
        <f t="shared" si="15"/>
        <v>598.10576722706764</v>
      </c>
      <c r="AE91">
        <f t="shared" si="16"/>
        <v>870.01500583827305</v>
      </c>
      <c r="AF91">
        <f t="shared" si="17"/>
        <v>82</v>
      </c>
    </row>
    <row r="92" spans="1:32" x14ac:dyDescent="0.2">
      <c r="A92">
        <f>'HRA Balance Calc'!A101</f>
        <v>84</v>
      </c>
      <c r="B92" s="489">
        <f>'HRA Balance Calc'!N101+'HRA Balance Calc'!U101+IF('HRA Balance Calc'!$L101&lt;0,'HRA Balance Calc'!$L101*('HRA Balance Calc'!$G101/'HRA Balance Calc'!$L101),0)</f>
        <v>1570.8128351286805</v>
      </c>
      <c r="C92" s="489">
        <f>'HRA Balance Calc'!V101+'HRA Balance Calc'!O101+IF('HRA Balance Calc'!$L101&lt;0,'HRA Balance Calc'!$L101*('HRA Balance Calc'!$H101/'HRA Balance Calc'!$L101),0)</f>
        <v>399.38983340650157</v>
      </c>
      <c r="D92" s="489">
        <f>'HRA Balance Calc'!W101+'HRA Balance Calc'!P101+IF('HRA Balance Calc'!$L101&lt;0,'HRA Balance Calc'!$L101*('HRA Balance Calc'!$I101/'HRA Balance Calc'!$L101),0)</f>
        <v>0.55545819733793211</v>
      </c>
      <c r="E92" s="489">
        <f>'HRA Balance Calc'!X101+'HRA Balance Calc'!Q101+IF('HRA Balance Calc'!$L101&lt;0,'HRA Balance Calc'!$L101*('HRA Balance Calc'!$J101/'HRA Balance Calc'!$L101),0)</f>
        <v>700.18783571165068</v>
      </c>
      <c r="F92" s="489">
        <f>'HRA Balance Calc'!E101</f>
        <v>471.98996185153999</v>
      </c>
      <c r="G92" s="489">
        <f>IF('HRA Balance Calc'!L101&lt;0,0,'HRA Balance Calc'!L101)</f>
        <v>3.3645726154408369E+22</v>
      </c>
      <c r="H92" s="489">
        <f>ROUND('HRA Balance Calc'!T101,2)</f>
        <v>2959.21</v>
      </c>
      <c r="I92" s="489">
        <f>'HRA Balance Calc'!S101+'HRA Balance Calc'!U101</f>
        <v>2670.9459624441706</v>
      </c>
      <c r="K92" s="489">
        <f>'HRA Balance Calc'!$I$1*12+IF($H92=ROUND('HRA Balance Calc'!$I$12+'HRA Balance Calc'!$I$1*12,2),((B92-'HRA Balance Calc'!$I$1*12)/(I92-'HRA Balance Calc'!$I$1*12))*(H92-'HRA Balance Calc'!$I$1*12),B92-'HRA Balance Calc'!$I$1*12)</f>
        <v>1570.8128351286805</v>
      </c>
      <c r="L92" s="489">
        <f>IF($H92=ROUND('HRA Balance Calc'!$I$12+'HRA Balance Calc'!$I$1*12,2),((C92/($I92-'HRA Balance Calc'!$I$1*12))*($H92-'HRA Balance Calc'!$I$1*12)),C92)</f>
        <v>399.38983340650157</v>
      </c>
      <c r="M92" s="489">
        <f>IF($H92=ROUND('HRA Balance Calc'!$I$12+'HRA Balance Calc'!$I$1*12,2),((D92/($I92-'HRA Balance Calc'!$I$1*12))*($H92-'HRA Balance Calc'!$I$1*12)),D92)</f>
        <v>0.55545819733793211</v>
      </c>
      <c r="N92" s="489">
        <f>IF($H92=ROUND('HRA Balance Calc'!$I$12+'HRA Balance Calc'!$I$1*12,2),((E92/($I92-'HRA Balance Calc'!$I$1*12))*($H92-'HRA Balance Calc'!$I$1*12)),E92)</f>
        <v>700.18783571165068</v>
      </c>
      <c r="P92" s="510">
        <f>B92+'HRA Balance Calc'!G101</f>
        <v>6014.1368246225147</v>
      </c>
      <c r="Q92" s="510">
        <f>C92+'HRA Balance Calc'!H101</f>
        <v>1125.5540812841427</v>
      </c>
      <c r="R92" s="510">
        <f>D92+'HRA Balance Calc'!I101</f>
        <v>3.113534514769547</v>
      </c>
      <c r="S92" s="510">
        <f>E92+'HRA Balance Calc'!J101</f>
        <v>1006.9659866723764</v>
      </c>
      <c r="T92" s="489">
        <f t="shared" si="9"/>
        <v>471.98996185153999</v>
      </c>
      <c r="U92" s="510">
        <f t="shared" si="10"/>
        <v>8621.7603889453421</v>
      </c>
      <c r="W92" s="489">
        <f>'Winners-Losers HRA'!CC89*12-MIN('HRA Balance Calc'!Y101,'HRA Balance Calc'!$M$12)</f>
        <v>487.14759403541098</v>
      </c>
      <c r="X92" s="489">
        <f>MIN('Winners-Losers HRA'!BS89*12,'HRA Balance Calc'!$L$12)-MIN('HRA Balance Calc'!$L$12,'HRA Balance Calc'!R101)</f>
        <v>-885.42689353478022</v>
      </c>
      <c r="Y92" s="489">
        <f t="shared" si="11"/>
        <v>-398.27929949936924</v>
      </c>
      <c r="Z92" s="510">
        <f t="shared" si="12"/>
        <v>3.3645726154408369E+22</v>
      </c>
      <c r="AA92" s="510">
        <f t="shared" si="13"/>
        <v>3.3645726154408369E+22</v>
      </c>
      <c r="AC92" s="510">
        <f t="shared" si="14"/>
        <v>1571.3682933260184</v>
      </c>
      <c r="AD92">
        <f t="shared" si="15"/>
        <v>635.38481433227162</v>
      </c>
      <c r="AE92">
        <f t="shared" si="16"/>
        <v>936.18281663742073</v>
      </c>
      <c r="AF92">
        <f t="shared" si="17"/>
        <v>83</v>
      </c>
    </row>
    <row r="93" spans="1:32" x14ac:dyDescent="0.2">
      <c r="A93">
        <f>'HRA Balance Calc'!A102</f>
        <v>85</v>
      </c>
      <c r="B93" s="489">
        <f>'HRA Balance Calc'!N102+'HRA Balance Calc'!U102+IF('HRA Balance Calc'!$L102&lt;0,'HRA Balance Calc'!$L102*('HRA Balance Calc'!$G102/'HRA Balance Calc'!$L102),0)</f>
        <v>1635.0836809394991</v>
      </c>
      <c r="C93" s="489">
        <f>'HRA Balance Calc'!V102+'HRA Balance Calc'!O102+IF('HRA Balance Calc'!$L102&lt;0,'HRA Balance Calc'!$L102*('HRA Balance Calc'!$H102/'HRA Balance Calc'!$L102),0)</f>
        <v>424.41726395746838</v>
      </c>
      <c r="D93" s="489">
        <f>'HRA Balance Calc'!W102+'HRA Balance Calc'!P102+IF('HRA Balance Calc'!$L102&lt;0,'HRA Balance Calc'!$L102*('HRA Balance Calc'!$I102/'HRA Balance Calc'!$L102),0)</f>
        <v>0.69473687780197013</v>
      </c>
      <c r="E93" s="489">
        <f>'HRA Balance Calc'!X102+'HRA Balance Calc'!Q102+IF('HRA Balance Calc'!$L102&lt;0,'HRA Balance Calc'!$L102*('HRA Balance Calc'!$J102/'HRA Balance Calc'!$L102),0)</f>
        <v>768.0752142804597</v>
      </c>
      <c r="F93" s="489">
        <f>'HRA Balance Calc'!E102</f>
        <v>471.98996185153999</v>
      </c>
      <c r="G93" s="489">
        <f>IF('HRA Balance Calc'!L102&lt;0,0,'HRA Balance Calc'!L102)</f>
        <v>3.3645726154408369E+22</v>
      </c>
      <c r="H93" s="489">
        <f>ROUND('HRA Balance Calc'!T102,2)</f>
        <v>3116.53</v>
      </c>
      <c r="I93" s="489">
        <f>'HRA Balance Calc'!S102+'HRA Balance Calc'!U102</f>
        <v>2828.2708960552291</v>
      </c>
      <c r="K93" s="489">
        <f>'HRA Balance Calc'!$I$1*12+IF($H93=ROUND('HRA Balance Calc'!$I$12+'HRA Balance Calc'!$I$1*12,2),((B93-'HRA Balance Calc'!$I$1*12)/(I93-'HRA Balance Calc'!$I$1*12))*(H93-'HRA Balance Calc'!$I$1*12),B93-'HRA Balance Calc'!$I$1*12)</f>
        <v>1635.0836809394991</v>
      </c>
      <c r="L93" s="489">
        <f>IF($H93=ROUND('HRA Balance Calc'!$I$12+'HRA Balance Calc'!$I$1*12,2),((C93/($I93-'HRA Balance Calc'!$I$1*12))*($H93-'HRA Balance Calc'!$I$1*12)),C93)</f>
        <v>424.41726395746838</v>
      </c>
      <c r="M93" s="489">
        <f>IF($H93=ROUND('HRA Balance Calc'!$I$12+'HRA Balance Calc'!$I$1*12,2),((D93/($I93-'HRA Balance Calc'!$I$1*12))*($H93-'HRA Balance Calc'!$I$1*12)),D93)</f>
        <v>0.69473687780197013</v>
      </c>
      <c r="N93" s="489">
        <f>IF($H93=ROUND('HRA Balance Calc'!$I$12+'HRA Balance Calc'!$I$1*12,2),((E93/($I93-'HRA Balance Calc'!$I$1*12))*($H93-'HRA Balance Calc'!$I$1*12)),E93)</f>
        <v>768.0752142804597</v>
      </c>
      <c r="P93" s="510">
        <f>B93+'HRA Balance Calc'!G102</f>
        <v>6078.4076704333329</v>
      </c>
      <c r="Q93" s="510">
        <f>C93+'HRA Balance Calc'!H102</f>
        <v>1235.4635710645487</v>
      </c>
      <c r="R93" s="510">
        <f>D93+'HRA Balance Calc'!I102</f>
        <v>3.8942394910839324</v>
      </c>
      <c r="S93" s="510">
        <f>E93+'HRA Balance Calc'!J102</f>
        <v>1104.5973330862462</v>
      </c>
      <c r="T93" s="489">
        <f t="shared" si="9"/>
        <v>471.98996185153999</v>
      </c>
      <c r="U93" s="510">
        <f t="shared" si="10"/>
        <v>8894.3527759267508</v>
      </c>
      <c r="W93" s="489">
        <f>'Winners-Losers HRA'!CC90*12-MIN('HRA Balance Calc'!Y102,'HRA Balance Calc'!$M$12)</f>
        <v>404.16783566802133</v>
      </c>
      <c r="X93" s="489">
        <f>MIN('Winners-Losers HRA'!BS90*12,'HRA Balance Calc'!$L$12)-MIN('HRA Balance Calc'!$L$12,'HRA Balance Calc'!R102)</f>
        <v>-862.2096100194085</v>
      </c>
      <c r="Y93" s="489">
        <f t="shared" si="11"/>
        <v>-458.04177435138718</v>
      </c>
      <c r="Z93" s="510">
        <f t="shared" si="12"/>
        <v>3.3645726154408369E+22</v>
      </c>
      <c r="AA93" s="510">
        <f t="shared" si="13"/>
        <v>3.3645726154408369E+22</v>
      </c>
      <c r="AC93" s="510">
        <f t="shared" si="14"/>
        <v>1635.778417817301</v>
      </c>
      <c r="AD93">
        <f t="shared" si="15"/>
        <v>660.41224488323837</v>
      </c>
      <c r="AE93">
        <f t="shared" si="16"/>
        <v>1004.0701952062298</v>
      </c>
      <c r="AF93">
        <f t="shared" si="17"/>
        <v>84</v>
      </c>
    </row>
    <row r="94" spans="1:32" x14ac:dyDescent="0.2">
      <c r="A94">
        <f>'HRA Balance Calc'!A103</f>
        <v>86</v>
      </c>
      <c r="B94" s="489">
        <f>'HRA Balance Calc'!N103+'HRA Balance Calc'!U103+IF('HRA Balance Calc'!$L103&lt;0,'HRA Balance Calc'!$L103*('HRA Balance Calc'!$G103/'HRA Balance Calc'!$L103),0)</f>
        <v>1730.0052571915194</v>
      </c>
      <c r="C94" s="489">
        <f>'HRA Balance Calc'!V103+'HRA Balance Calc'!O103+IF('HRA Balance Calc'!$L103&lt;0,'HRA Balance Calc'!$L103*('HRA Balance Calc'!$H103/'HRA Balance Calc'!$L103),0)</f>
        <v>454.86386748475456</v>
      </c>
      <c r="D94" s="489">
        <f>'HRA Balance Calc'!W103+'HRA Balance Calc'!P103+IF('HRA Balance Calc'!$L103&lt;0,'HRA Balance Calc'!$L103*('HRA Balance Calc'!$I103/'HRA Balance Calc'!$L103),0)</f>
        <v>1.0335299179000974</v>
      </c>
      <c r="E94" s="489">
        <f>'HRA Balance Calc'!X103+'HRA Balance Calc'!Q103+IF('HRA Balance Calc'!$L103&lt;0,'HRA Balance Calc'!$L103*('HRA Balance Calc'!$J103/'HRA Balance Calc'!$L103),0)</f>
        <v>853.79283151099014</v>
      </c>
      <c r="F94" s="489">
        <f>'HRA Balance Calc'!E103</f>
        <v>471.98996185153999</v>
      </c>
      <c r="G94" s="489">
        <f>IF('HRA Balance Calc'!L103&lt;0,0,'HRA Balance Calc'!L103)</f>
        <v>3.3645726154408369E+22</v>
      </c>
      <c r="H94" s="489">
        <f>ROUND('HRA Balance Calc'!T103,2)</f>
        <v>3327.96</v>
      </c>
      <c r="I94" s="489">
        <f>'HRA Balance Calc'!S103+'HRA Balance Calc'!U103</f>
        <v>3039.6954861051645</v>
      </c>
      <c r="K94" s="489">
        <f>'HRA Balance Calc'!$I$1*12+IF($H94=ROUND('HRA Balance Calc'!$I$12+'HRA Balance Calc'!$I$1*12,2),((B94-'HRA Balance Calc'!$I$1*12)/(I94-'HRA Balance Calc'!$I$1*12))*(H94-'HRA Balance Calc'!$I$1*12),B94-'HRA Balance Calc'!$I$1*12)</f>
        <v>1730.0052571915194</v>
      </c>
      <c r="L94" s="489">
        <f>IF($H94=ROUND('HRA Balance Calc'!$I$12+'HRA Balance Calc'!$I$1*12,2),((C94/($I94-'HRA Balance Calc'!$I$1*12))*($H94-'HRA Balance Calc'!$I$1*12)),C94)</f>
        <v>454.86386748475456</v>
      </c>
      <c r="M94" s="489">
        <f>IF($H94=ROUND('HRA Balance Calc'!$I$12+'HRA Balance Calc'!$I$1*12,2),((D94/($I94-'HRA Balance Calc'!$I$1*12))*($H94-'HRA Balance Calc'!$I$1*12)),D94)</f>
        <v>1.0335299179000974</v>
      </c>
      <c r="N94" s="489">
        <f>IF($H94=ROUND('HRA Balance Calc'!$I$12+'HRA Balance Calc'!$I$1*12,2),((E94/($I94-'HRA Balance Calc'!$I$1*12))*($H94-'HRA Balance Calc'!$I$1*12)),E94)</f>
        <v>853.79283151099014</v>
      </c>
      <c r="P94" s="510">
        <f>B94+'HRA Balance Calc'!G103</f>
        <v>6173.3292466853536</v>
      </c>
      <c r="Q94" s="510">
        <f>C94+'HRA Balance Calc'!H103</f>
        <v>1346.2970287560543</v>
      </c>
      <c r="R94" s="510">
        <f>D94+'HRA Balance Calc'!I103</f>
        <v>5.7932911726769429</v>
      </c>
      <c r="S94" s="510">
        <f>E94+'HRA Balance Calc'!J103</f>
        <v>1227.8710042462403</v>
      </c>
      <c r="T94" s="489">
        <f t="shared" si="9"/>
        <v>471.98996185153999</v>
      </c>
      <c r="U94" s="510">
        <f t="shared" si="10"/>
        <v>9225.280532711864</v>
      </c>
      <c r="W94" s="489">
        <f>'Winners-Losers HRA'!CC91*12-MIN('HRA Balance Calc'!Y103,'HRA Balance Calc'!$M$12)</f>
        <v>303.9889632364825</v>
      </c>
      <c r="X94" s="489">
        <f>MIN('Winners-Losers HRA'!BS91*12,'HRA Balance Calc'!$L$12)-MIN('HRA Balance Calc'!$L$12,'HRA Balance Calc'!R103)</f>
        <v>-862.54208950722818</v>
      </c>
      <c r="Y94" s="489">
        <f t="shared" si="11"/>
        <v>-558.55312627074568</v>
      </c>
      <c r="Z94" s="510">
        <f t="shared" si="12"/>
        <v>3.3645726154408369E+22</v>
      </c>
      <c r="AA94" s="510">
        <f t="shared" si="13"/>
        <v>3.3645726154408369E+22</v>
      </c>
      <c r="AC94" s="510">
        <f t="shared" si="14"/>
        <v>1731.0387871094194</v>
      </c>
      <c r="AD94">
        <f t="shared" si="15"/>
        <v>690.85884841052462</v>
      </c>
      <c r="AE94">
        <f t="shared" si="16"/>
        <v>1089.7878124367601</v>
      </c>
      <c r="AF94">
        <f t="shared" si="17"/>
        <v>85</v>
      </c>
    </row>
    <row r="95" spans="1:32" x14ac:dyDescent="0.2">
      <c r="A95">
        <f>'HRA Balance Calc'!A104</f>
        <v>87</v>
      </c>
      <c r="B95" s="489">
        <f>'HRA Balance Calc'!N104+'HRA Balance Calc'!U104+IF('HRA Balance Calc'!$L104&lt;0,'HRA Balance Calc'!$L104*('HRA Balance Calc'!$G104/'HRA Balance Calc'!$L104),0)</f>
        <v>1804.2135103754313</v>
      </c>
      <c r="C95" s="489">
        <f>'HRA Balance Calc'!V104+'HRA Balance Calc'!O104+IF('HRA Balance Calc'!$L104&lt;0,'HRA Balance Calc'!$L104*('HRA Balance Calc'!$H104/'HRA Balance Calc'!$L104),0)</f>
        <v>498.94794981769718</v>
      </c>
      <c r="D95" s="489">
        <f>'HRA Balance Calc'!W104+'HRA Balance Calc'!P104+IF('HRA Balance Calc'!$L104&lt;0,'HRA Balance Calc'!$L104*('HRA Balance Calc'!$I104/'HRA Balance Calc'!$L104),0)</f>
        <v>2.5246111172790822</v>
      </c>
      <c r="E95" s="489">
        <f>'HRA Balance Calc'!X104+'HRA Balance Calc'!Q104+IF('HRA Balance Calc'!$L104&lt;0,'HRA Balance Calc'!$L104*('HRA Balance Calc'!$J104/'HRA Balance Calc'!$L104),0)</f>
        <v>961.49620885116201</v>
      </c>
      <c r="F95" s="489">
        <f>'HRA Balance Calc'!E104</f>
        <v>471.98996185153999</v>
      </c>
      <c r="G95" s="489">
        <f>IF('HRA Balance Calc'!L104&lt;0,0,'HRA Balance Calc'!L104)</f>
        <v>3.3645726154408369E+22</v>
      </c>
      <c r="H95" s="489">
        <f>ROUND('HRA Balance Calc'!T104,2)</f>
        <v>3555.44</v>
      </c>
      <c r="I95" s="489">
        <f>'HRA Balance Calc'!S104+'HRA Balance Calc'!U104</f>
        <v>3267.1822801615699</v>
      </c>
      <c r="K95" s="489">
        <f>'HRA Balance Calc'!$I$1*12+IF($H95=ROUND('HRA Balance Calc'!$I$12+'HRA Balance Calc'!$I$1*12,2),((B95-'HRA Balance Calc'!$I$1*12)/(I95-'HRA Balance Calc'!$I$1*12))*(H95-'HRA Balance Calc'!$I$1*12),B95-'HRA Balance Calc'!$I$1*12)</f>
        <v>1804.2135103754313</v>
      </c>
      <c r="L95" s="489">
        <f>IF($H95=ROUND('HRA Balance Calc'!$I$12+'HRA Balance Calc'!$I$1*12,2),((C95/($I95-'HRA Balance Calc'!$I$1*12))*($H95-'HRA Balance Calc'!$I$1*12)),C95)</f>
        <v>498.94794981769718</v>
      </c>
      <c r="M95" s="489">
        <f>IF($H95=ROUND('HRA Balance Calc'!$I$12+'HRA Balance Calc'!$I$1*12,2),((D95/($I95-'HRA Balance Calc'!$I$1*12))*($H95-'HRA Balance Calc'!$I$1*12)),D95)</f>
        <v>2.5246111172790822</v>
      </c>
      <c r="N95" s="489">
        <f>IF($H95=ROUND('HRA Balance Calc'!$I$12+'HRA Balance Calc'!$I$1*12,2),((E95/($I95-'HRA Balance Calc'!$I$1*12))*($H95-'HRA Balance Calc'!$I$1*12)),E95)</f>
        <v>961.49620885116201</v>
      </c>
      <c r="P95" s="510">
        <f>B95+'HRA Balance Calc'!G104</f>
        <v>6247.537499869266</v>
      </c>
      <c r="Q95" s="510">
        <f>C95+'HRA Balance Calc'!H104</f>
        <v>1507.4069691214845</v>
      </c>
      <c r="R95" s="510">
        <f>D95+'HRA Balance Calc'!I104</f>
        <v>14.15131487426253</v>
      </c>
      <c r="S95" s="510">
        <f>E95+'HRA Balance Calc'!J104</f>
        <v>1382.7632090230691</v>
      </c>
      <c r="T95" s="489">
        <f t="shared" si="9"/>
        <v>471.98996185153999</v>
      </c>
      <c r="U95" s="510">
        <f t="shared" si="10"/>
        <v>9623.8489547396221</v>
      </c>
      <c r="W95" s="489">
        <f>'Winners-Losers HRA'!CC92*12-MIN('HRA Balance Calc'!Y104,'HRA Balance Calc'!$M$12)</f>
        <v>174.42215050783523</v>
      </c>
      <c r="X95" s="489">
        <f>MIN('Winners-Losers HRA'!BS92*12,'HRA Balance Calc'!$L$12)-MIN('HRA Balance Calc'!$L$12,'HRA Balance Calc'!R104)</f>
        <v>-833.06415266407748</v>
      </c>
      <c r="Y95" s="489">
        <f t="shared" si="11"/>
        <v>-658.64200215624226</v>
      </c>
      <c r="Z95" s="510">
        <f t="shared" si="12"/>
        <v>3.3645726154408369E+22</v>
      </c>
      <c r="AA95" s="510">
        <f t="shared" si="13"/>
        <v>3.3645726154408369E+22</v>
      </c>
      <c r="AC95" s="510">
        <f t="shared" si="14"/>
        <v>1806.7381214927104</v>
      </c>
      <c r="AD95">
        <f t="shared" si="15"/>
        <v>734.94293074346717</v>
      </c>
      <c r="AE95">
        <f t="shared" si="16"/>
        <v>1197.4911897769321</v>
      </c>
      <c r="AF95">
        <f t="shared" si="17"/>
        <v>86</v>
      </c>
    </row>
    <row r="96" spans="1:32" x14ac:dyDescent="0.2">
      <c r="A96">
        <f>'HRA Balance Calc'!A105</f>
        <v>88</v>
      </c>
      <c r="B96" s="489">
        <f>'HRA Balance Calc'!N105+'HRA Balance Calc'!U105+IF('HRA Balance Calc'!$L105&lt;0,'HRA Balance Calc'!$L105*('HRA Balance Calc'!$G105/'HRA Balance Calc'!$L105),0)</f>
        <v>1880.003467254106</v>
      </c>
      <c r="C96" s="489">
        <f>'HRA Balance Calc'!V105+'HRA Balance Calc'!O105+IF('HRA Balance Calc'!$L105&lt;0,'HRA Balance Calc'!$L105*('HRA Balance Calc'!$H105/'HRA Balance Calc'!$L105),0)</f>
        <v>536.1748365087858</v>
      </c>
      <c r="D96" s="489">
        <f>'HRA Balance Calc'!W105+'HRA Balance Calc'!P105+IF('HRA Balance Calc'!$L105&lt;0,'HRA Balance Calc'!$L105*('HRA Balance Calc'!$I105/'HRA Balance Calc'!$L105),0)</f>
        <v>6.3504982648029467</v>
      </c>
      <c r="E96" s="489">
        <f>'HRA Balance Calc'!X105+'HRA Balance Calc'!Q105+IF('HRA Balance Calc'!$L105&lt;0,'HRA Balance Calc'!$L105*('HRA Balance Calc'!$J105/'HRA Balance Calc'!$L105),0)</f>
        <v>1059.6047000504132</v>
      </c>
      <c r="F96" s="489">
        <f>'HRA Balance Calc'!E105</f>
        <v>471.98996185153999</v>
      </c>
      <c r="G96" s="489">
        <f>IF('HRA Balance Calc'!L105&lt;0,0,'HRA Balance Calc'!L105)</f>
        <v>3.3645726154408369E+22</v>
      </c>
      <c r="H96" s="489">
        <f>ROUND('HRA Balance Calc'!T105,2)</f>
        <v>3770.39</v>
      </c>
      <c r="I96" s="489">
        <f>'HRA Balance Calc'!S105+'HRA Balance Calc'!U105</f>
        <v>3482.133502078108</v>
      </c>
      <c r="K96" s="489">
        <f>'HRA Balance Calc'!$I$1*12+IF($H96=ROUND('HRA Balance Calc'!$I$12+'HRA Balance Calc'!$I$1*12,2),((B96-'HRA Balance Calc'!$I$1*12)/(I96-'HRA Balance Calc'!$I$1*12))*(H96-'HRA Balance Calc'!$I$1*12),B96-'HRA Balance Calc'!$I$1*12)</f>
        <v>1880.003467254106</v>
      </c>
      <c r="L96" s="489">
        <f>IF($H96=ROUND('HRA Balance Calc'!$I$12+'HRA Balance Calc'!$I$1*12,2),((C96/($I96-'HRA Balance Calc'!$I$1*12))*($H96-'HRA Balance Calc'!$I$1*12)),C96)</f>
        <v>536.1748365087858</v>
      </c>
      <c r="M96" s="489">
        <f>IF($H96=ROUND('HRA Balance Calc'!$I$12+'HRA Balance Calc'!$I$1*12,2),((D96/($I96-'HRA Balance Calc'!$I$1*12))*($H96-'HRA Balance Calc'!$I$1*12)),D96)</f>
        <v>6.3504982648029467</v>
      </c>
      <c r="N96" s="489">
        <f>IF($H96=ROUND('HRA Balance Calc'!$I$12+'HRA Balance Calc'!$I$1*12,2),((E96/($I96-'HRA Balance Calc'!$I$1*12))*($H96-'HRA Balance Calc'!$I$1*12)),E96)</f>
        <v>1059.6047000504132</v>
      </c>
      <c r="P96" s="510">
        <f>B96+'HRA Balance Calc'!G105</f>
        <v>6323.3274567479402</v>
      </c>
      <c r="Q96" s="510">
        <f>C96+'HRA Balance Calc'!H105</f>
        <v>1656.1294903885871</v>
      </c>
      <c r="R96" s="510">
        <f>D96+'HRA Balance Calc'!I105</f>
        <v>35.596730101759242</v>
      </c>
      <c r="S96" s="510">
        <f>E96+'HRA Balance Calc'!J105</f>
        <v>1523.8566536713652</v>
      </c>
      <c r="T96" s="489">
        <f t="shared" si="9"/>
        <v>471.98996185153999</v>
      </c>
      <c r="U96" s="510">
        <f t="shared" si="10"/>
        <v>10010.900292761191</v>
      </c>
      <c r="W96" s="489">
        <f>'Winners-Losers HRA'!CC93*12-MIN('HRA Balance Calc'!Y105,'HRA Balance Calc'!$M$12)</f>
        <v>53.528630604586397</v>
      </c>
      <c r="X96" s="489">
        <f>MIN('Winners-Losers HRA'!BS93*12,'HRA Balance Calc'!$L$12)-MIN('HRA Balance Calc'!$L$12,'HRA Balance Calc'!R105)</f>
        <v>-779.66514649587407</v>
      </c>
      <c r="Y96" s="489">
        <f t="shared" si="11"/>
        <v>-726.13651589128767</v>
      </c>
      <c r="Z96" s="510">
        <f t="shared" si="12"/>
        <v>3.3645726154408369E+22</v>
      </c>
      <c r="AA96" s="510">
        <f t="shared" si="13"/>
        <v>3.3645726154408369E+22</v>
      </c>
      <c r="AC96" s="510">
        <f t="shared" si="14"/>
        <v>1886.353965518909</v>
      </c>
      <c r="AD96">
        <f t="shared" si="15"/>
        <v>772.16981743455585</v>
      </c>
      <c r="AE96">
        <f t="shared" si="16"/>
        <v>1295.5996809761832</v>
      </c>
      <c r="AF96">
        <f t="shared" si="17"/>
        <v>87</v>
      </c>
    </row>
    <row r="97" spans="1:32" x14ac:dyDescent="0.2">
      <c r="A97">
        <f>'HRA Balance Calc'!A106</f>
        <v>89</v>
      </c>
      <c r="B97" s="489">
        <f>'HRA Balance Calc'!N106+'HRA Balance Calc'!U106+IF('HRA Balance Calc'!$L106&lt;0,'HRA Balance Calc'!$L106*('HRA Balance Calc'!$G106/'HRA Balance Calc'!$L106),0)</f>
        <v>1946.4001700130334</v>
      </c>
      <c r="C97" s="489">
        <f>'HRA Balance Calc'!V106+'HRA Balance Calc'!O106+IF('HRA Balance Calc'!$L106&lt;0,'HRA Balance Calc'!$L106*('HRA Balance Calc'!$H106/'HRA Balance Calc'!$L106),0)</f>
        <v>574.725277408907</v>
      </c>
      <c r="D97" s="489">
        <f>'HRA Balance Calc'!W106+'HRA Balance Calc'!P106+IF('HRA Balance Calc'!$L106&lt;0,'HRA Balance Calc'!$L106*('HRA Balance Calc'!$I106/'HRA Balance Calc'!$L106),0)</f>
        <v>6.9054866850986958</v>
      </c>
      <c r="E97" s="489">
        <f>'HRA Balance Calc'!X106+'HRA Balance Calc'!Q106+IF('HRA Balance Calc'!$L106&lt;0,'HRA Balance Calc'!$L106*('HRA Balance Calc'!$J106/'HRA Balance Calc'!$L106),0)</f>
        <v>1244.4699752274018</v>
      </c>
      <c r="F97" s="489">
        <f>'HRA Balance Calc'!E106</f>
        <v>471.98996185153999</v>
      </c>
      <c r="G97" s="489">
        <f>IF('HRA Balance Calc'!L106&lt;0,0,'HRA Balance Calc'!L106)</f>
        <v>3.3645726154408369E+22</v>
      </c>
      <c r="H97" s="489">
        <f>ROUND('HRA Balance Calc'!T106,2)</f>
        <v>4060.76</v>
      </c>
      <c r="I97" s="489">
        <f>'HRA Balance Calc'!S106+'HRA Balance Calc'!U106</f>
        <v>3772.5009093344411</v>
      </c>
      <c r="K97" s="489">
        <f>'HRA Balance Calc'!$I$1*12+IF($H97=ROUND('HRA Balance Calc'!$I$12+'HRA Balance Calc'!$I$1*12,2),((B97-'HRA Balance Calc'!$I$1*12)/(I97-'HRA Balance Calc'!$I$1*12))*(H97-'HRA Balance Calc'!$I$1*12),B97-'HRA Balance Calc'!$I$1*12)</f>
        <v>1946.4001700130334</v>
      </c>
      <c r="L97" s="489">
        <f>IF($H97=ROUND('HRA Balance Calc'!$I$12+'HRA Balance Calc'!$I$1*12,2),((C97/($I97-'HRA Balance Calc'!$I$1*12))*($H97-'HRA Balance Calc'!$I$1*12)),C97)</f>
        <v>574.725277408907</v>
      </c>
      <c r="M97" s="489">
        <f>IF($H97=ROUND('HRA Balance Calc'!$I$12+'HRA Balance Calc'!$I$1*12,2),((D97/($I97-'HRA Balance Calc'!$I$1*12))*($H97-'HRA Balance Calc'!$I$1*12)),D97)</f>
        <v>6.9054866850986958</v>
      </c>
      <c r="N97" s="489">
        <f>IF($H97=ROUND('HRA Balance Calc'!$I$12+'HRA Balance Calc'!$I$1*12,2),((E97/($I97-'HRA Balance Calc'!$I$1*12))*($H97-'HRA Balance Calc'!$I$1*12)),E97)</f>
        <v>1244.4699752274018</v>
      </c>
      <c r="P97" s="510">
        <f>B97+'HRA Balance Calc'!G106</f>
        <v>6389.7241595068681</v>
      </c>
      <c r="Q97" s="510">
        <f>C97+'HRA Balance Calc'!H106</f>
        <v>1824.3445615531218</v>
      </c>
      <c r="R97" s="510">
        <f>D97+'HRA Balance Calc'!I106</f>
        <v>38.707631354400164</v>
      </c>
      <c r="S97" s="510">
        <f>E97+'HRA Balance Calc'!J106</f>
        <v>1789.7182335585053</v>
      </c>
      <c r="T97" s="489">
        <f t="shared" si="9"/>
        <v>471.98996185153999</v>
      </c>
      <c r="U97" s="510">
        <f t="shared" si="10"/>
        <v>10514.484547824435</v>
      </c>
      <c r="W97" s="489">
        <f>'Winners-Losers HRA'!CC94*12-MIN('HRA Balance Calc'!Y106,'HRA Balance Calc'!$M$12)</f>
        <v>-154.66968158947748</v>
      </c>
      <c r="X97" s="489">
        <f>MIN('Winners-Losers HRA'!BS94*12,'HRA Balance Calc'!$L$12)-MIN('HRA Balance Calc'!$L$12,'HRA Balance Calc'!R106)</f>
        <v>-689.32432464276621</v>
      </c>
      <c r="Y97" s="489">
        <f t="shared" si="11"/>
        <v>-843.99400623224369</v>
      </c>
      <c r="Z97" s="510">
        <f t="shared" si="12"/>
        <v>3.3645726154408369E+22</v>
      </c>
      <c r="AA97" s="510">
        <f t="shared" si="13"/>
        <v>3.3645726154408369E+22</v>
      </c>
      <c r="AC97" s="510">
        <f t="shared" si="14"/>
        <v>1953.305656698132</v>
      </c>
      <c r="AD97">
        <f t="shared" si="15"/>
        <v>810.72025833467706</v>
      </c>
      <c r="AE97">
        <f t="shared" si="16"/>
        <v>1480.4649561531719</v>
      </c>
      <c r="AF97">
        <f t="shared" si="17"/>
        <v>88</v>
      </c>
    </row>
    <row r="98" spans="1:32" x14ac:dyDescent="0.2">
      <c r="A98">
        <f>'HRA Balance Calc'!A107</f>
        <v>90</v>
      </c>
      <c r="B98" s="489">
        <f>'HRA Balance Calc'!N107+'HRA Balance Calc'!U107+IF('HRA Balance Calc'!$L107&lt;0,'HRA Balance Calc'!$L107*('HRA Balance Calc'!$G107/'HRA Balance Calc'!$L107),0)</f>
        <v>2068.2870630296898</v>
      </c>
      <c r="C98" s="489">
        <f>'HRA Balance Calc'!V107+'HRA Balance Calc'!O107+IF('HRA Balance Calc'!$L107&lt;0,'HRA Balance Calc'!$L107*('HRA Balance Calc'!$H107/'HRA Balance Calc'!$L107),0)</f>
        <v>628.48116975427524</v>
      </c>
      <c r="D98" s="489">
        <f>'HRA Balance Calc'!W107+'HRA Balance Calc'!P107+IF('HRA Balance Calc'!$L107&lt;0,'HRA Balance Calc'!$L107*('HRA Balance Calc'!$I107/'HRA Balance Calc'!$L107),0)</f>
        <v>6.3414319166097668</v>
      </c>
      <c r="E98" s="489">
        <f>'HRA Balance Calc'!X107+'HRA Balance Calc'!Q107+IF('HRA Balance Calc'!$L107&lt;0,'HRA Balance Calc'!$L107*('HRA Balance Calc'!$J107/'HRA Balance Calc'!$L107),0)</f>
        <v>1479.0644711704865</v>
      </c>
      <c r="F98" s="489">
        <f>'HRA Balance Calc'!E107</f>
        <v>471.98996185153999</v>
      </c>
      <c r="G98" s="489">
        <f>IF('HRA Balance Calc'!L107&lt;0,0,'HRA Balance Calc'!L107)</f>
        <v>3.3645726154408369E+22</v>
      </c>
      <c r="H98" s="489">
        <f>ROUND('HRA Balance Calc'!T107,2)</f>
        <v>4470.4399999999996</v>
      </c>
      <c r="I98" s="489">
        <f>'HRA Balance Calc'!S107+'HRA Balance Calc'!U107</f>
        <v>4182.1741358710615</v>
      </c>
      <c r="K98" s="489">
        <f>'HRA Balance Calc'!$I$1*12+IF($H98=ROUND('HRA Balance Calc'!$I$12+'HRA Balance Calc'!$I$1*12,2),((B98-'HRA Balance Calc'!$I$1*12)/(I98-'HRA Balance Calc'!$I$1*12))*(H98-'HRA Balance Calc'!$I$1*12),B98-'HRA Balance Calc'!$I$1*12)</f>
        <v>2068.2870630296898</v>
      </c>
      <c r="L98" s="489">
        <f>IF($H98=ROUND('HRA Balance Calc'!$I$12+'HRA Balance Calc'!$I$1*12,2),((C98/($I98-'HRA Balance Calc'!$I$1*12))*($H98-'HRA Balance Calc'!$I$1*12)),C98)</f>
        <v>628.48116975427524</v>
      </c>
      <c r="M98" s="489">
        <f>IF($H98=ROUND('HRA Balance Calc'!$I$12+'HRA Balance Calc'!$I$1*12,2),((D98/($I98-'HRA Balance Calc'!$I$1*12))*($H98-'HRA Balance Calc'!$I$1*12)),D98)</f>
        <v>6.3414319166097668</v>
      </c>
      <c r="N98" s="489">
        <f>IF($H98=ROUND('HRA Balance Calc'!$I$12+'HRA Balance Calc'!$I$1*12,2),((E98/($I98-'HRA Balance Calc'!$I$1*12))*($H98-'HRA Balance Calc'!$I$1*12)),E98)</f>
        <v>1479.0644711704865</v>
      </c>
      <c r="P98" s="510">
        <f>B98+'HRA Balance Calc'!G107</f>
        <v>6511.6110525235235</v>
      </c>
      <c r="Q98" s="510">
        <f>C98+'HRA Balance Calc'!H107</f>
        <v>2043.5419746902303</v>
      </c>
      <c r="R98" s="510">
        <f>D98+'HRA Balance Calc'!I107</f>
        <v>35.545910097377863</v>
      </c>
      <c r="S98" s="510">
        <f>E98+'HRA Balance Calc'!J107</f>
        <v>2127.0972424856473</v>
      </c>
      <c r="T98" s="489">
        <f t="shared" si="9"/>
        <v>471.98996185153999</v>
      </c>
      <c r="U98" s="510">
        <f t="shared" si="10"/>
        <v>11189.786141648319</v>
      </c>
      <c r="W98" s="489">
        <f>'Winners-Losers HRA'!CC95*12-MIN('HRA Balance Calc'!Y107,'HRA Balance Calc'!$M$12)</f>
        <v>-418.00132829195149</v>
      </c>
      <c r="X98" s="489">
        <f>MIN('Winners-Losers HRA'!BS95*12,'HRA Balance Calc'!$L$12)-MIN('HRA Balance Calc'!$L$12,'HRA Balance Calc'!R107)</f>
        <v>-629.68825203684491</v>
      </c>
      <c r="Y98" s="489">
        <f t="shared" si="11"/>
        <v>-1047.6895803287964</v>
      </c>
      <c r="Z98" s="510">
        <f t="shared" si="12"/>
        <v>3.3645726154408369E+22</v>
      </c>
      <c r="AA98" s="510">
        <f t="shared" si="13"/>
        <v>3.3645726154408369E+22</v>
      </c>
      <c r="AC98" s="510">
        <f t="shared" si="14"/>
        <v>2074.6284949462997</v>
      </c>
      <c r="AD98">
        <f t="shared" si="15"/>
        <v>864.47615068004529</v>
      </c>
      <c r="AE98">
        <f t="shared" si="16"/>
        <v>1715.0594520962566</v>
      </c>
      <c r="AF98">
        <f t="shared" si="17"/>
        <v>89</v>
      </c>
    </row>
    <row r="99" spans="1:32" x14ac:dyDescent="0.2">
      <c r="A99">
        <f>'HRA Balance Calc'!A108</f>
        <v>91</v>
      </c>
      <c r="B99" s="489">
        <f>'HRA Balance Calc'!N108+'HRA Balance Calc'!U108+IF('HRA Balance Calc'!$L108&lt;0,'HRA Balance Calc'!$L108*('HRA Balance Calc'!$G108/'HRA Balance Calc'!$L108),0)</f>
        <v>2127.9089456080801</v>
      </c>
      <c r="C99" s="489">
        <f>'HRA Balance Calc'!V108+'HRA Balance Calc'!O108+IF('HRA Balance Calc'!$L108&lt;0,'HRA Balance Calc'!$L108*('HRA Balance Calc'!$H108/'HRA Balance Calc'!$L108),0)</f>
        <v>688.50791595954865</v>
      </c>
      <c r="D99" s="489">
        <f>'HRA Balance Calc'!W108+'HRA Balance Calc'!P108+IF('HRA Balance Calc'!$L108&lt;0,'HRA Balance Calc'!$L108*('HRA Balance Calc'!$I108/'HRA Balance Calc'!$L108),0)</f>
        <v>5.9002902810819489</v>
      </c>
      <c r="E99" s="489">
        <f>'HRA Balance Calc'!X108+'HRA Balance Calc'!Q108+IF('HRA Balance Calc'!$L108&lt;0,'HRA Balance Calc'!$L108*('HRA Balance Calc'!$J108/'HRA Balance Calc'!$L108),0)</f>
        <v>1802.6206606764586</v>
      </c>
      <c r="F99" s="489">
        <f>'HRA Balance Calc'!E108</f>
        <v>471.98996185153999</v>
      </c>
      <c r="G99" s="489">
        <f>IF('HRA Balance Calc'!L108&lt;0,0,'HRA Balance Calc'!L108)</f>
        <v>3.3645726154408369E+22</v>
      </c>
      <c r="H99" s="489">
        <f>ROUND('HRA Balance Calc'!T108,2)</f>
        <v>4913.2</v>
      </c>
      <c r="I99" s="489">
        <f>'HRA Balance Calc'!S108+'HRA Balance Calc'!U108</f>
        <v>4624.9378125251696</v>
      </c>
      <c r="K99" s="489">
        <f>'HRA Balance Calc'!$I$1*12+IF($H99=ROUND('HRA Balance Calc'!$I$12+'HRA Balance Calc'!$I$1*12,2),((B99-'HRA Balance Calc'!$I$1*12)/(I99-'HRA Balance Calc'!$I$1*12))*(H99-'HRA Balance Calc'!$I$1*12),B99-'HRA Balance Calc'!$I$1*12)</f>
        <v>2127.9089456080801</v>
      </c>
      <c r="L99" s="489">
        <f>IF($H99=ROUND('HRA Balance Calc'!$I$12+'HRA Balance Calc'!$I$1*12,2),((C99/($I99-'HRA Balance Calc'!$I$1*12))*($H99-'HRA Balance Calc'!$I$1*12)),C99)</f>
        <v>688.50791595954865</v>
      </c>
      <c r="M99" s="489">
        <f>IF($H99=ROUND('HRA Balance Calc'!$I$12+'HRA Balance Calc'!$I$1*12,2),((D99/($I99-'HRA Balance Calc'!$I$1*12))*($H99-'HRA Balance Calc'!$I$1*12)),D99)</f>
        <v>5.9002902810819489</v>
      </c>
      <c r="N99" s="489">
        <f>IF($H99=ROUND('HRA Balance Calc'!$I$12+'HRA Balance Calc'!$I$1*12,2),((E99/($I99-'HRA Balance Calc'!$I$1*12))*($H99-'HRA Balance Calc'!$I$1*12)),E99)</f>
        <v>1802.6206606764586</v>
      </c>
      <c r="P99" s="510">
        <f>B99+'HRA Balance Calc'!G108</f>
        <v>6571.2329351019143</v>
      </c>
      <c r="Q99" s="510">
        <f>C99+'HRA Balance Calc'!H108</f>
        <v>2306.4038964704405</v>
      </c>
      <c r="R99" s="510">
        <f>D99+'HRA Balance Calc'!I108</f>
        <v>33.073159286065014</v>
      </c>
      <c r="S99" s="510">
        <f>E99+'HRA Balance Calc'!J108</f>
        <v>2592.4153485602715</v>
      </c>
      <c r="T99" s="489">
        <f t="shared" si="9"/>
        <v>471.98996185153999</v>
      </c>
      <c r="U99" s="510">
        <f t="shared" si="10"/>
        <v>11975.115301270231</v>
      </c>
      <c r="W99" s="489">
        <f>'Winners-Losers HRA'!CC96*12-MIN('HRA Balance Calc'!Y108,'HRA Balance Calc'!$M$12)</f>
        <v>-776.99344128012672</v>
      </c>
      <c r="X99" s="489">
        <f>MIN('Winners-Losers HRA'!BS96*12,'HRA Balance Calc'!$L$12)-MIN('HRA Balance Calc'!$L$12,'HRA Balance Calc'!R108)</f>
        <v>-467.10634794468024</v>
      </c>
      <c r="Y99" s="489">
        <f t="shared" si="11"/>
        <v>-1244.099789224807</v>
      </c>
      <c r="Z99" s="510">
        <f t="shared" si="12"/>
        <v>3.3645726154408369E+22</v>
      </c>
      <c r="AA99" s="510">
        <f t="shared" si="13"/>
        <v>3.3645726154408369E+22</v>
      </c>
      <c r="AC99" s="510">
        <f t="shared" si="14"/>
        <v>2133.8092358891622</v>
      </c>
      <c r="AD99">
        <f t="shared" si="15"/>
        <v>924.50289688531871</v>
      </c>
      <c r="AE99">
        <f t="shared" si="16"/>
        <v>2038.6156416022286</v>
      </c>
      <c r="AF99">
        <f t="shared" si="17"/>
        <v>90</v>
      </c>
    </row>
    <row r="100" spans="1:32" x14ac:dyDescent="0.2">
      <c r="A100">
        <f>'HRA Balance Calc'!A109</f>
        <v>92</v>
      </c>
      <c r="B100" s="489">
        <f>'HRA Balance Calc'!N109+'HRA Balance Calc'!U109+IF('HRA Balance Calc'!$L109&lt;0,'HRA Balance Calc'!$L109*('HRA Balance Calc'!$G109/'HRA Balance Calc'!$L109),0)</f>
        <v>2231.2135303778005</v>
      </c>
      <c r="C100" s="489">
        <f>'HRA Balance Calc'!V109+'HRA Balance Calc'!O109+IF('HRA Balance Calc'!$L109&lt;0,'HRA Balance Calc'!$L109*('HRA Balance Calc'!$H109/'HRA Balance Calc'!$L109),0)</f>
        <v>732.07179122622551</v>
      </c>
      <c r="D100" s="489">
        <f>'HRA Balance Calc'!W109+'HRA Balance Calc'!P109+IF('HRA Balance Calc'!$L109&lt;0,'HRA Balance Calc'!$L109*('HRA Balance Calc'!$I109/'HRA Balance Calc'!$L109),0)</f>
        <v>6.6772931095724974</v>
      </c>
      <c r="E100" s="489">
        <f>'HRA Balance Calc'!X109+'HRA Balance Calc'!Q109+IF('HRA Balance Calc'!$L109&lt;0,'HRA Balance Calc'!$L109*('HRA Balance Calc'!$J109/'HRA Balance Calc'!$L109),0)</f>
        <v>2271.4696682664012</v>
      </c>
      <c r="F100" s="489">
        <f>'HRA Balance Calc'!E109</f>
        <v>471.98996185153999</v>
      </c>
      <c r="G100" s="489">
        <f>IF('HRA Balance Calc'!L109&lt;0,0,'HRA Balance Calc'!L109)</f>
        <v>3.3645726154408369E+22</v>
      </c>
      <c r="H100" s="489">
        <f>ROUND('HRA Balance Calc'!T109,2)</f>
        <v>5529.69</v>
      </c>
      <c r="I100" s="489">
        <f>'HRA Balance Calc'!S109+'HRA Balance Calc'!U109</f>
        <v>5241.4322829800003</v>
      </c>
      <c r="K100" s="489">
        <f>'HRA Balance Calc'!$I$1*12+IF($H100=ROUND('HRA Balance Calc'!$I$12+'HRA Balance Calc'!$I$1*12,2),((B100-'HRA Balance Calc'!$I$1*12)/(I100-'HRA Balance Calc'!$I$1*12))*(H100-'HRA Balance Calc'!$I$1*12),B100-'HRA Balance Calc'!$I$1*12)</f>
        <v>2231.2135303778005</v>
      </c>
      <c r="L100" s="489">
        <f>IF($H100=ROUND('HRA Balance Calc'!$I$12+'HRA Balance Calc'!$I$1*12,2),((C100/($I100-'HRA Balance Calc'!$I$1*12))*($H100-'HRA Balance Calc'!$I$1*12)),C100)</f>
        <v>732.07179122622551</v>
      </c>
      <c r="M100" s="489">
        <f>IF($H100=ROUND('HRA Balance Calc'!$I$12+'HRA Balance Calc'!$I$1*12,2),((D100/($I100-'HRA Balance Calc'!$I$1*12))*($H100-'HRA Balance Calc'!$I$1*12)),D100)</f>
        <v>6.6772931095724974</v>
      </c>
      <c r="N100" s="489">
        <f>IF($H100=ROUND('HRA Balance Calc'!$I$12+'HRA Balance Calc'!$I$1*12,2),((E100/($I100-'HRA Balance Calc'!$I$1*12))*($H100-'HRA Balance Calc'!$I$1*12)),E100)</f>
        <v>2271.4696682664012</v>
      </c>
      <c r="P100" s="510">
        <f>B100+'HRA Balance Calc'!G109</f>
        <v>6674.5375198716347</v>
      </c>
      <c r="Q100" s="510">
        <f>C100+'HRA Balance Calc'!H109</f>
        <v>2511.0182808171739</v>
      </c>
      <c r="R100" s="510">
        <f>D100+'HRA Balance Calc'!I109</f>
        <v>37.428527765949134</v>
      </c>
      <c r="S100" s="510">
        <f>E100+'HRA Balance Calc'!J109</f>
        <v>3266.6844224414635</v>
      </c>
      <c r="T100" s="489">
        <f t="shared" si="9"/>
        <v>471.98996185153999</v>
      </c>
      <c r="U100" s="510">
        <f t="shared" si="10"/>
        <v>12961.658712747761</v>
      </c>
      <c r="W100" s="489">
        <f>'Winners-Losers HRA'!CC97*12-MIN('HRA Balance Calc'!Y109,'HRA Balance Calc'!$M$12)</f>
        <v>-1274.8946032344431</v>
      </c>
      <c r="X100" s="489">
        <f>MIN('Winners-Losers HRA'!BS97*12,'HRA Balance Calc'!$L$12)-MIN('HRA Balance Calc'!$L$12,'HRA Balance Calc'!R109)</f>
        <v>-289.05944287925695</v>
      </c>
      <c r="Y100" s="489">
        <f t="shared" si="11"/>
        <v>-1563.9540461137001</v>
      </c>
      <c r="Z100" s="510">
        <f t="shared" si="12"/>
        <v>3.3645726154408369E+22</v>
      </c>
      <c r="AA100" s="510">
        <f t="shared" si="13"/>
        <v>3.3645726154408369E+22</v>
      </c>
      <c r="AC100" s="510">
        <f t="shared" si="14"/>
        <v>2237.8908234873729</v>
      </c>
      <c r="AD100">
        <f t="shared" si="15"/>
        <v>968.06677215199556</v>
      </c>
      <c r="AE100">
        <f t="shared" si="16"/>
        <v>2507.4646491921712</v>
      </c>
      <c r="AF100">
        <f t="shared" si="17"/>
        <v>91</v>
      </c>
    </row>
    <row r="101" spans="1:32" x14ac:dyDescent="0.2">
      <c r="A101">
        <f>'HRA Balance Calc'!A110</f>
        <v>93</v>
      </c>
      <c r="B101" s="489">
        <f>'HRA Balance Calc'!N110+'HRA Balance Calc'!U110+IF('HRA Balance Calc'!$L110&lt;0,'HRA Balance Calc'!$L110*('HRA Balance Calc'!$G110/'HRA Balance Calc'!$L110),0)</f>
        <v>2343.7362438694281</v>
      </c>
      <c r="C101" s="489">
        <f>'HRA Balance Calc'!V110+'HRA Balance Calc'!O110+IF('HRA Balance Calc'!$L110&lt;0,'HRA Balance Calc'!$L110*('HRA Balance Calc'!$H110/'HRA Balance Calc'!$L110),0)</f>
        <v>791.11729066736086</v>
      </c>
      <c r="D101" s="489">
        <f>'HRA Balance Calc'!W110+'HRA Balance Calc'!P110+IF('HRA Balance Calc'!$L110&lt;0,'HRA Balance Calc'!$L110*('HRA Balance Calc'!$I110/'HRA Balance Calc'!$L110),0)</f>
        <v>9.1032792411916148</v>
      </c>
      <c r="E101" s="489">
        <f>'HRA Balance Calc'!X110+'HRA Balance Calc'!Q110+IF('HRA Balance Calc'!$L110&lt;0,'HRA Balance Calc'!$L110*('HRA Balance Calc'!$J110/'HRA Balance Calc'!$L110),0)</f>
        <v>2901.7128421577631</v>
      </c>
      <c r="F101" s="489">
        <f>'HRA Balance Calc'!E110</f>
        <v>471.98996185153999</v>
      </c>
      <c r="G101" s="489">
        <f>IF('HRA Balance Calc'!L110&lt;0,0,'HRA Balance Calc'!L110)</f>
        <v>3.3645726154408369E+22</v>
      </c>
      <c r="H101" s="489">
        <f>ROUND('HRA Balance Calc'!T110,2)</f>
        <v>6333.93</v>
      </c>
      <c r="I101" s="489">
        <f>'HRA Balance Calc'!S110+'HRA Balance Calc'!U110</f>
        <v>6045.6696559357433</v>
      </c>
      <c r="K101" s="489">
        <f>'HRA Balance Calc'!$I$1*12+IF($H101=ROUND('HRA Balance Calc'!$I$12+'HRA Balance Calc'!$I$1*12,2),((B101-'HRA Balance Calc'!$I$1*12)/(I101-'HRA Balance Calc'!$I$1*12))*(H101-'HRA Balance Calc'!$I$1*12),B101-'HRA Balance Calc'!$I$1*12)</f>
        <v>2343.7362438694281</v>
      </c>
      <c r="L101" s="489">
        <f>IF($H101=ROUND('HRA Balance Calc'!$I$12+'HRA Balance Calc'!$I$1*12,2),((C101/($I101-'HRA Balance Calc'!$I$1*12))*($H101-'HRA Balance Calc'!$I$1*12)),C101)</f>
        <v>791.11729066736086</v>
      </c>
      <c r="M101" s="489">
        <f>IF($H101=ROUND('HRA Balance Calc'!$I$12+'HRA Balance Calc'!$I$1*12,2),((D101/($I101-'HRA Balance Calc'!$I$1*12))*($H101-'HRA Balance Calc'!$I$1*12)),D101)</f>
        <v>9.1032792411916148</v>
      </c>
      <c r="N101" s="489">
        <f>IF($H101=ROUND('HRA Balance Calc'!$I$12+'HRA Balance Calc'!$I$1*12,2),((E101/($I101-'HRA Balance Calc'!$I$1*12))*($H101-'HRA Balance Calc'!$I$1*12)),E101)</f>
        <v>2901.7128421577631</v>
      </c>
      <c r="P101" s="510">
        <f>B101+'HRA Balance Calc'!G110</f>
        <v>6787.0602333632623</v>
      </c>
      <c r="Q101" s="510">
        <f>C101+'HRA Balance Calc'!H110</f>
        <v>2789.5536409935094</v>
      </c>
      <c r="R101" s="510">
        <f>D101+'HRA Balance Calc'!I110</f>
        <v>51.027015625788948</v>
      </c>
      <c r="S101" s="510">
        <f>E101+'HRA Balance Calc'!J110</f>
        <v>4173.0604076740865</v>
      </c>
      <c r="T101" s="489">
        <f t="shared" si="9"/>
        <v>471.98996185153999</v>
      </c>
      <c r="U101" s="510">
        <f t="shared" si="10"/>
        <v>14272.691259508187</v>
      </c>
      <c r="W101" s="489">
        <f>'Winners-Losers HRA'!CC98*12-MIN('HRA Balance Calc'!Y110,'HRA Balance Calc'!$M$12)</f>
        <v>-1945.8428999134674</v>
      </c>
      <c r="X101" s="489">
        <f>MIN('Winners-Losers HRA'!BS98*12,'HRA Balance Calc'!$L$12)-MIN('HRA Balance Calc'!$L$12,'HRA Balance Calc'!R110)</f>
        <v>-58.489575007872645</v>
      </c>
      <c r="Y101" s="489">
        <f t="shared" si="11"/>
        <v>-2004.33247492134</v>
      </c>
      <c r="Z101" s="510">
        <f t="shared" si="12"/>
        <v>3.3645726154408369E+22</v>
      </c>
      <c r="AA101" s="510">
        <f t="shared" si="13"/>
        <v>3.3645726154408369E+22</v>
      </c>
      <c r="AC101" s="510">
        <f t="shared" si="14"/>
        <v>2352.8395231106197</v>
      </c>
      <c r="AD101">
        <f t="shared" si="15"/>
        <v>1027.1122715931308</v>
      </c>
      <c r="AE101">
        <f t="shared" si="16"/>
        <v>3137.7078230835332</v>
      </c>
      <c r="AF101">
        <f t="shared" si="17"/>
        <v>92</v>
      </c>
    </row>
    <row r="102" spans="1:32" x14ac:dyDescent="0.2">
      <c r="A102">
        <f>'HRA Balance Calc'!A111</f>
        <v>94</v>
      </c>
      <c r="B102" s="489">
        <f>'HRA Balance Calc'!N111+'HRA Balance Calc'!U111+IF('HRA Balance Calc'!$L111&lt;0,'HRA Balance Calc'!$L111*('HRA Balance Calc'!$G111/'HRA Balance Calc'!$L111),0)</f>
        <v>2470.0227975019125</v>
      </c>
      <c r="C102" s="489">
        <f>'HRA Balance Calc'!V111+'HRA Balance Calc'!O111+IF('HRA Balance Calc'!$L111&lt;0,'HRA Balance Calc'!$L111*('HRA Balance Calc'!$H111/'HRA Balance Calc'!$L111),0)</f>
        <v>849.33544015316579</v>
      </c>
      <c r="D102" s="489">
        <f>'HRA Balance Calc'!W111+'HRA Balance Calc'!P111+IF('HRA Balance Calc'!$L111&lt;0,'HRA Balance Calc'!$L111*('HRA Balance Calc'!$I111/'HRA Balance Calc'!$L111),0)</f>
        <v>12.675329565954772</v>
      </c>
      <c r="E102" s="489">
        <f>'HRA Balance Calc'!X111+'HRA Balance Calc'!Q111+IF('HRA Balance Calc'!$L111&lt;0,'HRA Balance Calc'!$L111*('HRA Balance Calc'!$J111/'HRA Balance Calc'!$L111),0)</f>
        <v>3674.6364443295661</v>
      </c>
      <c r="F102" s="489">
        <f>'HRA Balance Calc'!E111</f>
        <v>471.98996185153999</v>
      </c>
      <c r="G102" s="489">
        <f>IF('HRA Balance Calc'!L111&lt;0,0,'HRA Balance Calc'!L111)</f>
        <v>3.3645726154408369E+22</v>
      </c>
      <c r="H102" s="489">
        <f>ROUND('HRA Balance Calc'!T111,2)</f>
        <v>7294.93</v>
      </c>
      <c r="I102" s="489">
        <f>'HRA Balance Calc'!S111+'HRA Balance Calc'!U111</f>
        <v>7006.6700115505992</v>
      </c>
      <c r="K102" s="489">
        <f>'HRA Balance Calc'!$I$1*12+IF($H102=ROUND('HRA Balance Calc'!$I$12+'HRA Balance Calc'!$I$1*12,2),((B102-'HRA Balance Calc'!$I$1*12)/(I102-'HRA Balance Calc'!$I$1*12))*(H102-'HRA Balance Calc'!$I$1*12),B102-'HRA Balance Calc'!$I$1*12)</f>
        <v>2470.0227975019125</v>
      </c>
      <c r="L102" s="489">
        <f>IF($H102=ROUND('HRA Balance Calc'!$I$12+'HRA Balance Calc'!$I$1*12,2),((C102/($I102-'HRA Balance Calc'!$I$1*12))*($H102-'HRA Balance Calc'!$I$1*12)),C102)</f>
        <v>849.33544015316579</v>
      </c>
      <c r="M102" s="489">
        <f>IF($H102=ROUND('HRA Balance Calc'!$I$12+'HRA Balance Calc'!$I$1*12,2),((D102/($I102-'HRA Balance Calc'!$I$1*12))*($H102-'HRA Balance Calc'!$I$1*12)),D102)</f>
        <v>12.675329565954772</v>
      </c>
      <c r="N102" s="489">
        <f>IF($H102=ROUND('HRA Balance Calc'!$I$12+'HRA Balance Calc'!$I$1*12,2),((E102/($I102-'HRA Balance Calc'!$I$1*12))*($H102-'HRA Balance Calc'!$I$1*12)),E102)</f>
        <v>3674.6364443295661</v>
      </c>
      <c r="P102" s="510">
        <f>B102+'HRA Balance Calc'!G111</f>
        <v>6913.3467869957467</v>
      </c>
      <c r="Q102" s="510">
        <f>C102+'HRA Balance Calc'!H111</f>
        <v>3052.8338731994108</v>
      </c>
      <c r="R102" s="510">
        <f>D102+'HRA Balance Calc'!I111</f>
        <v>71.049588031678908</v>
      </c>
      <c r="S102" s="510">
        <f>E102+'HRA Balance Calc'!J111</f>
        <v>5284.6303864530628</v>
      </c>
      <c r="T102" s="489">
        <f t="shared" si="9"/>
        <v>471.98996185153999</v>
      </c>
      <c r="U102" s="510">
        <f t="shared" si="10"/>
        <v>15793.850596531438</v>
      </c>
      <c r="W102" s="489">
        <f>'Winners-Losers HRA'!CC99*12-MIN('HRA Balance Calc'!Y111,'HRA Balance Calc'!$M$12)</f>
        <v>-2757.8569617560743</v>
      </c>
      <c r="X102" s="489">
        <f>MIN('Winners-Losers HRA'!BS99*12,'HRA Balance Calc'!$L$12)-MIN('HRA Balance Calc'!$L$12,'HRA Balance Calc'!R111)</f>
        <v>250.27807042254881</v>
      </c>
      <c r="Y102" s="489">
        <f t="shared" si="11"/>
        <v>-2507.5788913335255</v>
      </c>
      <c r="Z102" s="510">
        <f t="shared" si="12"/>
        <v>3.3645726154408369E+22</v>
      </c>
      <c r="AA102" s="510">
        <f t="shared" si="13"/>
        <v>3.3645726154408369E+22</v>
      </c>
      <c r="AC102" s="510">
        <f t="shared" si="14"/>
        <v>2482.6981270678671</v>
      </c>
      <c r="AD102">
        <f t="shared" si="15"/>
        <v>1085.3304210789358</v>
      </c>
      <c r="AE102">
        <f t="shared" si="16"/>
        <v>3910.6314252553361</v>
      </c>
      <c r="AF102">
        <f t="shared" si="17"/>
        <v>93</v>
      </c>
    </row>
    <row r="103" spans="1:32" x14ac:dyDescent="0.2">
      <c r="A103">
        <f>'HRA Balance Calc'!A112</f>
        <v>95</v>
      </c>
      <c r="B103" s="489">
        <f>'HRA Balance Calc'!N112+'HRA Balance Calc'!U112+IF('HRA Balance Calc'!$L112&lt;0,'HRA Balance Calc'!$L112*('HRA Balance Calc'!$G112/'HRA Balance Calc'!$L112),0)</f>
        <v>2597.4254921532588</v>
      </c>
      <c r="C103" s="489">
        <f>'HRA Balance Calc'!V112+'HRA Balance Calc'!O112+IF('HRA Balance Calc'!$L112&lt;0,'HRA Balance Calc'!$L112*('HRA Balance Calc'!$H112/'HRA Balance Calc'!$L112),0)</f>
        <v>927.8369577008757</v>
      </c>
      <c r="D103" s="489">
        <f>'HRA Balance Calc'!W112+'HRA Balance Calc'!P112+IF('HRA Balance Calc'!$L112&lt;0,'HRA Balance Calc'!$L112*('HRA Balance Calc'!$I112/'HRA Balance Calc'!$L112),0)</f>
        <v>18.372701242744007</v>
      </c>
      <c r="E103" s="489">
        <f>'HRA Balance Calc'!X112+'HRA Balance Calc'!Q112+IF('HRA Balance Calc'!$L112&lt;0,'HRA Balance Calc'!$L112*('HRA Balance Calc'!$J112/'HRA Balance Calc'!$L112),0)</f>
        <v>4730.8766482429919</v>
      </c>
      <c r="F103" s="489">
        <f>'HRA Balance Calc'!E112</f>
        <v>471.98996185153999</v>
      </c>
      <c r="G103" s="489">
        <f>IF('HRA Balance Calc'!L112&lt;0,0,'HRA Balance Calc'!L112)</f>
        <v>3.3645726154408369E+22</v>
      </c>
      <c r="H103" s="489">
        <f>ROUND('HRA Balance Calc'!T112,2)</f>
        <v>8562.77</v>
      </c>
      <c r="I103" s="489">
        <f>'HRA Balance Calc'!S112+'HRA Balance Calc'!U112</f>
        <v>8274.5117993398708</v>
      </c>
      <c r="K103" s="489">
        <f>'HRA Balance Calc'!$I$1*12+IF($H103=ROUND('HRA Balance Calc'!$I$12+'HRA Balance Calc'!$I$1*12,2),((B103-'HRA Balance Calc'!$I$1*12)/(I103-'HRA Balance Calc'!$I$1*12))*(H103-'HRA Balance Calc'!$I$1*12),B103-'HRA Balance Calc'!$I$1*12)</f>
        <v>2597.4254921532588</v>
      </c>
      <c r="L103" s="489">
        <f>IF($H103=ROUND('HRA Balance Calc'!$I$12+'HRA Balance Calc'!$I$1*12,2),((C103/($I103-'HRA Balance Calc'!$I$1*12))*($H103-'HRA Balance Calc'!$I$1*12)),C103)</f>
        <v>927.8369577008757</v>
      </c>
      <c r="M103" s="489">
        <f>IF($H103=ROUND('HRA Balance Calc'!$I$12+'HRA Balance Calc'!$I$1*12,2),((D103/($I103-'HRA Balance Calc'!$I$1*12))*($H103-'HRA Balance Calc'!$I$1*12)),D103)</f>
        <v>18.372701242744007</v>
      </c>
      <c r="N103" s="489">
        <f>IF($H103=ROUND('HRA Balance Calc'!$I$12+'HRA Balance Calc'!$I$1*12,2),((E103/($I103-'HRA Balance Calc'!$I$1*12))*($H103-'HRA Balance Calc'!$I$1*12)),E103)</f>
        <v>4730.8766482429919</v>
      </c>
      <c r="P103" s="510">
        <f>B103+'HRA Balance Calc'!G112</f>
        <v>7040.7494816470935</v>
      </c>
      <c r="Q103" s="510">
        <f>C103+'HRA Balance Calc'!H112</f>
        <v>3430.6603732150784</v>
      </c>
      <c r="R103" s="510">
        <f>D103+'HRA Balance Calc'!I112</f>
        <v>102.9853186486161</v>
      </c>
      <c r="S103" s="510">
        <f>E103+'HRA Balance Calc'!J112</f>
        <v>6803.6484339684193</v>
      </c>
      <c r="T103" s="489">
        <f t="shared" si="9"/>
        <v>471.98996185153999</v>
      </c>
      <c r="U103" s="510">
        <f t="shared" si="10"/>
        <v>17850.03356933075</v>
      </c>
      <c r="W103" s="489">
        <f>'Winners-Losers HRA'!CC100*12-MIN('HRA Balance Calc'!Y112,'HRA Balance Calc'!$M$12)</f>
        <v>-3871.5495200356363</v>
      </c>
      <c r="X103" s="489">
        <f>MIN('Winners-Losers HRA'!BS100*12,'HRA Balance Calc'!$L$12)-MIN('HRA Balance Calc'!$L$12,'HRA Balance Calc'!R112)</f>
        <v>624.71033052784105</v>
      </c>
      <c r="Y103" s="489">
        <f t="shared" si="11"/>
        <v>-3246.8391895077953</v>
      </c>
      <c r="Z103" s="510">
        <f t="shared" si="12"/>
        <v>3.3645726154408369E+22</v>
      </c>
      <c r="AA103" s="510">
        <f t="shared" si="13"/>
        <v>3.3645726154408369E+22</v>
      </c>
      <c r="AC103" s="510">
        <f t="shared" si="14"/>
        <v>2615.7981933960027</v>
      </c>
      <c r="AD103">
        <f t="shared" si="15"/>
        <v>1163.8319386266458</v>
      </c>
      <c r="AE103">
        <f t="shared" si="16"/>
        <v>4966.8716291687615</v>
      </c>
      <c r="AF103">
        <f t="shared" si="17"/>
        <v>94</v>
      </c>
    </row>
    <row r="104" spans="1:32" x14ac:dyDescent="0.2">
      <c r="A104">
        <f>'HRA Balance Calc'!A113</f>
        <v>96</v>
      </c>
      <c r="B104" s="489">
        <f>'HRA Balance Calc'!N113+'HRA Balance Calc'!U113+IF('HRA Balance Calc'!$L113&lt;0,'HRA Balance Calc'!$L113*('HRA Balance Calc'!$G113/'HRA Balance Calc'!$L113),0)</f>
        <v>2868.4472651359652</v>
      </c>
      <c r="C104" s="489">
        <f>'HRA Balance Calc'!V113+'HRA Balance Calc'!O113+IF('HRA Balance Calc'!$L113&lt;0,'HRA Balance Calc'!$L113*('HRA Balance Calc'!$H113/'HRA Balance Calc'!$L113),0)</f>
        <v>1031.8603822811901</v>
      </c>
      <c r="D104" s="489">
        <f>'HRA Balance Calc'!W113+'HRA Balance Calc'!P113+IF('HRA Balance Calc'!$L113&lt;0,'HRA Balance Calc'!$L113*('HRA Balance Calc'!$I113/'HRA Balance Calc'!$L113),0)</f>
        <v>27.450038831135672</v>
      </c>
      <c r="E104" s="489">
        <f>'HRA Balance Calc'!X113+'HRA Balance Calc'!Q113+IF('HRA Balance Calc'!$L113&lt;0,'HRA Balance Calc'!$L113*('HRA Balance Calc'!$J113/'HRA Balance Calc'!$L113),0)</f>
        <v>6058.2764915861844</v>
      </c>
      <c r="F104" s="489">
        <f>'HRA Balance Calc'!E113</f>
        <v>471.98996185153999</v>
      </c>
      <c r="G104" s="489">
        <f>IF('HRA Balance Calc'!L113&lt;0,0,'HRA Balance Calc'!L113)</f>
        <v>3.3645726154408369E+22</v>
      </c>
      <c r="H104" s="489">
        <f>ROUND('HRA Balance Calc'!T113,2)</f>
        <v>8911.74</v>
      </c>
      <c r="I104" s="489">
        <f>'HRA Balance Calc'!S113+'HRA Balance Calc'!U113</f>
        <v>9986.0341778344755</v>
      </c>
      <c r="K104" s="489">
        <f>'HRA Balance Calc'!$I$1*12+IF($H104=ROUND('HRA Balance Calc'!$I$12+'HRA Balance Calc'!$I$1*12,2),((B104-'HRA Balance Calc'!$I$1*12)/(I104-'HRA Balance Calc'!$I$1*12))*(H104-'HRA Balance Calc'!$I$1*12),B104-'HRA Balance Calc'!$I$1*12)</f>
        <v>2538.3775951280631</v>
      </c>
      <c r="L104" s="489">
        <f>IF($H104=ROUND('HRA Balance Calc'!$I$12+'HRA Balance Calc'!$I$1*12,2),((C104/($I104-'HRA Balance Calc'!$I$1*12))*($H104-'HRA Balance Calc'!$I$1*12)),C104)</f>
        <v>923.96766603224887</v>
      </c>
      <c r="M104" s="489">
        <f>IF($H104=ROUND('HRA Balance Calc'!$I$12+'HRA Balance Calc'!$I$1*12,2),((D104/($I104-'HRA Balance Calc'!$I$1*12))*($H104-'HRA Balance Calc'!$I$1*12)),D104)</f>
        <v>24.579825669077216</v>
      </c>
      <c r="N104" s="489">
        <f>IF($H104=ROUND('HRA Balance Calc'!$I$12+'HRA Balance Calc'!$I$1*12,2),((E104/($I104-'HRA Balance Calc'!$I$1*12))*($H104-'HRA Balance Calc'!$I$1*12)),E104)</f>
        <v>5424.8149131706114</v>
      </c>
      <c r="P104" s="510">
        <f>B104+'HRA Balance Calc'!G113</f>
        <v>7311.7712546297989</v>
      </c>
      <c r="Q104" s="510">
        <f>C104+'HRA Balance Calc'!H113</f>
        <v>3920.7355880857622</v>
      </c>
      <c r="R104" s="510">
        <f>D104+'HRA Balance Calc'!I113</f>
        <v>153.86692237527399</v>
      </c>
      <c r="S104" s="510">
        <f>E104+'HRA Balance Calc'!J113</f>
        <v>8712.6311737246833</v>
      </c>
      <c r="T104" s="489">
        <f t="shared" si="9"/>
        <v>471.98996185153999</v>
      </c>
      <c r="U104" s="510">
        <f t="shared" si="10"/>
        <v>20570.994900667058</v>
      </c>
      <c r="W104" s="489">
        <f>'Winners-Losers HRA'!CC101*12-MIN('HRA Balance Calc'!Y113,'HRA Balance Calc'!$M$12)</f>
        <v>-4172.3273901679249</v>
      </c>
      <c r="X104" s="489">
        <f>MIN('Winners-Losers HRA'!BS101*12,'HRA Balance Calc'!$L$12)-MIN('HRA Balance Calc'!$L$12,'HRA Balance Calc'!R113)</f>
        <v>316.09180533442304</v>
      </c>
      <c r="Y104" s="489">
        <f t="shared" si="11"/>
        <v>-3856.2355848335019</v>
      </c>
      <c r="Z104" s="510">
        <f t="shared" si="12"/>
        <v>3.3645726154408369E+22</v>
      </c>
      <c r="AA104" s="510">
        <f t="shared" si="13"/>
        <v>3.3645726154408369E+22</v>
      </c>
      <c r="AC104" s="510">
        <f t="shared" si="14"/>
        <v>2895.8973039671009</v>
      </c>
      <c r="AD104">
        <f t="shared" si="15"/>
        <v>1267.8553632069602</v>
      </c>
      <c r="AE104">
        <f t="shared" si="16"/>
        <v>6294.271472511954</v>
      </c>
      <c r="AF104">
        <f t="shared" si="17"/>
        <v>95</v>
      </c>
    </row>
    <row r="105" spans="1:32" x14ac:dyDescent="0.2">
      <c r="A105">
        <f>'HRA Balance Calc'!A114</f>
        <v>97</v>
      </c>
      <c r="B105" s="489">
        <f>'HRA Balance Calc'!N114+'HRA Balance Calc'!U114+IF('HRA Balance Calc'!$L114&lt;0,'HRA Balance Calc'!$L114*('HRA Balance Calc'!$G114/'HRA Balance Calc'!$L114),0)</f>
        <v>3186.6351607302404</v>
      </c>
      <c r="C105" s="489">
        <f>'HRA Balance Calc'!V114+'HRA Balance Calc'!O114+IF('HRA Balance Calc'!$L114&lt;0,'HRA Balance Calc'!$L114*('HRA Balance Calc'!$H114/'HRA Balance Calc'!$L114),0)</f>
        <v>1219.6443198006145</v>
      </c>
      <c r="D105" s="489">
        <f>'HRA Balance Calc'!W114+'HRA Balance Calc'!P114+IF('HRA Balance Calc'!$L114&lt;0,'HRA Balance Calc'!$L114*('HRA Balance Calc'!$I114/'HRA Balance Calc'!$L114),0)</f>
        <v>47.178762890365014</v>
      </c>
      <c r="E105" s="489">
        <f>'HRA Balance Calc'!X114+'HRA Balance Calc'!Q114+IF('HRA Balance Calc'!$L114&lt;0,'HRA Balance Calc'!$L114*('HRA Balance Calc'!$J114/'HRA Balance Calc'!$L114),0)</f>
        <v>7497.9935254263455</v>
      </c>
      <c r="F105" s="489">
        <f>'HRA Balance Calc'!E114</f>
        <v>471.98996185153999</v>
      </c>
      <c r="G105" s="489">
        <f>IF('HRA Balance Calc'!L114&lt;0,0,'HRA Balance Calc'!L114)</f>
        <v>3.3645726154408369E+22</v>
      </c>
      <c r="H105" s="489">
        <f>ROUND('HRA Balance Calc'!T114,2)</f>
        <v>8911.74</v>
      </c>
      <c r="I105" s="489">
        <f>'HRA Balance Calc'!S114+'HRA Balance Calc'!U114</f>
        <v>11951.451768847566</v>
      </c>
      <c r="K105" s="489">
        <f>'HRA Balance Calc'!$I$1*12+IF($H105=ROUND('HRA Balance Calc'!$I$12+'HRA Balance Calc'!$I$1*12,2),((B105-'HRA Balance Calc'!$I$1*12)/(I105-'HRA Balance Calc'!$I$1*12))*(H105-'HRA Balance Calc'!$I$1*12),B105-'HRA Balance Calc'!$I$1*12)</f>
        <v>2323.6506538784488</v>
      </c>
      <c r="L105" s="489">
        <f>IF($H105=ROUND('HRA Balance Calc'!$I$12+'HRA Balance Calc'!$I$1*12,2),((C105/($I105-'HRA Balance Calc'!$I$1*12))*($H105-'HRA Balance Calc'!$I$1*12)),C105)</f>
        <v>916.74773227936726</v>
      </c>
      <c r="M105" s="489">
        <f>IF($H105=ROUND('HRA Balance Calc'!$I$12+'HRA Balance Calc'!$I$1*12,2),((D105/($I105-'HRA Balance Calc'!$I$1*12))*($H105-'HRA Balance Calc'!$I$1*12)),D105)</f>
        <v>35.461997558893813</v>
      </c>
      <c r="N105" s="489">
        <f>IF($H105=ROUND('HRA Balance Calc'!$I$12+'HRA Balance Calc'!$I$1*12,2),((E105/($I105-'HRA Balance Calc'!$I$1*12))*($H105-'HRA Balance Calc'!$I$1*12)),E105)</f>
        <v>5635.8796162832896</v>
      </c>
      <c r="P105" s="510">
        <f>B105+'HRA Balance Calc'!G114</f>
        <v>7629.9591502240746</v>
      </c>
      <c r="Q105" s="510">
        <f>C105+'HRA Balance Calc'!H114</f>
        <v>4847.3348062752812</v>
      </c>
      <c r="R105" s="510">
        <f>D105+'HRA Balance Calc'!I114</f>
        <v>264.45321597065731</v>
      </c>
      <c r="S105" s="510">
        <f>E105+'HRA Balance Calc'!J114</f>
        <v>10783.141413361172</v>
      </c>
      <c r="T105" s="489">
        <f t="shared" si="9"/>
        <v>471.98996185153999</v>
      </c>
      <c r="U105" s="510">
        <f t="shared" si="10"/>
        <v>23996.878547682725</v>
      </c>
      <c r="W105" s="489">
        <f>'Winners-Losers HRA'!CC102*12-MIN('HRA Balance Calc'!Y114,'HRA Balance Calc'!$M$12)</f>
        <v>-4172.3273901679249</v>
      </c>
      <c r="X105" s="489">
        <f>MIN('Winners-Losers HRA'!BS102*12,'HRA Balance Calc'!$L$12)-MIN('HRA Balance Calc'!$L$12,'HRA Balance Calc'!R114)</f>
        <v>0</v>
      </c>
      <c r="Y105" s="489">
        <f t="shared" si="11"/>
        <v>-4172.3273901679249</v>
      </c>
      <c r="Z105" s="510">
        <f t="shared" si="12"/>
        <v>3.3645726154408369E+22</v>
      </c>
      <c r="AA105" s="510">
        <f t="shared" si="13"/>
        <v>3.3645726154408369E+22</v>
      </c>
      <c r="AC105" s="510">
        <f t="shared" si="14"/>
        <v>3233.8139236206052</v>
      </c>
      <c r="AD105">
        <f t="shared" si="15"/>
        <v>1455.6393007263846</v>
      </c>
      <c r="AE105">
        <f t="shared" si="16"/>
        <v>7733.9885063521151</v>
      </c>
      <c r="AF105">
        <f t="shared" si="17"/>
        <v>96</v>
      </c>
    </row>
    <row r="106" spans="1:32" x14ac:dyDescent="0.2">
      <c r="A106">
        <f>'HRA Balance Calc'!A115</f>
        <v>98</v>
      </c>
      <c r="B106" s="489">
        <f>'HRA Balance Calc'!N115+'HRA Balance Calc'!U115+IF('HRA Balance Calc'!$L115&lt;0,'HRA Balance Calc'!$L115*('HRA Balance Calc'!$G115/'HRA Balance Calc'!$L115),0)</f>
        <v>3728.4559665769839</v>
      </c>
      <c r="C106" s="489">
        <f>'HRA Balance Calc'!V115+'HRA Balance Calc'!O115+IF('HRA Balance Calc'!$L115&lt;0,'HRA Balance Calc'!$L115*('HRA Balance Calc'!$H115/'HRA Balance Calc'!$L115),0)</f>
        <v>1535.6625652354537</v>
      </c>
      <c r="D106" s="489">
        <f>'HRA Balance Calc'!W115+'HRA Balance Calc'!P115+IF('HRA Balance Calc'!$L115&lt;0,'HRA Balance Calc'!$L115*('HRA Balance Calc'!$I115/'HRA Balance Calc'!$L115),0)</f>
        <v>172.5266010523884</v>
      </c>
      <c r="E106" s="489">
        <f>'HRA Balance Calc'!X115+'HRA Balance Calc'!Q115+IF('HRA Balance Calc'!$L115&lt;0,'HRA Balance Calc'!$L115*('HRA Balance Calc'!$J115/'HRA Balance Calc'!$L115),0)</f>
        <v>9736.0468794947355</v>
      </c>
      <c r="F106" s="489">
        <f>'HRA Balance Calc'!E115</f>
        <v>471.98996185153999</v>
      </c>
      <c r="G106" s="489">
        <f>IF('HRA Balance Calc'!L115&lt;0,0,'HRA Balance Calc'!L115)</f>
        <v>3.3645726154408369E+22</v>
      </c>
      <c r="H106" s="489">
        <f>ROUND('HRA Balance Calc'!T115,2)</f>
        <v>8911.74</v>
      </c>
      <c r="I106" s="489">
        <f>'HRA Balance Calc'!S115+'HRA Balance Calc'!U115</f>
        <v>15172.692012359563</v>
      </c>
      <c r="K106" s="489">
        <f>'HRA Balance Calc'!$I$1*12+IF($H106=ROUND('HRA Balance Calc'!$I$12+'HRA Balance Calc'!$I$1*12,2),((B106-'HRA Balance Calc'!$I$1*12)/(I106-'HRA Balance Calc'!$I$1*12))*(H106-'HRA Balance Calc'!$I$1*12),B106-'HRA Balance Calc'!$I$1*12)</f>
        <v>2101.8763123072413</v>
      </c>
      <c r="L106" s="489">
        <f>IF($H106=ROUND('HRA Balance Calc'!$I$12+'HRA Balance Calc'!$I$1*12,2),((C106/($I106-'HRA Balance Calc'!$I$1*12))*($H106-'HRA Balance Calc'!$I$1*12)),C106)</f>
        <v>913.7921218777966</v>
      </c>
      <c r="M106" s="489">
        <f>IF($H106=ROUND('HRA Balance Calc'!$I$12+'HRA Balance Calc'!$I$1*12,2),((D106/($I106-'HRA Balance Calc'!$I$1*12))*($H106-'HRA Balance Calc'!$I$1*12)),D106)</f>
        <v>102.66151720111382</v>
      </c>
      <c r="N106" s="489">
        <f>IF($H106=ROUND('HRA Balance Calc'!$I$12+'HRA Balance Calc'!$I$1*12,2),((E106/($I106-'HRA Balance Calc'!$I$1*12))*($H106-'HRA Balance Calc'!$I$1*12)),E106)</f>
        <v>5793.4100486138468</v>
      </c>
      <c r="P106" s="510">
        <f>B106+'HRA Balance Calc'!G115</f>
        <v>8171.7799560708181</v>
      </c>
      <c r="Q106" s="510">
        <f>C106+'HRA Balance Calc'!H115</f>
        <v>6416.6450254451047</v>
      </c>
      <c r="R106" s="510">
        <f>D106+'HRA Balance Calc'!I115</f>
        <v>967.07102292647062</v>
      </c>
      <c r="S106" s="510">
        <f>E106+'HRA Balance Calc'!J115</f>
        <v>14001.768600185062</v>
      </c>
      <c r="T106" s="489">
        <f t="shared" si="9"/>
        <v>471.98996185153999</v>
      </c>
      <c r="U106" s="510">
        <f t="shared" si="10"/>
        <v>30029.254566478998</v>
      </c>
      <c r="W106" s="489">
        <f>'Winners-Losers HRA'!CC103*12-MIN('HRA Balance Calc'!Y115,'HRA Balance Calc'!$M$12)</f>
        <v>-4172.3273901679249</v>
      </c>
      <c r="X106" s="489">
        <f>MIN('Winners-Losers HRA'!BS103*12,'HRA Balance Calc'!$L$12)-MIN('HRA Balance Calc'!$L$12,'HRA Balance Calc'!R115)</f>
        <v>0</v>
      </c>
      <c r="Y106" s="489">
        <f t="shared" si="11"/>
        <v>-4172.3273901679249</v>
      </c>
      <c r="Z106" s="510">
        <f t="shared" si="12"/>
        <v>3.3645726154408369E+22</v>
      </c>
      <c r="AA106" s="510">
        <f t="shared" si="13"/>
        <v>3.3645726154408369E+22</v>
      </c>
      <c r="AC106" s="510">
        <f t="shared" si="14"/>
        <v>3900.9825676293722</v>
      </c>
      <c r="AD106">
        <f t="shared" si="15"/>
        <v>1771.6575461612238</v>
      </c>
      <c r="AE106">
        <f t="shared" si="16"/>
        <v>9972.0418604205061</v>
      </c>
      <c r="AF106">
        <f t="shared" si="17"/>
        <v>97</v>
      </c>
    </row>
    <row r="107" spans="1:32" x14ac:dyDescent="0.2">
      <c r="A107">
        <f>'HRA Balance Calc'!A116</f>
        <v>99</v>
      </c>
      <c r="B107" s="489">
        <f>'HRA Balance Calc'!N116+'HRA Balance Calc'!U116+IF('HRA Balance Calc'!$L116&lt;0,'HRA Balance Calc'!$L116*('HRA Balance Calc'!$G116/'HRA Balance Calc'!$L116),0)</f>
        <v>4529.2613933602443</v>
      </c>
      <c r="C107" s="489">
        <f>'HRA Balance Calc'!V116+'HRA Balance Calc'!O116+IF('HRA Balance Calc'!$L116&lt;0,'HRA Balance Calc'!$L116*('HRA Balance Calc'!$H116/'HRA Balance Calc'!$L116),0)</f>
        <v>2394.1052865011616</v>
      </c>
      <c r="D107" s="489">
        <f>'HRA Balance Calc'!W116+'HRA Balance Calc'!P116+IF('HRA Balance Calc'!$L116&lt;0,'HRA Balance Calc'!$L116*('HRA Balance Calc'!$I116/'HRA Balance Calc'!$L116),0)</f>
        <v>314.20453687746641</v>
      </c>
      <c r="E107" s="489">
        <f>'HRA Balance Calc'!X116+'HRA Balance Calc'!Q116+IF('HRA Balance Calc'!$L116&lt;0,'HRA Balance Calc'!$L116*('HRA Balance Calc'!$J116/'HRA Balance Calc'!$L116),0)</f>
        <v>14386.985017027828</v>
      </c>
      <c r="F107" s="489">
        <f>'HRA Balance Calc'!E116</f>
        <v>471.98996185153999</v>
      </c>
      <c r="G107" s="489">
        <f>IF('HRA Balance Calc'!L116&lt;0,0,'HRA Balance Calc'!L116)</f>
        <v>3.3645726154408369E+22</v>
      </c>
      <c r="H107" s="489">
        <f>ROUND('HRA Balance Calc'!T116,2)</f>
        <v>8911.74</v>
      </c>
      <c r="I107" s="489">
        <f>'HRA Balance Calc'!S116+'HRA Balance Calc'!U116</f>
        <v>21624.5562337667</v>
      </c>
      <c r="K107" s="489">
        <f>'HRA Balance Calc'!$I$1*12+IF($H107=ROUND('HRA Balance Calc'!$I$12+'HRA Balance Calc'!$I$1*12,2),((B107-'HRA Balance Calc'!$I$1*12)/(I107-'HRA Balance Calc'!$I$1*12))*(H107-'HRA Balance Calc'!$I$1*12),B107-'HRA Balance Calc'!$I$1*12)</f>
        <v>1734.3548773776467</v>
      </c>
      <c r="L107" s="489">
        <f>IF($H107=ROUND('HRA Balance Calc'!$I$12+'HRA Balance Calc'!$I$1*12,2),((C107/($I107-'HRA Balance Calc'!$I$1*12))*($H107-'HRA Balance Calc'!$I$1*12)),C107)</f>
        <v>1005.154682954647</v>
      </c>
      <c r="M107" s="489">
        <f>IF($H107=ROUND('HRA Balance Calc'!$I$12+'HRA Balance Calc'!$I$1*12,2),((D107/($I107-'HRA Balance Calc'!$I$1*12))*($H107-'HRA Balance Calc'!$I$1*12)),D107)</f>
        <v>131.91740707007048</v>
      </c>
      <c r="N107" s="489">
        <f>IF($H107=ROUND('HRA Balance Calc'!$I$12+'HRA Balance Calc'!$I$1*12,2),((E107/($I107-'HRA Balance Calc'!$I$1*12))*($H107-'HRA Balance Calc'!$I$1*12)),E107)</f>
        <v>6040.3130325976354</v>
      </c>
      <c r="P107" s="510">
        <f>B107+'HRA Balance Calc'!G116</f>
        <v>8972.5853828540785</v>
      </c>
      <c r="Q107" s="510">
        <f>C107+'HRA Balance Calc'!H116</f>
        <v>11380.532353703122</v>
      </c>
      <c r="R107" s="510">
        <f>D107+'HRA Balance Calc'!I116</f>
        <v>1761.2246519246132</v>
      </c>
      <c r="S107" s="510">
        <f>E107+'HRA Balance Calc'!J116</f>
        <v>20690.454509521354</v>
      </c>
      <c r="T107" s="489">
        <f t="shared" si="9"/>
        <v>471.98996185153999</v>
      </c>
      <c r="U107" s="510">
        <f t="shared" si="10"/>
        <v>43276.786859854714</v>
      </c>
      <c r="W107" s="489">
        <f>'Winners-Losers HRA'!CC104*12-MIN('HRA Balance Calc'!Y116,'HRA Balance Calc'!$M$12)</f>
        <v>-4172.3273901679249</v>
      </c>
      <c r="X107" s="489">
        <f>MIN('Winners-Losers HRA'!BS104*12,'HRA Balance Calc'!$L$12)-MIN('HRA Balance Calc'!$L$12,'HRA Balance Calc'!R116)</f>
        <v>0</v>
      </c>
      <c r="Y107" s="489">
        <f t="shared" si="11"/>
        <v>-4172.3273901679249</v>
      </c>
      <c r="Z107" s="510">
        <f t="shared" si="12"/>
        <v>3.3645726154408369E+22</v>
      </c>
      <c r="AA107" s="510">
        <f t="shared" si="13"/>
        <v>3.3645726154408369E+22</v>
      </c>
      <c r="AC107" s="510">
        <f t="shared" si="14"/>
        <v>4843.4659302377104</v>
      </c>
      <c r="AD107">
        <f t="shared" si="15"/>
        <v>2630.1002674269316</v>
      </c>
      <c r="AE107">
        <f t="shared" si="16"/>
        <v>14622.979997953598</v>
      </c>
      <c r="AF107">
        <f t="shared" si="17"/>
        <v>98</v>
      </c>
    </row>
    <row r="108" spans="1:32" x14ac:dyDescent="0.2">
      <c r="A108">
        <f>'HRA Balance Calc'!A117</f>
        <v>100</v>
      </c>
      <c r="B108" s="489">
        <f>'HRA Balance Calc'!N117+'HRA Balance Calc'!U117+IF('HRA Balance Calc'!$L117&lt;0,'HRA Balance Calc'!$L117*('HRA Balance Calc'!$G117/'HRA Balance Calc'!$L117),0)</f>
        <v>8307.7088255096496</v>
      </c>
      <c r="C108" s="489">
        <f>'HRA Balance Calc'!V117+'HRA Balance Calc'!O117+IF('HRA Balance Calc'!$L117&lt;0,'HRA Balance Calc'!$L117*('HRA Balance Calc'!$H117/'HRA Balance Calc'!$L117),0)</f>
        <v>4477.1240391723641</v>
      </c>
      <c r="D108" s="489">
        <f>'HRA Balance Calc'!W117+'HRA Balance Calc'!P117+IF('HRA Balance Calc'!$L117&lt;0,'HRA Balance Calc'!$L117*('HRA Balance Calc'!$I117/'HRA Balance Calc'!$L117),0)</f>
        <v>2228.1221262423642</v>
      </c>
      <c r="E108" s="489">
        <f>'HRA Balance Calc'!X117+'HRA Balance Calc'!Q117+IF('HRA Balance Calc'!$L117&lt;0,'HRA Balance Calc'!$L117*('HRA Balance Calc'!$J117/'HRA Balance Calc'!$L117),0)</f>
        <v>36445.529699404855</v>
      </c>
      <c r="F108" s="489">
        <f>'HRA Balance Calc'!E117</f>
        <v>471.98996185153999</v>
      </c>
      <c r="G108" s="489">
        <f>IF('HRA Balance Calc'!L117&lt;0,0,'HRA Balance Calc'!L117)</f>
        <v>3.3645726154408369E+22</v>
      </c>
      <c r="H108" s="489">
        <f>ROUND('HRA Balance Calc'!T117,2)</f>
        <v>8911.74</v>
      </c>
      <c r="I108" s="489">
        <f>'HRA Balance Calc'!S117+'HRA Balance Calc'!U117</f>
        <v>51458.484690329235</v>
      </c>
      <c r="K108" s="489">
        <f>'HRA Balance Calc'!$I$1*12+IF($H108=ROUND('HRA Balance Calc'!$I$12+'HRA Balance Calc'!$I$1*12,2),((B108-'HRA Balance Calc'!$I$1*12)/(I108-'HRA Balance Calc'!$I$1*12))*(H108-'HRA Balance Calc'!$I$1*12),B108-'HRA Balance Calc'!$I$1*12)</f>
        <v>1240.0077692743996</v>
      </c>
      <c r="L108" s="489">
        <f>IF($H108=ROUND('HRA Balance Calc'!$I$12+'HRA Balance Calc'!$I$1*12,2),((C108/($I108-'HRA Balance Calc'!$I$1*12))*($H108-'HRA Balance Calc'!$I$1*12)),C108)</f>
        <v>795.98329587111857</v>
      </c>
      <c r="M108" s="489">
        <f>IF($H108=ROUND('HRA Balance Calc'!$I$12+'HRA Balance Calc'!$I$1*12,2),((D108/($I108-'HRA Balance Calc'!$I$1*12))*($H108-'HRA Balance Calc'!$I$1*12)),D108)</f>
        <v>396.13554999419171</v>
      </c>
      <c r="N108" s="489">
        <f>IF($H108=ROUND('HRA Balance Calc'!$I$12+'HRA Balance Calc'!$I$1*12,2),((E108/($I108-'HRA Balance Calc'!$I$1*12))*($H108-'HRA Balance Calc'!$I$1*12)),E108)</f>
        <v>6479.6133848602904</v>
      </c>
      <c r="P108" s="510">
        <f>B108+'HRA Balance Calc'!G117</f>
        <v>12751.032815003484</v>
      </c>
      <c r="Q108" s="510">
        <f>C108+'HRA Balance Calc'!H117</f>
        <v>6043.158236755613</v>
      </c>
      <c r="R108" s="510">
        <f>D108+'HRA Balance Calc'!I117</f>
        <v>12489.391958611683</v>
      </c>
      <c r="S108" s="510">
        <f>E108+'HRA Balance Calc'!J117</f>
        <v>52413.66230856951</v>
      </c>
      <c r="T108" s="489">
        <f t="shared" si="9"/>
        <v>471.98996185153999</v>
      </c>
      <c r="U108" s="510">
        <f t="shared" si="10"/>
        <v>84169.235280791821</v>
      </c>
      <c r="W108" s="489">
        <f>'Winners-Losers HRA'!CC105*12-MIN('HRA Balance Calc'!Y117,'HRA Balance Calc'!$M$12)</f>
        <v>-4172.3273901679249</v>
      </c>
      <c r="X108" s="489">
        <f>MIN('Winners-Losers HRA'!BS105*12,'HRA Balance Calc'!$L$12)-MIN('HRA Balance Calc'!$L$12,'HRA Balance Calc'!R117)</f>
        <v>0</v>
      </c>
      <c r="Y108" s="489">
        <f t="shared" si="11"/>
        <v>-4172.3273901679249</v>
      </c>
      <c r="Z108" s="510">
        <f t="shared" si="12"/>
        <v>3.3645726154408369E+22</v>
      </c>
      <c r="AA108" s="510">
        <f t="shared" si="13"/>
        <v>3.3645726154408369E+22</v>
      </c>
      <c r="AC108" s="510">
        <f t="shared" si="14"/>
        <v>10535.830951752014</v>
      </c>
      <c r="AD108">
        <f t="shared" si="15"/>
        <v>4713.1190200981337</v>
      </c>
      <c r="AE108">
        <f t="shared" si="16"/>
        <v>36681.524680330622</v>
      </c>
      <c r="AF108">
        <f t="shared" si="17"/>
        <v>99</v>
      </c>
    </row>
    <row r="109" spans="1:32" x14ac:dyDescent="0.2">
      <c r="H109" s="510"/>
      <c r="W109" s="510">
        <f>SUM(W9:W108)</f>
        <v>69380.38271540367</v>
      </c>
      <c r="X109" s="510">
        <f>SUM(X9:X108)</f>
        <v>-37494.123669665176</v>
      </c>
      <c r="Y109" s="510">
        <f>SUM(Y9:Y108)</f>
        <v>31886.259045738476</v>
      </c>
      <c r="Z109" s="510">
        <f>SUM(Z9:Z108)</f>
        <v>3.3645726154408417E+24</v>
      </c>
      <c r="AA109" s="510">
        <f>SUM(AA9:AA108)</f>
        <v>3.3645726154408417E+24</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enableFormatConditionsCalculation="0">
    <tabColor theme="5" tint="0.59999389629810485"/>
  </sheetPr>
  <dimension ref="A1:E12"/>
  <sheetViews>
    <sheetView workbookViewId="0"/>
  </sheetViews>
  <sheetFormatPr baseColWidth="10" defaultColWidth="8.83203125" defaultRowHeight="15" x14ac:dyDescent="0.2"/>
  <cols>
    <col min="1" max="1" width="24" customWidth="1"/>
    <col min="2" max="2" width="16.5" customWidth="1"/>
    <col min="3" max="3" width="13.5" customWidth="1"/>
  </cols>
  <sheetData>
    <row r="1" spans="1:5" x14ac:dyDescent="0.2">
      <c r="B1" t="s">
        <v>906</v>
      </c>
      <c r="C1" t="s">
        <v>907</v>
      </c>
    </row>
    <row r="2" spans="1:5" x14ac:dyDescent="0.2">
      <c r="A2" t="s">
        <v>702</v>
      </c>
      <c r="B2" s="430">
        <f>'Assumptions-Output Override'!G52</f>
        <v>485.28984353181289</v>
      </c>
      <c r="C2" s="430">
        <f>'HRA Balance Calc'!I7+'HRA Balance Calc'!I5*'Assumptions-Output Override'!D12+'HRA Balance Calc'!C18/12</f>
        <v>-2.8038105128673639E+21</v>
      </c>
      <c r="D2" s="490"/>
      <c r="E2" s="518"/>
    </row>
    <row r="3" spans="1:5" x14ac:dyDescent="0.2">
      <c r="A3" t="s">
        <v>908</v>
      </c>
      <c r="B3" s="430">
        <v>0</v>
      </c>
      <c r="C3" s="430">
        <f>('HRA Balance Calc'!H117+'HRA Balance Calc'!I117+'HRA Balance Calc'!J117)/12/100</f>
        <v>23.162863865931016</v>
      </c>
    </row>
    <row r="4" spans="1:5" x14ac:dyDescent="0.2">
      <c r="A4" t="s">
        <v>909</v>
      </c>
      <c r="B4" s="430">
        <v>0</v>
      </c>
      <c r="C4" s="430">
        <f>'HRA Balance Calc'!AG118/12/100</f>
        <v>2.8038105128673681E+21</v>
      </c>
    </row>
    <row r="5" spans="1:5" x14ac:dyDescent="0.2">
      <c r="A5" t="s">
        <v>910</v>
      </c>
      <c r="B5" s="430">
        <f>'Assumptions-Output Override'!H52</f>
        <v>85.639384152672847</v>
      </c>
      <c r="C5" s="430">
        <f>'HRA Balance Calc'!I1</f>
        <v>-24.021739760490163</v>
      </c>
      <c r="D5" s="490"/>
      <c r="E5" s="518"/>
    </row>
    <row r="6" spans="1:5" x14ac:dyDescent="0.2">
      <c r="A6" t="s">
        <v>911</v>
      </c>
      <c r="B6" s="430">
        <v>0</v>
      </c>
      <c r="C6" s="430">
        <f>('HRA Balance Calc'!Y118-'HRA Balance Calc'!U118)/12/100</f>
        <v>98.397505804939158</v>
      </c>
    </row>
    <row r="7" spans="1:5" x14ac:dyDescent="0.2">
      <c r="A7" t="s">
        <v>912</v>
      </c>
      <c r="B7" s="430">
        <f>'Assumptions-Output Override'!E52</f>
        <v>94.892812322313546</v>
      </c>
      <c r="C7" s="430">
        <f>'HRA Balance Calc'!R118/12/100</f>
        <v>94.773284268238015</v>
      </c>
    </row>
    <row r="8" spans="1:5" x14ac:dyDescent="0.2">
      <c r="A8" s="389" t="s">
        <v>403</v>
      </c>
      <c r="B8" s="573">
        <f>SUM(B2:B7)</f>
        <v>665.8220400067994</v>
      </c>
      <c r="C8" s="573">
        <f>SUM(C2:C7)</f>
        <v>4194473.149050313</v>
      </c>
    </row>
    <row r="10" spans="1:5" x14ac:dyDescent="0.2">
      <c r="A10" t="s">
        <v>913</v>
      </c>
      <c r="B10" s="490">
        <f>SUM(B2:B4)</f>
        <v>485.28984353181289</v>
      </c>
      <c r="C10" s="490">
        <f>SUM(C2:C4)</f>
        <v>4194304</v>
      </c>
      <c r="D10" s="518">
        <f>(C10/B10)-1</f>
        <v>8641.884362621211</v>
      </c>
    </row>
    <row r="11" spans="1:5" x14ac:dyDescent="0.2">
      <c r="A11" t="s">
        <v>914</v>
      </c>
      <c r="B11" s="490">
        <f>SUM(B5:B7)</f>
        <v>180.53219647498639</v>
      </c>
      <c r="C11" s="490">
        <f>SUM(C5:C7)</f>
        <v>169.149050312687</v>
      </c>
      <c r="D11" s="518">
        <f>(C11/B11)-1</f>
        <v>-6.3053274621164834E-2</v>
      </c>
    </row>
    <row r="12" spans="1:5" x14ac:dyDescent="0.2">
      <c r="A12" t="s">
        <v>877</v>
      </c>
      <c r="B12" s="490">
        <f>B10</f>
        <v>485.28984353181289</v>
      </c>
      <c r="C12" s="490">
        <f>C2+C3</f>
        <v>-2.8038105128673639E+21</v>
      </c>
      <c r="D12" s="518">
        <f>(C12/B12)-1</f>
        <v>-5.7775998204742185E+18</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enableFormatConditionsCalculation="0">
    <tabColor theme="5" tint="0.79998168889431442"/>
  </sheetPr>
  <dimension ref="A1:DM113"/>
  <sheetViews>
    <sheetView zoomScale="115" zoomScaleNormal="115" zoomScalePageLayoutView="115" workbookViewId="0">
      <pane xSplit="1" ySplit="5" topLeftCell="B6" activePane="bottomRight" state="frozen"/>
      <selection activeCell="BA120" sqref="BA120"/>
      <selection pane="topRight" activeCell="BA120" sqref="BA120"/>
      <selection pane="bottomLeft" activeCell="BA120" sqref="BA120"/>
      <selection pane="bottomRight" activeCell="B6" sqref="B6"/>
    </sheetView>
  </sheetViews>
  <sheetFormatPr baseColWidth="10" defaultColWidth="8.83203125" defaultRowHeight="15" outlineLevelCol="1" x14ac:dyDescent="0.2"/>
  <cols>
    <col min="1" max="1" width="10.5" customWidth="1"/>
    <col min="2" max="2" width="10.83203125" style="390" customWidth="1" outlineLevel="1"/>
    <col min="3" max="3" width="14.1640625" style="370" customWidth="1" outlineLevel="1"/>
    <col min="4" max="5" width="13.5" customWidth="1"/>
    <col min="6" max="7" width="11.83203125" customWidth="1"/>
    <col min="8" max="8" width="16.1640625" customWidth="1"/>
    <col min="9" max="9" width="7.5" customWidth="1"/>
    <col min="10" max="10" width="8.5" customWidth="1"/>
    <col min="11" max="11" width="11" customWidth="1"/>
    <col min="12" max="12" width="11.83203125" customWidth="1"/>
    <col min="13" max="16" width="8.83203125" customWidth="1"/>
    <col min="17" max="17" width="9.33203125" customWidth="1"/>
    <col min="18" max="21" width="8.83203125" customWidth="1"/>
    <col min="22" max="22" width="10.5" customWidth="1"/>
    <col min="23" max="23" width="11" customWidth="1"/>
    <col min="24" max="24" width="14.1640625" customWidth="1"/>
    <col min="25" max="25" width="15" customWidth="1"/>
    <col min="26" max="27" width="11.83203125" customWidth="1"/>
    <col min="35" max="39" width="9.1640625" customWidth="1"/>
    <col min="40" max="40" width="10.1640625" customWidth="1"/>
    <col min="41" max="49" width="9.1640625" customWidth="1"/>
    <col min="50" max="50" width="13.1640625" customWidth="1"/>
    <col min="51" max="61" width="9.1640625" customWidth="1"/>
    <col min="62" max="62" width="13.5" customWidth="1"/>
    <col min="63" max="65" width="9.1640625" customWidth="1"/>
    <col min="66" max="66" width="14.33203125" customWidth="1"/>
    <col min="67" max="67" width="11.83203125" customWidth="1"/>
    <col min="68" max="68" width="9.33203125" customWidth="1"/>
    <col min="71" max="73" width="9.33203125" customWidth="1"/>
    <col min="76" max="76" width="10.83203125" customWidth="1"/>
    <col min="82" max="83" width="9.1640625" customWidth="1"/>
    <col min="86" max="86" width="10.1640625" customWidth="1"/>
    <col min="88" max="88" width="10.1640625" customWidth="1"/>
    <col min="89" max="89" width="9.83203125" customWidth="1"/>
    <col min="90" max="90" width="14.5" customWidth="1"/>
    <col min="93" max="97" width="11.1640625" customWidth="1"/>
    <col min="99" max="99" width="10.1640625" customWidth="1"/>
    <col min="101" max="104" width="11" customWidth="1"/>
    <col min="105" max="105" width="9.83203125" customWidth="1"/>
    <col min="107" max="111" width="11.33203125" customWidth="1"/>
    <col min="113" max="117" width="12.5" customWidth="1"/>
  </cols>
  <sheetData>
    <row r="1" spans="1:117" x14ac:dyDescent="0.2">
      <c r="A1" s="389" t="s">
        <v>390</v>
      </c>
      <c r="AJ1" s="389" t="s">
        <v>391</v>
      </c>
      <c r="CJ1" s="389" t="s">
        <v>392</v>
      </c>
      <c r="CO1" t="s">
        <v>915</v>
      </c>
      <c r="CW1" t="s">
        <v>916</v>
      </c>
      <c r="DC1" t="s">
        <v>917</v>
      </c>
      <c r="DI1" t="s">
        <v>918</v>
      </c>
    </row>
    <row r="2" spans="1:117" x14ac:dyDescent="0.2">
      <c r="M2" s="389" t="s">
        <v>397</v>
      </c>
      <c r="O2" s="391">
        <f>'Assumptions-Output Override'!E17</f>
        <v>250</v>
      </c>
      <c r="P2" s="391">
        <v>0</v>
      </c>
      <c r="Q2" s="391">
        <f>'Assumptions-Output Override'!D17</f>
        <v>1000</v>
      </c>
      <c r="R2" s="391">
        <f>'PPP Detail Override'!K117</f>
        <v>20.762465690827167</v>
      </c>
      <c r="S2" s="391">
        <f>'Assumptions-Output Override'!G17</f>
        <v>30</v>
      </c>
      <c r="T2" s="391">
        <f>'Assumptions-Output Override'!H17</f>
        <v>60</v>
      </c>
      <c r="U2" s="352"/>
      <c r="Z2" s="389" t="s">
        <v>397</v>
      </c>
      <c r="AB2" s="391">
        <f>'Assumptions-Output Override'!E19</f>
        <v>250</v>
      </c>
      <c r="AC2" s="391">
        <v>0</v>
      </c>
      <c r="AD2" s="391">
        <f>'Assumptions-Output Override'!D19</f>
        <v>1000</v>
      </c>
      <c r="AE2" s="391">
        <f>'Cost Model -Chron Override All'!K117</f>
        <v>35.448435656496983</v>
      </c>
      <c r="AF2" s="391">
        <f>'Assumptions-Output Override'!G19</f>
        <v>30</v>
      </c>
      <c r="AG2" s="391">
        <f>'Assumptions-Output Override'!H19</f>
        <v>60</v>
      </c>
      <c r="BJ2" s="389" t="s">
        <v>398</v>
      </c>
    </row>
    <row r="3" spans="1:117" x14ac:dyDescent="0.2">
      <c r="A3" t="s">
        <v>399</v>
      </c>
    </row>
    <row r="4" spans="1:117" x14ac:dyDescent="0.2">
      <c r="D4" s="982" t="s">
        <v>400</v>
      </c>
      <c r="E4" s="982"/>
      <c r="F4" s="982"/>
      <c r="G4" s="982"/>
      <c r="H4" s="982"/>
      <c r="I4" s="982" t="s">
        <v>401</v>
      </c>
      <c r="J4" s="982"/>
      <c r="K4" s="982"/>
      <c r="L4" s="982"/>
      <c r="M4" s="982"/>
      <c r="N4" s="982"/>
      <c r="O4" s="982" t="s">
        <v>402</v>
      </c>
      <c r="P4" s="982"/>
      <c r="Q4" s="982"/>
      <c r="R4" s="982"/>
      <c r="S4" s="982"/>
      <c r="T4" s="982"/>
      <c r="U4" s="392" t="s">
        <v>403</v>
      </c>
      <c r="V4" s="982" t="s">
        <v>404</v>
      </c>
      <c r="W4" s="982"/>
      <c r="X4" s="982"/>
      <c r="Y4" s="982"/>
      <c r="Z4" s="982"/>
      <c r="AA4" s="982"/>
      <c r="AB4" s="982" t="s">
        <v>405</v>
      </c>
      <c r="AC4" s="982"/>
      <c r="AD4" s="982"/>
      <c r="AE4" s="982"/>
      <c r="AF4" s="982"/>
      <c r="AG4" s="982"/>
      <c r="AH4" s="392" t="s">
        <v>403</v>
      </c>
      <c r="AJ4" s="982" t="s">
        <v>406</v>
      </c>
      <c r="AK4" s="982"/>
      <c r="AL4" s="982"/>
      <c r="AM4" s="982"/>
      <c r="AN4" s="982"/>
      <c r="AO4" s="982" t="s">
        <v>407</v>
      </c>
      <c r="AP4" s="982"/>
      <c r="AQ4" s="982"/>
      <c r="AR4" s="982"/>
      <c r="AS4" s="982"/>
      <c r="AT4" s="982" t="s">
        <v>408</v>
      </c>
      <c r="AU4" s="982"/>
      <c r="AV4" s="982"/>
      <c r="AW4" s="982"/>
      <c r="AX4" s="982"/>
      <c r="AY4" s="982" t="s">
        <v>409</v>
      </c>
      <c r="AZ4" s="982"/>
      <c r="BA4" s="982"/>
      <c r="BB4" s="982"/>
      <c r="BC4" s="982"/>
      <c r="BD4" s="982" t="s">
        <v>410</v>
      </c>
      <c r="BE4" s="982"/>
      <c r="BF4" s="982"/>
      <c r="BG4" s="982"/>
      <c r="BH4" s="982"/>
      <c r="BI4" s="392"/>
      <c r="BJ4" s="982" t="s">
        <v>406</v>
      </c>
      <c r="BK4" s="982"/>
      <c r="BL4" s="982"/>
      <c r="BM4" s="982"/>
      <c r="BN4" s="982"/>
      <c r="BO4" s="982" t="s">
        <v>407</v>
      </c>
      <c r="BP4" s="982"/>
      <c r="BQ4" s="982"/>
      <c r="BR4" s="982"/>
      <c r="BS4" s="982"/>
      <c r="BT4" s="982" t="s">
        <v>408</v>
      </c>
      <c r="BU4" s="982"/>
      <c r="BV4" s="982"/>
      <c r="BW4" s="982"/>
      <c r="BX4" s="982"/>
      <c r="BY4" s="982" t="s">
        <v>409</v>
      </c>
      <c r="BZ4" s="982"/>
      <c r="CA4" s="982"/>
      <c r="CB4" s="982"/>
      <c r="CC4" s="982"/>
      <c r="CD4" s="982" t="s">
        <v>410</v>
      </c>
      <c r="CE4" s="982"/>
      <c r="CF4" s="982"/>
      <c r="CG4" s="982"/>
      <c r="CH4" s="982"/>
      <c r="CJ4" s="389" t="s">
        <v>919</v>
      </c>
      <c r="CU4" s="574" t="s">
        <v>920</v>
      </c>
      <c r="CV4" s="983" t="s">
        <v>308</v>
      </c>
      <c r="CW4" s="984"/>
      <c r="CX4" s="984"/>
      <c r="CY4" s="984"/>
      <c r="CZ4" s="984"/>
      <c r="DA4" s="984"/>
    </row>
    <row r="5" spans="1:117" ht="16" thickBot="1" x14ac:dyDescent="0.25">
      <c r="A5" s="393" t="s">
        <v>412</v>
      </c>
      <c r="B5" s="394" t="s">
        <v>413</v>
      </c>
      <c r="C5" s="395" t="s">
        <v>414</v>
      </c>
      <c r="D5" s="395" t="s">
        <v>415</v>
      </c>
      <c r="E5" s="395" t="s">
        <v>416</v>
      </c>
      <c r="F5" s="395" t="s">
        <v>417</v>
      </c>
      <c r="G5" s="395" t="s">
        <v>418</v>
      </c>
      <c r="H5" s="395" t="s">
        <v>419</v>
      </c>
      <c r="I5" s="395" t="s">
        <v>420</v>
      </c>
      <c r="J5" s="395" t="s">
        <v>421</v>
      </c>
      <c r="K5" s="395" t="s">
        <v>422</v>
      </c>
      <c r="L5" s="395" t="s">
        <v>423</v>
      </c>
      <c r="M5" s="395" t="s">
        <v>424</v>
      </c>
      <c r="N5" s="395" t="s">
        <v>425</v>
      </c>
      <c r="O5" s="395" t="s">
        <v>420</v>
      </c>
      <c r="P5" s="395" t="s">
        <v>421</v>
      </c>
      <c r="Q5" s="395" t="s">
        <v>422</v>
      </c>
      <c r="R5" s="395" t="s">
        <v>423</v>
      </c>
      <c r="S5" s="395" t="s">
        <v>424</v>
      </c>
      <c r="T5" s="395" t="s">
        <v>425</v>
      </c>
      <c r="U5" s="395"/>
      <c r="V5" s="395" t="s">
        <v>426</v>
      </c>
      <c r="W5" s="395" t="s">
        <v>427</v>
      </c>
      <c r="X5" s="395" t="s">
        <v>428</v>
      </c>
      <c r="Y5" s="395" t="s">
        <v>429</v>
      </c>
      <c r="Z5" s="395" t="s">
        <v>430</v>
      </c>
      <c r="AA5" s="395" t="s">
        <v>431</v>
      </c>
      <c r="AB5" s="395" t="s">
        <v>426</v>
      </c>
      <c r="AC5" s="395" t="s">
        <v>427</v>
      </c>
      <c r="AD5" s="395" t="s">
        <v>428</v>
      </c>
      <c r="AE5" s="395" t="s">
        <v>429</v>
      </c>
      <c r="AF5" s="395" t="s">
        <v>430</v>
      </c>
      <c r="AG5" s="395" t="s">
        <v>431</v>
      </c>
      <c r="AH5" s="395"/>
      <c r="AJ5" s="395" t="s">
        <v>415</v>
      </c>
      <c r="AK5" s="395" t="s">
        <v>416</v>
      </c>
      <c r="AL5" s="395" t="s">
        <v>417</v>
      </c>
      <c r="AM5" s="395" t="s">
        <v>418</v>
      </c>
      <c r="AN5" s="395" t="s">
        <v>419</v>
      </c>
      <c r="AO5" s="395" t="s">
        <v>415</v>
      </c>
      <c r="AP5" s="395" t="s">
        <v>416</v>
      </c>
      <c r="AQ5" s="395" t="s">
        <v>417</v>
      </c>
      <c r="AR5" s="395" t="s">
        <v>418</v>
      </c>
      <c r="AS5" s="395" t="s">
        <v>419</v>
      </c>
      <c r="AT5" s="395" t="s">
        <v>415</v>
      </c>
      <c r="AU5" s="395" t="s">
        <v>416</v>
      </c>
      <c r="AV5" s="395" t="s">
        <v>417</v>
      </c>
      <c r="AW5" s="395" t="s">
        <v>418</v>
      </c>
      <c r="AX5" s="395" t="s">
        <v>419</v>
      </c>
      <c r="AY5" s="395" t="s">
        <v>415</v>
      </c>
      <c r="AZ5" s="395" t="s">
        <v>416</v>
      </c>
      <c r="BA5" s="395" t="s">
        <v>417</v>
      </c>
      <c r="BB5" s="395" t="s">
        <v>418</v>
      </c>
      <c r="BC5" s="395" t="s">
        <v>419</v>
      </c>
      <c r="BD5" s="395" t="s">
        <v>415</v>
      </c>
      <c r="BE5" s="395" t="s">
        <v>416</v>
      </c>
      <c r="BF5" s="395" t="s">
        <v>417</v>
      </c>
      <c r="BG5" s="395" t="s">
        <v>418</v>
      </c>
      <c r="BH5" s="395" t="s">
        <v>419</v>
      </c>
      <c r="BI5" s="395"/>
      <c r="BJ5" s="395" t="s">
        <v>415</v>
      </c>
      <c r="BK5" s="395" t="s">
        <v>416</v>
      </c>
      <c r="BL5" s="395" t="s">
        <v>417</v>
      </c>
      <c r="BM5" s="395" t="s">
        <v>418</v>
      </c>
      <c r="BN5" s="395" t="s">
        <v>419</v>
      </c>
      <c r="BO5" s="395" t="s">
        <v>415</v>
      </c>
      <c r="BP5" s="395" t="s">
        <v>416</v>
      </c>
      <c r="BQ5" s="395" t="s">
        <v>417</v>
      </c>
      <c r="BR5" s="395" t="s">
        <v>418</v>
      </c>
      <c r="BS5" s="395" t="s">
        <v>419</v>
      </c>
      <c r="BT5" s="395" t="s">
        <v>415</v>
      </c>
      <c r="BU5" s="395" t="s">
        <v>416</v>
      </c>
      <c r="BV5" s="395" t="s">
        <v>417</v>
      </c>
      <c r="BW5" s="395" t="s">
        <v>418</v>
      </c>
      <c r="BX5" s="395" t="s">
        <v>419</v>
      </c>
      <c r="BY5" s="395" t="s">
        <v>415</v>
      </c>
      <c r="BZ5" s="395" t="s">
        <v>416</v>
      </c>
      <c r="CA5" s="395" t="s">
        <v>417</v>
      </c>
      <c r="CB5" s="395" t="s">
        <v>418</v>
      </c>
      <c r="CC5" s="395" t="s">
        <v>419</v>
      </c>
      <c r="CD5" s="395" t="s">
        <v>415</v>
      </c>
      <c r="CE5" s="395" t="s">
        <v>416</v>
      </c>
      <c r="CF5" s="395" t="s">
        <v>417</v>
      </c>
      <c r="CG5" s="395" t="s">
        <v>418</v>
      </c>
      <c r="CH5" s="395" t="s">
        <v>419</v>
      </c>
      <c r="CJ5" s="396" t="s">
        <v>432</v>
      </c>
      <c r="CK5" s="396" t="s">
        <v>433</v>
      </c>
      <c r="CL5" s="396" t="s">
        <v>434</v>
      </c>
      <c r="CN5" s="396" t="s">
        <v>921</v>
      </c>
      <c r="CO5" s="395" t="s">
        <v>415</v>
      </c>
      <c r="CP5" s="395" t="s">
        <v>416</v>
      </c>
      <c r="CQ5" s="395" t="s">
        <v>417</v>
      </c>
      <c r="CR5" s="395" t="s">
        <v>418</v>
      </c>
      <c r="CS5" s="395" t="s">
        <v>403</v>
      </c>
      <c r="CU5" s="575" t="s">
        <v>922</v>
      </c>
      <c r="CV5" s="576" t="s">
        <v>922</v>
      </c>
      <c r="CW5" s="395" t="s">
        <v>415</v>
      </c>
      <c r="CX5" s="395" t="s">
        <v>416</v>
      </c>
      <c r="CY5" s="395" t="s">
        <v>417</v>
      </c>
      <c r="CZ5" s="395" t="s">
        <v>418</v>
      </c>
      <c r="DA5" s="395" t="s">
        <v>403</v>
      </c>
      <c r="DC5" s="395" t="s">
        <v>415</v>
      </c>
      <c r="DD5" s="395" t="s">
        <v>416</v>
      </c>
      <c r="DE5" s="395" t="s">
        <v>417</v>
      </c>
      <c r="DF5" s="395" t="s">
        <v>418</v>
      </c>
      <c r="DG5" s="395" t="s">
        <v>403</v>
      </c>
      <c r="DI5" s="395" t="s">
        <v>415</v>
      </c>
      <c r="DJ5" s="395" t="s">
        <v>416</v>
      </c>
      <c r="DK5" s="395" t="s">
        <v>417</v>
      </c>
      <c r="DL5" s="395" t="s">
        <v>418</v>
      </c>
      <c r="DM5" s="395" t="s">
        <v>403</v>
      </c>
    </row>
    <row r="6" spans="1:117" ht="16" thickTop="1" x14ac:dyDescent="0.2">
      <c r="A6">
        <v>1</v>
      </c>
      <c r="B6" s="397">
        <v>34308</v>
      </c>
      <c r="C6" s="398">
        <v>397997.79676138877</v>
      </c>
      <c r="D6" s="399">
        <v>0</v>
      </c>
      <c r="E6" s="399">
        <v>0</v>
      </c>
      <c r="F6" s="399">
        <v>0</v>
      </c>
      <c r="G6" s="399">
        <v>0</v>
      </c>
      <c r="H6" s="399">
        <v>0</v>
      </c>
      <c r="I6" s="400">
        <v>0</v>
      </c>
      <c r="J6" s="400">
        <v>0</v>
      </c>
      <c r="K6" s="400">
        <v>0</v>
      </c>
      <c r="L6" s="400">
        <v>0</v>
      </c>
      <c r="M6" s="400">
        <v>0</v>
      </c>
      <c r="N6" s="400">
        <v>0</v>
      </c>
      <c r="O6" s="399">
        <f t="shared" ref="O6:T21" si="0">I6*O$2</f>
        <v>0</v>
      </c>
      <c r="P6" s="399">
        <f t="shared" si="0"/>
        <v>0</v>
      </c>
      <c r="Q6" s="399">
        <f t="shared" si="0"/>
        <v>0</v>
      </c>
      <c r="R6" s="399">
        <f t="shared" si="0"/>
        <v>0</v>
      </c>
      <c r="S6" s="399">
        <f t="shared" si="0"/>
        <v>0</v>
      </c>
      <c r="T6" s="399">
        <f t="shared" si="0"/>
        <v>0</v>
      </c>
      <c r="U6" s="399">
        <f>SUM(O6:T6)</f>
        <v>0</v>
      </c>
      <c r="V6" s="400">
        <v>0</v>
      </c>
      <c r="W6" s="400">
        <v>0</v>
      </c>
      <c r="X6" s="400">
        <v>0</v>
      </c>
      <c r="Y6" s="400">
        <v>0</v>
      </c>
      <c r="Z6" s="400">
        <v>0</v>
      </c>
      <c r="AA6" s="400">
        <v>0</v>
      </c>
      <c r="AB6" s="352">
        <f t="shared" ref="AB6:AG21" si="1">V6*AB$2</f>
        <v>0</v>
      </c>
      <c r="AC6" s="352">
        <f t="shared" si="1"/>
        <v>0</v>
      </c>
      <c r="AD6" s="352">
        <f t="shared" si="1"/>
        <v>0</v>
      </c>
      <c r="AE6" s="352">
        <f t="shared" si="1"/>
        <v>0</v>
      </c>
      <c r="AF6" s="352">
        <f t="shared" si="1"/>
        <v>0</v>
      </c>
      <c r="AG6" s="352">
        <f t="shared" si="1"/>
        <v>0</v>
      </c>
      <c r="AH6" s="400">
        <f>SUM(AB6:AG6)</f>
        <v>0</v>
      </c>
      <c r="AJ6" s="352">
        <f>D6*('Assumptions-Output Override'!$D$10/'Winners-Losers HRA'!$H$107)*(1+'Assumptions-Output Override'!$F$41)</f>
        <v>0</v>
      </c>
      <c r="AK6" s="352">
        <f>E6*('Assumptions-Output Override'!$D$10/'Winners-Losers HRA'!$H$107)*(1+'Assumptions-Output Override'!$F$37)</f>
        <v>0</v>
      </c>
      <c r="AL6" s="352">
        <f>F6*('Assumptions-Output Override'!$D$10/'Winners-Losers HRA'!$H$107)*(1+'Assumptions-Output Override'!$F$38)</f>
        <v>0</v>
      </c>
      <c r="AM6" s="352">
        <f>G6*('Shoppable Detail'!$X$21/'Shoppable Detail'!$H$21)*('Assumptions-Output Override'!$D$10/'Winners-Losers HRA'!$H$107)*(1+'Assumptions-Output Override'!$F$39)</f>
        <v>0</v>
      </c>
      <c r="AN6" s="352">
        <f>SUM(AJ6:AM6)</f>
        <v>0</v>
      </c>
      <c r="AO6" s="352">
        <v>0</v>
      </c>
      <c r="AP6" s="352">
        <f>U6*'Assumptions-Output Override'!$D$10/'Winners-Losers HRA'!$H$107*(1+'Assumptions-Output Override'!$F$37)</f>
        <v>0</v>
      </c>
      <c r="AQ6" s="352">
        <f>AH6*'Assumptions-Output Override'!$D$10/'Winners-Losers HRA'!$H$107*(1+'Assumptions-Output Override'!$F$38)</f>
        <v>0</v>
      </c>
      <c r="AR6" s="352">
        <f>AM6*('Shoppable Detail'!$AA$23/'Shoppable Detail'!$Y$23)</f>
        <v>0</v>
      </c>
      <c r="AS6" s="352">
        <f>SUM(AO6:AR6)</f>
        <v>0</v>
      </c>
      <c r="AT6" s="352">
        <f>AJ6-AO6</f>
        <v>0</v>
      </c>
      <c r="AU6" s="352">
        <f>AK6-AP6</f>
        <v>0</v>
      </c>
      <c r="AV6" s="352">
        <f>AL6-AQ6</f>
        <v>0</v>
      </c>
      <c r="AW6" s="352">
        <f>AM6-AR6</f>
        <v>0</v>
      </c>
      <c r="AX6" s="352">
        <f>SUM(AT6:AW6)</f>
        <v>0</v>
      </c>
      <c r="AY6" s="352">
        <f>AT6*'Assumptions-Output Override'!$D$24</f>
        <v>0</v>
      </c>
      <c r="AZ6" s="352">
        <f>$AU$107*'Assumptions-Output Override'!$D$21</f>
        <v>46.041131296780591</v>
      </c>
      <c r="BA6" s="352">
        <f>AV6*'Assumptions-Output Override'!$D$22</f>
        <v>0</v>
      </c>
      <c r="BB6" s="352">
        <f>AW6*'Assumptions-Output Override'!$D$23</f>
        <v>0</v>
      </c>
      <c r="BC6" s="352">
        <f>SUM(AY6:BB6)</f>
        <v>46.041131296780591</v>
      </c>
      <c r="BD6" s="352">
        <f>AO6+AY6</f>
        <v>0</v>
      </c>
      <c r="BE6" s="352">
        <f>AP6+AZ6</f>
        <v>46.041131296780591</v>
      </c>
      <c r="BF6" s="352">
        <f>AQ6+BA6</f>
        <v>0</v>
      </c>
      <c r="BG6" s="352">
        <f>AR6+BB6</f>
        <v>0</v>
      </c>
      <c r="BH6" s="352">
        <f>SUM(BD6:BG6)</f>
        <v>46.041131296780591</v>
      </c>
      <c r="BJ6" s="401">
        <f>D6*'Assumptions-Output Override'!$D$10/'Winners-Losers HRA'!$H$107</f>
        <v>0</v>
      </c>
      <c r="BK6" s="401">
        <f>E6*'Assumptions-Output Override'!$D$10/'Winners-Losers HRA'!$H$107</f>
        <v>0</v>
      </c>
      <c r="BL6" s="401">
        <f>F6*'Assumptions-Output Override'!$D$10/'Winners-Losers HRA'!$H$107</f>
        <v>0</v>
      </c>
      <c r="BM6" s="401">
        <f>G6*'Assumptions-Output Override'!$D$10/'Winners-Losers HRA'!$H$107</f>
        <v>0</v>
      </c>
      <c r="BN6" s="401">
        <f t="shared" ref="BN6:BN69" si="2">SUM(BJ6:BM6)</f>
        <v>0</v>
      </c>
      <c r="BO6" s="401">
        <f>BJ6*(1-'Assumptions-Output Override'!$D$11)</f>
        <v>0</v>
      </c>
      <c r="BP6" s="401">
        <f>BK6*(1-'Assumptions-Output Override'!$D$11)</f>
        <v>0</v>
      </c>
      <c r="BQ6" s="401">
        <f>BL6*(1-'Assumptions-Output Override'!$D$11)</f>
        <v>0</v>
      </c>
      <c r="BR6" s="401">
        <f>BM6*(1-'Assumptions-Output Override'!$D$11)</f>
        <v>0</v>
      </c>
      <c r="BS6" s="352">
        <f t="shared" ref="BS6:BS69" si="3">SUM(BO6:BR6)</f>
        <v>0</v>
      </c>
      <c r="BT6" s="352">
        <f>BJ6-BO6</f>
        <v>0</v>
      </c>
      <c r="BU6" s="352">
        <f>BK6-BP6</f>
        <v>0</v>
      </c>
      <c r="BV6" s="352">
        <f>BL6-BQ6</f>
        <v>0</v>
      </c>
      <c r="BW6" s="352">
        <f>BM6-BR6</f>
        <v>0</v>
      </c>
      <c r="BX6" s="352">
        <f t="shared" ref="BX6:BX69" si="4">SUM(BT6:BW6)</f>
        <v>0</v>
      </c>
      <c r="BY6" s="352">
        <f>BT$107*(1-'Assumptions-Output Override'!$D$12)</f>
        <v>22.753074310428271</v>
      </c>
      <c r="BZ6" s="352">
        <f>BU$107*(1-'Assumptions-Output Override'!$D$12)</f>
        <v>51.446038369839215</v>
      </c>
      <c r="CA6" s="352">
        <f>BV$107*(1-'Assumptions-Output Override'!$D$12)</f>
        <v>9.7401900534537411</v>
      </c>
      <c r="CB6" s="352">
        <f>BW$107*(1-'Assumptions-Output Override'!$D$12)</f>
        <v>1.7000814189516649</v>
      </c>
      <c r="CC6" s="352">
        <f t="shared" ref="CC6:CC69" si="5">SUM(BY6:CB6)</f>
        <v>85.639384152672903</v>
      </c>
      <c r="CD6" s="352">
        <f>BO6+BY6</f>
        <v>22.753074310428271</v>
      </c>
      <c r="CE6" s="352">
        <f>BP6+BZ6</f>
        <v>51.446038369839215</v>
      </c>
      <c r="CF6" s="352">
        <f>BQ6+CA6</f>
        <v>9.7401900534537411</v>
      </c>
      <c r="CG6" s="352">
        <f>BR6+CB6</f>
        <v>1.7000814189516649</v>
      </c>
      <c r="CH6" s="352">
        <f t="shared" ref="CH6:CH69" si="6">SUM(CD6:CG6)</f>
        <v>85.639384152672903</v>
      </c>
      <c r="CJ6" s="352">
        <f>CH6</f>
        <v>85.639384152672903</v>
      </c>
      <c r="CK6" s="352">
        <f>MIN(CS6,$CK$110)</f>
        <v>0</v>
      </c>
      <c r="CL6" s="352">
        <f>CJ6-CK6</f>
        <v>85.639384152672903</v>
      </c>
      <c r="CN6" s="352">
        <f>('HRA Balance Calc'!U18+'HRA Balance Calc'!V18+'HRA Balance Calc'!W18+'HRA Balance Calc'!X18)/12</f>
        <v>-24.021739760490163</v>
      </c>
      <c r="CO6" s="352">
        <f>('HRA Balance Calc'!Q18+IF('HRA Balance Calc'!L18&lt;0,-'HRA Balance Calc'!L18,0))/12</f>
        <v>0</v>
      </c>
      <c r="CP6" s="352">
        <f>('HRA Balance Calc'!N18)/12</f>
        <v>0</v>
      </c>
      <c r="CQ6" s="352">
        <f>('HRA Balance Calc'!O18)/12</f>
        <v>0</v>
      </c>
      <c r="CR6" s="352">
        <f>('HRA Balance Calc'!P18)/12</f>
        <v>0</v>
      </c>
      <c r="CS6" s="352">
        <f t="shared" ref="CS6:CS69" si="7">SUM(CO6:CR6)</f>
        <v>0</v>
      </c>
      <c r="CU6" s="577">
        <f>CV6*12</f>
        <v>1315.9334869579568</v>
      </c>
      <c r="CV6" s="352">
        <f>CC6-CN6</f>
        <v>109.66112391316307</v>
      </c>
      <c r="CW6" s="352">
        <f t="shared" ref="CW6:CZ17" si="8">D6-BJ6</f>
        <v>0</v>
      </c>
      <c r="CX6" s="352">
        <f t="shared" si="8"/>
        <v>0</v>
      </c>
      <c r="CY6" s="352">
        <f t="shared" si="8"/>
        <v>0</v>
      </c>
      <c r="CZ6" s="352">
        <f t="shared" si="8"/>
        <v>0</v>
      </c>
      <c r="DA6" s="352">
        <f t="shared" ref="DA6:DA69" si="9">SUM(CW6:CZ6)</f>
        <v>0</v>
      </c>
      <c r="DC6" s="352">
        <f>('HRA Balance Calc'!Q18+'HRA Balance Calc'!X18+IF('HRA Balance Calc'!L18&lt;0,-'HRA Balance Calc'!L18,0))/12</f>
        <v>0</v>
      </c>
      <c r="DD6" s="352">
        <f>('HRA Balance Calc'!N18+'HRA Balance Calc'!U18)/12</f>
        <v>-24.021739760490163</v>
      </c>
      <c r="DE6" s="352">
        <f>('HRA Balance Calc'!O18+'HRA Balance Calc'!V18)/12</f>
        <v>0</v>
      </c>
      <c r="DF6" s="352">
        <f>('HRA Balance Calc'!P18+'HRA Balance Calc'!W18)/12</f>
        <v>0</v>
      </c>
      <c r="DG6" s="352">
        <f>SUM(DC6:DF6)</f>
        <v>-24.021739760490163</v>
      </c>
      <c r="DI6" s="352">
        <f>CD6-DC6</f>
        <v>22.753074310428271</v>
      </c>
      <c r="DJ6" s="352">
        <f>CE6-DD6</f>
        <v>75.467778130329378</v>
      </c>
      <c r="DK6" s="352">
        <f>CF6-DE6</f>
        <v>9.7401900534537411</v>
      </c>
      <c r="DL6" s="352">
        <f>CG6-DF6</f>
        <v>1.7000814189516649</v>
      </c>
      <c r="DM6" s="352">
        <f>CH6-DG6</f>
        <v>109.66112391316307</v>
      </c>
    </row>
    <row r="7" spans="1:117" x14ac:dyDescent="0.2">
      <c r="A7">
        <f>A6+1</f>
        <v>2</v>
      </c>
      <c r="B7" s="397">
        <v>34308</v>
      </c>
      <c r="C7" s="398">
        <v>397997.79676138877</v>
      </c>
      <c r="D7" s="399">
        <v>0</v>
      </c>
      <c r="E7" s="399">
        <v>0</v>
      </c>
      <c r="F7" s="399">
        <v>0</v>
      </c>
      <c r="G7" s="399">
        <v>0</v>
      </c>
      <c r="H7" s="399">
        <v>0</v>
      </c>
      <c r="I7" s="400">
        <v>0</v>
      </c>
      <c r="J7" s="400">
        <v>0</v>
      </c>
      <c r="K7" s="400">
        <v>0</v>
      </c>
      <c r="L7" s="400">
        <v>0</v>
      </c>
      <c r="M7" s="400">
        <v>0</v>
      </c>
      <c r="N7" s="400">
        <v>0</v>
      </c>
      <c r="O7" s="399">
        <f t="shared" si="0"/>
        <v>0</v>
      </c>
      <c r="P7" s="399">
        <f t="shared" si="0"/>
        <v>0</v>
      </c>
      <c r="Q7" s="399">
        <f t="shared" si="0"/>
        <v>0</v>
      </c>
      <c r="R7" s="399">
        <f t="shared" si="0"/>
        <v>0</v>
      </c>
      <c r="S7" s="399">
        <f t="shared" si="0"/>
        <v>0</v>
      </c>
      <c r="T7" s="399">
        <f t="shared" si="0"/>
        <v>0</v>
      </c>
      <c r="U7" s="399">
        <f t="shared" ref="U7:U70" si="10">SUM(O7:T7)</f>
        <v>0</v>
      </c>
      <c r="V7" s="400">
        <v>0</v>
      </c>
      <c r="W7" s="400">
        <v>0</v>
      </c>
      <c r="X7" s="400">
        <v>0</v>
      </c>
      <c r="Y7" s="400">
        <v>0</v>
      </c>
      <c r="Z7" s="400">
        <v>0</v>
      </c>
      <c r="AA7" s="400">
        <v>0</v>
      </c>
      <c r="AB7" s="352">
        <f t="shared" si="1"/>
        <v>0</v>
      </c>
      <c r="AC7" s="352">
        <f t="shared" si="1"/>
        <v>0</v>
      </c>
      <c r="AD7" s="352">
        <f t="shared" si="1"/>
        <v>0</v>
      </c>
      <c r="AE7" s="352">
        <f t="shared" si="1"/>
        <v>0</v>
      </c>
      <c r="AF7" s="352">
        <f t="shared" si="1"/>
        <v>0</v>
      </c>
      <c r="AG7" s="352">
        <f t="shared" si="1"/>
        <v>0</v>
      </c>
      <c r="AH7" s="400">
        <f t="shared" ref="AH7:AH70" si="11">SUM(AB7:AG7)</f>
        <v>0</v>
      </c>
      <c r="AJ7" s="352">
        <f>D7*('Assumptions-Output Override'!$D$10/'Winners-Losers HRA'!$H$107)*(1+'Assumptions-Output Override'!$F$41)</f>
        <v>0</v>
      </c>
      <c r="AK7" s="352">
        <f>E7*('Assumptions-Output Override'!$D$10/'Winners-Losers HRA'!$H$107)*(1+'Assumptions-Output Override'!$F$37)</f>
        <v>0</v>
      </c>
      <c r="AL7" s="352">
        <f>F7*('Assumptions-Output Override'!$D$10/'Winners-Losers HRA'!$H$107)*(1+'Assumptions-Output Override'!$F$38)</f>
        <v>0</v>
      </c>
      <c r="AM7" s="352">
        <f>G7*('Shoppable Detail'!$X$21/'Shoppable Detail'!$H$21)*('Assumptions-Output Override'!$D$10/'Winners-Losers HRA'!$H$107)*(1+'Assumptions-Output Override'!$F$39)</f>
        <v>0</v>
      </c>
      <c r="AN7" s="352">
        <f t="shared" ref="AN7:AN70" si="12">SUM(AJ7:AM7)</f>
        <v>0</v>
      </c>
      <c r="AO7" s="352">
        <v>0</v>
      </c>
      <c r="AP7" s="352">
        <f>U7*'Assumptions-Output Override'!$D$10/'Winners-Losers HRA'!$H$107*(1+'Assumptions-Output Override'!$F$37)</f>
        <v>0</v>
      </c>
      <c r="AQ7" s="352">
        <f>AH7*'Assumptions-Output Override'!$D$10/'Winners-Losers HRA'!$H$107*(1+'Assumptions-Output Override'!$F$38)</f>
        <v>0</v>
      </c>
      <c r="AR7" s="352">
        <f>AM7*('Shoppable Detail'!$AA$23/'Shoppable Detail'!$Y$23)</f>
        <v>0</v>
      </c>
      <c r="AS7" s="352">
        <f t="shared" ref="AS7:AS70" si="13">SUM(AO7:AR7)</f>
        <v>0</v>
      </c>
      <c r="AT7" s="352">
        <f t="shared" ref="AT7:AW70" si="14">AJ7-AO7</f>
        <v>0</v>
      </c>
      <c r="AU7" s="352">
        <f t="shared" si="14"/>
        <v>0</v>
      </c>
      <c r="AV7" s="352">
        <f t="shared" si="14"/>
        <v>0</v>
      </c>
      <c r="AW7" s="352">
        <f t="shared" si="14"/>
        <v>0</v>
      </c>
      <c r="AX7" s="352">
        <f t="shared" ref="AX7:AX70" si="15">SUM(AT7:AW7)</f>
        <v>0</v>
      </c>
      <c r="AY7" s="352">
        <f>AT7*'Assumptions-Output Override'!$D$24</f>
        <v>0</v>
      </c>
      <c r="AZ7" s="352">
        <f>$AU$107*'Assumptions-Output Override'!$D$21</f>
        <v>46.041131296780591</v>
      </c>
      <c r="BA7" s="352">
        <f>AV7*'Assumptions-Output Override'!$D$22</f>
        <v>0</v>
      </c>
      <c r="BB7" s="352">
        <f>AW7*'Assumptions-Output Override'!$D$23</f>
        <v>0</v>
      </c>
      <c r="BC7" s="352">
        <f t="shared" ref="BC7:BC70" si="16">SUM(AY7:BB7)</f>
        <v>46.041131296780591</v>
      </c>
      <c r="BD7" s="352">
        <f t="shared" ref="BD7:BG70" si="17">AO7+AY7</f>
        <v>0</v>
      </c>
      <c r="BE7" s="352">
        <f t="shared" si="17"/>
        <v>46.041131296780591</v>
      </c>
      <c r="BF7" s="352">
        <f t="shared" si="17"/>
        <v>0</v>
      </c>
      <c r="BG7" s="352">
        <f t="shared" si="17"/>
        <v>0</v>
      </c>
      <c r="BH7" s="352">
        <f t="shared" ref="BH7:BH70" si="18">SUM(BD7:BG7)</f>
        <v>46.041131296780591</v>
      </c>
      <c r="BJ7" s="401">
        <f>D7*'Assumptions-Output Override'!$D$10/'Winners-Losers HRA'!$H$107</f>
        <v>0</v>
      </c>
      <c r="BK7" s="401">
        <f>E7*'Assumptions-Output Override'!$D$10/'Winners-Losers HRA'!$H$107</f>
        <v>0</v>
      </c>
      <c r="BL7" s="401">
        <f>F7*'Assumptions-Output Override'!$D$10/'Winners-Losers HRA'!$H$107</f>
        <v>0</v>
      </c>
      <c r="BM7" s="401">
        <f>G7*'Assumptions-Output Override'!$D$10/'Winners-Losers HRA'!$H$107</f>
        <v>0</v>
      </c>
      <c r="BN7" s="401">
        <f t="shared" si="2"/>
        <v>0</v>
      </c>
      <c r="BO7" s="401">
        <f>BJ7*(1-'Assumptions-Output Override'!$D$11)</f>
        <v>0</v>
      </c>
      <c r="BP7" s="401">
        <f>BK7*(1-'Assumptions-Output Override'!$D$11)</f>
        <v>0</v>
      </c>
      <c r="BQ7" s="401">
        <f>BL7*(1-'Assumptions-Output Override'!$D$11)</f>
        <v>0</v>
      </c>
      <c r="BR7" s="401">
        <f>BM7*(1-'Assumptions-Output Override'!$D$11)</f>
        <v>0</v>
      </c>
      <c r="BS7" s="352">
        <f t="shared" si="3"/>
        <v>0</v>
      </c>
      <c r="BT7" s="352">
        <f t="shared" ref="BT7:BW70" si="19">BJ7-BO7</f>
        <v>0</v>
      </c>
      <c r="BU7" s="352">
        <f t="shared" si="19"/>
        <v>0</v>
      </c>
      <c r="BV7" s="352">
        <f t="shared" si="19"/>
        <v>0</v>
      </c>
      <c r="BW7" s="352">
        <f t="shared" si="19"/>
        <v>0</v>
      </c>
      <c r="BX7" s="352">
        <f t="shared" si="4"/>
        <v>0</v>
      </c>
      <c r="BY7" s="352">
        <f>BT$107*(1-'Assumptions-Output Override'!$D$12)</f>
        <v>22.753074310428271</v>
      </c>
      <c r="BZ7" s="352">
        <f>BU$107*(1-'Assumptions-Output Override'!$D$12)</f>
        <v>51.446038369839215</v>
      </c>
      <c r="CA7" s="352">
        <f>BV$107*(1-'Assumptions-Output Override'!$D$12)</f>
        <v>9.7401900534537411</v>
      </c>
      <c r="CB7" s="352">
        <f>BW$107*(1-'Assumptions-Output Override'!$D$12)</f>
        <v>1.7000814189516649</v>
      </c>
      <c r="CC7" s="352">
        <f t="shared" si="5"/>
        <v>85.639384152672903</v>
      </c>
      <c r="CD7" s="352">
        <f t="shared" ref="CD7:CG70" si="20">BO7+BY7</f>
        <v>22.753074310428271</v>
      </c>
      <c r="CE7" s="352">
        <f t="shared" si="20"/>
        <v>51.446038369839215</v>
      </c>
      <c r="CF7" s="352">
        <f t="shared" si="20"/>
        <v>9.7401900534537411</v>
      </c>
      <c r="CG7" s="352">
        <f t="shared" si="20"/>
        <v>1.7000814189516649</v>
      </c>
      <c r="CH7" s="352">
        <f t="shared" si="6"/>
        <v>85.639384152672903</v>
      </c>
      <c r="CJ7" s="352">
        <f t="shared" ref="CJ7:CJ70" si="21">CH7</f>
        <v>85.639384152672903</v>
      </c>
      <c r="CK7" s="352">
        <f t="shared" ref="CK7:CK70" si="22">MIN(CS7,$CK$110)</f>
        <v>0</v>
      </c>
      <c r="CL7" s="352">
        <f t="shared" ref="CL7:CL70" si="23">CJ7-CK7</f>
        <v>85.639384152672903</v>
      </c>
      <c r="CN7" s="352">
        <f>('HRA Balance Calc'!U19+'HRA Balance Calc'!V19+'HRA Balance Calc'!W19+'HRA Balance Calc'!X19)/12</f>
        <v>-24.021739760490163</v>
      </c>
      <c r="CO7" s="352">
        <f>('HRA Balance Calc'!Q19+IF('HRA Balance Calc'!L19&lt;0,-'HRA Balance Calc'!L19,0))/12</f>
        <v>0</v>
      </c>
      <c r="CP7" s="352">
        <f>('HRA Balance Calc'!N19)/12</f>
        <v>0</v>
      </c>
      <c r="CQ7" s="352">
        <f>('HRA Balance Calc'!O19)/12</f>
        <v>0</v>
      </c>
      <c r="CR7" s="352">
        <f>('HRA Balance Calc'!P19)/12</f>
        <v>0</v>
      </c>
      <c r="CS7" s="352">
        <f t="shared" si="7"/>
        <v>0</v>
      </c>
      <c r="CU7" s="577">
        <f t="shared" ref="CU7:CU70" si="24">CV7*12</f>
        <v>1315.9334869579568</v>
      </c>
      <c r="CV7" s="352">
        <f t="shared" ref="CV7:CV70" si="25">CC7-CN7</f>
        <v>109.66112391316307</v>
      </c>
      <c r="CW7" s="352">
        <f t="shared" si="8"/>
        <v>0</v>
      </c>
      <c r="CX7" s="352">
        <f t="shared" si="8"/>
        <v>0</v>
      </c>
      <c r="CY7" s="352">
        <f t="shared" si="8"/>
        <v>0</v>
      </c>
      <c r="CZ7" s="352">
        <f t="shared" si="8"/>
        <v>0</v>
      </c>
      <c r="DA7" s="352">
        <f t="shared" si="9"/>
        <v>0</v>
      </c>
      <c r="DC7" s="352">
        <f>('HRA Balance Calc'!Q19+'HRA Balance Calc'!X19+IF('HRA Balance Calc'!L19&lt;0,-'HRA Balance Calc'!L19,0))/12</f>
        <v>0</v>
      </c>
      <c r="DD7" s="352">
        <f>('HRA Balance Calc'!N19+'HRA Balance Calc'!U19)/12</f>
        <v>-24.021739760490163</v>
      </c>
      <c r="DE7" s="352">
        <f>('HRA Balance Calc'!O19+'HRA Balance Calc'!V19)/12</f>
        <v>0</v>
      </c>
      <c r="DF7" s="352">
        <f>('HRA Balance Calc'!P19+'HRA Balance Calc'!W19)/12</f>
        <v>0</v>
      </c>
      <c r="DG7" s="352">
        <f t="shared" ref="DG7:DG70" si="26">SUM(DC7:DF7)</f>
        <v>-24.021739760490163</v>
      </c>
      <c r="DI7" s="352">
        <f t="shared" ref="DI7:DM57" si="27">CD7-DC7</f>
        <v>22.753074310428271</v>
      </c>
      <c r="DJ7" s="352">
        <f t="shared" si="27"/>
        <v>75.467778130329378</v>
      </c>
      <c r="DK7" s="352">
        <f t="shared" si="27"/>
        <v>9.7401900534537411</v>
      </c>
      <c r="DL7" s="352">
        <f t="shared" si="27"/>
        <v>1.7000814189516649</v>
      </c>
      <c r="DM7" s="352">
        <f t="shared" si="27"/>
        <v>109.66112391316307</v>
      </c>
    </row>
    <row r="8" spans="1:117" x14ac:dyDescent="0.2">
      <c r="A8">
        <f t="shared" ref="A8:A26" si="28">A7+1</f>
        <v>3</v>
      </c>
      <c r="B8" s="397">
        <v>34308</v>
      </c>
      <c r="C8" s="398">
        <v>397997.79676138877</v>
      </c>
      <c r="D8" s="399">
        <v>0</v>
      </c>
      <c r="E8" s="399">
        <v>0</v>
      </c>
      <c r="F8" s="399">
        <v>0</v>
      </c>
      <c r="G8" s="399">
        <v>0</v>
      </c>
      <c r="H8" s="399">
        <v>0</v>
      </c>
      <c r="I8" s="400">
        <v>0</v>
      </c>
      <c r="J8" s="400">
        <v>0</v>
      </c>
      <c r="K8" s="400">
        <v>0</v>
      </c>
      <c r="L8" s="400">
        <v>0</v>
      </c>
      <c r="M8" s="400">
        <v>0</v>
      </c>
      <c r="N8" s="400">
        <v>0</v>
      </c>
      <c r="O8" s="399">
        <f t="shared" si="0"/>
        <v>0</v>
      </c>
      <c r="P8" s="399">
        <f t="shared" si="0"/>
        <v>0</v>
      </c>
      <c r="Q8" s="399">
        <f t="shared" si="0"/>
        <v>0</v>
      </c>
      <c r="R8" s="399">
        <f t="shared" si="0"/>
        <v>0</v>
      </c>
      <c r="S8" s="399">
        <f t="shared" si="0"/>
        <v>0</v>
      </c>
      <c r="T8" s="399">
        <f t="shared" si="0"/>
        <v>0</v>
      </c>
      <c r="U8" s="399">
        <f t="shared" si="10"/>
        <v>0</v>
      </c>
      <c r="V8" s="400">
        <v>0</v>
      </c>
      <c r="W8" s="400">
        <v>0</v>
      </c>
      <c r="X8" s="400">
        <v>0</v>
      </c>
      <c r="Y8" s="400">
        <v>0</v>
      </c>
      <c r="Z8" s="400">
        <v>0</v>
      </c>
      <c r="AA8" s="400">
        <v>0</v>
      </c>
      <c r="AB8" s="352">
        <f t="shared" si="1"/>
        <v>0</v>
      </c>
      <c r="AC8" s="352">
        <f t="shared" si="1"/>
        <v>0</v>
      </c>
      <c r="AD8" s="352">
        <f t="shared" si="1"/>
        <v>0</v>
      </c>
      <c r="AE8" s="352">
        <f t="shared" si="1"/>
        <v>0</v>
      </c>
      <c r="AF8" s="352">
        <f t="shared" si="1"/>
        <v>0</v>
      </c>
      <c r="AG8" s="352">
        <f t="shared" si="1"/>
        <v>0</v>
      </c>
      <c r="AH8" s="400">
        <f t="shared" si="11"/>
        <v>0</v>
      </c>
      <c r="AJ8" s="352">
        <f>D8*('Assumptions-Output Override'!$D$10/'Winners-Losers HRA'!$H$107)*(1+'Assumptions-Output Override'!$F$41)</f>
        <v>0</v>
      </c>
      <c r="AK8" s="352">
        <f>E8*('Assumptions-Output Override'!$D$10/'Winners-Losers HRA'!$H$107)*(1+'Assumptions-Output Override'!$F$37)</f>
        <v>0</v>
      </c>
      <c r="AL8" s="352">
        <f>F8*('Assumptions-Output Override'!$D$10/'Winners-Losers HRA'!$H$107)*(1+'Assumptions-Output Override'!$F$38)</f>
        <v>0</v>
      </c>
      <c r="AM8" s="352">
        <f>G8*('Shoppable Detail'!$X$21/'Shoppable Detail'!$H$21)*('Assumptions-Output Override'!$D$10/'Winners-Losers HRA'!$H$107)*(1+'Assumptions-Output Override'!$F$39)</f>
        <v>0</v>
      </c>
      <c r="AN8" s="352">
        <f t="shared" si="12"/>
        <v>0</v>
      </c>
      <c r="AO8" s="352">
        <v>0</v>
      </c>
      <c r="AP8" s="352">
        <f>U8*'Assumptions-Output Override'!$D$10/'Winners-Losers HRA'!$H$107*(1+'Assumptions-Output Override'!$F$37)</f>
        <v>0</v>
      </c>
      <c r="AQ8" s="352">
        <f>AH8*'Assumptions-Output Override'!$D$10/'Winners-Losers HRA'!$H$107*(1+'Assumptions-Output Override'!$F$38)</f>
        <v>0</v>
      </c>
      <c r="AR8" s="352">
        <f>AM8*('Shoppable Detail'!$AA$23/'Shoppable Detail'!$Y$23)</f>
        <v>0</v>
      </c>
      <c r="AS8" s="352">
        <f t="shared" si="13"/>
        <v>0</v>
      </c>
      <c r="AT8" s="352">
        <f t="shared" si="14"/>
        <v>0</v>
      </c>
      <c r="AU8" s="352">
        <f t="shared" si="14"/>
        <v>0</v>
      </c>
      <c r="AV8" s="352">
        <f t="shared" si="14"/>
        <v>0</v>
      </c>
      <c r="AW8" s="352">
        <f t="shared" si="14"/>
        <v>0</v>
      </c>
      <c r="AX8" s="352">
        <f t="shared" si="15"/>
        <v>0</v>
      </c>
      <c r="AY8" s="352">
        <f>AT8*'Assumptions-Output Override'!$D$24</f>
        <v>0</v>
      </c>
      <c r="AZ8" s="352">
        <f>$AU$107*'Assumptions-Output Override'!$D$21</f>
        <v>46.041131296780591</v>
      </c>
      <c r="BA8" s="352">
        <f>AV8*'Assumptions-Output Override'!$D$22</f>
        <v>0</v>
      </c>
      <c r="BB8" s="352">
        <f>AW8*'Assumptions-Output Override'!$D$23</f>
        <v>0</v>
      </c>
      <c r="BC8" s="352">
        <f t="shared" si="16"/>
        <v>46.041131296780591</v>
      </c>
      <c r="BD8" s="352">
        <f t="shared" si="17"/>
        <v>0</v>
      </c>
      <c r="BE8" s="352">
        <f t="shared" si="17"/>
        <v>46.041131296780591</v>
      </c>
      <c r="BF8" s="352">
        <f t="shared" si="17"/>
        <v>0</v>
      </c>
      <c r="BG8" s="352">
        <f t="shared" si="17"/>
        <v>0</v>
      </c>
      <c r="BH8" s="352">
        <f t="shared" si="18"/>
        <v>46.041131296780591</v>
      </c>
      <c r="BJ8" s="401">
        <f>D8*'Assumptions-Output Override'!$D$10/'Winners-Losers HRA'!$H$107</f>
        <v>0</v>
      </c>
      <c r="BK8" s="401">
        <f>E8*'Assumptions-Output Override'!$D$10/'Winners-Losers HRA'!$H$107</f>
        <v>0</v>
      </c>
      <c r="BL8" s="401">
        <f>F8*'Assumptions-Output Override'!$D$10/'Winners-Losers HRA'!$H$107</f>
        <v>0</v>
      </c>
      <c r="BM8" s="401">
        <f>G8*'Assumptions-Output Override'!$D$10/'Winners-Losers HRA'!$H$107</f>
        <v>0</v>
      </c>
      <c r="BN8" s="401">
        <f t="shared" si="2"/>
        <v>0</v>
      </c>
      <c r="BO8" s="401">
        <f>BJ8*(1-'Assumptions-Output Override'!$D$11)</f>
        <v>0</v>
      </c>
      <c r="BP8" s="401">
        <f>BK8*(1-'Assumptions-Output Override'!$D$11)</f>
        <v>0</v>
      </c>
      <c r="BQ8" s="401">
        <f>BL8*(1-'Assumptions-Output Override'!$D$11)</f>
        <v>0</v>
      </c>
      <c r="BR8" s="401">
        <f>BM8*(1-'Assumptions-Output Override'!$D$11)</f>
        <v>0</v>
      </c>
      <c r="BS8" s="352">
        <f t="shared" si="3"/>
        <v>0</v>
      </c>
      <c r="BT8" s="352">
        <f t="shared" si="19"/>
        <v>0</v>
      </c>
      <c r="BU8" s="352">
        <f t="shared" si="19"/>
        <v>0</v>
      </c>
      <c r="BV8" s="352">
        <f t="shared" si="19"/>
        <v>0</v>
      </c>
      <c r="BW8" s="352">
        <f t="shared" si="19"/>
        <v>0</v>
      </c>
      <c r="BX8" s="352">
        <f t="shared" si="4"/>
        <v>0</v>
      </c>
      <c r="BY8" s="352">
        <f>BT$107*(1-'Assumptions-Output Override'!$D$12)</f>
        <v>22.753074310428271</v>
      </c>
      <c r="BZ8" s="352">
        <f>BU$107*(1-'Assumptions-Output Override'!$D$12)</f>
        <v>51.446038369839215</v>
      </c>
      <c r="CA8" s="352">
        <f>BV$107*(1-'Assumptions-Output Override'!$D$12)</f>
        <v>9.7401900534537411</v>
      </c>
      <c r="CB8" s="352">
        <f>BW$107*(1-'Assumptions-Output Override'!$D$12)</f>
        <v>1.7000814189516649</v>
      </c>
      <c r="CC8" s="352">
        <f t="shared" si="5"/>
        <v>85.639384152672903</v>
      </c>
      <c r="CD8" s="352">
        <f t="shared" si="20"/>
        <v>22.753074310428271</v>
      </c>
      <c r="CE8" s="352">
        <f t="shared" si="20"/>
        <v>51.446038369839215</v>
      </c>
      <c r="CF8" s="352">
        <f t="shared" si="20"/>
        <v>9.7401900534537411</v>
      </c>
      <c r="CG8" s="352">
        <f t="shared" si="20"/>
        <v>1.7000814189516649</v>
      </c>
      <c r="CH8" s="352">
        <f t="shared" si="6"/>
        <v>85.639384152672903</v>
      </c>
      <c r="CJ8" s="352">
        <f t="shared" si="21"/>
        <v>85.639384152672903</v>
      </c>
      <c r="CK8" s="352">
        <f t="shared" si="22"/>
        <v>0</v>
      </c>
      <c r="CL8" s="352">
        <f t="shared" si="23"/>
        <v>85.639384152672903</v>
      </c>
      <c r="CN8" s="352">
        <f>('HRA Balance Calc'!U20+'HRA Balance Calc'!V20+'HRA Balance Calc'!W20+'HRA Balance Calc'!X20)/12</f>
        <v>-24.021739760490163</v>
      </c>
      <c r="CO8" s="352">
        <f>('HRA Balance Calc'!Q20+IF('HRA Balance Calc'!L20&lt;0,-'HRA Balance Calc'!L20,0))/12</f>
        <v>0</v>
      </c>
      <c r="CP8" s="352">
        <f>('HRA Balance Calc'!N20)/12</f>
        <v>0</v>
      </c>
      <c r="CQ8" s="352">
        <f>('HRA Balance Calc'!O20)/12</f>
        <v>0</v>
      </c>
      <c r="CR8" s="352">
        <f>('HRA Balance Calc'!P20)/12</f>
        <v>0</v>
      </c>
      <c r="CS8" s="352">
        <f t="shared" si="7"/>
        <v>0</v>
      </c>
      <c r="CU8" s="577">
        <f t="shared" si="24"/>
        <v>1315.9334869579568</v>
      </c>
      <c r="CV8" s="352">
        <f t="shared" si="25"/>
        <v>109.66112391316307</v>
      </c>
      <c r="CW8" s="352">
        <f t="shared" si="8"/>
        <v>0</v>
      </c>
      <c r="CX8" s="352">
        <f t="shared" si="8"/>
        <v>0</v>
      </c>
      <c r="CY8" s="352">
        <f t="shared" si="8"/>
        <v>0</v>
      </c>
      <c r="CZ8" s="352">
        <f t="shared" si="8"/>
        <v>0</v>
      </c>
      <c r="DA8" s="352">
        <f t="shared" si="9"/>
        <v>0</v>
      </c>
      <c r="DC8" s="352">
        <f>('HRA Balance Calc'!Q20+'HRA Balance Calc'!X20+IF('HRA Balance Calc'!L20&lt;0,-'HRA Balance Calc'!L20,0))/12</f>
        <v>0</v>
      </c>
      <c r="DD8" s="352">
        <f>('HRA Balance Calc'!N20+'HRA Balance Calc'!U20)/12</f>
        <v>-24.021739760490163</v>
      </c>
      <c r="DE8" s="352">
        <f>('HRA Balance Calc'!O20+'HRA Balance Calc'!V20)/12</f>
        <v>0</v>
      </c>
      <c r="DF8" s="352">
        <f>('HRA Balance Calc'!P20+'HRA Balance Calc'!W20)/12</f>
        <v>0</v>
      </c>
      <c r="DG8" s="352">
        <f t="shared" si="26"/>
        <v>-24.021739760490163</v>
      </c>
      <c r="DI8" s="352">
        <f t="shared" si="27"/>
        <v>22.753074310428271</v>
      </c>
      <c r="DJ8" s="352">
        <f t="shared" si="27"/>
        <v>75.467778130329378</v>
      </c>
      <c r="DK8" s="352">
        <f t="shared" si="27"/>
        <v>9.7401900534537411</v>
      </c>
      <c r="DL8" s="352">
        <f t="shared" si="27"/>
        <v>1.7000814189516649</v>
      </c>
      <c r="DM8" s="352">
        <f t="shared" si="27"/>
        <v>109.66112391316307</v>
      </c>
    </row>
    <row r="9" spans="1:117" x14ac:dyDescent="0.2">
      <c r="A9">
        <f t="shared" si="28"/>
        <v>4</v>
      </c>
      <c r="B9" s="397">
        <v>34308</v>
      </c>
      <c r="C9" s="398">
        <v>397997.79676138877</v>
      </c>
      <c r="D9" s="399">
        <v>0</v>
      </c>
      <c r="E9" s="399">
        <v>0</v>
      </c>
      <c r="F9" s="399">
        <v>0</v>
      </c>
      <c r="G9" s="399">
        <v>0</v>
      </c>
      <c r="H9" s="399">
        <v>0</v>
      </c>
      <c r="I9" s="400">
        <v>0</v>
      </c>
      <c r="J9" s="400">
        <v>0</v>
      </c>
      <c r="K9" s="400">
        <v>0</v>
      </c>
      <c r="L9" s="400">
        <v>0</v>
      </c>
      <c r="M9" s="400">
        <v>0</v>
      </c>
      <c r="N9" s="400">
        <v>0</v>
      </c>
      <c r="O9" s="399">
        <f t="shared" si="0"/>
        <v>0</v>
      </c>
      <c r="P9" s="399">
        <f t="shared" si="0"/>
        <v>0</v>
      </c>
      <c r="Q9" s="399">
        <f t="shared" si="0"/>
        <v>0</v>
      </c>
      <c r="R9" s="399">
        <f t="shared" si="0"/>
        <v>0</v>
      </c>
      <c r="S9" s="399">
        <f t="shared" si="0"/>
        <v>0</v>
      </c>
      <c r="T9" s="399">
        <f t="shared" si="0"/>
        <v>0</v>
      </c>
      <c r="U9" s="399">
        <f t="shared" si="10"/>
        <v>0</v>
      </c>
      <c r="V9" s="400">
        <v>0</v>
      </c>
      <c r="W9" s="400">
        <v>0</v>
      </c>
      <c r="X9" s="400">
        <v>0</v>
      </c>
      <c r="Y9" s="400">
        <v>0</v>
      </c>
      <c r="Z9" s="400">
        <v>0</v>
      </c>
      <c r="AA9" s="400">
        <v>0</v>
      </c>
      <c r="AB9" s="352">
        <f t="shared" si="1"/>
        <v>0</v>
      </c>
      <c r="AC9" s="352">
        <f t="shared" si="1"/>
        <v>0</v>
      </c>
      <c r="AD9" s="352">
        <f t="shared" si="1"/>
        <v>0</v>
      </c>
      <c r="AE9" s="352">
        <f t="shared" si="1"/>
        <v>0</v>
      </c>
      <c r="AF9" s="352">
        <f t="shared" si="1"/>
        <v>0</v>
      </c>
      <c r="AG9" s="352">
        <f t="shared" si="1"/>
        <v>0</v>
      </c>
      <c r="AH9" s="400">
        <f t="shared" si="11"/>
        <v>0</v>
      </c>
      <c r="AJ9" s="352">
        <f>D9*('Assumptions-Output Override'!$D$10/'Winners-Losers HRA'!$H$107)*(1+'Assumptions-Output Override'!$F$41)</f>
        <v>0</v>
      </c>
      <c r="AK9" s="352">
        <f>E9*('Assumptions-Output Override'!$D$10/'Winners-Losers HRA'!$H$107)*(1+'Assumptions-Output Override'!$F$37)</f>
        <v>0</v>
      </c>
      <c r="AL9" s="352">
        <f>F9*('Assumptions-Output Override'!$D$10/'Winners-Losers HRA'!$H$107)*(1+'Assumptions-Output Override'!$F$38)</f>
        <v>0</v>
      </c>
      <c r="AM9" s="352">
        <f>G9*('Shoppable Detail'!$X$21/'Shoppable Detail'!$H$21)*('Assumptions-Output Override'!$D$10/'Winners-Losers HRA'!$H$107)*(1+'Assumptions-Output Override'!$F$39)</f>
        <v>0</v>
      </c>
      <c r="AN9" s="352">
        <f t="shared" si="12"/>
        <v>0</v>
      </c>
      <c r="AO9" s="352">
        <v>0</v>
      </c>
      <c r="AP9" s="352">
        <f>U9*'Assumptions-Output Override'!$D$10/'Winners-Losers HRA'!$H$107*(1+'Assumptions-Output Override'!$F$37)</f>
        <v>0</v>
      </c>
      <c r="AQ9" s="352">
        <f>AH9*'Assumptions-Output Override'!$D$10/'Winners-Losers HRA'!$H$107*(1+'Assumptions-Output Override'!$F$38)</f>
        <v>0</v>
      </c>
      <c r="AR9" s="352">
        <f>AM9*('Shoppable Detail'!$AA$23/'Shoppable Detail'!$Y$23)</f>
        <v>0</v>
      </c>
      <c r="AS9" s="352">
        <f t="shared" si="13"/>
        <v>0</v>
      </c>
      <c r="AT9" s="352">
        <f t="shared" si="14"/>
        <v>0</v>
      </c>
      <c r="AU9" s="352">
        <f t="shared" si="14"/>
        <v>0</v>
      </c>
      <c r="AV9" s="352">
        <f t="shared" si="14"/>
        <v>0</v>
      </c>
      <c r="AW9" s="352">
        <f t="shared" si="14"/>
        <v>0</v>
      </c>
      <c r="AX9" s="352">
        <f t="shared" si="15"/>
        <v>0</v>
      </c>
      <c r="AY9" s="352">
        <f>AT9*'Assumptions-Output Override'!$D$24</f>
        <v>0</v>
      </c>
      <c r="AZ9" s="352">
        <f>$AU$107*'Assumptions-Output Override'!$D$21</f>
        <v>46.041131296780591</v>
      </c>
      <c r="BA9" s="352">
        <f>AV9*'Assumptions-Output Override'!$D$22</f>
        <v>0</v>
      </c>
      <c r="BB9" s="352">
        <f>AW9*'Assumptions-Output Override'!$D$23</f>
        <v>0</v>
      </c>
      <c r="BC9" s="352">
        <f t="shared" si="16"/>
        <v>46.041131296780591</v>
      </c>
      <c r="BD9" s="352">
        <f t="shared" si="17"/>
        <v>0</v>
      </c>
      <c r="BE9" s="352">
        <f t="shared" si="17"/>
        <v>46.041131296780591</v>
      </c>
      <c r="BF9" s="352">
        <f t="shared" si="17"/>
        <v>0</v>
      </c>
      <c r="BG9" s="352">
        <f t="shared" si="17"/>
        <v>0</v>
      </c>
      <c r="BH9" s="352">
        <f t="shared" si="18"/>
        <v>46.041131296780591</v>
      </c>
      <c r="BJ9" s="401">
        <f>D9*'Assumptions-Output Override'!$D$10/'Winners-Losers HRA'!$H$107</f>
        <v>0</v>
      </c>
      <c r="BK9" s="401">
        <f>E9*'Assumptions-Output Override'!$D$10/'Winners-Losers HRA'!$H$107</f>
        <v>0</v>
      </c>
      <c r="BL9" s="401">
        <f>F9*'Assumptions-Output Override'!$D$10/'Winners-Losers HRA'!$H$107</f>
        <v>0</v>
      </c>
      <c r="BM9" s="401">
        <f>G9*'Assumptions-Output Override'!$D$10/'Winners-Losers HRA'!$H$107</f>
        <v>0</v>
      </c>
      <c r="BN9" s="401">
        <f t="shared" si="2"/>
        <v>0</v>
      </c>
      <c r="BO9" s="401">
        <f>BJ9*(1-'Assumptions-Output Override'!$D$11)</f>
        <v>0</v>
      </c>
      <c r="BP9" s="401">
        <f>BK9*(1-'Assumptions-Output Override'!$D$11)</f>
        <v>0</v>
      </c>
      <c r="BQ9" s="401">
        <f>BL9*(1-'Assumptions-Output Override'!$D$11)</f>
        <v>0</v>
      </c>
      <c r="BR9" s="401">
        <f>BM9*(1-'Assumptions-Output Override'!$D$11)</f>
        <v>0</v>
      </c>
      <c r="BS9" s="352">
        <f t="shared" si="3"/>
        <v>0</v>
      </c>
      <c r="BT9" s="352">
        <f t="shared" si="19"/>
        <v>0</v>
      </c>
      <c r="BU9" s="352">
        <f t="shared" si="19"/>
        <v>0</v>
      </c>
      <c r="BV9" s="352">
        <f t="shared" si="19"/>
        <v>0</v>
      </c>
      <c r="BW9" s="352">
        <f t="shared" si="19"/>
        <v>0</v>
      </c>
      <c r="BX9" s="352">
        <f t="shared" si="4"/>
        <v>0</v>
      </c>
      <c r="BY9" s="352">
        <f>BT$107*(1-'Assumptions-Output Override'!$D$12)</f>
        <v>22.753074310428271</v>
      </c>
      <c r="BZ9" s="352">
        <f>BU$107*(1-'Assumptions-Output Override'!$D$12)</f>
        <v>51.446038369839215</v>
      </c>
      <c r="CA9" s="352">
        <f>BV$107*(1-'Assumptions-Output Override'!$D$12)</f>
        <v>9.7401900534537411</v>
      </c>
      <c r="CB9" s="352">
        <f>BW$107*(1-'Assumptions-Output Override'!$D$12)</f>
        <v>1.7000814189516649</v>
      </c>
      <c r="CC9" s="352">
        <f t="shared" si="5"/>
        <v>85.639384152672903</v>
      </c>
      <c r="CD9" s="352">
        <f t="shared" si="20"/>
        <v>22.753074310428271</v>
      </c>
      <c r="CE9" s="352">
        <f t="shared" si="20"/>
        <v>51.446038369839215</v>
      </c>
      <c r="CF9" s="352">
        <f t="shared" si="20"/>
        <v>9.7401900534537411</v>
      </c>
      <c r="CG9" s="352">
        <f t="shared" si="20"/>
        <v>1.7000814189516649</v>
      </c>
      <c r="CH9" s="352">
        <f t="shared" si="6"/>
        <v>85.639384152672903</v>
      </c>
      <c r="CJ9" s="352">
        <f t="shared" si="21"/>
        <v>85.639384152672903</v>
      </c>
      <c r="CK9" s="352">
        <f t="shared" si="22"/>
        <v>0</v>
      </c>
      <c r="CL9" s="352">
        <f t="shared" si="23"/>
        <v>85.639384152672903</v>
      </c>
      <c r="CN9" s="352">
        <f>('HRA Balance Calc'!U21+'HRA Balance Calc'!V21+'HRA Balance Calc'!W21+'HRA Balance Calc'!X21)/12</f>
        <v>-24.021739760490163</v>
      </c>
      <c r="CO9" s="352">
        <f>('HRA Balance Calc'!Q21+IF('HRA Balance Calc'!L21&lt;0,-'HRA Balance Calc'!L21,0))/12</f>
        <v>0</v>
      </c>
      <c r="CP9" s="352">
        <f>('HRA Balance Calc'!N21)/12</f>
        <v>0</v>
      </c>
      <c r="CQ9" s="352">
        <f>('HRA Balance Calc'!O21)/12</f>
        <v>0</v>
      </c>
      <c r="CR9" s="352">
        <f>('HRA Balance Calc'!P21)/12</f>
        <v>0</v>
      </c>
      <c r="CS9" s="352">
        <f t="shared" si="7"/>
        <v>0</v>
      </c>
      <c r="CU9" s="577">
        <f t="shared" si="24"/>
        <v>1315.9334869579568</v>
      </c>
      <c r="CV9" s="352">
        <f t="shared" si="25"/>
        <v>109.66112391316307</v>
      </c>
      <c r="CW9" s="352">
        <f t="shared" si="8"/>
        <v>0</v>
      </c>
      <c r="CX9" s="352">
        <f t="shared" si="8"/>
        <v>0</v>
      </c>
      <c r="CY9" s="352">
        <f t="shared" si="8"/>
        <v>0</v>
      </c>
      <c r="CZ9" s="352">
        <f t="shared" si="8"/>
        <v>0</v>
      </c>
      <c r="DA9" s="352">
        <f t="shared" si="9"/>
        <v>0</v>
      </c>
      <c r="DC9" s="352">
        <f>('HRA Balance Calc'!Q21+'HRA Balance Calc'!X21+IF('HRA Balance Calc'!L21&lt;0,-'HRA Balance Calc'!L21,0))/12</f>
        <v>0</v>
      </c>
      <c r="DD9" s="352">
        <f>('HRA Balance Calc'!N21+'HRA Balance Calc'!U21)/12</f>
        <v>-24.021739760490163</v>
      </c>
      <c r="DE9" s="352">
        <f>('HRA Balance Calc'!O21+'HRA Balance Calc'!V21)/12</f>
        <v>0</v>
      </c>
      <c r="DF9" s="352">
        <f>('HRA Balance Calc'!P21+'HRA Balance Calc'!W21)/12</f>
        <v>0</v>
      </c>
      <c r="DG9" s="352">
        <f t="shared" si="26"/>
        <v>-24.021739760490163</v>
      </c>
      <c r="DI9" s="352">
        <f t="shared" si="27"/>
        <v>22.753074310428271</v>
      </c>
      <c r="DJ9" s="352">
        <f t="shared" si="27"/>
        <v>75.467778130329378</v>
      </c>
      <c r="DK9" s="352">
        <f t="shared" si="27"/>
        <v>9.7401900534537411</v>
      </c>
      <c r="DL9" s="352">
        <f t="shared" si="27"/>
        <v>1.7000814189516649</v>
      </c>
      <c r="DM9" s="352">
        <f t="shared" si="27"/>
        <v>109.66112391316307</v>
      </c>
    </row>
    <row r="10" spans="1:117" x14ac:dyDescent="0.2">
      <c r="A10">
        <f t="shared" si="28"/>
        <v>5</v>
      </c>
      <c r="B10" s="397">
        <v>34308</v>
      </c>
      <c r="C10" s="398">
        <v>397997.79676138877</v>
      </c>
      <c r="D10" s="399">
        <v>0</v>
      </c>
      <c r="E10" s="399">
        <v>0</v>
      </c>
      <c r="F10" s="399">
        <v>0</v>
      </c>
      <c r="G10" s="399">
        <v>0</v>
      </c>
      <c r="H10" s="399">
        <v>0</v>
      </c>
      <c r="I10" s="400">
        <v>0</v>
      </c>
      <c r="J10" s="400">
        <v>0</v>
      </c>
      <c r="K10" s="400">
        <v>0</v>
      </c>
      <c r="L10" s="400">
        <v>0</v>
      </c>
      <c r="M10" s="400">
        <v>0</v>
      </c>
      <c r="N10" s="400">
        <v>0</v>
      </c>
      <c r="O10" s="399">
        <f t="shared" si="0"/>
        <v>0</v>
      </c>
      <c r="P10" s="399">
        <f t="shared" si="0"/>
        <v>0</v>
      </c>
      <c r="Q10" s="399">
        <f t="shared" si="0"/>
        <v>0</v>
      </c>
      <c r="R10" s="399">
        <f t="shared" si="0"/>
        <v>0</v>
      </c>
      <c r="S10" s="399">
        <f t="shared" si="0"/>
        <v>0</v>
      </c>
      <c r="T10" s="399">
        <f t="shared" si="0"/>
        <v>0</v>
      </c>
      <c r="U10" s="399">
        <f t="shared" si="10"/>
        <v>0</v>
      </c>
      <c r="V10" s="400">
        <v>0</v>
      </c>
      <c r="W10" s="400">
        <v>0</v>
      </c>
      <c r="X10" s="400">
        <v>0</v>
      </c>
      <c r="Y10" s="400">
        <v>0</v>
      </c>
      <c r="Z10" s="400">
        <v>0</v>
      </c>
      <c r="AA10" s="400">
        <v>0</v>
      </c>
      <c r="AB10" s="352">
        <f t="shared" si="1"/>
        <v>0</v>
      </c>
      <c r="AC10" s="352">
        <f t="shared" si="1"/>
        <v>0</v>
      </c>
      <c r="AD10" s="352">
        <f t="shared" si="1"/>
        <v>0</v>
      </c>
      <c r="AE10" s="352">
        <f t="shared" si="1"/>
        <v>0</v>
      </c>
      <c r="AF10" s="352">
        <f t="shared" si="1"/>
        <v>0</v>
      </c>
      <c r="AG10" s="352">
        <f t="shared" si="1"/>
        <v>0</v>
      </c>
      <c r="AH10" s="400">
        <f t="shared" si="11"/>
        <v>0</v>
      </c>
      <c r="AJ10" s="352">
        <f>D10*('Assumptions-Output Override'!$D$10/'Winners-Losers HRA'!$H$107)*(1+'Assumptions-Output Override'!$F$41)</f>
        <v>0</v>
      </c>
      <c r="AK10" s="352">
        <f>E10*('Assumptions-Output Override'!$D$10/'Winners-Losers HRA'!$H$107)*(1+'Assumptions-Output Override'!$F$37)</f>
        <v>0</v>
      </c>
      <c r="AL10" s="352">
        <f>F10*('Assumptions-Output Override'!$D$10/'Winners-Losers HRA'!$H$107)*(1+'Assumptions-Output Override'!$F$38)</f>
        <v>0</v>
      </c>
      <c r="AM10" s="352">
        <f>G10*('Shoppable Detail'!$X$21/'Shoppable Detail'!$H$21)*('Assumptions-Output Override'!$D$10/'Winners-Losers HRA'!$H$107)*(1+'Assumptions-Output Override'!$F$39)</f>
        <v>0</v>
      </c>
      <c r="AN10" s="352">
        <f t="shared" si="12"/>
        <v>0</v>
      </c>
      <c r="AO10" s="352">
        <v>0</v>
      </c>
      <c r="AP10" s="352">
        <f>U10*'Assumptions-Output Override'!$D$10/'Winners-Losers HRA'!$H$107*(1+'Assumptions-Output Override'!$F$37)</f>
        <v>0</v>
      </c>
      <c r="AQ10" s="352">
        <f>AH10*'Assumptions-Output Override'!$D$10/'Winners-Losers HRA'!$H$107*(1+'Assumptions-Output Override'!$F$38)</f>
        <v>0</v>
      </c>
      <c r="AR10" s="352">
        <f>AM10*('Shoppable Detail'!$AA$23/'Shoppable Detail'!$Y$23)</f>
        <v>0</v>
      </c>
      <c r="AS10" s="352">
        <f t="shared" si="13"/>
        <v>0</v>
      </c>
      <c r="AT10" s="352">
        <f t="shared" si="14"/>
        <v>0</v>
      </c>
      <c r="AU10" s="352">
        <f t="shared" si="14"/>
        <v>0</v>
      </c>
      <c r="AV10" s="352">
        <f t="shared" si="14"/>
        <v>0</v>
      </c>
      <c r="AW10" s="352">
        <f t="shared" si="14"/>
        <v>0</v>
      </c>
      <c r="AX10" s="352">
        <f t="shared" si="15"/>
        <v>0</v>
      </c>
      <c r="AY10" s="352">
        <f>AT10*'Assumptions-Output Override'!$D$24</f>
        <v>0</v>
      </c>
      <c r="AZ10" s="352">
        <f>$AU$107*'Assumptions-Output Override'!$D$21</f>
        <v>46.041131296780591</v>
      </c>
      <c r="BA10" s="352">
        <f>AV10*'Assumptions-Output Override'!$D$22</f>
        <v>0</v>
      </c>
      <c r="BB10" s="352">
        <f>AW10*'Assumptions-Output Override'!$D$23</f>
        <v>0</v>
      </c>
      <c r="BC10" s="352">
        <f t="shared" si="16"/>
        <v>46.041131296780591</v>
      </c>
      <c r="BD10" s="352">
        <f t="shared" si="17"/>
        <v>0</v>
      </c>
      <c r="BE10" s="352">
        <f t="shared" si="17"/>
        <v>46.041131296780591</v>
      </c>
      <c r="BF10" s="352">
        <f t="shared" si="17"/>
        <v>0</v>
      </c>
      <c r="BG10" s="352">
        <f t="shared" si="17"/>
        <v>0</v>
      </c>
      <c r="BH10" s="352">
        <f t="shared" si="18"/>
        <v>46.041131296780591</v>
      </c>
      <c r="BJ10" s="401">
        <f>D10*'Assumptions-Output Override'!$D$10/'Winners-Losers HRA'!$H$107</f>
        <v>0</v>
      </c>
      <c r="BK10" s="401">
        <f>E10*'Assumptions-Output Override'!$D$10/'Winners-Losers HRA'!$H$107</f>
        <v>0</v>
      </c>
      <c r="BL10" s="401">
        <f>F10*'Assumptions-Output Override'!$D$10/'Winners-Losers HRA'!$H$107</f>
        <v>0</v>
      </c>
      <c r="BM10" s="401">
        <f>G10*'Assumptions-Output Override'!$D$10/'Winners-Losers HRA'!$H$107</f>
        <v>0</v>
      </c>
      <c r="BN10" s="401">
        <f t="shared" si="2"/>
        <v>0</v>
      </c>
      <c r="BO10" s="401">
        <f>BJ10*(1-'Assumptions-Output Override'!$D$11)</f>
        <v>0</v>
      </c>
      <c r="BP10" s="401">
        <f>BK10*(1-'Assumptions-Output Override'!$D$11)</f>
        <v>0</v>
      </c>
      <c r="BQ10" s="401">
        <f>BL10*(1-'Assumptions-Output Override'!$D$11)</f>
        <v>0</v>
      </c>
      <c r="BR10" s="401">
        <f>BM10*(1-'Assumptions-Output Override'!$D$11)</f>
        <v>0</v>
      </c>
      <c r="BS10" s="352">
        <f t="shared" si="3"/>
        <v>0</v>
      </c>
      <c r="BT10" s="352">
        <f t="shared" si="19"/>
        <v>0</v>
      </c>
      <c r="BU10" s="352">
        <f t="shared" si="19"/>
        <v>0</v>
      </c>
      <c r="BV10" s="352">
        <f t="shared" si="19"/>
        <v>0</v>
      </c>
      <c r="BW10" s="352">
        <f t="shared" si="19"/>
        <v>0</v>
      </c>
      <c r="BX10" s="352">
        <f t="shared" si="4"/>
        <v>0</v>
      </c>
      <c r="BY10" s="352">
        <f>BT$107*(1-'Assumptions-Output Override'!$D$12)</f>
        <v>22.753074310428271</v>
      </c>
      <c r="BZ10" s="352">
        <f>BU$107*(1-'Assumptions-Output Override'!$D$12)</f>
        <v>51.446038369839215</v>
      </c>
      <c r="CA10" s="352">
        <f>BV$107*(1-'Assumptions-Output Override'!$D$12)</f>
        <v>9.7401900534537411</v>
      </c>
      <c r="CB10" s="352">
        <f>BW$107*(1-'Assumptions-Output Override'!$D$12)</f>
        <v>1.7000814189516649</v>
      </c>
      <c r="CC10" s="352">
        <f t="shared" si="5"/>
        <v>85.639384152672903</v>
      </c>
      <c r="CD10" s="352">
        <f t="shared" si="20"/>
        <v>22.753074310428271</v>
      </c>
      <c r="CE10" s="352">
        <f t="shared" si="20"/>
        <v>51.446038369839215</v>
      </c>
      <c r="CF10" s="352">
        <f t="shared" si="20"/>
        <v>9.7401900534537411</v>
      </c>
      <c r="CG10" s="352">
        <f t="shared" si="20"/>
        <v>1.7000814189516649</v>
      </c>
      <c r="CH10" s="352">
        <f t="shared" si="6"/>
        <v>85.639384152672903</v>
      </c>
      <c r="CJ10" s="352">
        <f t="shared" si="21"/>
        <v>85.639384152672903</v>
      </c>
      <c r="CK10" s="352">
        <f t="shared" si="22"/>
        <v>0</v>
      </c>
      <c r="CL10" s="352">
        <f t="shared" si="23"/>
        <v>85.639384152672903</v>
      </c>
      <c r="CN10" s="352">
        <f>('HRA Balance Calc'!U22+'HRA Balance Calc'!V22+'HRA Balance Calc'!W22+'HRA Balance Calc'!X22)/12</f>
        <v>-24.021739760490163</v>
      </c>
      <c r="CO10" s="352">
        <f>('HRA Balance Calc'!Q22+IF('HRA Balance Calc'!L22&lt;0,-'HRA Balance Calc'!L22,0))/12</f>
        <v>0</v>
      </c>
      <c r="CP10" s="352">
        <f>('HRA Balance Calc'!N22)/12</f>
        <v>0</v>
      </c>
      <c r="CQ10" s="352">
        <f>('HRA Balance Calc'!O22)/12</f>
        <v>0</v>
      </c>
      <c r="CR10" s="352">
        <f>('HRA Balance Calc'!P22)/12</f>
        <v>0</v>
      </c>
      <c r="CS10" s="352">
        <f t="shared" si="7"/>
        <v>0</v>
      </c>
      <c r="CU10" s="577">
        <f t="shared" si="24"/>
        <v>1315.9334869579568</v>
      </c>
      <c r="CV10" s="352">
        <f t="shared" si="25"/>
        <v>109.66112391316307</v>
      </c>
      <c r="CW10" s="352">
        <f t="shared" si="8"/>
        <v>0</v>
      </c>
      <c r="CX10" s="352">
        <f t="shared" si="8"/>
        <v>0</v>
      </c>
      <c r="CY10" s="352">
        <f t="shared" si="8"/>
        <v>0</v>
      </c>
      <c r="CZ10" s="352">
        <f t="shared" si="8"/>
        <v>0</v>
      </c>
      <c r="DA10" s="352">
        <f t="shared" si="9"/>
        <v>0</v>
      </c>
      <c r="DC10" s="352">
        <f>('HRA Balance Calc'!Q22+'HRA Balance Calc'!X22+IF('HRA Balance Calc'!L22&lt;0,-'HRA Balance Calc'!L22,0))/12</f>
        <v>0</v>
      </c>
      <c r="DD10" s="352">
        <f>('HRA Balance Calc'!N22+'HRA Balance Calc'!U22)/12</f>
        <v>-24.021739760490163</v>
      </c>
      <c r="DE10" s="352">
        <f>('HRA Balance Calc'!O22+'HRA Balance Calc'!V22)/12</f>
        <v>0</v>
      </c>
      <c r="DF10" s="352">
        <f>('HRA Balance Calc'!P22+'HRA Balance Calc'!W22)/12</f>
        <v>0</v>
      </c>
      <c r="DG10" s="352">
        <f t="shared" si="26"/>
        <v>-24.021739760490163</v>
      </c>
      <c r="DI10" s="352">
        <f t="shared" si="27"/>
        <v>22.753074310428271</v>
      </c>
      <c r="DJ10" s="352">
        <f t="shared" si="27"/>
        <v>75.467778130329378</v>
      </c>
      <c r="DK10" s="352">
        <f t="shared" si="27"/>
        <v>9.7401900534537411</v>
      </c>
      <c r="DL10" s="352">
        <f t="shared" si="27"/>
        <v>1.7000814189516649</v>
      </c>
      <c r="DM10" s="352">
        <f t="shared" si="27"/>
        <v>109.66112391316307</v>
      </c>
    </row>
    <row r="11" spans="1:117" x14ac:dyDescent="0.2">
      <c r="A11">
        <f t="shared" si="28"/>
        <v>6</v>
      </c>
      <c r="B11" s="397">
        <v>34308</v>
      </c>
      <c r="C11" s="398">
        <v>397997.79676138877</v>
      </c>
      <c r="D11" s="399">
        <v>0</v>
      </c>
      <c r="E11" s="399">
        <v>0</v>
      </c>
      <c r="F11" s="399">
        <v>0</v>
      </c>
      <c r="G11" s="399">
        <v>0</v>
      </c>
      <c r="H11" s="399">
        <v>0</v>
      </c>
      <c r="I11" s="400">
        <v>0</v>
      </c>
      <c r="J11" s="400">
        <v>0</v>
      </c>
      <c r="K11" s="400">
        <v>0</v>
      </c>
      <c r="L11" s="400">
        <v>0</v>
      </c>
      <c r="M11" s="400">
        <v>0</v>
      </c>
      <c r="N11" s="400">
        <v>0</v>
      </c>
      <c r="O11" s="399">
        <f t="shared" si="0"/>
        <v>0</v>
      </c>
      <c r="P11" s="399">
        <f t="shared" si="0"/>
        <v>0</v>
      </c>
      <c r="Q11" s="399">
        <f t="shared" si="0"/>
        <v>0</v>
      </c>
      <c r="R11" s="399">
        <f t="shared" si="0"/>
        <v>0</v>
      </c>
      <c r="S11" s="399">
        <f t="shared" si="0"/>
        <v>0</v>
      </c>
      <c r="T11" s="399">
        <f t="shared" si="0"/>
        <v>0</v>
      </c>
      <c r="U11" s="399">
        <f t="shared" si="10"/>
        <v>0</v>
      </c>
      <c r="V11" s="400">
        <v>0</v>
      </c>
      <c r="W11" s="400">
        <v>0</v>
      </c>
      <c r="X11" s="400">
        <v>0</v>
      </c>
      <c r="Y11" s="400">
        <v>0</v>
      </c>
      <c r="Z11" s="400">
        <v>0</v>
      </c>
      <c r="AA11" s="400">
        <v>0</v>
      </c>
      <c r="AB11" s="352">
        <f t="shared" si="1"/>
        <v>0</v>
      </c>
      <c r="AC11" s="352">
        <f t="shared" si="1"/>
        <v>0</v>
      </c>
      <c r="AD11" s="352">
        <f t="shared" si="1"/>
        <v>0</v>
      </c>
      <c r="AE11" s="352">
        <f t="shared" si="1"/>
        <v>0</v>
      </c>
      <c r="AF11" s="352">
        <f t="shared" si="1"/>
        <v>0</v>
      </c>
      <c r="AG11" s="352">
        <f t="shared" si="1"/>
        <v>0</v>
      </c>
      <c r="AH11" s="400">
        <f t="shared" si="11"/>
        <v>0</v>
      </c>
      <c r="AJ11" s="352">
        <f>D11*('Assumptions-Output Override'!$D$10/'Winners-Losers HRA'!$H$107)*(1+'Assumptions-Output Override'!$F$41)</f>
        <v>0</v>
      </c>
      <c r="AK11" s="352">
        <f>E11*('Assumptions-Output Override'!$D$10/'Winners-Losers HRA'!$H$107)*(1+'Assumptions-Output Override'!$F$37)</f>
        <v>0</v>
      </c>
      <c r="AL11" s="352">
        <f>F11*('Assumptions-Output Override'!$D$10/'Winners-Losers HRA'!$H$107)*(1+'Assumptions-Output Override'!$F$38)</f>
        <v>0</v>
      </c>
      <c r="AM11" s="352">
        <f>G11*('Shoppable Detail'!$X$21/'Shoppable Detail'!$H$21)*('Assumptions-Output Override'!$D$10/'Winners-Losers HRA'!$H$107)*(1+'Assumptions-Output Override'!$F$39)</f>
        <v>0</v>
      </c>
      <c r="AN11" s="352">
        <f t="shared" si="12"/>
        <v>0</v>
      </c>
      <c r="AO11" s="352">
        <v>0</v>
      </c>
      <c r="AP11" s="352">
        <f>U11*'Assumptions-Output Override'!$D$10/'Winners-Losers HRA'!$H$107*(1+'Assumptions-Output Override'!$F$37)</f>
        <v>0</v>
      </c>
      <c r="AQ11" s="352">
        <f>AH11*'Assumptions-Output Override'!$D$10/'Winners-Losers HRA'!$H$107*(1+'Assumptions-Output Override'!$F$38)</f>
        <v>0</v>
      </c>
      <c r="AR11" s="352">
        <f>AM11*('Shoppable Detail'!$AA$23/'Shoppable Detail'!$Y$23)</f>
        <v>0</v>
      </c>
      <c r="AS11" s="352">
        <f t="shared" si="13"/>
        <v>0</v>
      </c>
      <c r="AT11" s="352">
        <f t="shared" si="14"/>
        <v>0</v>
      </c>
      <c r="AU11" s="352">
        <f t="shared" si="14"/>
        <v>0</v>
      </c>
      <c r="AV11" s="352">
        <f t="shared" si="14"/>
        <v>0</v>
      </c>
      <c r="AW11" s="352">
        <f t="shared" si="14"/>
        <v>0</v>
      </c>
      <c r="AX11" s="352">
        <f t="shared" si="15"/>
        <v>0</v>
      </c>
      <c r="AY11" s="352">
        <f>AT11*'Assumptions-Output Override'!$D$24</f>
        <v>0</v>
      </c>
      <c r="AZ11" s="352">
        <f>$AU$107*'Assumptions-Output Override'!$D$21</f>
        <v>46.041131296780591</v>
      </c>
      <c r="BA11" s="352">
        <f>AV11*'Assumptions-Output Override'!$D$22</f>
        <v>0</v>
      </c>
      <c r="BB11" s="352">
        <f>AW11*'Assumptions-Output Override'!$D$23</f>
        <v>0</v>
      </c>
      <c r="BC11" s="352">
        <f t="shared" si="16"/>
        <v>46.041131296780591</v>
      </c>
      <c r="BD11" s="352">
        <f t="shared" si="17"/>
        <v>0</v>
      </c>
      <c r="BE11" s="352">
        <f t="shared" si="17"/>
        <v>46.041131296780591</v>
      </c>
      <c r="BF11" s="352">
        <f t="shared" si="17"/>
        <v>0</v>
      </c>
      <c r="BG11" s="352">
        <f t="shared" si="17"/>
        <v>0</v>
      </c>
      <c r="BH11" s="352">
        <f t="shared" si="18"/>
        <v>46.041131296780591</v>
      </c>
      <c r="BJ11" s="401">
        <f>D11*'Assumptions-Output Override'!$D$10/'Winners-Losers HRA'!$H$107</f>
        <v>0</v>
      </c>
      <c r="BK11" s="401">
        <f>E11*'Assumptions-Output Override'!$D$10/'Winners-Losers HRA'!$H$107</f>
        <v>0</v>
      </c>
      <c r="BL11" s="401">
        <f>F11*'Assumptions-Output Override'!$D$10/'Winners-Losers HRA'!$H$107</f>
        <v>0</v>
      </c>
      <c r="BM11" s="401">
        <f>G11*'Assumptions-Output Override'!$D$10/'Winners-Losers HRA'!$H$107</f>
        <v>0</v>
      </c>
      <c r="BN11" s="401">
        <f t="shared" si="2"/>
        <v>0</v>
      </c>
      <c r="BO11" s="401">
        <f>BJ11*(1-'Assumptions-Output Override'!$D$11)</f>
        <v>0</v>
      </c>
      <c r="BP11" s="401">
        <f>BK11*(1-'Assumptions-Output Override'!$D$11)</f>
        <v>0</v>
      </c>
      <c r="BQ11" s="401">
        <f>BL11*(1-'Assumptions-Output Override'!$D$11)</f>
        <v>0</v>
      </c>
      <c r="BR11" s="401">
        <f>BM11*(1-'Assumptions-Output Override'!$D$11)</f>
        <v>0</v>
      </c>
      <c r="BS11" s="352">
        <f t="shared" si="3"/>
        <v>0</v>
      </c>
      <c r="BT11" s="352">
        <f t="shared" si="19"/>
        <v>0</v>
      </c>
      <c r="BU11" s="352">
        <f t="shared" si="19"/>
        <v>0</v>
      </c>
      <c r="BV11" s="352">
        <f t="shared" si="19"/>
        <v>0</v>
      </c>
      <c r="BW11" s="352">
        <f t="shared" si="19"/>
        <v>0</v>
      </c>
      <c r="BX11" s="352">
        <f t="shared" si="4"/>
        <v>0</v>
      </c>
      <c r="BY11" s="352">
        <f>BT$107*(1-'Assumptions-Output Override'!$D$12)</f>
        <v>22.753074310428271</v>
      </c>
      <c r="BZ11" s="352">
        <f>BU$107*(1-'Assumptions-Output Override'!$D$12)</f>
        <v>51.446038369839215</v>
      </c>
      <c r="CA11" s="352">
        <f>BV$107*(1-'Assumptions-Output Override'!$D$12)</f>
        <v>9.7401900534537411</v>
      </c>
      <c r="CB11" s="352">
        <f>BW$107*(1-'Assumptions-Output Override'!$D$12)</f>
        <v>1.7000814189516649</v>
      </c>
      <c r="CC11" s="352">
        <f t="shared" si="5"/>
        <v>85.639384152672903</v>
      </c>
      <c r="CD11" s="352">
        <f t="shared" si="20"/>
        <v>22.753074310428271</v>
      </c>
      <c r="CE11" s="352">
        <f t="shared" si="20"/>
        <v>51.446038369839215</v>
      </c>
      <c r="CF11" s="352">
        <f t="shared" si="20"/>
        <v>9.7401900534537411</v>
      </c>
      <c r="CG11" s="352">
        <f t="shared" si="20"/>
        <v>1.7000814189516649</v>
      </c>
      <c r="CH11" s="352">
        <f t="shared" si="6"/>
        <v>85.639384152672903</v>
      </c>
      <c r="CJ11" s="352">
        <f t="shared" si="21"/>
        <v>85.639384152672903</v>
      </c>
      <c r="CK11" s="352">
        <f t="shared" si="22"/>
        <v>0</v>
      </c>
      <c r="CL11" s="352">
        <f t="shared" si="23"/>
        <v>85.639384152672903</v>
      </c>
      <c r="CN11" s="352">
        <f>('HRA Balance Calc'!U23+'HRA Balance Calc'!V23+'HRA Balance Calc'!W23+'HRA Balance Calc'!X23)/12</f>
        <v>-24.021739760490163</v>
      </c>
      <c r="CO11" s="352">
        <f>('HRA Balance Calc'!Q23+IF('HRA Balance Calc'!L23&lt;0,-'HRA Balance Calc'!L23,0))/12</f>
        <v>0</v>
      </c>
      <c r="CP11" s="352">
        <f>('HRA Balance Calc'!N23)/12</f>
        <v>0</v>
      </c>
      <c r="CQ11" s="352">
        <f>('HRA Balance Calc'!O23)/12</f>
        <v>0</v>
      </c>
      <c r="CR11" s="352">
        <f>('HRA Balance Calc'!P23)/12</f>
        <v>0</v>
      </c>
      <c r="CS11" s="352">
        <f t="shared" si="7"/>
        <v>0</v>
      </c>
      <c r="CU11" s="577">
        <f t="shared" si="24"/>
        <v>1315.9334869579568</v>
      </c>
      <c r="CV11" s="352">
        <f t="shared" si="25"/>
        <v>109.66112391316307</v>
      </c>
      <c r="CW11" s="352">
        <f t="shared" si="8"/>
        <v>0</v>
      </c>
      <c r="CX11" s="352">
        <f t="shared" si="8"/>
        <v>0</v>
      </c>
      <c r="CY11" s="352">
        <f t="shared" si="8"/>
        <v>0</v>
      </c>
      <c r="CZ11" s="352">
        <f t="shared" si="8"/>
        <v>0</v>
      </c>
      <c r="DA11" s="352">
        <f t="shared" si="9"/>
        <v>0</v>
      </c>
      <c r="DC11" s="352">
        <f>('HRA Balance Calc'!Q23+'HRA Balance Calc'!X23+IF('HRA Balance Calc'!L23&lt;0,-'HRA Balance Calc'!L23,0))/12</f>
        <v>0</v>
      </c>
      <c r="DD11" s="352">
        <f>('HRA Balance Calc'!N23+'HRA Balance Calc'!U23)/12</f>
        <v>-24.021739760490163</v>
      </c>
      <c r="DE11" s="352">
        <f>('HRA Balance Calc'!O23+'HRA Balance Calc'!V23)/12</f>
        <v>0</v>
      </c>
      <c r="DF11" s="352">
        <f>('HRA Balance Calc'!P23+'HRA Balance Calc'!W23)/12</f>
        <v>0</v>
      </c>
      <c r="DG11" s="352">
        <f t="shared" si="26"/>
        <v>-24.021739760490163</v>
      </c>
      <c r="DI11" s="352">
        <f t="shared" si="27"/>
        <v>22.753074310428271</v>
      </c>
      <c r="DJ11" s="352">
        <f t="shared" si="27"/>
        <v>75.467778130329378</v>
      </c>
      <c r="DK11" s="352">
        <f t="shared" si="27"/>
        <v>9.7401900534537411</v>
      </c>
      <c r="DL11" s="352">
        <f t="shared" si="27"/>
        <v>1.7000814189516649</v>
      </c>
      <c r="DM11" s="352">
        <f t="shared" si="27"/>
        <v>109.66112391316307</v>
      </c>
    </row>
    <row r="12" spans="1:117" x14ac:dyDescent="0.2">
      <c r="A12">
        <f t="shared" si="28"/>
        <v>7</v>
      </c>
      <c r="B12" s="397">
        <v>34308</v>
      </c>
      <c r="C12" s="398">
        <v>397997.79676138877</v>
      </c>
      <c r="D12" s="399">
        <v>0</v>
      </c>
      <c r="E12" s="399">
        <v>0</v>
      </c>
      <c r="F12" s="399">
        <v>0</v>
      </c>
      <c r="G12" s="399">
        <v>0</v>
      </c>
      <c r="H12" s="399">
        <v>0</v>
      </c>
      <c r="I12" s="400">
        <v>0</v>
      </c>
      <c r="J12" s="400">
        <v>0</v>
      </c>
      <c r="K12" s="400">
        <v>0</v>
      </c>
      <c r="L12" s="400">
        <v>0</v>
      </c>
      <c r="M12" s="400">
        <v>0</v>
      </c>
      <c r="N12" s="400">
        <v>0</v>
      </c>
      <c r="O12" s="399">
        <f t="shared" si="0"/>
        <v>0</v>
      </c>
      <c r="P12" s="399">
        <f t="shared" si="0"/>
        <v>0</v>
      </c>
      <c r="Q12" s="399">
        <f t="shared" si="0"/>
        <v>0</v>
      </c>
      <c r="R12" s="399">
        <f t="shared" si="0"/>
        <v>0</v>
      </c>
      <c r="S12" s="399">
        <f t="shared" si="0"/>
        <v>0</v>
      </c>
      <c r="T12" s="399">
        <f t="shared" si="0"/>
        <v>0</v>
      </c>
      <c r="U12" s="399">
        <f t="shared" si="10"/>
        <v>0</v>
      </c>
      <c r="V12" s="400">
        <v>0</v>
      </c>
      <c r="W12" s="400">
        <v>0</v>
      </c>
      <c r="X12" s="400">
        <v>0</v>
      </c>
      <c r="Y12" s="400">
        <v>0</v>
      </c>
      <c r="Z12" s="400">
        <v>0</v>
      </c>
      <c r="AA12" s="400">
        <v>0</v>
      </c>
      <c r="AB12" s="352">
        <f t="shared" si="1"/>
        <v>0</v>
      </c>
      <c r="AC12" s="352">
        <f t="shared" si="1"/>
        <v>0</v>
      </c>
      <c r="AD12" s="352">
        <f t="shared" si="1"/>
        <v>0</v>
      </c>
      <c r="AE12" s="352">
        <f t="shared" si="1"/>
        <v>0</v>
      </c>
      <c r="AF12" s="352">
        <f t="shared" si="1"/>
        <v>0</v>
      </c>
      <c r="AG12" s="352">
        <f t="shared" si="1"/>
        <v>0</v>
      </c>
      <c r="AH12" s="400">
        <f t="shared" si="11"/>
        <v>0</v>
      </c>
      <c r="AJ12" s="352">
        <f>D12*('Assumptions-Output Override'!$D$10/'Winners-Losers HRA'!$H$107)*(1+'Assumptions-Output Override'!$F$41)</f>
        <v>0</v>
      </c>
      <c r="AK12" s="352">
        <f>E12*('Assumptions-Output Override'!$D$10/'Winners-Losers HRA'!$H$107)*(1+'Assumptions-Output Override'!$F$37)</f>
        <v>0</v>
      </c>
      <c r="AL12" s="352">
        <f>F12*('Assumptions-Output Override'!$D$10/'Winners-Losers HRA'!$H$107)*(1+'Assumptions-Output Override'!$F$38)</f>
        <v>0</v>
      </c>
      <c r="AM12" s="352">
        <f>G12*('Shoppable Detail'!$X$21/'Shoppable Detail'!$H$21)*('Assumptions-Output Override'!$D$10/'Winners-Losers HRA'!$H$107)*(1+'Assumptions-Output Override'!$F$39)</f>
        <v>0</v>
      </c>
      <c r="AN12" s="352">
        <f t="shared" si="12"/>
        <v>0</v>
      </c>
      <c r="AO12" s="352">
        <v>0</v>
      </c>
      <c r="AP12" s="352">
        <f>U12*'Assumptions-Output Override'!$D$10/'Winners-Losers HRA'!$H$107*(1+'Assumptions-Output Override'!$F$37)</f>
        <v>0</v>
      </c>
      <c r="AQ12" s="352">
        <f>AH12*'Assumptions-Output Override'!$D$10/'Winners-Losers HRA'!$H$107*(1+'Assumptions-Output Override'!$F$38)</f>
        <v>0</v>
      </c>
      <c r="AR12" s="352">
        <f>AM12*('Shoppable Detail'!$AA$23/'Shoppable Detail'!$Y$23)</f>
        <v>0</v>
      </c>
      <c r="AS12" s="352">
        <f t="shared" si="13"/>
        <v>0</v>
      </c>
      <c r="AT12" s="352">
        <f t="shared" si="14"/>
        <v>0</v>
      </c>
      <c r="AU12" s="352">
        <f t="shared" si="14"/>
        <v>0</v>
      </c>
      <c r="AV12" s="352">
        <f t="shared" si="14"/>
        <v>0</v>
      </c>
      <c r="AW12" s="352">
        <f t="shared" si="14"/>
        <v>0</v>
      </c>
      <c r="AX12" s="352">
        <f t="shared" si="15"/>
        <v>0</v>
      </c>
      <c r="AY12" s="352">
        <f>AT12*'Assumptions-Output Override'!$D$24</f>
        <v>0</v>
      </c>
      <c r="AZ12" s="352">
        <f>$AU$107*'Assumptions-Output Override'!$D$21</f>
        <v>46.041131296780591</v>
      </c>
      <c r="BA12" s="352">
        <f>AV12*'Assumptions-Output Override'!$D$22</f>
        <v>0</v>
      </c>
      <c r="BB12" s="352">
        <f>AW12*'Assumptions-Output Override'!$D$23</f>
        <v>0</v>
      </c>
      <c r="BC12" s="352">
        <f t="shared" si="16"/>
        <v>46.041131296780591</v>
      </c>
      <c r="BD12" s="352">
        <f t="shared" si="17"/>
        <v>0</v>
      </c>
      <c r="BE12" s="352">
        <f t="shared" si="17"/>
        <v>46.041131296780591</v>
      </c>
      <c r="BF12" s="352">
        <f t="shared" si="17"/>
        <v>0</v>
      </c>
      <c r="BG12" s="352">
        <f t="shared" si="17"/>
        <v>0</v>
      </c>
      <c r="BH12" s="352">
        <f t="shared" si="18"/>
        <v>46.041131296780591</v>
      </c>
      <c r="BJ12" s="401">
        <f>D12*'Assumptions-Output Override'!$D$10/'Winners-Losers HRA'!$H$107</f>
        <v>0</v>
      </c>
      <c r="BK12" s="401">
        <f>E12*'Assumptions-Output Override'!$D$10/'Winners-Losers HRA'!$H$107</f>
        <v>0</v>
      </c>
      <c r="BL12" s="401">
        <f>F12*'Assumptions-Output Override'!$D$10/'Winners-Losers HRA'!$H$107</f>
        <v>0</v>
      </c>
      <c r="BM12" s="401">
        <f>G12*'Assumptions-Output Override'!$D$10/'Winners-Losers HRA'!$H$107</f>
        <v>0</v>
      </c>
      <c r="BN12" s="401">
        <f t="shared" si="2"/>
        <v>0</v>
      </c>
      <c r="BO12" s="401">
        <f>BJ12*(1-'Assumptions-Output Override'!$D$11)</f>
        <v>0</v>
      </c>
      <c r="BP12" s="401">
        <f>BK12*(1-'Assumptions-Output Override'!$D$11)</f>
        <v>0</v>
      </c>
      <c r="BQ12" s="401">
        <f>BL12*(1-'Assumptions-Output Override'!$D$11)</f>
        <v>0</v>
      </c>
      <c r="BR12" s="401">
        <f>BM12*(1-'Assumptions-Output Override'!$D$11)</f>
        <v>0</v>
      </c>
      <c r="BS12" s="352">
        <f t="shared" si="3"/>
        <v>0</v>
      </c>
      <c r="BT12" s="352">
        <f t="shared" si="19"/>
        <v>0</v>
      </c>
      <c r="BU12" s="352">
        <f t="shared" si="19"/>
        <v>0</v>
      </c>
      <c r="BV12" s="352">
        <f t="shared" si="19"/>
        <v>0</v>
      </c>
      <c r="BW12" s="352">
        <f t="shared" si="19"/>
        <v>0</v>
      </c>
      <c r="BX12" s="352">
        <f t="shared" si="4"/>
        <v>0</v>
      </c>
      <c r="BY12" s="352">
        <f>BT$107*(1-'Assumptions-Output Override'!$D$12)</f>
        <v>22.753074310428271</v>
      </c>
      <c r="BZ12" s="352">
        <f>BU$107*(1-'Assumptions-Output Override'!$D$12)</f>
        <v>51.446038369839215</v>
      </c>
      <c r="CA12" s="352">
        <f>BV$107*(1-'Assumptions-Output Override'!$D$12)</f>
        <v>9.7401900534537411</v>
      </c>
      <c r="CB12" s="352">
        <f>BW$107*(1-'Assumptions-Output Override'!$D$12)</f>
        <v>1.7000814189516649</v>
      </c>
      <c r="CC12" s="352">
        <f t="shared" si="5"/>
        <v>85.639384152672903</v>
      </c>
      <c r="CD12" s="352">
        <f t="shared" si="20"/>
        <v>22.753074310428271</v>
      </c>
      <c r="CE12" s="352">
        <f t="shared" si="20"/>
        <v>51.446038369839215</v>
      </c>
      <c r="CF12" s="352">
        <f t="shared" si="20"/>
        <v>9.7401900534537411</v>
      </c>
      <c r="CG12" s="352">
        <f t="shared" si="20"/>
        <v>1.7000814189516649</v>
      </c>
      <c r="CH12" s="352">
        <f t="shared" si="6"/>
        <v>85.639384152672903</v>
      </c>
      <c r="CJ12" s="352">
        <f t="shared" si="21"/>
        <v>85.639384152672903</v>
      </c>
      <c r="CK12" s="352">
        <f t="shared" si="22"/>
        <v>0</v>
      </c>
      <c r="CL12" s="352">
        <f t="shared" si="23"/>
        <v>85.639384152672903</v>
      </c>
      <c r="CN12" s="352">
        <f>('HRA Balance Calc'!U24+'HRA Balance Calc'!V24+'HRA Balance Calc'!W24+'HRA Balance Calc'!X24)/12</f>
        <v>-24.021739760490163</v>
      </c>
      <c r="CO12" s="352">
        <f>('HRA Balance Calc'!Q24+IF('HRA Balance Calc'!L24&lt;0,-'HRA Balance Calc'!L24,0))/12</f>
        <v>0</v>
      </c>
      <c r="CP12" s="352">
        <f>('HRA Balance Calc'!N24)/12</f>
        <v>0</v>
      </c>
      <c r="CQ12" s="352">
        <f>('HRA Balance Calc'!O24)/12</f>
        <v>0</v>
      </c>
      <c r="CR12" s="352">
        <f>('HRA Balance Calc'!P24)/12</f>
        <v>0</v>
      </c>
      <c r="CS12" s="352">
        <f t="shared" si="7"/>
        <v>0</v>
      </c>
      <c r="CU12" s="577">
        <f t="shared" si="24"/>
        <v>1315.9334869579568</v>
      </c>
      <c r="CV12" s="352">
        <f t="shared" si="25"/>
        <v>109.66112391316307</v>
      </c>
      <c r="CW12" s="352">
        <f t="shared" si="8"/>
        <v>0</v>
      </c>
      <c r="CX12" s="352">
        <f t="shared" si="8"/>
        <v>0</v>
      </c>
      <c r="CY12" s="352">
        <f t="shared" si="8"/>
        <v>0</v>
      </c>
      <c r="CZ12" s="352">
        <f t="shared" si="8"/>
        <v>0</v>
      </c>
      <c r="DA12" s="352">
        <f t="shared" si="9"/>
        <v>0</v>
      </c>
      <c r="DC12" s="352">
        <f>('HRA Balance Calc'!Q24+'HRA Balance Calc'!X24+IF('HRA Balance Calc'!L24&lt;0,-'HRA Balance Calc'!L24,0))/12</f>
        <v>0</v>
      </c>
      <c r="DD12" s="352">
        <f>('HRA Balance Calc'!N24+'HRA Balance Calc'!U24)/12</f>
        <v>-24.021739760490163</v>
      </c>
      <c r="DE12" s="352">
        <f>('HRA Balance Calc'!O24+'HRA Balance Calc'!V24)/12</f>
        <v>0</v>
      </c>
      <c r="DF12" s="352">
        <f>('HRA Balance Calc'!P24+'HRA Balance Calc'!W24)/12</f>
        <v>0</v>
      </c>
      <c r="DG12" s="352">
        <f t="shared" si="26"/>
        <v>-24.021739760490163</v>
      </c>
      <c r="DI12" s="352">
        <f t="shared" si="27"/>
        <v>22.753074310428271</v>
      </c>
      <c r="DJ12" s="352">
        <f t="shared" si="27"/>
        <v>75.467778130329378</v>
      </c>
      <c r="DK12" s="352">
        <f t="shared" si="27"/>
        <v>9.7401900534537411</v>
      </c>
      <c r="DL12" s="352">
        <f t="shared" si="27"/>
        <v>1.7000814189516649</v>
      </c>
      <c r="DM12" s="352">
        <f t="shared" si="27"/>
        <v>109.66112391316307</v>
      </c>
    </row>
    <row r="13" spans="1:117" x14ac:dyDescent="0.2">
      <c r="A13">
        <f t="shared" si="28"/>
        <v>8</v>
      </c>
      <c r="B13" s="397">
        <v>34308</v>
      </c>
      <c r="C13" s="398">
        <v>397997.79676138877</v>
      </c>
      <c r="D13" s="399">
        <v>0</v>
      </c>
      <c r="E13" s="399">
        <v>0</v>
      </c>
      <c r="F13" s="399">
        <v>0</v>
      </c>
      <c r="G13" s="399">
        <v>0</v>
      </c>
      <c r="H13" s="399">
        <v>0</v>
      </c>
      <c r="I13" s="400">
        <v>0</v>
      </c>
      <c r="J13" s="400">
        <v>0</v>
      </c>
      <c r="K13" s="400">
        <v>0</v>
      </c>
      <c r="L13" s="400">
        <v>0</v>
      </c>
      <c r="M13" s="400">
        <v>0</v>
      </c>
      <c r="N13" s="400">
        <v>0</v>
      </c>
      <c r="O13" s="399">
        <f t="shared" si="0"/>
        <v>0</v>
      </c>
      <c r="P13" s="399">
        <f t="shared" si="0"/>
        <v>0</v>
      </c>
      <c r="Q13" s="399">
        <f t="shared" si="0"/>
        <v>0</v>
      </c>
      <c r="R13" s="399">
        <f t="shared" si="0"/>
        <v>0</v>
      </c>
      <c r="S13" s="399">
        <f t="shared" si="0"/>
        <v>0</v>
      </c>
      <c r="T13" s="399">
        <f t="shared" si="0"/>
        <v>0</v>
      </c>
      <c r="U13" s="399">
        <f t="shared" si="10"/>
        <v>0</v>
      </c>
      <c r="V13" s="400">
        <v>0</v>
      </c>
      <c r="W13" s="400">
        <v>0</v>
      </c>
      <c r="X13" s="400">
        <v>0</v>
      </c>
      <c r="Y13" s="400">
        <v>0</v>
      </c>
      <c r="Z13" s="400">
        <v>0</v>
      </c>
      <c r="AA13" s="400">
        <v>0</v>
      </c>
      <c r="AB13" s="352">
        <f t="shared" si="1"/>
        <v>0</v>
      </c>
      <c r="AC13" s="352">
        <f t="shared" si="1"/>
        <v>0</v>
      </c>
      <c r="AD13" s="352">
        <f t="shared" si="1"/>
        <v>0</v>
      </c>
      <c r="AE13" s="352">
        <f t="shared" si="1"/>
        <v>0</v>
      </c>
      <c r="AF13" s="352">
        <f t="shared" si="1"/>
        <v>0</v>
      </c>
      <c r="AG13" s="352">
        <f t="shared" si="1"/>
        <v>0</v>
      </c>
      <c r="AH13" s="400">
        <f t="shared" si="11"/>
        <v>0</v>
      </c>
      <c r="AJ13" s="352">
        <f>D13*('Assumptions-Output Override'!$D$10/'Winners-Losers HRA'!$H$107)*(1+'Assumptions-Output Override'!$F$41)</f>
        <v>0</v>
      </c>
      <c r="AK13" s="352">
        <f>E13*('Assumptions-Output Override'!$D$10/'Winners-Losers HRA'!$H$107)*(1+'Assumptions-Output Override'!$F$37)</f>
        <v>0</v>
      </c>
      <c r="AL13" s="352">
        <f>F13*('Assumptions-Output Override'!$D$10/'Winners-Losers HRA'!$H$107)*(1+'Assumptions-Output Override'!$F$38)</f>
        <v>0</v>
      </c>
      <c r="AM13" s="352">
        <f>G13*('Shoppable Detail'!$X$21/'Shoppable Detail'!$H$21)*('Assumptions-Output Override'!$D$10/'Winners-Losers HRA'!$H$107)*(1+'Assumptions-Output Override'!$F$39)</f>
        <v>0</v>
      </c>
      <c r="AN13" s="352">
        <f t="shared" si="12"/>
        <v>0</v>
      </c>
      <c r="AO13" s="352">
        <v>0</v>
      </c>
      <c r="AP13" s="352">
        <f>U13*'Assumptions-Output Override'!$D$10/'Winners-Losers HRA'!$H$107*(1+'Assumptions-Output Override'!$F$37)</f>
        <v>0</v>
      </c>
      <c r="AQ13" s="352">
        <f>AH13*'Assumptions-Output Override'!$D$10/'Winners-Losers HRA'!$H$107*(1+'Assumptions-Output Override'!$F$38)</f>
        <v>0</v>
      </c>
      <c r="AR13" s="352">
        <f>AM13*('Shoppable Detail'!$AA$23/'Shoppable Detail'!$Y$23)</f>
        <v>0</v>
      </c>
      <c r="AS13" s="352">
        <f t="shared" si="13"/>
        <v>0</v>
      </c>
      <c r="AT13" s="352">
        <f t="shared" si="14"/>
        <v>0</v>
      </c>
      <c r="AU13" s="352">
        <f t="shared" si="14"/>
        <v>0</v>
      </c>
      <c r="AV13" s="352">
        <f t="shared" si="14"/>
        <v>0</v>
      </c>
      <c r="AW13" s="352">
        <f t="shared" si="14"/>
        <v>0</v>
      </c>
      <c r="AX13" s="352">
        <f t="shared" si="15"/>
        <v>0</v>
      </c>
      <c r="AY13" s="352">
        <f>AT13*'Assumptions-Output Override'!$D$24</f>
        <v>0</v>
      </c>
      <c r="AZ13" s="352">
        <f>$AU$107*'Assumptions-Output Override'!$D$21</f>
        <v>46.041131296780591</v>
      </c>
      <c r="BA13" s="352">
        <f>AV13*'Assumptions-Output Override'!$D$22</f>
        <v>0</v>
      </c>
      <c r="BB13" s="352">
        <f>AW13*'Assumptions-Output Override'!$D$23</f>
        <v>0</v>
      </c>
      <c r="BC13" s="352">
        <f t="shared" si="16"/>
        <v>46.041131296780591</v>
      </c>
      <c r="BD13" s="352">
        <f t="shared" si="17"/>
        <v>0</v>
      </c>
      <c r="BE13" s="352">
        <f t="shared" si="17"/>
        <v>46.041131296780591</v>
      </c>
      <c r="BF13" s="352">
        <f t="shared" si="17"/>
        <v>0</v>
      </c>
      <c r="BG13" s="352">
        <f t="shared" si="17"/>
        <v>0</v>
      </c>
      <c r="BH13" s="352">
        <f t="shared" si="18"/>
        <v>46.041131296780591</v>
      </c>
      <c r="BJ13" s="401">
        <f>D13*'Assumptions-Output Override'!$D$10/'Winners-Losers HRA'!$H$107</f>
        <v>0</v>
      </c>
      <c r="BK13" s="401">
        <f>E13*'Assumptions-Output Override'!$D$10/'Winners-Losers HRA'!$H$107</f>
        <v>0</v>
      </c>
      <c r="BL13" s="401">
        <f>F13*'Assumptions-Output Override'!$D$10/'Winners-Losers HRA'!$H$107</f>
        <v>0</v>
      </c>
      <c r="BM13" s="401">
        <f>G13*'Assumptions-Output Override'!$D$10/'Winners-Losers HRA'!$H$107</f>
        <v>0</v>
      </c>
      <c r="BN13" s="401">
        <f t="shared" si="2"/>
        <v>0</v>
      </c>
      <c r="BO13" s="401">
        <f>BJ13*(1-'Assumptions-Output Override'!$D$11)</f>
        <v>0</v>
      </c>
      <c r="BP13" s="401">
        <f>BK13*(1-'Assumptions-Output Override'!$D$11)</f>
        <v>0</v>
      </c>
      <c r="BQ13" s="401">
        <f>BL13*(1-'Assumptions-Output Override'!$D$11)</f>
        <v>0</v>
      </c>
      <c r="BR13" s="401">
        <f>BM13*(1-'Assumptions-Output Override'!$D$11)</f>
        <v>0</v>
      </c>
      <c r="BS13" s="352">
        <f t="shared" si="3"/>
        <v>0</v>
      </c>
      <c r="BT13" s="352">
        <f t="shared" si="19"/>
        <v>0</v>
      </c>
      <c r="BU13" s="352">
        <f t="shared" si="19"/>
        <v>0</v>
      </c>
      <c r="BV13" s="352">
        <f t="shared" si="19"/>
        <v>0</v>
      </c>
      <c r="BW13" s="352">
        <f t="shared" si="19"/>
        <v>0</v>
      </c>
      <c r="BX13" s="352">
        <f t="shared" si="4"/>
        <v>0</v>
      </c>
      <c r="BY13" s="352">
        <f>BT$107*(1-'Assumptions-Output Override'!$D$12)</f>
        <v>22.753074310428271</v>
      </c>
      <c r="BZ13" s="352">
        <f>BU$107*(1-'Assumptions-Output Override'!$D$12)</f>
        <v>51.446038369839215</v>
      </c>
      <c r="CA13" s="352">
        <f>BV$107*(1-'Assumptions-Output Override'!$D$12)</f>
        <v>9.7401900534537411</v>
      </c>
      <c r="CB13" s="352">
        <f>BW$107*(1-'Assumptions-Output Override'!$D$12)</f>
        <v>1.7000814189516649</v>
      </c>
      <c r="CC13" s="352">
        <f t="shared" si="5"/>
        <v>85.639384152672903</v>
      </c>
      <c r="CD13" s="352">
        <f t="shared" si="20"/>
        <v>22.753074310428271</v>
      </c>
      <c r="CE13" s="352">
        <f t="shared" si="20"/>
        <v>51.446038369839215</v>
      </c>
      <c r="CF13" s="352">
        <f t="shared" si="20"/>
        <v>9.7401900534537411</v>
      </c>
      <c r="CG13" s="352">
        <f t="shared" si="20"/>
        <v>1.7000814189516649</v>
      </c>
      <c r="CH13" s="352">
        <f t="shared" si="6"/>
        <v>85.639384152672903</v>
      </c>
      <c r="CJ13" s="352">
        <f t="shared" si="21"/>
        <v>85.639384152672903</v>
      </c>
      <c r="CK13" s="352">
        <f t="shared" si="22"/>
        <v>0</v>
      </c>
      <c r="CL13" s="352">
        <f t="shared" si="23"/>
        <v>85.639384152672903</v>
      </c>
      <c r="CN13" s="352">
        <f>('HRA Balance Calc'!U25+'HRA Balance Calc'!V25+'HRA Balance Calc'!W25+'HRA Balance Calc'!X25)/12</f>
        <v>-24.021739760490163</v>
      </c>
      <c r="CO13" s="352">
        <f>('HRA Balance Calc'!Q25+IF('HRA Balance Calc'!L25&lt;0,-'HRA Balance Calc'!L25,0))/12</f>
        <v>0</v>
      </c>
      <c r="CP13" s="352">
        <f>('HRA Balance Calc'!N25)/12</f>
        <v>0</v>
      </c>
      <c r="CQ13" s="352">
        <f>('HRA Balance Calc'!O25)/12</f>
        <v>0</v>
      </c>
      <c r="CR13" s="352">
        <f>('HRA Balance Calc'!P25)/12</f>
        <v>0</v>
      </c>
      <c r="CS13" s="352">
        <f t="shared" si="7"/>
        <v>0</v>
      </c>
      <c r="CU13" s="577">
        <f t="shared" si="24"/>
        <v>1315.9334869579568</v>
      </c>
      <c r="CV13" s="352">
        <f t="shared" si="25"/>
        <v>109.66112391316307</v>
      </c>
      <c r="CW13" s="352">
        <f t="shared" si="8"/>
        <v>0</v>
      </c>
      <c r="CX13" s="352">
        <f t="shared" si="8"/>
        <v>0</v>
      </c>
      <c r="CY13" s="352">
        <f t="shared" si="8"/>
        <v>0</v>
      </c>
      <c r="CZ13" s="352">
        <f t="shared" si="8"/>
        <v>0</v>
      </c>
      <c r="DA13" s="352">
        <f t="shared" si="9"/>
        <v>0</v>
      </c>
      <c r="DC13" s="352">
        <f>('HRA Balance Calc'!Q25+'HRA Balance Calc'!X25+IF('HRA Balance Calc'!L25&lt;0,-'HRA Balance Calc'!L25,0))/12</f>
        <v>0</v>
      </c>
      <c r="DD13" s="352">
        <f>('HRA Balance Calc'!N25+'HRA Balance Calc'!U25)/12</f>
        <v>-24.021739760490163</v>
      </c>
      <c r="DE13" s="352">
        <f>('HRA Balance Calc'!O25+'HRA Balance Calc'!V25)/12</f>
        <v>0</v>
      </c>
      <c r="DF13" s="352">
        <f>('HRA Balance Calc'!P25+'HRA Balance Calc'!W25)/12</f>
        <v>0</v>
      </c>
      <c r="DG13" s="352">
        <f t="shared" si="26"/>
        <v>-24.021739760490163</v>
      </c>
      <c r="DI13" s="352">
        <f t="shared" si="27"/>
        <v>22.753074310428271</v>
      </c>
      <c r="DJ13" s="352">
        <f t="shared" si="27"/>
        <v>75.467778130329378</v>
      </c>
      <c r="DK13" s="352">
        <f t="shared" si="27"/>
        <v>9.7401900534537411</v>
      </c>
      <c r="DL13" s="352">
        <f t="shared" si="27"/>
        <v>1.7000814189516649</v>
      </c>
      <c r="DM13" s="352">
        <f t="shared" si="27"/>
        <v>109.66112391316307</v>
      </c>
    </row>
    <row r="14" spans="1:117" x14ac:dyDescent="0.2">
      <c r="A14">
        <f t="shared" si="28"/>
        <v>9</v>
      </c>
      <c r="B14" s="397">
        <v>34308</v>
      </c>
      <c r="C14" s="398">
        <v>397997.79676138877</v>
      </c>
      <c r="D14" s="399">
        <v>0</v>
      </c>
      <c r="E14" s="399">
        <v>0</v>
      </c>
      <c r="F14" s="399">
        <v>0</v>
      </c>
      <c r="G14" s="399">
        <v>0</v>
      </c>
      <c r="H14" s="399">
        <v>0</v>
      </c>
      <c r="I14" s="400">
        <v>0</v>
      </c>
      <c r="J14" s="400">
        <v>0</v>
      </c>
      <c r="K14" s="400">
        <v>0</v>
      </c>
      <c r="L14" s="400">
        <v>0</v>
      </c>
      <c r="M14" s="400">
        <v>0</v>
      </c>
      <c r="N14" s="400">
        <v>0</v>
      </c>
      <c r="O14" s="399">
        <f t="shared" si="0"/>
        <v>0</v>
      </c>
      <c r="P14" s="399">
        <f t="shared" si="0"/>
        <v>0</v>
      </c>
      <c r="Q14" s="399">
        <f t="shared" si="0"/>
        <v>0</v>
      </c>
      <c r="R14" s="399">
        <f t="shared" si="0"/>
        <v>0</v>
      </c>
      <c r="S14" s="399">
        <f t="shared" si="0"/>
        <v>0</v>
      </c>
      <c r="T14" s="399">
        <f t="shared" si="0"/>
        <v>0</v>
      </c>
      <c r="U14" s="399">
        <f t="shared" si="10"/>
        <v>0</v>
      </c>
      <c r="V14" s="400">
        <v>0</v>
      </c>
      <c r="W14" s="400">
        <v>0</v>
      </c>
      <c r="X14" s="400">
        <v>0</v>
      </c>
      <c r="Y14" s="400">
        <v>0</v>
      </c>
      <c r="Z14" s="400">
        <v>0</v>
      </c>
      <c r="AA14" s="400">
        <v>0</v>
      </c>
      <c r="AB14" s="352">
        <f t="shared" si="1"/>
        <v>0</v>
      </c>
      <c r="AC14" s="352">
        <f t="shared" si="1"/>
        <v>0</v>
      </c>
      <c r="AD14" s="352">
        <f t="shared" si="1"/>
        <v>0</v>
      </c>
      <c r="AE14" s="352">
        <f t="shared" si="1"/>
        <v>0</v>
      </c>
      <c r="AF14" s="352">
        <f t="shared" si="1"/>
        <v>0</v>
      </c>
      <c r="AG14" s="352">
        <f t="shared" si="1"/>
        <v>0</v>
      </c>
      <c r="AH14" s="400">
        <f t="shared" si="11"/>
        <v>0</v>
      </c>
      <c r="AJ14" s="352">
        <f>D14*('Assumptions-Output Override'!$D$10/'Winners-Losers HRA'!$H$107)*(1+'Assumptions-Output Override'!$F$41)</f>
        <v>0</v>
      </c>
      <c r="AK14" s="352">
        <f>E14*('Assumptions-Output Override'!$D$10/'Winners-Losers HRA'!$H$107)*(1+'Assumptions-Output Override'!$F$37)</f>
        <v>0</v>
      </c>
      <c r="AL14" s="352">
        <f>F14*('Assumptions-Output Override'!$D$10/'Winners-Losers HRA'!$H$107)*(1+'Assumptions-Output Override'!$F$38)</f>
        <v>0</v>
      </c>
      <c r="AM14" s="352">
        <f>G14*('Shoppable Detail'!$X$21/'Shoppable Detail'!$H$21)*('Assumptions-Output Override'!$D$10/'Winners-Losers HRA'!$H$107)*(1+'Assumptions-Output Override'!$F$39)</f>
        <v>0</v>
      </c>
      <c r="AN14" s="352">
        <f t="shared" si="12"/>
        <v>0</v>
      </c>
      <c r="AO14" s="352">
        <v>0</v>
      </c>
      <c r="AP14" s="352">
        <f>U14*'Assumptions-Output Override'!$D$10/'Winners-Losers HRA'!$H$107*(1+'Assumptions-Output Override'!$F$37)</f>
        <v>0</v>
      </c>
      <c r="AQ14" s="352">
        <f>AH14*'Assumptions-Output Override'!$D$10/'Winners-Losers HRA'!$H$107*(1+'Assumptions-Output Override'!$F$38)</f>
        <v>0</v>
      </c>
      <c r="AR14" s="352">
        <f>AM14*('Shoppable Detail'!$AA$23/'Shoppable Detail'!$Y$23)</f>
        <v>0</v>
      </c>
      <c r="AS14" s="352">
        <f t="shared" si="13"/>
        <v>0</v>
      </c>
      <c r="AT14" s="352">
        <f t="shared" si="14"/>
        <v>0</v>
      </c>
      <c r="AU14" s="352">
        <f t="shared" si="14"/>
        <v>0</v>
      </c>
      <c r="AV14" s="352">
        <f t="shared" si="14"/>
        <v>0</v>
      </c>
      <c r="AW14" s="352">
        <f t="shared" si="14"/>
        <v>0</v>
      </c>
      <c r="AX14" s="352">
        <f t="shared" si="15"/>
        <v>0</v>
      </c>
      <c r="AY14" s="352">
        <f>AT14*'Assumptions-Output Override'!$D$24</f>
        <v>0</v>
      </c>
      <c r="AZ14" s="352">
        <f>$AU$107*'Assumptions-Output Override'!$D$21</f>
        <v>46.041131296780591</v>
      </c>
      <c r="BA14" s="352">
        <f>AV14*'Assumptions-Output Override'!$D$22</f>
        <v>0</v>
      </c>
      <c r="BB14" s="352">
        <f>AW14*'Assumptions-Output Override'!$D$23</f>
        <v>0</v>
      </c>
      <c r="BC14" s="352">
        <f t="shared" si="16"/>
        <v>46.041131296780591</v>
      </c>
      <c r="BD14" s="352">
        <f t="shared" si="17"/>
        <v>0</v>
      </c>
      <c r="BE14" s="352">
        <f t="shared" si="17"/>
        <v>46.041131296780591</v>
      </c>
      <c r="BF14" s="352">
        <f t="shared" si="17"/>
        <v>0</v>
      </c>
      <c r="BG14" s="352">
        <f t="shared" si="17"/>
        <v>0</v>
      </c>
      <c r="BH14" s="352">
        <f t="shared" si="18"/>
        <v>46.041131296780591</v>
      </c>
      <c r="BJ14" s="401">
        <f>D14*'Assumptions-Output Override'!$D$10/'Winners-Losers HRA'!$H$107</f>
        <v>0</v>
      </c>
      <c r="BK14" s="401">
        <f>E14*'Assumptions-Output Override'!$D$10/'Winners-Losers HRA'!$H$107</f>
        <v>0</v>
      </c>
      <c r="BL14" s="401">
        <f>F14*'Assumptions-Output Override'!$D$10/'Winners-Losers HRA'!$H$107</f>
        <v>0</v>
      </c>
      <c r="BM14" s="401">
        <f>G14*'Assumptions-Output Override'!$D$10/'Winners-Losers HRA'!$H$107</f>
        <v>0</v>
      </c>
      <c r="BN14" s="401">
        <f t="shared" si="2"/>
        <v>0</v>
      </c>
      <c r="BO14" s="401">
        <f>BJ14*(1-'Assumptions-Output Override'!$D$11)</f>
        <v>0</v>
      </c>
      <c r="BP14" s="401">
        <f>BK14*(1-'Assumptions-Output Override'!$D$11)</f>
        <v>0</v>
      </c>
      <c r="BQ14" s="401">
        <f>BL14*(1-'Assumptions-Output Override'!$D$11)</f>
        <v>0</v>
      </c>
      <c r="BR14" s="401">
        <f>BM14*(1-'Assumptions-Output Override'!$D$11)</f>
        <v>0</v>
      </c>
      <c r="BS14" s="352">
        <f t="shared" si="3"/>
        <v>0</v>
      </c>
      <c r="BT14" s="352">
        <f t="shared" si="19"/>
        <v>0</v>
      </c>
      <c r="BU14" s="352">
        <f t="shared" si="19"/>
        <v>0</v>
      </c>
      <c r="BV14" s="352">
        <f t="shared" si="19"/>
        <v>0</v>
      </c>
      <c r="BW14" s="352">
        <f t="shared" si="19"/>
        <v>0</v>
      </c>
      <c r="BX14" s="352">
        <f t="shared" si="4"/>
        <v>0</v>
      </c>
      <c r="BY14" s="352">
        <f>BT$107*(1-'Assumptions-Output Override'!$D$12)</f>
        <v>22.753074310428271</v>
      </c>
      <c r="BZ14" s="352">
        <f>BU$107*(1-'Assumptions-Output Override'!$D$12)</f>
        <v>51.446038369839215</v>
      </c>
      <c r="CA14" s="352">
        <f>BV$107*(1-'Assumptions-Output Override'!$D$12)</f>
        <v>9.7401900534537411</v>
      </c>
      <c r="CB14" s="352">
        <f>BW$107*(1-'Assumptions-Output Override'!$D$12)</f>
        <v>1.7000814189516649</v>
      </c>
      <c r="CC14" s="352">
        <f t="shared" si="5"/>
        <v>85.639384152672903</v>
      </c>
      <c r="CD14" s="352">
        <f t="shared" si="20"/>
        <v>22.753074310428271</v>
      </c>
      <c r="CE14" s="352">
        <f t="shared" si="20"/>
        <v>51.446038369839215</v>
      </c>
      <c r="CF14" s="352">
        <f t="shared" si="20"/>
        <v>9.7401900534537411</v>
      </c>
      <c r="CG14" s="352">
        <f t="shared" si="20"/>
        <v>1.7000814189516649</v>
      </c>
      <c r="CH14" s="352">
        <f t="shared" si="6"/>
        <v>85.639384152672903</v>
      </c>
      <c r="CJ14" s="352">
        <f t="shared" si="21"/>
        <v>85.639384152672903</v>
      </c>
      <c r="CK14" s="352">
        <f t="shared" si="22"/>
        <v>0</v>
      </c>
      <c r="CL14" s="352">
        <f t="shared" si="23"/>
        <v>85.639384152672903</v>
      </c>
      <c r="CN14" s="352">
        <f>('HRA Balance Calc'!U26+'HRA Balance Calc'!V26+'HRA Balance Calc'!W26+'HRA Balance Calc'!X26)/12</f>
        <v>-24.021739760490163</v>
      </c>
      <c r="CO14" s="352">
        <f>('HRA Balance Calc'!Q26+IF('HRA Balance Calc'!L26&lt;0,-'HRA Balance Calc'!L26,0))/12</f>
        <v>0</v>
      </c>
      <c r="CP14" s="352">
        <f>('HRA Balance Calc'!N26)/12</f>
        <v>0</v>
      </c>
      <c r="CQ14" s="352">
        <f>('HRA Balance Calc'!O26)/12</f>
        <v>0</v>
      </c>
      <c r="CR14" s="352">
        <f>('HRA Balance Calc'!P26)/12</f>
        <v>0</v>
      </c>
      <c r="CS14" s="352">
        <f t="shared" si="7"/>
        <v>0</v>
      </c>
      <c r="CU14" s="577">
        <f t="shared" si="24"/>
        <v>1315.9334869579568</v>
      </c>
      <c r="CV14" s="352">
        <f t="shared" si="25"/>
        <v>109.66112391316307</v>
      </c>
      <c r="CW14" s="352">
        <f t="shared" si="8"/>
        <v>0</v>
      </c>
      <c r="CX14" s="352">
        <f t="shared" si="8"/>
        <v>0</v>
      </c>
      <c r="CY14" s="352">
        <f t="shared" si="8"/>
        <v>0</v>
      </c>
      <c r="CZ14" s="352">
        <f t="shared" si="8"/>
        <v>0</v>
      </c>
      <c r="DA14" s="352">
        <f t="shared" si="9"/>
        <v>0</v>
      </c>
      <c r="DC14" s="352">
        <f>('HRA Balance Calc'!Q26+'HRA Balance Calc'!X26+IF('HRA Balance Calc'!L26&lt;0,-'HRA Balance Calc'!L26,0))/12</f>
        <v>0</v>
      </c>
      <c r="DD14" s="352">
        <f>('HRA Balance Calc'!N26+'HRA Balance Calc'!U26)/12</f>
        <v>-24.021739760490163</v>
      </c>
      <c r="DE14" s="352">
        <f>('HRA Balance Calc'!O26+'HRA Balance Calc'!V26)/12</f>
        <v>0</v>
      </c>
      <c r="DF14" s="352">
        <f>('HRA Balance Calc'!P26+'HRA Balance Calc'!W26)/12</f>
        <v>0</v>
      </c>
      <c r="DG14" s="352">
        <f t="shared" si="26"/>
        <v>-24.021739760490163</v>
      </c>
      <c r="DI14" s="352">
        <f t="shared" si="27"/>
        <v>22.753074310428271</v>
      </c>
      <c r="DJ14" s="352">
        <f t="shared" si="27"/>
        <v>75.467778130329378</v>
      </c>
      <c r="DK14" s="352">
        <f t="shared" si="27"/>
        <v>9.7401900534537411</v>
      </c>
      <c r="DL14" s="352">
        <f t="shared" si="27"/>
        <v>1.7000814189516649</v>
      </c>
      <c r="DM14" s="352">
        <f t="shared" si="27"/>
        <v>109.66112391316307</v>
      </c>
    </row>
    <row r="15" spans="1:117" x14ac:dyDescent="0.2">
      <c r="A15">
        <f t="shared" si="28"/>
        <v>10</v>
      </c>
      <c r="B15" s="397">
        <v>34308</v>
      </c>
      <c r="C15" s="398">
        <v>397997.79676138877</v>
      </c>
      <c r="D15" s="399">
        <v>0</v>
      </c>
      <c r="E15" s="399">
        <v>0</v>
      </c>
      <c r="F15" s="399">
        <v>0</v>
      </c>
      <c r="G15" s="399">
        <v>0</v>
      </c>
      <c r="H15" s="399">
        <v>0</v>
      </c>
      <c r="I15" s="400">
        <v>0</v>
      </c>
      <c r="J15" s="400">
        <v>0</v>
      </c>
      <c r="K15" s="400">
        <v>0</v>
      </c>
      <c r="L15" s="400">
        <v>0</v>
      </c>
      <c r="M15" s="400">
        <v>0</v>
      </c>
      <c r="N15" s="400">
        <v>0</v>
      </c>
      <c r="O15" s="399">
        <f t="shared" si="0"/>
        <v>0</v>
      </c>
      <c r="P15" s="399">
        <f t="shared" si="0"/>
        <v>0</v>
      </c>
      <c r="Q15" s="399">
        <f t="shared" si="0"/>
        <v>0</v>
      </c>
      <c r="R15" s="399">
        <f t="shared" si="0"/>
        <v>0</v>
      </c>
      <c r="S15" s="399">
        <f t="shared" si="0"/>
        <v>0</v>
      </c>
      <c r="T15" s="399">
        <f t="shared" si="0"/>
        <v>0</v>
      </c>
      <c r="U15" s="399">
        <f t="shared" si="10"/>
        <v>0</v>
      </c>
      <c r="V15" s="400">
        <v>0</v>
      </c>
      <c r="W15" s="400">
        <v>0</v>
      </c>
      <c r="X15" s="400">
        <v>0</v>
      </c>
      <c r="Y15" s="400">
        <v>0</v>
      </c>
      <c r="Z15" s="400">
        <v>0</v>
      </c>
      <c r="AA15" s="400">
        <v>0</v>
      </c>
      <c r="AB15" s="352">
        <f t="shared" si="1"/>
        <v>0</v>
      </c>
      <c r="AC15" s="352">
        <f t="shared" si="1"/>
        <v>0</v>
      </c>
      <c r="AD15" s="352">
        <f t="shared" si="1"/>
        <v>0</v>
      </c>
      <c r="AE15" s="352">
        <f t="shared" si="1"/>
        <v>0</v>
      </c>
      <c r="AF15" s="352">
        <f t="shared" si="1"/>
        <v>0</v>
      </c>
      <c r="AG15" s="352">
        <f t="shared" si="1"/>
        <v>0</v>
      </c>
      <c r="AH15" s="400">
        <f t="shared" si="11"/>
        <v>0</v>
      </c>
      <c r="AJ15" s="352">
        <f>D15*('Assumptions-Output Override'!$D$10/'Winners-Losers HRA'!$H$107)*(1+'Assumptions-Output Override'!$F$41)</f>
        <v>0</v>
      </c>
      <c r="AK15" s="352">
        <f>E15*('Assumptions-Output Override'!$D$10/'Winners-Losers HRA'!$H$107)*(1+'Assumptions-Output Override'!$F$37)</f>
        <v>0</v>
      </c>
      <c r="AL15" s="352">
        <f>F15*('Assumptions-Output Override'!$D$10/'Winners-Losers HRA'!$H$107)*(1+'Assumptions-Output Override'!$F$38)</f>
        <v>0</v>
      </c>
      <c r="AM15" s="352">
        <f>G15*('Shoppable Detail'!$X$21/'Shoppable Detail'!$H$21)*('Assumptions-Output Override'!$D$10/'Winners-Losers HRA'!$H$107)*(1+'Assumptions-Output Override'!$F$39)</f>
        <v>0</v>
      </c>
      <c r="AN15" s="352">
        <f t="shared" si="12"/>
        <v>0</v>
      </c>
      <c r="AO15" s="352">
        <v>0</v>
      </c>
      <c r="AP15" s="352">
        <f>U15*'Assumptions-Output Override'!$D$10/'Winners-Losers HRA'!$H$107*(1+'Assumptions-Output Override'!$F$37)</f>
        <v>0</v>
      </c>
      <c r="AQ15" s="352">
        <f>AH15*'Assumptions-Output Override'!$D$10/'Winners-Losers HRA'!$H$107*(1+'Assumptions-Output Override'!$F$38)</f>
        <v>0</v>
      </c>
      <c r="AR15" s="352">
        <f>AM15*('Shoppable Detail'!$AA$23/'Shoppable Detail'!$Y$23)</f>
        <v>0</v>
      </c>
      <c r="AS15" s="352">
        <f t="shared" si="13"/>
        <v>0</v>
      </c>
      <c r="AT15" s="352">
        <f t="shared" si="14"/>
        <v>0</v>
      </c>
      <c r="AU15" s="352">
        <f t="shared" si="14"/>
        <v>0</v>
      </c>
      <c r="AV15" s="352">
        <f t="shared" si="14"/>
        <v>0</v>
      </c>
      <c r="AW15" s="352">
        <f t="shared" si="14"/>
        <v>0</v>
      </c>
      <c r="AX15" s="352">
        <f t="shared" si="15"/>
        <v>0</v>
      </c>
      <c r="AY15" s="352">
        <f>AT15*'Assumptions-Output Override'!$D$24</f>
        <v>0</v>
      </c>
      <c r="AZ15" s="352">
        <f>$AU$107*'Assumptions-Output Override'!$D$21</f>
        <v>46.041131296780591</v>
      </c>
      <c r="BA15" s="352">
        <f>AV15*'Assumptions-Output Override'!$D$22</f>
        <v>0</v>
      </c>
      <c r="BB15" s="352">
        <f>AW15*'Assumptions-Output Override'!$D$23</f>
        <v>0</v>
      </c>
      <c r="BC15" s="352">
        <f t="shared" si="16"/>
        <v>46.041131296780591</v>
      </c>
      <c r="BD15" s="352">
        <f t="shared" si="17"/>
        <v>0</v>
      </c>
      <c r="BE15" s="352">
        <f t="shared" si="17"/>
        <v>46.041131296780591</v>
      </c>
      <c r="BF15" s="352">
        <f t="shared" si="17"/>
        <v>0</v>
      </c>
      <c r="BG15" s="352">
        <f t="shared" si="17"/>
        <v>0</v>
      </c>
      <c r="BH15" s="352">
        <f t="shared" si="18"/>
        <v>46.041131296780591</v>
      </c>
      <c r="BJ15" s="401">
        <f>D15*'Assumptions-Output Override'!$D$10/'Winners-Losers HRA'!$H$107</f>
        <v>0</v>
      </c>
      <c r="BK15" s="401">
        <f>E15*'Assumptions-Output Override'!$D$10/'Winners-Losers HRA'!$H$107</f>
        <v>0</v>
      </c>
      <c r="BL15" s="401">
        <f>F15*'Assumptions-Output Override'!$D$10/'Winners-Losers HRA'!$H$107</f>
        <v>0</v>
      </c>
      <c r="BM15" s="401">
        <f>G15*'Assumptions-Output Override'!$D$10/'Winners-Losers HRA'!$H$107</f>
        <v>0</v>
      </c>
      <c r="BN15" s="401">
        <f t="shared" si="2"/>
        <v>0</v>
      </c>
      <c r="BO15" s="401">
        <f>BJ15*(1-'Assumptions-Output Override'!$D$11)</f>
        <v>0</v>
      </c>
      <c r="BP15" s="401">
        <f>BK15*(1-'Assumptions-Output Override'!$D$11)</f>
        <v>0</v>
      </c>
      <c r="BQ15" s="401">
        <f>BL15*(1-'Assumptions-Output Override'!$D$11)</f>
        <v>0</v>
      </c>
      <c r="BR15" s="401">
        <f>BM15*(1-'Assumptions-Output Override'!$D$11)</f>
        <v>0</v>
      </c>
      <c r="BS15" s="352">
        <f t="shared" si="3"/>
        <v>0</v>
      </c>
      <c r="BT15" s="352">
        <f t="shared" si="19"/>
        <v>0</v>
      </c>
      <c r="BU15" s="352">
        <f t="shared" si="19"/>
        <v>0</v>
      </c>
      <c r="BV15" s="352">
        <f t="shared" si="19"/>
        <v>0</v>
      </c>
      <c r="BW15" s="352">
        <f t="shared" si="19"/>
        <v>0</v>
      </c>
      <c r="BX15" s="352">
        <f t="shared" si="4"/>
        <v>0</v>
      </c>
      <c r="BY15" s="352">
        <f>BT$107*(1-'Assumptions-Output Override'!$D$12)</f>
        <v>22.753074310428271</v>
      </c>
      <c r="BZ15" s="352">
        <f>BU$107*(1-'Assumptions-Output Override'!$D$12)</f>
        <v>51.446038369839215</v>
      </c>
      <c r="CA15" s="352">
        <f>BV$107*(1-'Assumptions-Output Override'!$D$12)</f>
        <v>9.7401900534537411</v>
      </c>
      <c r="CB15" s="352">
        <f>BW$107*(1-'Assumptions-Output Override'!$D$12)</f>
        <v>1.7000814189516649</v>
      </c>
      <c r="CC15" s="352">
        <f t="shared" si="5"/>
        <v>85.639384152672903</v>
      </c>
      <c r="CD15" s="352">
        <f t="shared" si="20"/>
        <v>22.753074310428271</v>
      </c>
      <c r="CE15" s="352">
        <f t="shared" si="20"/>
        <v>51.446038369839215</v>
      </c>
      <c r="CF15" s="352">
        <f t="shared" si="20"/>
        <v>9.7401900534537411</v>
      </c>
      <c r="CG15" s="352">
        <f t="shared" si="20"/>
        <v>1.7000814189516649</v>
      </c>
      <c r="CH15" s="352">
        <f t="shared" si="6"/>
        <v>85.639384152672903</v>
      </c>
      <c r="CJ15" s="352">
        <f t="shared" si="21"/>
        <v>85.639384152672903</v>
      </c>
      <c r="CK15" s="352">
        <f t="shared" si="22"/>
        <v>0</v>
      </c>
      <c r="CL15" s="352">
        <f t="shared" si="23"/>
        <v>85.639384152672903</v>
      </c>
      <c r="CN15" s="352">
        <f>('HRA Balance Calc'!U27+'HRA Balance Calc'!V27+'HRA Balance Calc'!W27+'HRA Balance Calc'!X27)/12</f>
        <v>-24.021739760490163</v>
      </c>
      <c r="CO15" s="352">
        <f>('HRA Balance Calc'!Q27+IF('HRA Balance Calc'!L27&lt;0,-'HRA Balance Calc'!L27,0))/12</f>
        <v>0</v>
      </c>
      <c r="CP15" s="352">
        <f>('HRA Balance Calc'!N27)/12</f>
        <v>0</v>
      </c>
      <c r="CQ15" s="352">
        <f>('HRA Balance Calc'!O27)/12</f>
        <v>0</v>
      </c>
      <c r="CR15" s="352">
        <f>('HRA Balance Calc'!P27)/12</f>
        <v>0</v>
      </c>
      <c r="CS15" s="352">
        <f t="shared" si="7"/>
        <v>0</v>
      </c>
      <c r="CU15" s="577">
        <f t="shared" si="24"/>
        <v>1315.9334869579568</v>
      </c>
      <c r="CV15" s="352">
        <f t="shared" si="25"/>
        <v>109.66112391316307</v>
      </c>
      <c r="CW15" s="352">
        <f t="shared" si="8"/>
        <v>0</v>
      </c>
      <c r="CX15" s="352">
        <f t="shared" si="8"/>
        <v>0</v>
      </c>
      <c r="CY15" s="352">
        <f t="shared" si="8"/>
        <v>0</v>
      </c>
      <c r="CZ15" s="352">
        <f t="shared" si="8"/>
        <v>0</v>
      </c>
      <c r="DA15" s="352">
        <f t="shared" si="9"/>
        <v>0</v>
      </c>
      <c r="DC15" s="352">
        <f>('HRA Balance Calc'!Q27+'HRA Balance Calc'!X27+IF('HRA Balance Calc'!L27&lt;0,-'HRA Balance Calc'!L27,0))/12</f>
        <v>0</v>
      </c>
      <c r="DD15" s="352">
        <f>('HRA Balance Calc'!N27+'HRA Balance Calc'!U27)/12</f>
        <v>-24.021739760490163</v>
      </c>
      <c r="DE15" s="352">
        <f>('HRA Balance Calc'!O27+'HRA Balance Calc'!V27)/12</f>
        <v>0</v>
      </c>
      <c r="DF15" s="352">
        <f>('HRA Balance Calc'!P27+'HRA Balance Calc'!W27)/12</f>
        <v>0</v>
      </c>
      <c r="DG15" s="352">
        <f t="shared" si="26"/>
        <v>-24.021739760490163</v>
      </c>
      <c r="DI15" s="352">
        <f t="shared" si="27"/>
        <v>22.753074310428271</v>
      </c>
      <c r="DJ15" s="352">
        <f t="shared" si="27"/>
        <v>75.467778130329378</v>
      </c>
      <c r="DK15" s="352">
        <f t="shared" si="27"/>
        <v>9.7401900534537411</v>
      </c>
      <c r="DL15" s="352">
        <f t="shared" si="27"/>
        <v>1.7000814189516649</v>
      </c>
      <c r="DM15" s="352">
        <f t="shared" si="27"/>
        <v>109.66112391316307</v>
      </c>
    </row>
    <row r="16" spans="1:117" x14ac:dyDescent="0.2">
      <c r="A16">
        <f t="shared" si="28"/>
        <v>11</v>
      </c>
      <c r="B16" s="397">
        <v>34308</v>
      </c>
      <c r="C16" s="398">
        <v>397997.79676138877</v>
      </c>
      <c r="D16" s="399">
        <v>0</v>
      </c>
      <c r="E16" s="399">
        <v>0</v>
      </c>
      <c r="F16" s="399">
        <v>0</v>
      </c>
      <c r="G16" s="399">
        <v>0</v>
      </c>
      <c r="H16" s="399">
        <v>0</v>
      </c>
      <c r="I16" s="400">
        <v>0</v>
      </c>
      <c r="J16" s="400">
        <v>0</v>
      </c>
      <c r="K16" s="400">
        <v>0</v>
      </c>
      <c r="L16" s="400">
        <v>0</v>
      </c>
      <c r="M16" s="400">
        <v>0</v>
      </c>
      <c r="N16" s="400">
        <v>0</v>
      </c>
      <c r="O16" s="399">
        <f t="shared" si="0"/>
        <v>0</v>
      </c>
      <c r="P16" s="399">
        <f t="shared" si="0"/>
        <v>0</v>
      </c>
      <c r="Q16" s="399">
        <f t="shared" si="0"/>
        <v>0</v>
      </c>
      <c r="R16" s="399">
        <f t="shared" si="0"/>
        <v>0</v>
      </c>
      <c r="S16" s="399">
        <f t="shared" si="0"/>
        <v>0</v>
      </c>
      <c r="T16" s="399">
        <f t="shared" si="0"/>
        <v>0</v>
      </c>
      <c r="U16" s="399">
        <f t="shared" si="10"/>
        <v>0</v>
      </c>
      <c r="V16" s="400">
        <v>0</v>
      </c>
      <c r="W16" s="400">
        <v>0</v>
      </c>
      <c r="X16" s="400">
        <v>0</v>
      </c>
      <c r="Y16" s="400">
        <v>0</v>
      </c>
      <c r="Z16" s="400">
        <v>0</v>
      </c>
      <c r="AA16" s="400">
        <v>0</v>
      </c>
      <c r="AB16" s="352">
        <f t="shared" si="1"/>
        <v>0</v>
      </c>
      <c r="AC16" s="352">
        <f t="shared" si="1"/>
        <v>0</v>
      </c>
      <c r="AD16" s="352">
        <f t="shared" si="1"/>
        <v>0</v>
      </c>
      <c r="AE16" s="352">
        <f t="shared" si="1"/>
        <v>0</v>
      </c>
      <c r="AF16" s="352">
        <f t="shared" si="1"/>
        <v>0</v>
      </c>
      <c r="AG16" s="352">
        <f t="shared" si="1"/>
        <v>0</v>
      </c>
      <c r="AH16" s="400">
        <f t="shared" si="11"/>
        <v>0</v>
      </c>
      <c r="AJ16" s="352">
        <f>D16*('Assumptions-Output Override'!$D$10/'Winners-Losers HRA'!$H$107)*(1+'Assumptions-Output Override'!$F$41)</f>
        <v>0</v>
      </c>
      <c r="AK16" s="352">
        <f>E16*('Assumptions-Output Override'!$D$10/'Winners-Losers HRA'!$H$107)*(1+'Assumptions-Output Override'!$F$37)</f>
        <v>0</v>
      </c>
      <c r="AL16" s="352">
        <f>F16*('Assumptions-Output Override'!$D$10/'Winners-Losers HRA'!$H$107)*(1+'Assumptions-Output Override'!$F$38)</f>
        <v>0</v>
      </c>
      <c r="AM16" s="352">
        <f>G16*('Shoppable Detail'!$X$21/'Shoppable Detail'!$H$21)*('Assumptions-Output Override'!$D$10/'Winners-Losers HRA'!$H$107)*(1+'Assumptions-Output Override'!$F$39)</f>
        <v>0</v>
      </c>
      <c r="AN16" s="352">
        <f t="shared" si="12"/>
        <v>0</v>
      </c>
      <c r="AO16" s="352">
        <v>0</v>
      </c>
      <c r="AP16" s="352">
        <f>U16*'Assumptions-Output Override'!$D$10/'Winners-Losers HRA'!$H$107*(1+'Assumptions-Output Override'!$F$37)</f>
        <v>0</v>
      </c>
      <c r="AQ16" s="352">
        <f>AH16*'Assumptions-Output Override'!$D$10/'Winners-Losers HRA'!$H$107*(1+'Assumptions-Output Override'!$F$38)</f>
        <v>0</v>
      </c>
      <c r="AR16" s="352">
        <f>AM16*('Shoppable Detail'!$AA$23/'Shoppable Detail'!$Y$23)</f>
        <v>0</v>
      </c>
      <c r="AS16" s="352">
        <f t="shared" si="13"/>
        <v>0</v>
      </c>
      <c r="AT16" s="352">
        <f t="shared" si="14"/>
        <v>0</v>
      </c>
      <c r="AU16" s="352">
        <f t="shared" si="14"/>
        <v>0</v>
      </c>
      <c r="AV16" s="352">
        <f t="shared" si="14"/>
        <v>0</v>
      </c>
      <c r="AW16" s="352">
        <f t="shared" si="14"/>
        <v>0</v>
      </c>
      <c r="AX16" s="352">
        <f t="shared" si="15"/>
        <v>0</v>
      </c>
      <c r="AY16" s="352">
        <f>AT16*'Assumptions-Output Override'!$D$24</f>
        <v>0</v>
      </c>
      <c r="AZ16" s="352">
        <f>$AU$107*'Assumptions-Output Override'!$D$21</f>
        <v>46.041131296780591</v>
      </c>
      <c r="BA16" s="352">
        <f>AV16*'Assumptions-Output Override'!$D$22</f>
        <v>0</v>
      </c>
      <c r="BB16" s="352">
        <f>AW16*'Assumptions-Output Override'!$D$23</f>
        <v>0</v>
      </c>
      <c r="BC16" s="352">
        <f t="shared" si="16"/>
        <v>46.041131296780591</v>
      </c>
      <c r="BD16" s="352">
        <f t="shared" si="17"/>
        <v>0</v>
      </c>
      <c r="BE16" s="352">
        <f t="shared" si="17"/>
        <v>46.041131296780591</v>
      </c>
      <c r="BF16" s="352">
        <f t="shared" si="17"/>
        <v>0</v>
      </c>
      <c r="BG16" s="352">
        <f t="shared" si="17"/>
        <v>0</v>
      </c>
      <c r="BH16" s="352">
        <f t="shared" si="18"/>
        <v>46.041131296780591</v>
      </c>
      <c r="BJ16" s="401">
        <f>D16*'Assumptions-Output Override'!$D$10/'Winners-Losers HRA'!$H$107</f>
        <v>0</v>
      </c>
      <c r="BK16" s="401">
        <f>E16*'Assumptions-Output Override'!$D$10/'Winners-Losers HRA'!$H$107</f>
        <v>0</v>
      </c>
      <c r="BL16" s="401">
        <f>F16*'Assumptions-Output Override'!$D$10/'Winners-Losers HRA'!$H$107</f>
        <v>0</v>
      </c>
      <c r="BM16" s="401">
        <f>G16*'Assumptions-Output Override'!$D$10/'Winners-Losers HRA'!$H$107</f>
        <v>0</v>
      </c>
      <c r="BN16" s="401">
        <f t="shared" si="2"/>
        <v>0</v>
      </c>
      <c r="BO16" s="401">
        <f>BJ16*(1-'Assumptions-Output Override'!$D$11)</f>
        <v>0</v>
      </c>
      <c r="BP16" s="401">
        <f>BK16*(1-'Assumptions-Output Override'!$D$11)</f>
        <v>0</v>
      </c>
      <c r="BQ16" s="401">
        <f>BL16*(1-'Assumptions-Output Override'!$D$11)</f>
        <v>0</v>
      </c>
      <c r="BR16" s="401">
        <f>BM16*(1-'Assumptions-Output Override'!$D$11)</f>
        <v>0</v>
      </c>
      <c r="BS16" s="352">
        <f t="shared" si="3"/>
        <v>0</v>
      </c>
      <c r="BT16" s="352">
        <f t="shared" si="19"/>
        <v>0</v>
      </c>
      <c r="BU16" s="352">
        <f t="shared" si="19"/>
        <v>0</v>
      </c>
      <c r="BV16" s="352">
        <f t="shared" si="19"/>
        <v>0</v>
      </c>
      <c r="BW16" s="352">
        <f t="shared" si="19"/>
        <v>0</v>
      </c>
      <c r="BX16" s="352">
        <f t="shared" si="4"/>
        <v>0</v>
      </c>
      <c r="BY16" s="352">
        <f>BT$107*(1-'Assumptions-Output Override'!$D$12)</f>
        <v>22.753074310428271</v>
      </c>
      <c r="BZ16" s="352">
        <f>BU$107*(1-'Assumptions-Output Override'!$D$12)</f>
        <v>51.446038369839215</v>
      </c>
      <c r="CA16" s="352">
        <f>BV$107*(1-'Assumptions-Output Override'!$D$12)</f>
        <v>9.7401900534537411</v>
      </c>
      <c r="CB16" s="352">
        <f>BW$107*(1-'Assumptions-Output Override'!$D$12)</f>
        <v>1.7000814189516649</v>
      </c>
      <c r="CC16" s="352">
        <f t="shared" si="5"/>
        <v>85.639384152672903</v>
      </c>
      <c r="CD16" s="352">
        <f t="shared" si="20"/>
        <v>22.753074310428271</v>
      </c>
      <c r="CE16" s="352">
        <f t="shared" si="20"/>
        <v>51.446038369839215</v>
      </c>
      <c r="CF16" s="352">
        <f t="shared" si="20"/>
        <v>9.7401900534537411</v>
      </c>
      <c r="CG16" s="352">
        <f t="shared" si="20"/>
        <v>1.7000814189516649</v>
      </c>
      <c r="CH16" s="352">
        <f t="shared" si="6"/>
        <v>85.639384152672903</v>
      </c>
      <c r="CJ16" s="352">
        <f t="shared" si="21"/>
        <v>85.639384152672903</v>
      </c>
      <c r="CK16" s="352">
        <f t="shared" si="22"/>
        <v>0</v>
      </c>
      <c r="CL16" s="352">
        <f t="shared" si="23"/>
        <v>85.639384152672903</v>
      </c>
      <c r="CN16" s="352">
        <f>('HRA Balance Calc'!U28+'HRA Balance Calc'!V28+'HRA Balance Calc'!W28+'HRA Balance Calc'!X28)/12</f>
        <v>-24.021739760490163</v>
      </c>
      <c r="CO16" s="352">
        <f>('HRA Balance Calc'!Q28+IF('HRA Balance Calc'!L28&lt;0,-'HRA Balance Calc'!L28,0))/12</f>
        <v>0</v>
      </c>
      <c r="CP16" s="352">
        <f>('HRA Balance Calc'!N28)/12</f>
        <v>0</v>
      </c>
      <c r="CQ16" s="352">
        <f>('HRA Balance Calc'!O28)/12</f>
        <v>0</v>
      </c>
      <c r="CR16" s="352">
        <f>('HRA Balance Calc'!P28)/12</f>
        <v>0</v>
      </c>
      <c r="CS16" s="352">
        <f t="shared" si="7"/>
        <v>0</v>
      </c>
      <c r="CU16" s="577">
        <f t="shared" si="24"/>
        <v>1315.9334869579568</v>
      </c>
      <c r="CV16" s="352">
        <f t="shared" si="25"/>
        <v>109.66112391316307</v>
      </c>
      <c r="CW16" s="352">
        <f t="shared" si="8"/>
        <v>0</v>
      </c>
      <c r="CX16" s="352">
        <f t="shared" si="8"/>
        <v>0</v>
      </c>
      <c r="CY16" s="352">
        <f t="shared" si="8"/>
        <v>0</v>
      </c>
      <c r="CZ16" s="352">
        <f t="shared" si="8"/>
        <v>0</v>
      </c>
      <c r="DA16" s="352">
        <f t="shared" si="9"/>
        <v>0</v>
      </c>
      <c r="DC16" s="352">
        <f>('HRA Balance Calc'!Q28+'HRA Balance Calc'!X28+IF('HRA Balance Calc'!L28&lt;0,-'HRA Balance Calc'!L28,0))/12</f>
        <v>0</v>
      </c>
      <c r="DD16" s="352">
        <f>('HRA Balance Calc'!N28+'HRA Balance Calc'!U28)/12</f>
        <v>-24.021739760490163</v>
      </c>
      <c r="DE16" s="352">
        <f>('HRA Balance Calc'!O28+'HRA Balance Calc'!V28)/12</f>
        <v>0</v>
      </c>
      <c r="DF16" s="352">
        <f>('HRA Balance Calc'!P28+'HRA Balance Calc'!W28)/12</f>
        <v>0</v>
      </c>
      <c r="DG16" s="352">
        <f t="shared" si="26"/>
        <v>-24.021739760490163</v>
      </c>
      <c r="DI16" s="352">
        <f t="shared" si="27"/>
        <v>22.753074310428271</v>
      </c>
      <c r="DJ16" s="352">
        <f t="shared" si="27"/>
        <v>75.467778130329378</v>
      </c>
      <c r="DK16" s="352">
        <f t="shared" si="27"/>
        <v>9.7401900534537411</v>
      </c>
      <c r="DL16" s="352">
        <f t="shared" si="27"/>
        <v>1.7000814189516649</v>
      </c>
      <c r="DM16" s="352">
        <f t="shared" si="27"/>
        <v>109.66112391316307</v>
      </c>
    </row>
    <row r="17" spans="1:117" x14ac:dyDescent="0.2">
      <c r="A17">
        <f t="shared" si="28"/>
        <v>12</v>
      </c>
      <c r="B17" s="397">
        <v>34308</v>
      </c>
      <c r="C17" s="398">
        <v>397997.79676138877</v>
      </c>
      <c r="D17" s="399">
        <v>0</v>
      </c>
      <c r="E17" s="399">
        <v>0</v>
      </c>
      <c r="F17" s="399">
        <v>0</v>
      </c>
      <c r="G17" s="399">
        <v>0</v>
      </c>
      <c r="H17" s="399">
        <v>0</v>
      </c>
      <c r="I17" s="400">
        <v>0</v>
      </c>
      <c r="J17" s="400">
        <v>0</v>
      </c>
      <c r="K17" s="400">
        <v>0</v>
      </c>
      <c r="L17" s="400">
        <v>0</v>
      </c>
      <c r="M17" s="400">
        <v>0</v>
      </c>
      <c r="N17" s="400">
        <v>0</v>
      </c>
      <c r="O17" s="399">
        <f t="shared" si="0"/>
        <v>0</v>
      </c>
      <c r="P17" s="399">
        <f t="shared" si="0"/>
        <v>0</v>
      </c>
      <c r="Q17" s="399">
        <f t="shared" si="0"/>
        <v>0</v>
      </c>
      <c r="R17" s="399">
        <f t="shared" si="0"/>
        <v>0</v>
      </c>
      <c r="S17" s="399">
        <f t="shared" si="0"/>
        <v>0</v>
      </c>
      <c r="T17" s="399">
        <f t="shared" si="0"/>
        <v>0</v>
      </c>
      <c r="U17" s="399">
        <f t="shared" si="10"/>
        <v>0</v>
      </c>
      <c r="V17" s="400">
        <v>0</v>
      </c>
      <c r="W17" s="400">
        <v>0</v>
      </c>
      <c r="X17" s="400">
        <v>0</v>
      </c>
      <c r="Y17" s="400">
        <v>0</v>
      </c>
      <c r="Z17" s="400">
        <v>0</v>
      </c>
      <c r="AA17" s="400">
        <v>0</v>
      </c>
      <c r="AB17" s="352">
        <f t="shared" si="1"/>
        <v>0</v>
      </c>
      <c r="AC17" s="352">
        <f t="shared" si="1"/>
        <v>0</v>
      </c>
      <c r="AD17" s="352">
        <f t="shared" si="1"/>
        <v>0</v>
      </c>
      <c r="AE17" s="352">
        <f t="shared" si="1"/>
        <v>0</v>
      </c>
      <c r="AF17" s="352">
        <f t="shared" si="1"/>
        <v>0</v>
      </c>
      <c r="AG17" s="352">
        <f t="shared" si="1"/>
        <v>0</v>
      </c>
      <c r="AH17" s="400">
        <f t="shared" si="11"/>
        <v>0</v>
      </c>
      <c r="AJ17" s="352">
        <f>D17*('Assumptions-Output Override'!$D$10/'Winners-Losers HRA'!$H$107)*(1+'Assumptions-Output Override'!$F$41)</f>
        <v>0</v>
      </c>
      <c r="AK17" s="352">
        <f>E17*('Assumptions-Output Override'!$D$10/'Winners-Losers HRA'!$H$107)*(1+'Assumptions-Output Override'!$F$37)</f>
        <v>0</v>
      </c>
      <c r="AL17" s="352">
        <f>F17*('Assumptions-Output Override'!$D$10/'Winners-Losers HRA'!$H$107)*(1+'Assumptions-Output Override'!$F$38)</f>
        <v>0</v>
      </c>
      <c r="AM17" s="352">
        <f>G17*('Shoppable Detail'!$X$21/'Shoppable Detail'!$H$21)*('Assumptions-Output Override'!$D$10/'Winners-Losers HRA'!$H$107)*(1+'Assumptions-Output Override'!$F$39)</f>
        <v>0</v>
      </c>
      <c r="AN17" s="352">
        <f t="shared" si="12"/>
        <v>0</v>
      </c>
      <c r="AO17" s="352">
        <v>0</v>
      </c>
      <c r="AP17" s="352">
        <f>U17*'Assumptions-Output Override'!$D$10/'Winners-Losers HRA'!$H$107*(1+'Assumptions-Output Override'!$F$37)</f>
        <v>0</v>
      </c>
      <c r="AQ17" s="352">
        <f>AH17*'Assumptions-Output Override'!$D$10/'Winners-Losers HRA'!$H$107*(1+'Assumptions-Output Override'!$F$38)</f>
        <v>0</v>
      </c>
      <c r="AR17" s="352">
        <f>AM17*('Shoppable Detail'!$AA$23/'Shoppable Detail'!$Y$23)</f>
        <v>0</v>
      </c>
      <c r="AS17" s="352">
        <f t="shared" si="13"/>
        <v>0</v>
      </c>
      <c r="AT17" s="352">
        <f t="shared" si="14"/>
        <v>0</v>
      </c>
      <c r="AU17" s="352">
        <f t="shared" si="14"/>
        <v>0</v>
      </c>
      <c r="AV17" s="352">
        <f t="shared" si="14"/>
        <v>0</v>
      </c>
      <c r="AW17" s="352">
        <f t="shared" si="14"/>
        <v>0</v>
      </c>
      <c r="AX17" s="352">
        <f t="shared" si="15"/>
        <v>0</v>
      </c>
      <c r="AY17" s="352">
        <f>AT17*'Assumptions-Output Override'!$D$24</f>
        <v>0</v>
      </c>
      <c r="AZ17" s="352">
        <f>$AU$107*'Assumptions-Output Override'!$D$21</f>
        <v>46.041131296780591</v>
      </c>
      <c r="BA17" s="352">
        <f>AV17*'Assumptions-Output Override'!$D$22</f>
        <v>0</v>
      </c>
      <c r="BB17" s="352">
        <f>AW17*'Assumptions-Output Override'!$D$23</f>
        <v>0</v>
      </c>
      <c r="BC17" s="352">
        <f t="shared" si="16"/>
        <v>46.041131296780591</v>
      </c>
      <c r="BD17" s="352">
        <f t="shared" si="17"/>
        <v>0</v>
      </c>
      <c r="BE17" s="352">
        <f t="shared" si="17"/>
        <v>46.041131296780591</v>
      </c>
      <c r="BF17" s="352">
        <f t="shared" si="17"/>
        <v>0</v>
      </c>
      <c r="BG17" s="352">
        <f t="shared" si="17"/>
        <v>0</v>
      </c>
      <c r="BH17" s="352">
        <f t="shared" si="18"/>
        <v>46.041131296780591</v>
      </c>
      <c r="BJ17" s="401">
        <f>D17*'Assumptions-Output Override'!$D$10/'Winners-Losers HRA'!$H$107</f>
        <v>0</v>
      </c>
      <c r="BK17" s="401">
        <f>E17*'Assumptions-Output Override'!$D$10/'Winners-Losers HRA'!$H$107</f>
        <v>0</v>
      </c>
      <c r="BL17" s="401">
        <f>F17*'Assumptions-Output Override'!$D$10/'Winners-Losers HRA'!$H$107</f>
        <v>0</v>
      </c>
      <c r="BM17" s="401">
        <f>G17*'Assumptions-Output Override'!$D$10/'Winners-Losers HRA'!$H$107</f>
        <v>0</v>
      </c>
      <c r="BN17" s="401">
        <f t="shared" si="2"/>
        <v>0</v>
      </c>
      <c r="BO17" s="401">
        <f>BJ17*(1-'Assumptions-Output Override'!$D$11)</f>
        <v>0</v>
      </c>
      <c r="BP17" s="401">
        <f>BK17*(1-'Assumptions-Output Override'!$D$11)</f>
        <v>0</v>
      </c>
      <c r="BQ17" s="401">
        <f>BL17*(1-'Assumptions-Output Override'!$D$11)</f>
        <v>0</v>
      </c>
      <c r="BR17" s="401">
        <f>BM17*(1-'Assumptions-Output Override'!$D$11)</f>
        <v>0</v>
      </c>
      <c r="BS17" s="352">
        <f t="shared" si="3"/>
        <v>0</v>
      </c>
      <c r="BT17" s="352">
        <f t="shared" si="19"/>
        <v>0</v>
      </c>
      <c r="BU17" s="352">
        <f t="shared" si="19"/>
        <v>0</v>
      </c>
      <c r="BV17" s="352">
        <f t="shared" si="19"/>
        <v>0</v>
      </c>
      <c r="BW17" s="352">
        <f t="shared" si="19"/>
        <v>0</v>
      </c>
      <c r="BX17" s="352">
        <f t="shared" si="4"/>
        <v>0</v>
      </c>
      <c r="BY17" s="352">
        <f>BT$107*(1-'Assumptions-Output Override'!$D$12)</f>
        <v>22.753074310428271</v>
      </c>
      <c r="BZ17" s="352">
        <f>BU$107*(1-'Assumptions-Output Override'!$D$12)</f>
        <v>51.446038369839215</v>
      </c>
      <c r="CA17" s="352">
        <f>BV$107*(1-'Assumptions-Output Override'!$D$12)</f>
        <v>9.7401900534537411</v>
      </c>
      <c r="CB17" s="352">
        <f>BW$107*(1-'Assumptions-Output Override'!$D$12)</f>
        <v>1.7000814189516649</v>
      </c>
      <c r="CC17" s="352">
        <f t="shared" si="5"/>
        <v>85.639384152672903</v>
      </c>
      <c r="CD17" s="352">
        <f t="shared" si="20"/>
        <v>22.753074310428271</v>
      </c>
      <c r="CE17" s="352">
        <f t="shared" si="20"/>
        <v>51.446038369839215</v>
      </c>
      <c r="CF17" s="352">
        <f t="shared" si="20"/>
        <v>9.7401900534537411</v>
      </c>
      <c r="CG17" s="352">
        <f t="shared" si="20"/>
        <v>1.7000814189516649</v>
      </c>
      <c r="CH17" s="352">
        <f t="shared" si="6"/>
        <v>85.639384152672903</v>
      </c>
      <c r="CJ17" s="352">
        <f t="shared" si="21"/>
        <v>85.639384152672903</v>
      </c>
      <c r="CK17" s="352">
        <f t="shared" si="22"/>
        <v>0</v>
      </c>
      <c r="CL17" s="352">
        <f t="shared" si="23"/>
        <v>85.639384152672903</v>
      </c>
      <c r="CN17" s="352">
        <f>('HRA Balance Calc'!U29+'HRA Balance Calc'!V29+'HRA Balance Calc'!W29+'HRA Balance Calc'!X29)/12</f>
        <v>-24.021739760490163</v>
      </c>
      <c r="CO17" s="352">
        <f>('HRA Balance Calc'!Q29+IF('HRA Balance Calc'!L29&lt;0,-'HRA Balance Calc'!L29,0))/12</f>
        <v>0</v>
      </c>
      <c r="CP17" s="352">
        <f>('HRA Balance Calc'!N29)/12</f>
        <v>0</v>
      </c>
      <c r="CQ17" s="352">
        <f>('HRA Balance Calc'!O29)/12</f>
        <v>0</v>
      </c>
      <c r="CR17" s="352">
        <f>('HRA Balance Calc'!P29)/12</f>
        <v>0</v>
      </c>
      <c r="CS17" s="352">
        <f t="shared" si="7"/>
        <v>0</v>
      </c>
      <c r="CU17" s="577">
        <f t="shared" si="24"/>
        <v>1315.9334869579568</v>
      </c>
      <c r="CV17" s="352">
        <f t="shared" si="25"/>
        <v>109.66112391316307</v>
      </c>
      <c r="CW17" s="352">
        <f t="shared" si="8"/>
        <v>0</v>
      </c>
      <c r="CX17" s="352">
        <f t="shared" si="8"/>
        <v>0</v>
      </c>
      <c r="CY17" s="352">
        <f t="shared" si="8"/>
        <v>0</v>
      </c>
      <c r="CZ17" s="352">
        <f t="shared" si="8"/>
        <v>0</v>
      </c>
      <c r="DA17" s="352">
        <f t="shared" si="9"/>
        <v>0</v>
      </c>
      <c r="DC17" s="352">
        <f>('HRA Balance Calc'!Q29+'HRA Balance Calc'!X29+IF('HRA Balance Calc'!L29&lt;0,-'HRA Balance Calc'!L29,0))/12</f>
        <v>0</v>
      </c>
      <c r="DD17" s="352">
        <f>('HRA Balance Calc'!N29+'HRA Balance Calc'!U29)/12</f>
        <v>-24.021739760490163</v>
      </c>
      <c r="DE17" s="352">
        <f>('HRA Balance Calc'!O29+'HRA Balance Calc'!V29)/12</f>
        <v>0</v>
      </c>
      <c r="DF17" s="352">
        <f>('HRA Balance Calc'!P29+'HRA Balance Calc'!W29)/12</f>
        <v>0</v>
      </c>
      <c r="DG17" s="352">
        <f t="shared" si="26"/>
        <v>-24.021739760490163</v>
      </c>
      <c r="DI17" s="352">
        <f t="shared" si="27"/>
        <v>22.753074310428271</v>
      </c>
      <c r="DJ17" s="352">
        <f t="shared" si="27"/>
        <v>75.467778130329378</v>
      </c>
      <c r="DK17" s="352">
        <f t="shared" si="27"/>
        <v>9.7401900534537411</v>
      </c>
      <c r="DL17" s="352">
        <f t="shared" si="27"/>
        <v>1.7000814189516649</v>
      </c>
      <c r="DM17" s="352">
        <f t="shared" si="27"/>
        <v>109.66112391316307</v>
      </c>
    </row>
    <row r="18" spans="1:117" x14ac:dyDescent="0.2">
      <c r="A18">
        <f t="shared" si="28"/>
        <v>13</v>
      </c>
      <c r="B18" s="397">
        <v>34308</v>
      </c>
      <c r="C18" s="398">
        <v>397997.79676138877</v>
      </c>
      <c r="D18" s="399">
        <v>0</v>
      </c>
      <c r="E18" s="399">
        <v>0</v>
      </c>
      <c r="F18" s="399">
        <v>0</v>
      </c>
      <c r="G18" s="399">
        <v>0</v>
      </c>
      <c r="H18" s="399">
        <v>0</v>
      </c>
      <c r="I18" s="400">
        <v>0</v>
      </c>
      <c r="J18" s="400">
        <v>0</v>
      </c>
      <c r="K18" s="400">
        <v>0</v>
      </c>
      <c r="L18" s="400">
        <v>0</v>
      </c>
      <c r="M18" s="400">
        <v>0</v>
      </c>
      <c r="N18" s="400">
        <v>0</v>
      </c>
      <c r="O18" s="399">
        <f t="shared" si="0"/>
        <v>0</v>
      </c>
      <c r="P18" s="399">
        <f t="shared" si="0"/>
        <v>0</v>
      </c>
      <c r="Q18" s="399">
        <f t="shared" si="0"/>
        <v>0</v>
      </c>
      <c r="R18" s="399">
        <f t="shared" si="0"/>
        <v>0</v>
      </c>
      <c r="S18" s="399">
        <f t="shared" si="0"/>
        <v>0</v>
      </c>
      <c r="T18" s="399">
        <f t="shared" si="0"/>
        <v>0</v>
      </c>
      <c r="U18" s="399">
        <f t="shared" si="10"/>
        <v>0</v>
      </c>
      <c r="V18" s="400">
        <v>0</v>
      </c>
      <c r="W18" s="400">
        <v>0</v>
      </c>
      <c r="X18" s="400">
        <v>0</v>
      </c>
      <c r="Y18" s="400">
        <v>0</v>
      </c>
      <c r="Z18" s="400">
        <v>0</v>
      </c>
      <c r="AA18" s="400">
        <v>0</v>
      </c>
      <c r="AB18" s="352">
        <f t="shared" si="1"/>
        <v>0</v>
      </c>
      <c r="AC18" s="352">
        <f t="shared" si="1"/>
        <v>0</v>
      </c>
      <c r="AD18" s="352">
        <f t="shared" si="1"/>
        <v>0</v>
      </c>
      <c r="AE18" s="352">
        <f t="shared" si="1"/>
        <v>0</v>
      </c>
      <c r="AF18" s="352">
        <f t="shared" si="1"/>
        <v>0</v>
      </c>
      <c r="AG18" s="352">
        <f t="shared" si="1"/>
        <v>0</v>
      </c>
      <c r="AH18" s="400">
        <f t="shared" si="11"/>
        <v>0</v>
      </c>
      <c r="AJ18" s="352">
        <f>D18*('Assumptions-Output Override'!$D$10/'Winners-Losers HRA'!$H$107)*(1+'Assumptions-Output Override'!$F$41)</f>
        <v>0</v>
      </c>
      <c r="AK18" s="352">
        <f>E18*('Assumptions-Output Override'!$D$10/'Winners-Losers HRA'!$H$107)*(1+'Assumptions-Output Override'!$F$37)</f>
        <v>0</v>
      </c>
      <c r="AL18" s="352">
        <f>F18*('Assumptions-Output Override'!$D$10/'Winners-Losers HRA'!$H$107)*(1+'Assumptions-Output Override'!$F$38)</f>
        <v>0</v>
      </c>
      <c r="AM18" s="352">
        <f>G18*('Shoppable Detail'!$X$21/'Shoppable Detail'!$H$21)*('Assumptions-Output Override'!$D$10/'Winners-Losers HRA'!$H$107)*(1+'Assumptions-Output Override'!$F$39)</f>
        <v>0</v>
      </c>
      <c r="AN18" s="352">
        <f t="shared" si="12"/>
        <v>0</v>
      </c>
      <c r="AO18" s="352">
        <v>0</v>
      </c>
      <c r="AP18" s="352">
        <f>U18*'Assumptions-Output Override'!$D$10/'Winners-Losers HRA'!$H$107*(1+'Assumptions-Output Override'!$F$37)</f>
        <v>0</v>
      </c>
      <c r="AQ18" s="352">
        <f>AH18*'Assumptions-Output Override'!$D$10/'Winners-Losers HRA'!$H$107*(1+'Assumptions-Output Override'!$F$38)</f>
        <v>0</v>
      </c>
      <c r="AR18" s="352">
        <f>AM18*('Shoppable Detail'!$AA$23/'Shoppable Detail'!$Y$23)</f>
        <v>0</v>
      </c>
      <c r="AS18" s="352">
        <f t="shared" si="13"/>
        <v>0</v>
      </c>
      <c r="AT18" s="352">
        <f t="shared" si="14"/>
        <v>0</v>
      </c>
      <c r="AU18" s="352">
        <f t="shared" si="14"/>
        <v>0</v>
      </c>
      <c r="AV18" s="352">
        <f t="shared" si="14"/>
        <v>0</v>
      </c>
      <c r="AW18" s="352">
        <f t="shared" si="14"/>
        <v>0</v>
      </c>
      <c r="AX18" s="352">
        <f t="shared" si="15"/>
        <v>0</v>
      </c>
      <c r="AY18" s="352">
        <f>AT18*'Assumptions-Output Override'!$D$24</f>
        <v>0</v>
      </c>
      <c r="AZ18" s="352">
        <f>$AU$107*'Assumptions-Output Override'!$D$21</f>
        <v>46.041131296780591</v>
      </c>
      <c r="BA18" s="352">
        <f>AV18*'Assumptions-Output Override'!$D$22</f>
        <v>0</v>
      </c>
      <c r="BB18" s="352">
        <f>AW18*'Assumptions-Output Override'!$D$23</f>
        <v>0</v>
      </c>
      <c r="BC18" s="352">
        <f t="shared" si="16"/>
        <v>46.041131296780591</v>
      </c>
      <c r="BD18" s="352">
        <f t="shared" si="17"/>
        <v>0</v>
      </c>
      <c r="BE18" s="352">
        <f t="shared" si="17"/>
        <v>46.041131296780591</v>
      </c>
      <c r="BF18" s="352">
        <f t="shared" si="17"/>
        <v>0</v>
      </c>
      <c r="BG18" s="352">
        <f t="shared" si="17"/>
        <v>0</v>
      </c>
      <c r="BH18" s="352">
        <f t="shared" si="18"/>
        <v>46.041131296780591</v>
      </c>
      <c r="BJ18" s="401">
        <f>D18*'Assumptions-Output Override'!$D$10/'Winners-Losers HRA'!$H$107</f>
        <v>0</v>
      </c>
      <c r="BK18" s="401">
        <f>E18*'Assumptions-Output Override'!$D$10/'Winners-Losers HRA'!$H$107</f>
        <v>0</v>
      </c>
      <c r="BL18" s="401">
        <f>F18*'Assumptions-Output Override'!$D$10/'Winners-Losers HRA'!$H$107</f>
        <v>0</v>
      </c>
      <c r="BM18" s="401">
        <f>G18*'Assumptions-Output Override'!$D$10/'Winners-Losers HRA'!$H$107</f>
        <v>0</v>
      </c>
      <c r="BN18" s="401">
        <f t="shared" si="2"/>
        <v>0</v>
      </c>
      <c r="BO18" s="401">
        <f>BJ18*(1-'Assumptions-Output Override'!$D$11)</f>
        <v>0</v>
      </c>
      <c r="BP18" s="401">
        <f>BK18*(1-'Assumptions-Output Override'!$D$11)</f>
        <v>0</v>
      </c>
      <c r="BQ18" s="401">
        <f>BL18*(1-'Assumptions-Output Override'!$D$11)</f>
        <v>0</v>
      </c>
      <c r="BR18" s="401">
        <f>BM18*(1-'Assumptions-Output Override'!$D$11)</f>
        <v>0</v>
      </c>
      <c r="BS18" s="352">
        <f t="shared" si="3"/>
        <v>0</v>
      </c>
      <c r="BT18" s="352">
        <f t="shared" si="19"/>
        <v>0</v>
      </c>
      <c r="BU18" s="352">
        <f t="shared" si="19"/>
        <v>0</v>
      </c>
      <c r="BV18" s="352">
        <f t="shared" si="19"/>
        <v>0</v>
      </c>
      <c r="BW18" s="352">
        <f t="shared" si="19"/>
        <v>0</v>
      </c>
      <c r="BX18" s="352">
        <f t="shared" si="4"/>
        <v>0</v>
      </c>
      <c r="BY18" s="352">
        <f>BT$107*(1-'Assumptions-Output Override'!$D$12)</f>
        <v>22.753074310428271</v>
      </c>
      <c r="BZ18" s="352">
        <f>BU$107*(1-'Assumptions-Output Override'!$D$12)</f>
        <v>51.446038369839215</v>
      </c>
      <c r="CA18" s="352">
        <f>BV$107*(1-'Assumptions-Output Override'!$D$12)</f>
        <v>9.7401900534537411</v>
      </c>
      <c r="CB18" s="352">
        <f>BW$107*(1-'Assumptions-Output Override'!$D$12)</f>
        <v>1.7000814189516649</v>
      </c>
      <c r="CC18" s="352">
        <f t="shared" si="5"/>
        <v>85.639384152672903</v>
      </c>
      <c r="CD18" s="352">
        <f t="shared" si="20"/>
        <v>22.753074310428271</v>
      </c>
      <c r="CE18" s="352">
        <f t="shared" si="20"/>
        <v>51.446038369839215</v>
      </c>
      <c r="CF18" s="352">
        <f t="shared" si="20"/>
        <v>9.7401900534537411</v>
      </c>
      <c r="CG18" s="352">
        <f t="shared" si="20"/>
        <v>1.7000814189516649</v>
      </c>
      <c r="CH18" s="352">
        <f t="shared" si="6"/>
        <v>85.639384152672903</v>
      </c>
      <c r="CJ18" s="352">
        <f t="shared" si="21"/>
        <v>85.639384152672903</v>
      </c>
      <c r="CK18" s="352">
        <f t="shared" si="22"/>
        <v>0</v>
      </c>
      <c r="CL18" s="352">
        <f t="shared" si="23"/>
        <v>85.639384152672903</v>
      </c>
      <c r="CN18" s="352">
        <f>('HRA Balance Calc'!U30+'HRA Balance Calc'!V30+'HRA Balance Calc'!W30+'HRA Balance Calc'!X30)/12</f>
        <v>-24.021739760490163</v>
      </c>
      <c r="CO18" s="352">
        <f>('HRA Balance Calc'!Q30+IF('HRA Balance Calc'!L30&lt;0,-'HRA Balance Calc'!L30,0))/12</f>
        <v>0</v>
      </c>
      <c r="CP18" s="352">
        <f>('HRA Balance Calc'!N30)/12</f>
        <v>0</v>
      </c>
      <c r="CQ18" s="352">
        <f>('HRA Balance Calc'!O30)/12</f>
        <v>0</v>
      </c>
      <c r="CR18" s="352">
        <f>('HRA Balance Calc'!P30)/12</f>
        <v>0</v>
      </c>
      <c r="CS18" s="352">
        <f t="shared" si="7"/>
        <v>0</v>
      </c>
      <c r="CU18" s="577">
        <f t="shared" si="24"/>
        <v>1315.9334869579568</v>
      </c>
      <c r="CV18" s="352">
        <f t="shared" si="25"/>
        <v>109.66112391316307</v>
      </c>
      <c r="CW18" s="352">
        <f>D18-BO18</f>
        <v>0</v>
      </c>
      <c r="CX18" s="352">
        <f>E18-BP18</f>
        <v>0</v>
      </c>
      <c r="CY18" s="352">
        <f>F18-BQ18</f>
        <v>0</v>
      </c>
      <c r="CZ18" s="352">
        <f>G18-BR18</f>
        <v>0</v>
      </c>
      <c r="DA18" s="352">
        <f t="shared" si="9"/>
        <v>0</v>
      </c>
      <c r="DC18" s="352">
        <f>('HRA Balance Calc'!Q30+'HRA Balance Calc'!X30+IF('HRA Balance Calc'!L30&lt;0,-'HRA Balance Calc'!L30,0))/12</f>
        <v>0</v>
      </c>
      <c r="DD18" s="352">
        <f>('HRA Balance Calc'!N30+'HRA Balance Calc'!U30)/12</f>
        <v>-24.021739760490163</v>
      </c>
      <c r="DE18" s="352">
        <f>('HRA Balance Calc'!O30+'HRA Balance Calc'!V30)/12</f>
        <v>0</v>
      </c>
      <c r="DF18" s="352">
        <f>('HRA Balance Calc'!P30+'HRA Balance Calc'!W30)/12</f>
        <v>0</v>
      </c>
      <c r="DG18" s="352">
        <f t="shared" si="26"/>
        <v>-24.021739760490163</v>
      </c>
      <c r="DI18" s="352">
        <f t="shared" si="27"/>
        <v>22.753074310428271</v>
      </c>
      <c r="DJ18" s="352">
        <f t="shared" si="27"/>
        <v>75.467778130329378</v>
      </c>
      <c r="DK18" s="352">
        <f t="shared" si="27"/>
        <v>9.7401900534537411</v>
      </c>
      <c r="DL18" s="352">
        <f t="shared" si="27"/>
        <v>1.7000814189516649</v>
      </c>
      <c r="DM18" s="352">
        <f t="shared" si="27"/>
        <v>109.66112391316307</v>
      </c>
    </row>
    <row r="19" spans="1:117" x14ac:dyDescent="0.2">
      <c r="A19">
        <f t="shared" si="28"/>
        <v>14</v>
      </c>
      <c r="B19" s="397">
        <v>34308</v>
      </c>
      <c r="C19" s="398">
        <v>397997.79676138877</v>
      </c>
      <c r="D19" s="399">
        <v>0</v>
      </c>
      <c r="E19" s="399">
        <v>0</v>
      </c>
      <c r="F19" s="399">
        <v>0</v>
      </c>
      <c r="G19" s="399">
        <v>0</v>
      </c>
      <c r="H19" s="399">
        <v>0</v>
      </c>
      <c r="I19" s="400">
        <v>0</v>
      </c>
      <c r="J19" s="400">
        <v>0</v>
      </c>
      <c r="K19" s="400">
        <v>0</v>
      </c>
      <c r="L19" s="400">
        <v>0</v>
      </c>
      <c r="M19" s="400">
        <v>0</v>
      </c>
      <c r="N19" s="400">
        <v>0</v>
      </c>
      <c r="O19" s="399">
        <f t="shared" si="0"/>
        <v>0</v>
      </c>
      <c r="P19" s="399">
        <f t="shared" si="0"/>
        <v>0</v>
      </c>
      <c r="Q19" s="399">
        <f t="shared" si="0"/>
        <v>0</v>
      </c>
      <c r="R19" s="399">
        <f t="shared" si="0"/>
        <v>0</v>
      </c>
      <c r="S19" s="399">
        <f t="shared" si="0"/>
        <v>0</v>
      </c>
      <c r="T19" s="399">
        <f t="shared" si="0"/>
        <v>0</v>
      </c>
      <c r="U19" s="399">
        <f t="shared" si="10"/>
        <v>0</v>
      </c>
      <c r="V19" s="400">
        <v>0</v>
      </c>
      <c r="W19" s="400">
        <v>0</v>
      </c>
      <c r="X19" s="400">
        <v>0</v>
      </c>
      <c r="Y19" s="400">
        <v>0</v>
      </c>
      <c r="Z19" s="400">
        <v>0</v>
      </c>
      <c r="AA19" s="400">
        <v>0</v>
      </c>
      <c r="AB19" s="352">
        <f t="shared" si="1"/>
        <v>0</v>
      </c>
      <c r="AC19" s="352">
        <f t="shared" si="1"/>
        <v>0</v>
      </c>
      <c r="AD19" s="352">
        <f t="shared" si="1"/>
        <v>0</v>
      </c>
      <c r="AE19" s="352">
        <f t="shared" si="1"/>
        <v>0</v>
      </c>
      <c r="AF19" s="352">
        <f t="shared" si="1"/>
        <v>0</v>
      </c>
      <c r="AG19" s="352">
        <f t="shared" si="1"/>
        <v>0</v>
      </c>
      <c r="AH19" s="400">
        <f t="shared" si="11"/>
        <v>0</v>
      </c>
      <c r="AJ19" s="352">
        <f>D19*('Assumptions-Output Override'!$D$10/'Winners-Losers HRA'!$H$107)*(1+'Assumptions-Output Override'!$F$41)</f>
        <v>0</v>
      </c>
      <c r="AK19" s="352">
        <f>E19*('Assumptions-Output Override'!$D$10/'Winners-Losers HRA'!$H$107)*(1+'Assumptions-Output Override'!$F$37)</f>
        <v>0</v>
      </c>
      <c r="AL19" s="352">
        <f>F19*('Assumptions-Output Override'!$D$10/'Winners-Losers HRA'!$H$107)*(1+'Assumptions-Output Override'!$F$38)</f>
        <v>0</v>
      </c>
      <c r="AM19" s="352">
        <f>G19*('Shoppable Detail'!$X$21/'Shoppable Detail'!$H$21)*('Assumptions-Output Override'!$D$10/'Winners-Losers HRA'!$H$107)*(1+'Assumptions-Output Override'!$F$39)</f>
        <v>0</v>
      </c>
      <c r="AN19" s="352">
        <f t="shared" si="12"/>
        <v>0</v>
      </c>
      <c r="AO19" s="352">
        <v>0</v>
      </c>
      <c r="AP19" s="352">
        <f>U19*'Assumptions-Output Override'!$D$10/'Winners-Losers HRA'!$H$107*(1+'Assumptions-Output Override'!$F$37)</f>
        <v>0</v>
      </c>
      <c r="AQ19" s="352">
        <f>AH19*'Assumptions-Output Override'!$D$10/'Winners-Losers HRA'!$H$107*(1+'Assumptions-Output Override'!$F$38)</f>
        <v>0</v>
      </c>
      <c r="AR19" s="352">
        <f>AM19*('Shoppable Detail'!$AA$23/'Shoppable Detail'!$Y$23)</f>
        <v>0</v>
      </c>
      <c r="AS19" s="352">
        <f t="shared" si="13"/>
        <v>0</v>
      </c>
      <c r="AT19" s="352">
        <f t="shared" si="14"/>
        <v>0</v>
      </c>
      <c r="AU19" s="352">
        <f t="shared" si="14"/>
        <v>0</v>
      </c>
      <c r="AV19" s="352">
        <f t="shared" si="14"/>
        <v>0</v>
      </c>
      <c r="AW19" s="352">
        <f t="shared" si="14"/>
        <v>0</v>
      </c>
      <c r="AX19" s="352">
        <f t="shared" si="15"/>
        <v>0</v>
      </c>
      <c r="AY19" s="352">
        <f>AT19*'Assumptions-Output Override'!$D$24</f>
        <v>0</v>
      </c>
      <c r="AZ19" s="352">
        <f>$AU$107*'Assumptions-Output Override'!$D$21</f>
        <v>46.041131296780591</v>
      </c>
      <c r="BA19" s="352">
        <f>AV19*'Assumptions-Output Override'!$D$22</f>
        <v>0</v>
      </c>
      <c r="BB19" s="352">
        <f>AW19*'Assumptions-Output Override'!$D$23</f>
        <v>0</v>
      </c>
      <c r="BC19" s="352">
        <f t="shared" si="16"/>
        <v>46.041131296780591</v>
      </c>
      <c r="BD19" s="352">
        <f t="shared" si="17"/>
        <v>0</v>
      </c>
      <c r="BE19" s="352">
        <f t="shared" si="17"/>
        <v>46.041131296780591</v>
      </c>
      <c r="BF19" s="352">
        <f t="shared" si="17"/>
        <v>0</v>
      </c>
      <c r="BG19" s="352">
        <f t="shared" si="17"/>
        <v>0</v>
      </c>
      <c r="BH19" s="352">
        <f t="shared" si="18"/>
        <v>46.041131296780591</v>
      </c>
      <c r="BJ19" s="401">
        <f>D19*'Assumptions-Output Override'!$D$10/'Winners-Losers HRA'!$H$107</f>
        <v>0</v>
      </c>
      <c r="BK19" s="401">
        <f>E19*'Assumptions-Output Override'!$D$10/'Winners-Losers HRA'!$H$107</f>
        <v>0</v>
      </c>
      <c r="BL19" s="401">
        <f>F19*'Assumptions-Output Override'!$D$10/'Winners-Losers HRA'!$H$107</f>
        <v>0</v>
      </c>
      <c r="BM19" s="401">
        <f>G19*'Assumptions-Output Override'!$D$10/'Winners-Losers HRA'!$H$107</f>
        <v>0</v>
      </c>
      <c r="BN19" s="401">
        <f t="shared" si="2"/>
        <v>0</v>
      </c>
      <c r="BO19" s="401">
        <f>BJ19*(1-'Assumptions-Output Override'!$D$11)</f>
        <v>0</v>
      </c>
      <c r="BP19" s="401">
        <f>BK19*(1-'Assumptions-Output Override'!$D$11)</f>
        <v>0</v>
      </c>
      <c r="BQ19" s="401">
        <f>BL19*(1-'Assumptions-Output Override'!$D$11)</f>
        <v>0</v>
      </c>
      <c r="BR19" s="401">
        <f>BM19*(1-'Assumptions-Output Override'!$D$11)</f>
        <v>0</v>
      </c>
      <c r="BS19" s="352">
        <f t="shared" si="3"/>
        <v>0</v>
      </c>
      <c r="BT19" s="352">
        <f t="shared" si="19"/>
        <v>0</v>
      </c>
      <c r="BU19" s="352">
        <f t="shared" si="19"/>
        <v>0</v>
      </c>
      <c r="BV19" s="352">
        <f t="shared" si="19"/>
        <v>0</v>
      </c>
      <c r="BW19" s="352">
        <f t="shared" si="19"/>
        <v>0</v>
      </c>
      <c r="BX19" s="352">
        <f t="shared" si="4"/>
        <v>0</v>
      </c>
      <c r="BY19" s="352">
        <f>BT$107*(1-'Assumptions-Output Override'!$D$12)</f>
        <v>22.753074310428271</v>
      </c>
      <c r="BZ19" s="352">
        <f>BU$107*(1-'Assumptions-Output Override'!$D$12)</f>
        <v>51.446038369839215</v>
      </c>
      <c r="CA19" s="352">
        <f>BV$107*(1-'Assumptions-Output Override'!$D$12)</f>
        <v>9.7401900534537411</v>
      </c>
      <c r="CB19" s="352">
        <f>BW$107*(1-'Assumptions-Output Override'!$D$12)</f>
        <v>1.7000814189516649</v>
      </c>
      <c r="CC19" s="352">
        <f t="shared" si="5"/>
        <v>85.639384152672903</v>
      </c>
      <c r="CD19" s="352">
        <f t="shared" si="20"/>
        <v>22.753074310428271</v>
      </c>
      <c r="CE19" s="352">
        <f t="shared" si="20"/>
        <v>51.446038369839215</v>
      </c>
      <c r="CF19" s="352">
        <f t="shared" si="20"/>
        <v>9.7401900534537411</v>
      </c>
      <c r="CG19" s="352">
        <f t="shared" si="20"/>
        <v>1.7000814189516649</v>
      </c>
      <c r="CH19" s="352">
        <f t="shared" si="6"/>
        <v>85.639384152672903</v>
      </c>
      <c r="CJ19" s="352">
        <f t="shared" si="21"/>
        <v>85.639384152672903</v>
      </c>
      <c r="CK19" s="352">
        <f t="shared" si="22"/>
        <v>0</v>
      </c>
      <c r="CL19" s="352">
        <f t="shared" si="23"/>
        <v>85.639384152672903</v>
      </c>
      <c r="CN19" s="352">
        <f>('HRA Balance Calc'!U31+'HRA Balance Calc'!V31+'HRA Balance Calc'!W31+'HRA Balance Calc'!X31)/12</f>
        <v>-24.021739760490163</v>
      </c>
      <c r="CO19" s="352">
        <f>('HRA Balance Calc'!Q31+IF('HRA Balance Calc'!L31&lt;0,-'HRA Balance Calc'!L31,0))/12</f>
        <v>0</v>
      </c>
      <c r="CP19" s="352">
        <f>('HRA Balance Calc'!N31)/12</f>
        <v>0</v>
      </c>
      <c r="CQ19" s="352">
        <f>('HRA Balance Calc'!O31)/12</f>
        <v>0</v>
      </c>
      <c r="CR19" s="352">
        <f>('HRA Balance Calc'!P31)/12</f>
        <v>0</v>
      </c>
      <c r="CS19" s="352">
        <f t="shared" si="7"/>
        <v>0</v>
      </c>
      <c r="CU19" s="577">
        <f t="shared" si="24"/>
        <v>1315.9334869579568</v>
      </c>
      <c r="CV19" s="352">
        <f t="shared" si="25"/>
        <v>109.66112391316307</v>
      </c>
      <c r="CW19" s="352">
        <f t="shared" ref="CW19:CZ82" si="29">D19-BO19</f>
        <v>0</v>
      </c>
      <c r="CX19" s="352">
        <f t="shared" si="29"/>
        <v>0</v>
      </c>
      <c r="CY19" s="352">
        <f t="shared" si="29"/>
        <v>0</v>
      </c>
      <c r="CZ19" s="352">
        <f t="shared" si="29"/>
        <v>0</v>
      </c>
      <c r="DA19" s="352">
        <f t="shared" si="9"/>
        <v>0</v>
      </c>
      <c r="DC19" s="352">
        <f>('HRA Balance Calc'!Q31+'HRA Balance Calc'!X31+IF('HRA Balance Calc'!L31&lt;0,-'HRA Balance Calc'!L31,0))/12</f>
        <v>0</v>
      </c>
      <c r="DD19" s="352">
        <f>('HRA Balance Calc'!N31+'HRA Balance Calc'!U31)/12</f>
        <v>-24.021739760490163</v>
      </c>
      <c r="DE19" s="352">
        <f>('HRA Balance Calc'!O31+'HRA Balance Calc'!V31)/12</f>
        <v>0</v>
      </c>
      <c r="DF19" s="352">
        <f>('HRA Balance Calc'!P31+'HRA Balance Calc'!W31)/12</f>
        <v>0</v>
      </c>
      <c r="DG19" s="352">
        <f t="shared" si="26"/>
        <v>-24.021739760490163</v>
      </c>
      <c r="DI19" s="352">
        <f t="shared" si="27"/>
        <v>22.753074310428271</v>
      </c>
      <c r="DJ19" s="352">
        <f t="shared" si="27"/>
        <v>75.467778130329378</v>
      </c>
      <c r="DK19" s="352">
        <f t="shared" si="27"/>
        <v>9.7401900534537411</v>
      </c>
      <c r="DL19" s="352">
        <f t="shared" si="27"/>
        <v>1.7000814189516649</v>
      </c>
      <c r="DM19" s="352">
        <f t="shared" si="27"/>
        <v>109.66112391316307</v>
      </c>
    </row>
    <row r="20" spans="1:117" x14ac:dyDescent="0.2">
      <c r="A20">
        <f t="shared" si="28"/>
        <v>15</v>
      </c>
      <c r="B20" s="397">
        <v>34308</v>
      </c>
      <c r="C20" s="398">
        <v>397997.79676138877</v>
      </c>
      <c r="D20" s="399">
        <v>0</v>
      </c>
      <c r="E20" s="399">
        <v>0</v>
      </c>
      <c r="F20" s="399">
        <v>0</v>
      </c>
      <c r="G20" s="399">
        <v>0</v>
      </c>
      <c r="H20" s="399">
        <v>0</v>
      </c>
      <c r="I20" s="400">
        <v>0</v>
      </c>
      <c r="J20" s="400">
        <v>0</v>
      </c>
      <c r="K20" s="400">
        <v>0</v>
      </c>
      <c r="L20" s="400">
        <v>0</v>
      </c>
      <c r="M20" s="400">
        <v>0</v>
      </c>
      <c r="N20" s="400">
        <v>0</v>
      </c>
      <c r="O20" s="399">
        <f t="shared" si="0"/>
        <v>0</v>
      </c>
      <c r="P20" s="399">
        <f t="shared" si="0"/>
        <v>0</v>
      </c>
      <c r="Q20" s="399">
        <f t="shared" si="0"/>
        <v>0</v>
      </c>
      <c r="R20" s="399">
        <f t="shared" si="0"/>
        <v>0</v>
      </c>
      <c r="S20" s="399">
        <f t="shared" si="0"/>
        <v>0</v>
      </c>
      <c r="T20" s="399">
        <f t="shared" si="0"/>
        <v>0</v>
      </c>
      <c r="U20" s="399">
        <f t="shared" si="10"/>
        <v>0</v>
      </c>
      <c r="V20" s="400">
        <v>0</v>
      </c>
      <c r="W20" s="400">
        <v>0</v>
      </c>
      <c r="X20" s="400">
        <v>0</v>
      </c>
      <c r="Y20" s="400">
        <v>0</v>
      </c>
      <c r="Z20" s="400">
        <v>0</v>
      </c>
      <c r="AA20" s="400">
        <v>0</v>
      </c>
      <c r="AB20" s="352">
        <f t="shared" si="1"/>
        <v>0</v>
      </c>
      <c r="AC20" s="352">
        <f t="shared" si="1"/>
        <v>0</v>
      </c>
      <c r="AD20" s="352">
        <f t="shared" si="1"/>
        <v>0</v>
      </c>
      <c r="AE20" s="352">
        <f t="shared" si="1"/>
        <v>0</v>
      </c>
      <c r="AF20" s="352">
        <f t="shared" si="1"/>
        <v>0</v>
      </c>
      <c r="AG20" s="352">
        <f t="shared" si="1"/>
        <v>0</v>
      </c>
      <c r="AH20" s="400">
        <f t="shared" si="11"/>
        <v>0</v>
      </c>
      <c r="AJ20" s="352">
        <f>D20*('Assumptions-Output Override'!$D$10/'Winners-Losers HRA'!$H$107)*(1+'Assumptions-Output Override'!$F$41)</f>
        <v>0</v>
      </c>
      <c r="AK20" s="352">
        <f>E20*('Assumptions-Output Override'!$D$10/'Winners-Losers HRA'!$H$107)*(1+'Assumptions-Output Override'!$F$37)</f>
        <v>0</v>
      </c>
      <c r="AL20" s="352">
        <f>F20*('Assumptions-Output Override'!$D$10/'Winners-Losers HRA'!$H$107)*(1+'Assumptions-Output Override'!$F$38)</f>
        <v>0</v>
      </c>
      <c r="AM20" s="352">
        <f>G20*('Shoppable Detail'!$X$21/'Shoppable Detail'!$H$21)*('Assumptions-Output Override'!$D$10/'Winners-Losers HRA'!$H$107)*(1+'Assumptions-Output Override'!$F$39)</f>
        <v>0</v>
      </c>
      <c r="AN20" s="352">
        <f t="shared" si="12"/>
        <v>0</v>
      </c>
      <c r="AO20" s="352">
        <v>0</v>
      </c>
      <c r="AP20" s="352">
        <f>U20*'Assumptions-Output Override'!$D$10/'Winners-Losers HRA'!$H$107*(1+'Assumptions-Output Override'!$F$37)</f>
        <v>0</v>
      </c>
      <c r="AQ20" s="352">
        <f>AH20*'Assumptions-Output Override'!$D$10/'Winners-Losers HRA'!$H$107*(1+'Assumptions-Output Override'!$F$38)</f>
        <v>0</v>
      </c>
      <c r="AR20" s="352">
        <f>AM20*('Shoppable Detail'!$AA$23/'Shoppable Detail'!$Y$23)</f>
        <v>0</v>
      </c>
      <c r="AS20" s="352">
        <f t="shared" si="13"/>
        <v>0</v>
      </c>
      <c r="AT20" s="352">
        <f t="shared" si="14"/>
        <v>0</v>
      </c>
      <c r="AU20" s="352">
        <f t="shared" si="14"/>
        <v>0</v>
      </c>
      <c r="AV20" s="352">
        <f t="shared" si="14"/>
        <v>0</v>
      </c>
      <c r="AW20" s="352">
        <f t="shared" si="14"/>
        <v>0</v>
      </c>
      <c r="AX20" s="352">
        <f t="shared" si="15"/>
        <v>0</v>
      </c>
      <c r="AY20" s="352">
        <f>AT20*'Assumptions-Output Override'!$D$24</f>
        <v>0</v>
      </c>
      <c r="AZ20" s="352">
        <f>$AU$107*'Assumptions-Output Override'!$D$21</f>
        <v>46.041131296780591</v>
      </c>
      <c r="BA20" s="352">
        <f>AV20*'Assumptions-Output Override'!$D$22</f>
        <v>0</v>
      </c>
      <c r="BB20" s="352">
        <f>AW20*'Assumptions-Output Override'!$D$23</f>
        <v>0</v>
      </c>
      <c r="BC20" s="352">
        <f t="shared" si="16"/>
        <v>46.041131296780591</v>
      </c>
      <c r="BD20" s="352">
        <f t="shared" si="17"/>
        <v>0</v>
      </c>
      <c r="BE20" s="352">
        <f t="shared" si="17"/>
        <v>46.041131296780591</v>
      </c>
      <c r="BF20" s="352">
        <f t="shared" si="17"/>
        <v>0</v>
      </c>
      <c r="BG20" s="352">
        <f t="shared" si="17"/>
        <v>0</v>
      </c>
      <c r="BH20" s="352">
        <f t="shared" si="18"/>
        <v>46.041131296780591</v>
      </c>
      <c r="BJ20" s="401">
        <f>D20*'Assumptions-Output Override'!$D$10/'Winners-Losers HRA'!$H$107</f>
        <v>0</v>
      </c>
      <c r="BK20" s="401">
        <f>E20*'Assumptions-Output Override'!$D$10/'Winners-Losers HRA'!$H$107</f>
        <v>0</v>
      </c>
      <c r="BL20" s="401">
        <f>F20*'Assumptions-Output Override'!$D$10/'Winners-Losers HRA'!$H$107</f>
        <v>0</v>
      </c>
      <c r="BM20" s="401">
        <f>G20*'Assumptions-Output Override'!$D$10/'Winners-Losers HRA'!$H$107</f>
        <v>0</v>
      </c>
      <c r="BN20" s="401">
        <f t="shared" si="2"/>
        <v>0</v>
      </c>
      <c r="BO20" s="401">
        <f>BJ20*(1-'Assumptions-Output Override'!$D$11)</f>
        <v>0</v>
      </c>
      <c r="BP20" s="401">
        <f>BK20*(1-'Assumptions-Output Override'!$D$11)</f>
        <v>0</v>
      </c>
      <c r="BQ20" s="401">
        <f>BL20*(1-'Assumptions-Output Override'!$D$11)</f>
        <v>0</v>
      </c>
      <c r="BR20" s="401">
        <f>BM20*(1-'Assumptions-Output Override'!$D$11)</f>
        <v>0</v>
      </c>
      <c r="BS20" s="352">
        <f t="shared" si="3"/>
        <v>0</v>
      </c>
      <c r="BT20" s="352">
        <f t="shared" si="19"/>
        <v>0</v>
      </c>
      <c r="BU20" s="352">
        <f t="shared" si="19"/>
        <v>0</v>
      </c>
      <c r="BV20" s="352">
        <f t="shared" si="19"/>
        <v>0</v>
      </c>
      <c r="BW20" s="352">
        <f t="shared" si="19"/>
        <v>0</v>
      </c>
      <c r="BX20" s="352">
        <f t="shared" si="4"/>
        <v>0</v>
      </c>
      <c r="BY20" s="352">
        <f>BT$107*(1-'Assumptions-Output Override'!$D$12)</f>
        <v>22.753074310428271</v>
      </c>
      <c r="BZ20" s="352">
        <f>BU$107*(1-'Assumptions-Output Override'!$D$12)</f>
        <v>51.446038369839215</v>
      </c>
      <c r="CA20" s="352">
        <f>BV$107*(1-'Assumptions-Output Override'!$D$12)</f>
        <v>9.7401900534537411</v>
      </c>
      <c r="CB20" s="352">
        <f>BW$107*(1-'Assumptions-Output Override'!$D$12)</f>
        <v>1.7000814189516649</v>
      </c>
      <c r="CC20" s="352">
        <f t="shared" si="5"/>
        <v>85.639384152672903</v>
      </c>
      <c r="CD20" s="352">
        <f t="shared" si="20"/>
        <v>22.753074310428271</v>
      </c>
      <c r="CE20" s="352">
        <f t="shared" si="20"/>
        <v>51.446038369839215</v>
      </c>
      <c r="CF20" s="352">
        <f t="shared" si="20"/>
        <v>9.7401900534537411</v>
      </c>
      <c r="CG20" s="352">
        <f t="shared" si="20"/>
        <v>1.7000814189516649</v>
      </c>
      <c r="CH20" s="352">
        <f t="shared" si="6"/>
        <v>85.639384152672903</v>
      </c>
      <c r="CJ20" s="352">
        <f t="shared" si="21"/>
        <v>85.639384152672903</v>
      </c>
      <c r="CK20" s="352">
        <f t="shared" si="22"/>
        <v>0</v>
      </c>
      <c r="CL20" s="352">
        <f t="shared" si="23"/>
        <v>85.639384152672903</v>
      </c>
      <c r="CN20" s="352">
        <f>('HRA Balance Calc'!U32+'HRA Balance Calc'!V32+'HRA Balance Calc'!W32+'HRA Balance Calc'!X32)/12</f>
        <v>-24.021739760490163</v>
      </c>
      <c r="CO20" s="352">
        <f>('HRA Balance Calc'!Q32+IF('HRA Balance Calc'!L32&lt;0,-'HRA Balance Calc'!L32,0))/12</f>
        <v>0</v>
      </c>
      <c r="CP20" s="352">
        <f>('HRA Balance Calc'!N32)/12</f>
        <v>0</v>
      </c>
      <c r="CQ20" s="352">
        <f>('HRA Balance Calc'!O32)/12</f>
        <v>0</v>
      </c>
      <c r="CR20" s="352">
        <f>('HRA Balance Calc'!P32)/12</f>
        <v>0</v>
      </c>
      <c r="CS20" s="352">
        <f t="shared" si="7"/>
        <v>0</v>
      </c>
      <c r="CU20" s="577">
        <f t="shared" si="24"/>
        <v>1315.9334869579568</v>
      </c>
      <c r="CV20" s="352">
        <f t="shared" si="25"/>
        <v>109.66112391316307</v>
      </c>
      <c r="CW20" s="352">
        <f t="shared" si="29"/>
        <v>0</v>
      </c>
      <c r="CX20" s="352">
        <f t="shared" si="29"/>
        <v>0</v>
      </c>
      <c r="CY20" s="352">
        <f t="shared" si="29"/>
        <v>0</v>
      </c>
      <c r="CZ20" s="352">
        <f t="shared" si="29"/>
        <v>0</v>
      </c>
      <c r="DA20" s="352">
        <f t="shared" si="9"/>
        <v>0</v>
      </c>
      <c r="DC20" s="352">
        <f>('HRA Balance Calc'!Q32+'HRA Balance Calc'!X32+IF('HRA Balance Calc'!L32&lt;0,-'HRA Balance Calc'!L32,0))/12</f>
        <v>0</v>
      </c>
      <c r="DD20" s="352">
        <f>('HRA Balance Calc'!N32+'HRA Balance Calc'!U32)/12</f>
        <v>-24.021739760490163</v>
      </c>
      <c r="DE20" s="352">
        <f>('HRA Balance Calc'!O32+'HRA Balance Calc'!V32)/12</f>
        <v>0</v>
      </c>
      <c r="DF20" s="352">
        <f>('HRA Balance Calc'!P32+'HRA Balance Calc'!W32)/12</f>
        <v>0</v>
      </c>
      <c r="DG20" s="352">
        <f t="shared" si="26"/>
        <v>-24.021739760490163</v>
      </c>
      <c r="DI20" s="352">
        <f t="shared" si="27"/>
        <v>22.753074310428271</v>
      </c>
      <c r="DJ20" s="352">
        <f t="shared" si="27"/>
        <v>75.467778130329378</v>
      </c>
      <c r="DK20" s="352">
        <f t="shared" si="27"/>
        <v>9.7401900534537411</v>
      </c>
      <c r="DL20" s="352">
        <f t="shared" si="27"/>
        <v>1.7000814189516649</v>
      </c>
      <c r="DM20" s="352">
        <f t="shared" si="27"/>
        <v>109.66112391316307</v>
      </c>
    </row>
    <row r="21" spans="1:117" x14ac:dyDescent="0.2">
      <c r="A21">
        <f t="shared" si="28"/>
        <v>16</v>
      </c>
      <c r="B21" s="397">
        <v>34308</v>
      </c>
      <c r="C21" s="398">
        <v>397997.79676138877</v>
      </c>
      <c r="D21" s="399">
        <v>0</v>
      </c>
      <c r="E21" s="399">
        <v>0</v>
      </c>
      <c r="F21" s="399">
        <v>0</v>
      </c>
      <c r="G21" s="399">
        <v>0</v>
      </c>
      <c r="H21" s="399">
        <v>0</v>
      </c>
      <c r="I21" s="400">
        <v>0</v>
      </c>
      <c r="J21" s="400">
        <v>0</v>
      </c>
      <c r="K21" s="400">
        <v>0</v>
      </c>
      <c r="L21" s="400">
        <v>0</v>
      </c>
      <c r="M21" s="400">
        <v>0</v>
      </c>
      <c r="N21" s="400">
        <v>0</v>
      </c>
      <c r="O21" s="399">
        <f t="shared" si="0"/>
        <v>0</v>
      </c>
      <c r="P21" s="399">
        <f t="shared" si="0"/>
        <v>0</v>
      </c>
      <c r="Q21" s="399">
        <f t="shared" si="0"/>
        <v>0</v>
      </c>
      <c r="R21" s="399">
        <f t="shared" si="0"/>
        <v>0</v>
      </c>
      <c r="S21" s="399">
        <f t="shared" si="0"/>
        <v>0</v>
      </c>
      <c r="T21" s="399">
        <f t="shared" si="0"/>
        <v>0</v>
      </c>
      <c r="U21" s="399">
        <f t="shared" si="10"/>
        <v>0</v>
      </c>
      <c r="V21" s="400">
        <v>0</v>
      </c>
      <c r="W21" s="400">
        <v>0</v>
      </c>
      <c r="X21" s="400">
        <v>0</v>
      </c>
      <c r="Y21" s="400">
        <v>0</v>
      </c>
      <c r="Z21" s="400">
        <v>0</v>
      </c>
      <c r="AA21" s="400">
        <v>0</v>
      </c>
      <c r="AB21" s="352">
        <f t="shared" si="1"/>
        <v>0</v>
      </c>
      <c r="AC21" s="352">
        <f t="shared" si="1"/>
        <v>0</v>
      </c>
      <c r="AD21" s="352">
        <f t="shared" si="1"/>
        <v>0</v>
      </c>
      <c r="AE21" s="352">
        <f t="shared" si="1"/>
        <v>0</v>
      </c>
      <c r="AF21" s="352">
        <f t="shared" si="1"/>
        <v>0</v>
      </c>
      <c r="AG21" s="352">
        <f t="shared" si="1"/>
        <v>0</v>
      </c>
      <c r="AH21" s="400">
        <f t="shared" si="11"/>
        <v>0</v>
      </c>
      <c r="AJ21" s="352">
        <f>D21*('Assumptions-Output Override'!$D$10/'Winners-Losers HRA'!$H$107)*(1+'Assumptions-Output Override'!$F$41)</f>
        <v>0</v>
      </c>
      <c r="AK21" s="352">
        <f>E21*('Assumptions-Output Override'!$D$10/'Winners-Losers HRA'!$H$107)*(1+'Assumptions-Output Override'!$F$37)</f>
        <v>0</v>
      </c>
      <c r="AL21" s="352">
        <f>F21*('Assumptions-Output Override'!$D$10/'Winners-Losers HRA'!$H$107)*(1+'Assumptions-Output Override'!$F$38)</f>
        <v>0</v>
      </c>
      <c r="AM21" s="352">
        <f>G21*('Shoppable Detail'!$X$21/'Shoppable Detail'!$H$21)*('Assumptions-Output Override'!$D$10/'Winners-Losers HRA'!$H$107)*(1+'Assumptions-Output Override'!$F$39)</f>
        <v>0</v>
      </c>
      <c r="AN21" s="352">
        <f t="shared" si="12"/>
        <v>0</v>
      </c>
      <c r="AO21" s="352">
        <v>0</v>
      </c>
      <c r="AP21" s="352">
        <f>U21*'Assumptions-Output Override'!$D$10/'Winners-Losers HRA'!$H$107*(1+'Assumptions-Output Override'!$F$37)</f>
        <v>0</v>
      </c>
      <c r="AQ21" s="352">
        <f>AH21*'Assumptions-Output Override'!$D$10/'Winners-Losers HRA'!$H$107*(1+'Assumptions-Output Override'!$F$38)</f>
        <v>0</v>
      </c>
      <c r="AR21" s="352">
        <f>AM21*('Shoppable Detail'!$AA$23/'Shoppable Detail'!$Y$23)</f>
        <v>0</v>
      </c>
      <c r="AS21" s="352">
        <f t="shared" si="13"/>
        <v>0</v>
      </c>
      <c r="AT21" s="352">
        <f t="shared" si="14"/>
        <v>0</v>
      </c>
      <c r="AU21" s="352">
        <f t="shared" si="14"/>
        <v>0</v>
      </c>
      <c r="AV21" s="352">
        <f t="shared" si="14"/>
        <v>0</v>
      </c>
      <c r="AW21" s="352">
        <f t="shared" si="14"/>
        <v>0</v>
      </c>
      <c r="AX21" s="352">
        <f t="shared" si="15"/>
        <v>0</v>
      </c>
      <c r="AY21" s="352">
        <f>AT21*'Assumptions-Output Override'!$D$24</f>
        <v>0</v>
      </c>
      <c r="AZ21" s="352">
        <f>$AU$107*'Assumptions-Output Override'!$D$21</f>
        <v>46.041131296780591</v>
      </c>
      <c r="BA21" s="352">
        <f>AV21*'Assumptions-Output Override'!$D$22</f>
        <v>0</v>
      </c>
      <c r="BB21" s="352">
        <f>AW21*'Assumptions-Output Override'!$D$23</f>
        <v>0</v>
      </c>
      <c r="BC21" s="352">
        <f t="shared" si="16"/>
        <v>46.041131296780591</v>
      </c>
      <c r="BD21" s="352">
        <f t="shared" si="17"/>
        <v>0</v>
      </c>
      <c r="BE21" s="352">
        <f t="shared" si="17"/>
        <v>46.041131296780591</v>
      </c>
      <c r="BF21" s="352">
        <f t="shared" si="17"/>
        <v>0</v>
      </c>
      <c r="BG21" s="352">
        <f t="shared" si="17"/>
        <v>0</v>
      </c>
      <c r="BH21" s="352">
        <f t="shared" si="18"/>
        <v>46.041131296780591</v>
      </c>
      <c r="BJ21" s="401">
        <f>D21*'Assumptions-Output Override'!$D$10/'Winners-Losers HRA'!$H$107</f>
        <v>0</v>
      </c>
      <c r="BK21" s="401">
        <f>E21*'Assumptions-Output Override'!$D$10/'Winners-Losers HRA'!$H$107</f>
        <v>0</v>
      </c>
      <c r="BL21" s="401">
        <f>F21*'Assumptions-Output Override'!$D$10/'Winners-Losers HRA'!$H$107</f>
        <v>0</v>
      </c>
      <c r="BM21" s="401">
        <f>G21*'Assumptions-Output Override'!$D$10/'Winners-Losers HRA'!$H$107</f>
        <v>0</v>
      </c>
      <c r="BN21" s="401">
        <f t="shared" si="2"/>
        <v>0</v>
      </c>
      <c r="BO21" s="401">
        <f>BJ21*(1-'Assumptions-Output Override'!$D$11)</f>
        <v>0</v>
      </c>
      <c r="BP21" s="401">
        <f>BK21*(1-'Assumptions-Output Override'!$D$11)</f>
        <v>0</v>
      </c>
      <c r="BQ21" s="401">
        <f>BL21*(1-'Assumptions-Output Override'!$D$11)</f>
        <v>0</v>
      </c>
      <c r="BR21" s="401">
        <f>BM21*(1-'Assumptions-Output Override'!$D$11)</f>
        <v>0</v>
      </c>
      <c r="BS21" s="352">
        <f t="shared" si="3"/>
        <v>0</v>
      </c>
      <c r="BT21" s="352">
        <f t="shared" si="19"/>
        <v>0</v>
      </c>
      <c r="BU21" s="352">
        <f t="shared" si="19"/>
        <v>0</v>
      </c>
      <c r="BV21" s="352">
        <f t="shared" si="19"/>
        <v>0</v>
      </c>
      <c r="BW21" s="352">
        <f t="shared" si="19"/>
        <v>0</v>
      </c>
      <c r="BX21" s="352">
        <f t="shared" si="4"/>
        <v>0</v>
      </c>
      <c r="BY21" s="352">
        <f>BT$107*(1-'Assumptions-Output Override'!$D$12)</f>
        <v>22.753074310428271</v>
      </c>
      <c r="BZ21" s="352">
        <f>BU$107*(1-'Assumptions-Output Override'!$D$12)</f>
        <v>51.446038369839215</v>
      </c>
      <c r="CA21" s="352">
        <f>BV$107*(1-'Assumptions-Output Override'!$D$12)</f>
        <v>9.7401900534537411</v>
      </c>
      <c r="CB21" s="352">
        <f>BW$107*(1-'Assumptions-Output Override'!$D$12)</f>
        <v>1.7000814189516649</v>
      </c>
      <c r="CC21" s="352">
        <f t="shared" si="5"/>
        <v>85.639384152672903</v>
      </c>
      <c r="CD21" s="352">
        <f t="shared" si="20"/>
        <v>22.753074310428271</v>
      </c>
      <c r="CE21" s="352">
        <f t="shared" si="20"/>
        <v>51.446038369839215</v>
      </c>
      <c r="CF21" s="352">
        <f t="shared" si="20"/>
        <v>9.7401900534537411</v>
      </c>
      <c r="CG21" s="352">
        <f t="shared" si="20"/>
        <v>1.7000814189516649</v>
      </c>
      <c r="CH21" s="352">
        <f t="shared" si="6"/>
        <v>85.639384152672903</v>
      </c>
      <c r="CJ21" s="352">
        <f t="shared" si="21"/>
        <v>85.639384152672903</v>
      </c>
      <c r="CK21" s="352">
        <f t="shared" si="22"/>
        <v>0</v>
      </c>
      <c r="CL21" s="352">
        <f t="shared" si="23"/>
        <v>85.639384152672903</v>
      </c>
      <c r="CN21" s="352">
        <f>('HRA Balance Calc'!U33+'HRA Balance Calc'!V33+'HRA Balance Calc'!W33+'HRA Balance Calc'!X33)/12</f>
        <v>-24.021739760490163</v>
      </c>
      <c r="CO21" s="352">
        <f>('HRA Balance Calc'!Q33+IF('HRA Balance Calc'!L33&lt;0,-'HRA Balance Calc'!L33,0))/12</f>
        <v>0</v>
      </c>
      <c r="CP21" s="352">
        <f>('HRA Balance Calc'!N33)/12</f>
        <v>0</v>
      </c>
      <c r="CQ21" s="352">
        <f>('HRA Balance Calc'!O33)/12</f>
        <v>0</v>
      </c>
      <c r="CR21" s="352">
        <f>('HRA Balance Calc'!P33)/12</f>
        <v>0</v>
      </c>
      <c r="CS21" s="352">
        <f t="shared" si="7"/>
        <v>0</v>
      </c>
      <c r="CU21" s="577">
        <f t="shared" si="24"/>
        <v>1315.9334869579568</v>
      </c>
      <c r="CV21" s="352">
        <f t="shared" si="25"/>
        <v>109.66112391316307</v>
      </c>
      <c r="CW21" s="352">
        <f t="shared" si="29"/>
        <v>0</v>
      </c>
      <c r="CX21" s="352">
        <f t="shared" si="29"/>
        <v>0</v>
      </c>
      <c r="CY21" s="352">
        <f t="shared" si="29"/>
        <v>0</v>
      </c>
      <c r="CZ21" s="352">
        <f t="shared" si="29"/>
        <v>0</v>
      </c>
      <c r="DA21" s="352">
        <f t="shared" si="9"/>
        <v>0</v>
      </c>
      <c r="DC21" s="352">
        <f>('HRA Balance Calc'!Q33+'HRA Balance Calc'!X33+IF('HRA Balance Calc'!L33&lt;0,-'HRA Balance Calc'!L33,0))/12</f>
        <v>0</v>
      </c>
      <c r="DD21" s="352">
        <f>('HRA Balance Calc'!N33+'HRA Balance Calc'!U33)/12</f>
        <v>-24.021739760490163</v>
      </c>
      <c r="DE21" s="352">
        <f>('HRA Balance Calc'!O33+'HRA Balance Calc'!V33)/12</f>
        <v>0</v>
      </c>
      <c r="DF21" s="352">
        <f>('HRA Balance Calc'!P33+'HRA Balance Calc'!W33)/12</f>
        <v>0</v>
      </c>
      <c r="DG21" s="352">
        <f t="shared" si="26"/>
        <v>-24.021739760490163</v>
      </c>
      <c r="DI21" s="352">
        <f t="shared" si="27"/>
        <v>22.753074310428271</v>
      </c>
      <c r="DJ21" s="352">
        <f t="shared" si="27"/>
        <v>75.467778130329378</v>
      </c>
      <c r="DK21" s="352">
        <f t="shared" si="27"/>
        <v>9.7401900534537411</v>
      </c>
      <c r="DL21" s="352">
        <f t="shared" si="27"/>
        <v>1.7000814189516649</v>
      </c>
      <c r="DM21" s="352">
        <f t="shared" si="27"/>
        <v>109.66112391316307</v>
      </c>
    </row>
    <row r="22" spans="1:117" x14ac:dyDescent="0.2">
      <c r="A22">
        <f t="shared" si="28"/>
        <v>17</v>
      </c>
      <c r="B22" s="397">
        <v>34308</v>
      </c>
      <c r="C22" s="398">
        <v>397997.79676138877</v>
      </c>
      <c r="D22" s="399">
        <v>0</v>
      </c>
      <c r="E22" s="399">
        <v>0</v>
      </c>
      <c r="F22" s="399">
        <v>0</v>
      </c>
      <c r="G22" s="399">
        <v>0</v>
      </c>
      <c r="H22" s="399">
        <v>0</v>
      </c>
      <c r="I22" s="400">
        <v>0</v>
      </c>
      <c r="J22" s="400">
        <v>0</v>
      </c>
      <c r="K22" s="400">
        <v>0</v>
      </c>
      <c r="L22" s="400">
        <v>0</v>
      </c>
      <c r="M22" s="400">
        <v>0</v>
      </c>
      <c r="N22" s="400">
        <v>0</v>
      </c>
      <c r="O22" s="399">
        <f t="shared" ref="O22:T64" si="30">I22*O$2</f>
        <v>0</v>
      </c>
      <c r="P22" s="399">
        <f t="shared" si="30"/>
        <v>0</v>
      </c>
      <c r="Q22" s="399">
        <f t="shared" si="30"/>
        <v>0</v>
      </c>
      <c r="R22" s="399">
        <f t="shared" si="30"/>
        <v>0</v>
      </c>
      <c r="S22" s="399">
        <f t="shared" si="30"/>
        <v>0</v>
      </c>
      <c r="T22" s="399">
        <f t="shared" si="30"/>
        <v>0</v>
      </c>
      <c r="U22" s="399">
        <f t="shared" si="10"/>
        <v>0</v>
      </c>
      <c r="V22" s="400">
        <v>0</v>
      </c>
      <c r="W22" s="400">
        <v>0</v>
      </c>
      <c r="X22" s="400">
        <v>0</v>
      </c>
      <c r="Y22" s="400">
        <v>0</v>
      </c>
      <c r="Z22" s="400">
        <v>0</v>
      </c>
      <c r="AA22" s="400">
        <v>0</v>
      </c>
      <c r="AB22" s="352">
        <f t="shared" ref="AB22:AG64" si="31">V22*AB$2</f>
        <v>0</v>
      </c>
      <c r="AC22" s="352">
        <f t="shared" si="31"/>
        <v>0</v>
      </c>
      <c r="AD22" s="352">
        <f t="shared" si="31"/>
        <v>0</v>
      </c>
      <c r="AE22" s="352">
        <f t="shared" si="31"/>
        <v>0</v>
      </c>
      <c r="AF22" s="352">
        <f t="shared" si="31"/>
        <v>0</v>
      </c>
      <c r="AG22" s="352">
        <f t="shared" si="31"/>
        <v>0</v>
      </c>
      <c r="AH22" s="400">
        <f t="shared" si="11"/>
        <v>0</v>
      </c>
      <c r="AJ22" s="352">
        <f>D22*('Assumptions-Output Override'!$D$10/'Winners-Losers HRA'!$H$107)*(1+'Assumptions-Output Override'!$F$41)</f>
        <v>0</v>
      </c>
      <c r="AK22" s="352">
        <f>E22*('Assumptions-Output Override'!$D$10/'Winners-Losers HRA'!$H$107)*(1+'Assumptions-Output Override'!$F$37)</f>
        <v>0</v>
      </c>
      <c r="AL22" s="352">
        <f>F22*('Assumptions-Output Override'!$D$10/'Winners-Losers HRA'!$H$107)*(1+'Assumptions-Output Override'!$F$38)</f>
        <v>0</v>
      </c>
      <c r="AM22" s="352">
        <f>G22*('Shoppable Detail'!$X$21/'Shoppable Detail'!$H$21)*('Assumptions-Output Override'!$D$10/'Winners-Losers HRA'!$H$107)*(1+'Assumptions-Output Override'!$F$39)</f>
        <v>0</v>
      </c>
      <c r="AN22" s="352">
        <f t="shared" si="12"/>
        <v>0</v>
      </c>
      <c r="AO22" s="352">
        <v>0</v>
      </c>
      <c r="AP22" s="352">
        <f>U22*'Assumptions-Output Override'!$D$10/'Winners-Losers HRA'!$H$107*(1+'Assumptions-Output Override'!$F$37)</f>
        <v>0</v>
      </c>
      <c r="AQ22" s="352">
        <f>AH22*'Assumptions-Output Override'!$D$10/'Winners-Losers HRA'!$H$107*(1+'Assumptions-Output Override'!$F$38)</f>
        <v>0</v>
      </c>
      <c r="AR22" s="352">
        <f>AM22*('Shoppable Detail'!$AA$23/'Shoppable Detail'!$Y$23)</f>
        <v>0</v>
      </c>
      <c r="AS22" s="352">
        <f t="shared" si="13"/>
        <v>0</v>
      </c>
      <c r="AT22" s="352">
        <f t="shared" si="14"/>
        <v>0</v>
      </c>
      <c r="AU22" s="352">
        <f t="shared" si="14"/>
        <v>0</v>
      </c>
      <c r="AV22" s="352">
        <f t="shared" si="14"/>
        <v>0</v>
      </c>
      <c r="AW22" s="352">
        <f t="shared" si="14"/>
        <v>0</v>
      </c>
      <c r="AX22" s="352">
        <f t="shared" si="15"/>
        <v>0</v>
      </c>
      <c r="AY22" s="352">
        <f>AT22*'Assumptions-Output Override'!$D$24</f>
        <v>0</v>
      </c>
      <c r="AZ22" s="352">
        <f>$AU$107*'Assumptions-Output Override'!$D$21</f>
        <v>46.041131296780591</v>
      </c>
      <c r="BA22" s="352">
        <f>AV22*'Assumptions-Output Override'!$D$22</f>
        <v>0</v>
      </c>
      <c r="BB22" s="352">
        <f>AW22*'Assumptions-Output Override'!$D$23</f>
        <v>0</v>
      </c>
      <c r="BC22" s="352">
        <f t="shared" si="16"/>
        <v>46.041131296780591</v>
      </c>
      <c r="BD22" s="352">
        <f t="shared" si="17"/>
        <v>0</v>
      </c>
      <c r="BE22" s="352">
        <f t="shared" si="17"/>
        <v>46.041131296780591</v>
      </c>
      <c r="BF22" s="352">
        <f t="shared" si="17"/>
        <v>0</v>
      </c>
      <c r="BG22" s="352">
        <f t="shared" si="17"/>
        <v>0</v>
      </c>
      <c r="BH22" s="352">
        <f t="shared" si="18"/>
        <v>46.041131296780591</v>
      </c>
      <c r="BJ22" s="401">
        <f>D22*'Assumptions-Output Override'!$D$10/'Winners-Losers HRA'!$H$107</f>
        <v>0</v>
      </c>
      <c r="BK22" s="401">
        <f>E22*'Assumptions-Output Override'!$D$10/'Winners-Losers HRA'!$H$107</f>
        <v>0</v>
      </c>
      <c r="BL22" s="401">
        <f>F22*'Assumptions-Output Override'!$D$10/'Winners-Losers HRA'!$H$107</f>
        <v>0</v>
      </c>
      <c r="BM22" s="401">
        <f>G22*'Assumptions-Output Override'!$D$10/'Winners-Losers HRA'!$H$107</f>
        <v>0</v>
      </c>
      <c r="BN22" s="401">
        <f t="shared" si="2"/>
        <v>0</v>
      </c>
      <c r="BO22" s="401">
        <f>BJ22*(1-'Assumptions-Output Override'!$D$11)</f>
        <v>0</v>
      </c>
      <c r="BP22" s="401">
        <f>BK22*(1-'Assumptions-Output Override'!$D$11)</f>
        <v>0</v>
      </c>
      <c r="BQ22" s="401">
        <f>BL22*(1-'Assumptions-Output Override'!$D$11)</f>
        <v>0</v>
      </c>
      <c r="BR22" s="401">
        <f>BM22*(1-'Assumptions-Output Override'!$D$11)</f>
        <v>0</v>
      </c>
      <c r="BS22" s="352">
        <f t="shared" si="3"/>
        <v>0</v>
      </c>
      <c r="BT22" s="352">
        <f t="shared" si="19"/>
        <v>0</v>
      </c>
      <c r="BU22" s="352">
        <f t="shared" si="19"/>
        <v>0</v>
      </c>
      <c r="BV22" s="352">
        <f t="shared" si="19"/>
        <v>0</v>
      </c>
      <c r="BW22" s="352">
        <f t="shared" si="19"/>
        <v>0</v>
      </c>
      <c r="BX22" s="352">
        <f t="shared" si="4"/>
        <v>0</v>
      </c>
      <c r="BY22" s="352">
        <f>BT$107*(1-'Assumptions-Output Override'!$D$12)</f>
        <v>22.753074310428271</v>
      </c>
      <c r="BZ22" s="352">
        <f>BU$107*(1-'Assumptions-Output Override'!$D$12)</f>
        <v>51.446038369839215</v>
      </c>
      <c r="CA22" s="352">
        <f>BV$107*(1-'Assumptions-Output Override'!$D$12)</f>
        <v>9.7401900534537411</v>
      </c>
      <c r="CB22" s="352">
        <f>BW$107*(1-'Assumptions-Output Override'!$D$12)</f>
        <v>1.7000814189516649</v>
      </c>
      <c r="CC22" s="352">
        <f t="shared" si="5"/>
        <v>85.639384152672903</v>
      </c>
      <c r="CD22" s="352">
        <f t="shared" si="20"/>
        <v>22.753074310428271</v>
      </c>
      <c r="CE22" s="352">
        <f t="shared" si="20"/>
        <v>51.446038369839215</v>
      </c>
      <c r="CF22" s="352">
        <f t="shared" si="20"/>
        <v>9.7401900534537411</v>
      </c>
      <c r="CG22" s="352">
        <f t="shared" si="20"/>
        <v>1.7000814189516649</v>
      </c>
      <c r="CH22" s="352">
        <f t="shared" si="6"/>
        <v>85.639384152672903</v>
      </c>
      <c r="CJ22" s="352">
        <f t="shared" si="21"/>
        <v>85.639384152672903</v>
      </c>
      <c r="CK22" s="352">
        <f t="shared" si="22"/>
        <v>0</v>
      </c>
      <c r="CL22" s="352">
        <f t="shared" si="23"/>
        <v>85.639384152672903</v>
      </c>
      <c r="CN22" s="352">
        <f>('HRA Balance Calc'!U34+'HRA Balance Calc'!V34+'HRA Balance Calc'!W34+'HRA Balance Calc'!X34)/12</f>
        <v>-24.021739760490163</v>
      </c>
      <c r="CO22" s="352">
        <f>('HRA Balance Calc'!Q34+IF('HRA Balance Calc'!L34&lt;0,-'HRA Balance Calc'!L34,0))/12</f>
        <v>0</v>
      </c>
      <c r="CP22" s="352">
        <f>('HRA Balance Calc'!N34)/12</f>
        <v>0</v>
      </c>
      <c r="CQ22" s="352">
        <f>('HRA Balance Calc'!O34)/12</f>
        <v>0</v>
      </c>
      <c r="CR22" s="352">
        <f>('HRA Balance Calc'!P34)/12</f>
        <v>0</v>
      </c>
      <c r="CS22" s="352">
        <f t="shared" si="7"/>
        <v>0</v>
      </c>
      <c r="CU22" s="577">
        <f t="shared" si="24"/>
        <v>1315.9334869579568</v>
      </c>
      <c r="CV22" s="352">
        <f t="shared" si="25"/>
        <v>109.66112391316307</v>
      </c>
      <c r="CW22" s="352">
        <f t="shared" si="29"/>
        <v>0</v>
      </c>
      <c r="CX22" s="352">
        <f t="shared" si="29"/>
        <v>0</v>
      </c>
      <c r="CY22" s="352">
        <f t="shared" si="29"/>
        <v>0</v>
      </c>
      <c r="CZ22" s="352">
        <f t="shared" si="29"/>
        <v>0</v>
      </c>
      <c r="DA22" s="352">
        <f t="shared" si="9"/>
        <v>0</v>
      </c>
      <c r="DC22" s="352">
        <f>('HRA Balance Calc'!Q34+'HRA Balance Calc'!X34+IF('HRA Balance Calc'!L34&lt;0,-'HRA Balance Calc'!L34,0))/12</f>
        <v>0</v>
      </c>
      <c r="DD22" s="352">
        <f>('HRA Balance Calc'!N34+'HRA Balance Calc'!U34)/12</f>
        <v>-24.021739760490163</v>
      </c>
      <c r="DE22" s="352">
        <f>('HRA Balance Calc'!O34+'HRA Balance Calc'!V34)/12</f>
        <v>0</v>
      </c>
      <c r="DF22" s="352">
        <f>('HRA Balance Calc'!P34+'HRA Balance Calc'!W34)/12</f>
        <v>0</v>
      </c>
      <c r="DG22" s="352">
        <f t="shared" si="26"/>
        <v>-24.021739760490163</v>
      </c>
      <c r="DI22" s="352">
        <f t="shared" si="27"/>
        <v>22.753074310428271</v>
      </c>
      <c r="DJ22" s="352">
        <f t="shared" si="27"/>
        <v>75.467778130329378</v>
      </c>
      <c r="DK22" s="352">
        <f t="shared" si="27"/>
        <v>9.7401900534537411</v>
      </c>
      <c r="DL22" s="352">
        <f t="shared" si="27"/>
        <v>1.7000814189516649</v>
      </c>
      <c r="DM22" s="352">
        <f t="shared" si="27"/>
        <v>109.66112391316307</v>
      </c>
    </row>
    <row r="23" spans="1:117" x14ac:dyDescent="0.2">
      <c r="A23">
        <f t="shared" si="28"/>
        <v>18</v>
      </c>
      <c r="B23" s="397">
        <v>34308</v>
      </c>
      <c r="C23" s="398">
        <v>397997.79676138877</v>
      </c>
      <c r="D23" s="399">
        <v>0</v>
      </c>
      <c r="E23" s="399">
        <v>0</v>
      </c>
      <c r="F23" s="399">
        <v>0</v>
      </c>
      <c r="G23" s="399">
        <v>0</v>
      </c>
      <c r="H23" s="399">
        <v>0</v>
      </c>
      <c r="I23" s="400">
        <v>0</v>
      </c>
      <c r="J23" s="400">
        <v>0</v>
      </c>
      <c r="K23" s="400">
        <v>0</v>
      </c>
      <c r="L23" s="400">
        <v>0</v>
      </c>
      <c r="M23" s="400">
        <v>0</v>
      </c>
      <c r="N23" s="400">
        <v>0</v>
      </c>
      <c r="O23" s="399">
        <f t="shared" si="30"/>
        <v>0</v>
      </c>
      <c r="P23" s="399">
        <f t="shared" si="30"/>
        <v>0</v>
      </c>
      <c r="Q23" s="399">
        <f t="shared" si="30"/>
        <v>0</v>
      </c>
      <c r="R23" s="399">
        <f t="shared" si="30"/>
        <v>0</v>
      </c>
      <c r="S23" s="399">
        <f t="shared" si="30"/>
        <v>0</v>
      </c>
      <c r="T23" s="399">
        <f t="shared" si="30"/>
        <v>0</v>
      </c>
      <c r="U23" s="399">
        <f t="shared" si="10"/>
        <v>0</v>
      </c>
      <c r="V23" s="400">
        <v>0</v>
      </c>
      <c r="W23" s="400">
        <v>0</v>
      </c>
      <c r="X23" s="400">
        <v>0</v>
      </c>
      <c r="Y23" s="400">
        <v>0</v>
      </c>
      <c r="Z23" s="400">
        <v>0</v>
      </c>
      <c r="AA23" s="400">
        <v>0</v>
      </c>
      <c r="AB23" s="352">
        <f t="shared" si="31"/>
        <v>0</v>
      </c>
      <c r="AC23" s="352">
        <f t="shared" si="31"/>
        <v>0</v>
      </c>
      <c r="AD23" s="352">
        <f t="shared" si="31"/>
        <v>0</v>
      </c>
      <c r="AE23" s="352">
        <f t="shared" si="31"/>
        <v>0</v>
      </c>
      <c r="AF23" s="352">
        <f t="shared" si="31"/>
        <v>0</v>
      </c>
      <c r="AG23" s="352">
        <f t="shared" si="31"/>
        <v>0</v>
      </c>
      <c r="AH23" s="400">
        <f t="shared" si="11"/>
        <v>0</v>
      </c>
      <c r="AJ23" s="352">
        <f>D23*('Assumptions-Output Override'!$D$10/'Winners-Losers HRA'!$H$107)*(1+'Assumptions-Output Override'!$F$41)</f>
        <v>0</v>
      </c>
      <c r="AK23" s="352">
        <f>E23*('Assumptions-Output Override'!$D$10/'Winners-Losers HRA'!$H$107)*(1+'Assumptions-Output Override'!$F$37)</f>
        <v>0</v>
      </c>
      <c r="AL23" s="352">
        <f>F23*('Assumptions-Output Override'!$D$10/'Winners-Losers HRA'!$H$107)*(1+'Assumptions-Output Override'!$F$38)</f>
        <v>0</v>
      </c>
      <c r="AM23" s="352">
        <f>G23*('Shoppable Detail'!$X$21/'Shoppable Detail'!$H$21)*('Assumptions-Output Override'!$D$10/'Winners-Losers HRA'!$H$107)*(1+'Assumptions-Output Override'!$F$39)</f>
        <v>0</v>
      </c>
      <c r="AN23" s="352">
        <f t="shared" si="12"/>
        <v>0</v>
      </c>
      <c r="AO23" s="352">
        <v>0</v>
      </c>
      <c r="AP23" s="352">
        <f>U23*'Assumptions-Output Override'!$D$10/'Winners-Losers HRA'!$H$107*(1+'Assumptions-Output Override'!$F$37)</f>
        <v>0</v>
      </c>
      <c r="AQ23" s="352">
        <f>AH23*'Assumptions-Output Override'!$D$10/'Winners-Losers HRA'!$H$107*(1+'Assumptions-Output Override'!$F$38)</f>
        <v>0</v>
      </c>
      <c r="AR23" s="352">
        <f>AM23*('Shoppable Detail'!$AA$23/'Shoppable Detail'!$Y$23)</f>
        <v>0</v>
      </c>
      <c r="AS23" s="352">
        <f t="shared" si="13"/>
        <v>0</v>
      </c>
      <c r="AT23" s="352">
        <f t="shared" si="14"/>
        <v>0</v>
      </c>
      <c r="AU23" s="352">
        <f t="shared" si="14"/>
        <v>0</v>
      </c>
      <c r="AV23" s="352">
        <f t="shared" si="14"/>
        <v>0</v>
      </c>
      <c r="AW23" s="352">
        <f t="shared" si="14"/>
        <v>0</v>
      </c>
      <c r="AX23" s="352">
        <f t="shared" si="15"/>
        <v>0</v>
      </c>
      <c r="AY23" s="352">
        <f>AT23*'Assumptions-Output Override'!$D$24</f>
        <v>0</v>
      </c>
      <c r="AZ23" s="352">
        <f>$AU$107*'Assumptions-Output Override'!$D$21</f>
        <v>46.041131296780591</v>
      </c>
      <c r="BA23" s="352">
        <f>AV23*'Assumptions-Output Override'!$D$22</f>
        <v>0</v>
      </c>
      <c r="BB23" s="352">
        <f>AW23*'Assumptions-Output Override'!$D$23</f>
        <v>0</v>
      </c>
      <c r="BC23" s="352">
        <f t="shared" si="16"/>
        <v>46.041131296780591</v>
      </c>
      <c r="BD23" s="352">
        <f t="shared" si="17"/>
        <v>0</v>
      </c>
      <c r="BE23" s="352">
        <f t="shared" si="17"/>
        <v>46.041131296780591</v>
      </c>
      <c r="BF23" s="352">
        <f t="shared" si="17"/>
        <v>0</v>
      </c>
      <c r="BG23" s="352">
        <f t="shared" si="17"/>
        <v>0</v>
      </c>
      <c r="BH23" s="352">
        <f t="shared" si="18"/>
        <v>46.041131296780591</v>
      </c>
      <c r="BJ23" s="401">
        <f>D23*'Assumptions-Output Override'!$D$10/'Winners-Losers HRA'!$H$107</f>
        <v>0</v>
      </c>
      <c r="BK23" s="401">
        <f>E23*'Assumptions-Output Override'!$D$10/'Winners-Losers HRA'!$H$107</f>
        <v>0</v>
      </c>
      <c r="BL23" s="401">
        <f>F23*'Assumptions-Output Override'!$D$10/'Winners-Losers HRA'!$H$107</f>
        <v>0</v>
      </c>
      <c r="BM23" s="401">
        <f>G23*'Assumptions-Output Override'!$D$10/'Winners-Losers HRA'!$H$107</f>
        <v>0</v>
      </c>
      <c r="BN23" s="401">
        <f t="shared" si="2"/>
        <v>0</v>
      </c>
      <c r="BO23" s="401">
        <f>BJ23*(1-'Assumptions-Output Override'!$D$11)</f>
        <v>0</v>
      </c>
      <c r="BP23" s="401">
        <f>BK23*(1-'Assumptions-Output Override'!$D$11)</f>
        <v>0</v>
      </c>
      <c r="BQ23" s="401">
        <f>BL23*(1-'Assumptions-Output Override'!$D$11)</f>
        <v>0</v>
      </c>
      <c r="BR23" s="401">
        <f>BM23*(1-'Assumptions-Output Override'!$D$11)</f>
        <v>0</v>
      </c>
      <c r="BS23" s="352">
        <f t="shared" si="3"/>
        <v>0</v>
      </c>
      <c r="BT23" s="352">
        <f t="shared" si="19"/>
        <v>0</v>
      </c>
      <c r="BU23" s="352">
        <f t="shared" si="19"/>
        <v>0</v>
      </c>
      <c r="BV23" s="352">
        <f t="shared" si="19"/>
        <v>0</v>
      </c>
      <c r="BW23" s="352">
        <f t="shared" si="19"/>
        <v>0</v>
      </c>
      <c r="BX23" s="352">
        <f t="shared" si="4"/>
        <v>0</v>
      </c>
      <c r="BY23" s="352">
        <f>BT$107*(1-'Assumptions-Output Override'!$D$12)</f>
        <v>22.753074310428271</v>
      </c>
      <c r="BZ23" s="352">
        <f>BU$107*(1-'Assumptions-Output Override'!$D$12)</f>
        <v>51.446038369839215</v>
      </c>
      <c r="CA23" s="352">
        <f>BV$107*(1-'Assumptions-Output Override'!$D$12)</f>
        <v>9.7401900534537411</v>
      </c>
      <c r="CB23" s="352">
        <f>BW$107*(1-'Assumptions-Output Override'!$D$12)</f>
        <v>1.7000814189516649</v>
      </c>
      <c r="CC23" s="352">
        <f t="shared" si="5"/>
        <v>85.639384152672903</v>
      </c>
      <c r="CD23" s="352">
        <f t="shared" si="20"/>
        <v>22.753074310428271</v>
      </c>
      <c r="CE23" s="352">
        <f t="shared" si="20"/>
        <v>51.446038369839215</v>
      </c>
      <c r="CF23" s="352">
        <f t="shared" si="20"/>
        <v>9.7401900534537411</v>
      </c>
      <c r="CG23" s="352">
        <f t="shared" si="20"/>
        <v>1.7000814189516649</v>
      </c>
      <c r="CH23" s="352">
        <f t="shared" si="6"/>
        <v>85.639384152672903</v>
      </c>
      <c r="CJ23" s="352">
        <f t="shared" si="21"/>
        <v>85.639384152672903</v>
      </c>
      <c r="CK23" s="352">
        <f t="shared" si="22"/>
        <v>0</v>
      </c>
      <c r="CL23" s="352">
        <f t="shared" si="23"/>
        <v>85.639384152672903</v>
      </c>
      <c r="CN23" s="352">
        <f>('HRA Balance Calc'!U35+'HRA Balance Calc'!V35+'HRA Balance Calc'!W35+'HRA Balance Calc'!X35)/12</f>
        <v>-24.021739760490163</v>
      </c>
      <c r="CO23" s="352">
        <f>('HRA Balance Calc'!Q35+IF('HRA Balance Calc'!L35&lt;0,-'HRA Balance Calc'!L35,0))/12</f>
        <v>0</v>
      </c>
      <c r="CP23" s="352">
        <f>('HRA Balance Calc'!N35)/12</f>
        <v>0</v>
      </c>
      <c r="CQ23" s="352">
        <f>('HRA Balance Calc'!O35)/12</f>
        <v>0</v>
      </c>
      <c r="CR23" s="352">
        <f>('HRA Balance Calc'!P35)/12</f>
        <v>0</v>
      </c>
      <c r="CS23" s="352">
        <f t="shared" si="7"/>
        <v>0</v>
      </c>
      <c r="CU23" s="577">
        <f t="shared" si="24"/>
        <v>1315.9334869579568</v>
      </c>
      <c r="CV23" s="352">
        <f t="shared" si="25"/>
        <v>109.66112391316307</v>
      </c>
      <c r="CW23" s="352">
        <f t="shared" si="29"/>
        <v>0</v>
      </c>
      <c r="CX23" s="352">
        <f t="shared" si="29"/>
        <v>0</v>
      </c>
      <c r="CY23" s="352">
        <f t="shared" si="29"/>
        <v>0</v>
      </c>
      <c r="CZ23" s="352">
        <f t="shared" si="29"/>
        <v>0</v>
      </c>
      <c r="DA23" s="352">
        <f t="shared" si="9"/>
        <v>0</v>
      </c>
      <c r="DC23" s="352">
        <f>('HRA Balance Calc'!Q35+'HRA Balance Calc'!X35+IF('HRA Balance Calc'!L35&lt;0,-'HRA Balance Calc'!L35,0))/12</f>
        <v>0</v>
      </c>
      <c r="DD23" s="352">
        <f>('HRA Balance Calc'!N35+'HRA Balance Calc'!U35)/12</f>
        <v>-24.021739760490163</v>
      </c>
      <c r="DE23" s="352">
        <f>('HRA Balance Calc'!O35+'HRA Balance Calc'!V35)/12</f>
        <v>0</v>
      </c>
      <c r="DF23" s="352">
        <f>('HRA Balance Calc'!P35+'HRA Balance Calc'!W35)/12</f>
        <v>0</v>
      </c>
      <c r="DG23" s="352">
        <f t="shared" si="26"/>
        <v>-24.021739760490163</v>
      </c>
      <c r="DI23" s="352">
        <f t="shared" si="27"/>
        <v>22.753074310428271</v>
      </c>
      <c r="DJ23" s="352">
        <f t="shared" si="27"/>
        <v>75.467778130329378</v>
      </c>
      <c r="DK23" s="352">
        <f t="shared" si="27"/>
        <v>9.7401900534537411</v>
      </c>
      <c r="DL23" s="352">
        <f t="shared" si="27"/>
        <v>1.7000814189516649</v>
      </c>
      <c r="DM23" s="352">
        <f t="shared" si="27"/>
        <v>109.66112391316307</v>
      </c>
    </row>
    <row r="24" spans="1:117" x14ac:dyDescent="0.2">
      <c r="A24">
        <f t="shared" si="28"/>
        <v>19</v>
      </c>
      <c r="B24" s="397">
        <v>34308</v>
      </c>
      <c r="C24" s="398">
        <v>397997.79676138877</v>
      </c>
      <c r="D24" s="399">
        <v>0</v>
      </c>
      <c r="E24" s="399">
        <v>0</v>
      </c>
      <c r="F24" s="399">
        <v>0</v>
      </c>
      <c r="G24" s="399">
        <v>0</v>
      </c>
      <c r="H24" s="399">
        <v>0</v>
      </c>
      <c r="I24" s="400">
        <v>0</v>
      </c>
      <c r="J24" s="400">
        <v>0</v>
      </c>
      <c r="K24" s="400">
        <v>0</v>
      </c>
      <c r="L24" s="400">
        <v>0</v>
      </c>
      <c r="M24" s="400">
        <v>0</v>
      </c>
      <c r="N24" s="400">
        <v>0</v>
      </c>
      <c r="O24" s="399">
        <f t="shared" si="30"/>
        <v>0</v>
      </c>
      <c r="P24" s="399">
        <f t="shared" si="30"/>
        <v>0</v>
      </c>
      <c r="Q24" s="399">
        <f t="shared" si="30"/>
        <v>0</v>
      </c>
      <c r="R24" s="399">
        <f t="shared" si="30"/>
        <v>0</v>
      </c>
      <c r="S24" s="399">
        <f t="shared" si="30"/>
        <v>0</v>
      </c>
      <c r="T24" s="399">
        <f t="shared" si="30"/>
        <v>0</v>
      </c>
      <c r="U24" s="399">
        <f t="shared" si="10"/>
        <v>0</v>
      </c>
      <c r="V24" s="400">
        <v>0</v>
      </c>
      <c r="W24" s="400">
        <v>0</v>
      </c>
      <c r="X24" s="400">
        <v>0</v>
      </c>
      <c r="Y24" s="400">
        <v>0</v>
      </c>
      <c r="Z24" s="400">
        <v>0</v>
      </c>
      <c r="AA24" s="400">
        <v>0</v>
      </c>
      <c r="AB24" s="352">
        <f t="shared" si="31"/>
        <v>0</v>
      </c>
      <c r="AC24" s="352">
        <f t="shared" si="31"/>
        <v>0</v>
      </c>
      <c r="AD24" s="352">
        <f t="shared" si="31"/>
        <v>0</v>
      </c>
      <c r="AE24" s="352">
        <f t="shared" si="31"/>
        <v>0</v>
      </c>
      <c r="AF24" s="352">
        <f t="shared" si="31"/>
        <v>0</v>
      </c>
      <c r="AG24" s="352">
        <f t="shared" si="31"/>
        <v>0</v>
      </c>
      <c r="AH24" s="400">
        <f t="shared" si="11"/>
        <v>0</v>
      </c>
      <c r="AJ24" s="352">
        <f>D24*('Assumptions-Output Override'!$D$10/'Winners-Losers HRA'!$H$107)*(1+'Assumptions-Output Override'!$F$41)</f>
        <v>0</v>
      </c>
      <c r="AK24" s="352">
        <f>E24*('Assumptions-Output Override'!$D$10/'Winners-Losers HRA'!$H$107)*(1+'Assumptions-Output Override'!$F$37)</f>
        <v>0</v>
      </c>
      <c r="AL24" s="352">
        <f>F24*('Assumptions-Output Override'!$D$10/'Winners-Losers HRA'!$H$107)*(1+'Assumptions-Output Override'!$F$38)</f>
        <v>0</v>
      </c>
      <c r="AM24" s="352">
        <f>G24*('Shoppable Detail'!$X$21/'Shoppable Detail'!$H$21)*('Assumptions-Output Override'!$D$10/'Winners-Losers HRA'!$H$107)*(1+'Assumptions-Output Override'!$F$39)</f>
        <v>0</v>
      </c>
      <c r="AN24" s="352">
        <f t="shared" si="12"/>
        <v>0</v>
      </c>
      <c r="AO24" s="352">
        <v>0</v>
      </c>
      <c r="AP24" s="352">
        <f>U24*'Assumptions-Output Override'!$D$10/'Winners-Losers HRA'!$H$107*(1+'Assumptions-Output Override'!$F$37)</f>
        <v>0</v>
      </c>
      <c r="AQ24" s="352">
        <f>AH24*'Assumptions-Output Override'!$D$10/'Winners-Losers HRA'!$H$107*(1+'Assumptions-Output Override'!$F$38)</f>
        <v>0</v>
      </c>
      <c r="AR24" s="352">
        <f>AM24*('Shoppable Detail'!$AA$23/'Shoppable Detail'!$Y$23)</f>
        <v>0</v>
      </c>
      <c r="AS24" s="352">
        <f t="shared" si="13"/>
        <v>0</v>
      </c>
      <c r="AT24" s="352">
        <f t="shared" si="14"/>
        <v>0</v>
      </c>
      <c r="AU24" s="352">
        <f t="shared" si="14"/>
        <v>0</v>
      </c>
      <c r="AV24" s="352">
        <f t="shared" si="14"/>
        <v>0</v>
      </c>
      <c r="AW24" s="352">
        <f t="shared" si="14"/>
        <v>0</v>
      </c>
      <c r="AX24" s="352">
        <f t="shared" si="15"/>
        <v>0</v>
      </c>
      <c r="AY24" s="352">
        <f>AT24*'Assumptions-Output Override'!$D$24</f>
        <v>0</v>
      </c>
      <c r="AZ24" s="352">
        <f>$AU$107*'Assumptions-Output Override'!$D$21</f>
        <v>46.041131296780591</v>
      </c>
      <c r="BA24" s="352">
        <f>AV24*'Assumptions-Output Override'!$D$22</f>
        <v>0</v>
      </c>
      <c r="BB24" s="352">
        <f>AW24*'Assumptions-Output Override'!$D$23</f>
        <v>0</v>
      </c>
      <c r="BC24" s="352">
        <f t="shared" si="16"/>
        <v>46.041131296780591</v>
      </c>
      <c r="BD24" s="352">
        <f t="shared" si="17"/>
        <v>0</v>
      </c>
      <c r="BE24" s="352">
        <f t="shared" si="17"/>
        <v>46.041131296780591</v>
      </c>
      <c r="BF24" s="352">
        <f t="shared" si="17"/>
        <v>0</v>
      </c>
      <c r="BG24" s="352">
        <f t="shared" si="17"/>
        <v>0</v>
      </c>
      <c r="BH24" s="352">
        <f t="shared" si="18"/>
        <v>46.041131296780591</v>
      </c>
      <c r="BJ24" s="401">
        <f>D24*'Assumptions-Output Override'!$D$10/'Winners-Losers HRA'!$H$107</f>
        <v>0</v>
      </c>
      <c r="BK24" s="401">
        <f>E24*'Assumptions-Output Override'!$D$10/'Winners-Losers HRA'!$H$107</f>
        <v>0</v>
      </c>
      <c r="BL24" s="401">
        <f>F24*'Assumptions-Output Override'!$D$10/'Winners-Losers HRA'!$H$107</f>
        <v>0</v>
      </c>
      <c r="BM24" s="401">
        <f>G24*'Assumptions-Output Override'!$D$10/'Winners-Losers HRA'!$H$107</f>
        <v>0</v>
      </c>
      <c r="BN24" s="401">
        <f t="shared" si="2"/>
        <v>0</v>
      </c>
      <c r="BO24" s="401">
        <f>BJ24*(1-'Assumptions-Output Override'!$D$11)</f>
        <v>0</v>
      </c>
      <c r="BP24" s="401">
        <f>BK24*(1-'Assumptions-Output Override'!$D$11)</f>
        <v>0</v>
      </c>
      <c r="BQ24" s="401">
        <f>BL24*(1-'Assumptions-Output Override'!$D$11)</f>
        <v>0</v>
      </c>
      <c r="BR24" s="401">
        <f>BM24*(1-'Assumptions-Output Override'!$D$11)</f>
        <v>0</v>
      </c>
      <c r="BS24" s="352">
        <f t="shared" si="3"/>
        <v>0</v>
      </c>
      <c r="BT24" s="352">
        <f t="shared" si="19"/>
        <v>0</v>
      </c>
      <c r="BU24" s="352">
        <f t="shared" si="19"/>
        <v>0</v>
      </c>
      <c r="BV24" s="352">
        <f t="shared" si="19"/>
        <v>0</v>
      </c>
      <c r="BW24" s="352">
        <f t="shared" si="19"/>
        <v>0</v>
      </c>
      <c r="BX24" s="352">
        <f t="shared" si="4"/>
        <v>0</v>
      </c>
      <c r="BY24" s="352">
        <f>BT$107*(1-'Assumptions-Output Override'!$D$12)</f>
        <v>22.753074310428271</v>
      </c>
      <c r="BZ24" s="352">
        <f>BU$107*(1-'Assumptions-Output Override'!$D$12)</f>
        <v>51.446038369839215</v>
      </c>
      <c r="CA24" s="352">
        <f>BV$107*(1-'Assumptions-Output Override'!$D$12)</f>
        <v>9.7401900534537411</v>
      </c>
      <c r="CB24" s="352">
        <f>BW$107*(1-'Assumptions-Output Override'!$D$12)</f>
        <v>1.7000814189516649</v>
      </c>
      <c r="CC24" s="352">
        <f t="shared" si="5"/>
        <v>85.639384152672903</v>
      </c>
      <c r="CD24" s="352">
        <f t="shared" si="20"/>
        <v>22.753074310428271</v>
      </c>
      <c r="CE24" s="352">
        <f t="shared" si="20"/>
        <v>51.446038369839215</v>
      </c>
      <c r="CF24" s="352">
        <f t="shared" si="20"/>
        <v>9.7401900534537411</v>
      </c>
      <c r="CG24" s="352">
        <f t="shared" si="20"/>
        <v>1.7000814189516649</v>
      </c>
      <c r="CH24" s="352">
        <f t="shared" si="6"/>
        <v>85.639384152672903</v>
      </c>
      <c r="CJ24" s="352">
        <f t="shared" si="21"/>
        <v>85.639384152672903</v>
      </c>
      <c r="CK24" s="352">
        <f t="shared" si="22"/>
        <v>0</v>
      </c>
      <c r="CL24" s="352">
        <f t="shared" si="23"/>
        <v>85.639384152672903</v>
      </c>
      <c r="CN24" s="352">
        <f>('HRA Balance Calc'!U36+'HRA Balance Calc'!V36+'HRA Balance Calc'!W36+'HRA Balance Calc'!X36)/12</f>
        <v>-24.021739760490163</v>
      </c>
      <c r="CO24" s="352">
        <f>('HRA Balance Calc'!Q36+IF('HRA Balance Calc'!L36&lt;0,-'HRA Balance Calc'!L36,0))/12</f>
        <v>0</v>
      </c>
      <c r="CP24" s="352">
        <f>('HRA Balance Calc'!N36)/12</f>
        <v>0</v>
      </c>
      <c r="CQ24" s="352">
        <f>('HRA Balance Calc'!O36)/12</f>
        <v>0</v>
      </c>
      <c r="CR24" s="352">
        <f>('HRA Balance Calc'!P36)/12</f>
        <v>0</v>
      </c>
      <c r="CS24" s="352">
        <f t="shared" si="7"/>
        <v>0</v>
      </c>
      <c r="CU24" s="577">
        <f t="shared" si="24"/>
        <v>1315.9334869579568</v>
      </c>
      <c r="CV24" s="352">
        <f t="shared" si="25"/>
        <v>109.66112391316307</v>
      </c>
      <c r="CW24" s="352">
        <f t="shared" si="29"/>
        <v>0</v>
      </c>
      <c r="CX24" s="352">
        <f t="shared" si="29"/>
        <v>0</v>
      </c>
      <c r="CY24" s="352">
        <f t="shared" si="29"/>
        <v>0</v>
      </c>
      <c r="CZ24" s="352">
        <f t="shared" si="29"/>
        <v>0</v>
      </c>
      <c r="DA24" s="352">
        <f t="shared" si="9"/>
        <v>0</v>
      </c>
      <c r="DC24" s="352">
        <f>('HRA Balance Calc'!Q36+'HRA Balance Calc'!X36+IF('HRA Balance Calc'!L36&lt;0,-'HRA Balance Calc'!L36,0))/12</f>
        <v>0</v>
      </c>
      <c r="DD24" s="352">
        <f>('HRA Balance Calc'!N36+'HRA Balance Calc'!U36)/12</f>
        <v>-24.021739760490163</v>
      </c>
      <c r="DE24" s="352">
        <f>('HRA Balance Calc'!O36+'HRA Balance Calc'!V36)/12</f>
        <v>0</v>
      </c>
      <c r="DF24" s="352">
        <f>('HRA Balance Calc'!P36+'HRA Balance Calc'!W36)/12</f>
        <v>0</v>
      </c>
      <c r="DG24" s="352">
        <f t="shared" si="26"/>
        <v>-24.021739760490163</v>
      </c>
      <c r="DI24" s="352">
        <f t="shared" si="27"/>
        <v>22.753074310428271</v>
      </c>
      <c r="DJ24" s="352">
        <f t="shared" si="27"/>
        <v>75.467778130329378</v>
      </c>
      <c r="DK24" s="352">
        <f t="shared" si="27"/>
        <v>9.7401900534537411</v>
      </c>
      <c r="DL24" s="352">
        <f t="shared" si="27"/>
        <v>1.7000814189516649</v>
      </c>
      <c r="DM24" s="352">
        <f t="shared" si="27"/>
        <v>109.66112391316307</v>
      </c>
    </row>
    <row r="25" spans="1:117" x14ac:dyDescent="0.2">
      <c r="A25">
        <f t="shared" si="28"/>
        <v>20</v>
      </c>
      <c r="B25" s="397">
        <v>34308</v>
      </c>
      <c r="C25" s="398">
        <v>397997.79676138877</v>
      </c>
      <c r="D25" s="399">
        <v>0</v>
      </c>
      <c r="E25" s="399">
        <v>0</v>
      </c>
      <c r="F25" s="399">
        <v>0</v>
      </c>
      <c r="G25" s="399">
        <v>0</v>
      </c>
      <c r="H25" s="399">
        <v>0</v>
      </c>
      <c r="I25" s="400">
        <v>0</v>
      </c>
      <c r="J25" s="400">
        <v>0</v>
      </c>
      <c r="K25" s="400">
        <v>0</v>
      </c>
      <c r="L25" s="400">
        <v>0</v>
      </c>
      <c r="M25" s="400">
        <v>0</v>
      </c>
      <c r="N25" s="400">
        <v>0</v>
      </c>
      <c r="O25" s="399">
        <f t="shared" si="30"/>
        <v>0</v>
      </c>
      <c r="P25" s="399">
        <f t="shared" si="30"/>
        <v>0</v>
      </c>
      <c r="Q25" s="399">
        <f t="shared" si="30"/>
        <v>0</v>
      </c>
      <c r="R25" s="399">
        <f t="shared" si="30"/>
        <v>0</v>
      </c>
      <c r="S25" s="399">
        <f t="shared" si="30"/>
        <v>0</v>
      </c>
      <c r="T25" s="399">
        <f t="shared" si="30"/>
        <v>0</v>
      </c>
      <c r="U25" s="399">
        <f t="shared" si="10"/>
        <v>0</v>
      </c>
      <c r="V25" s="400">
        <v>0</v>
      </c>
      <c r="W25" s="400">
        <v>0</v>
      </c>
      <c r="X25" s="400">
        <v>0</v>
      </c>
      <c r="Y25" s="400">
        <v>0</v>
      </c>
      <c r="Z25" s="400">
        <v>0</v>
      </c>
      <c r="AA25" s="400">
        <v>0</v>
      </c>
      <c r="AB25" s="352">
        <f t="shared" si="31"/>
        <v>0</v>
      </c>
      <c r="AC25" s="352">
        <f t="shared" si="31"/>
        <v>0</v>
      </c>
      <c r="AD25" s="352">
        <f t="shared" si="31"/>
        <v>0</v>
      </c>
      <c r="AE25" s="352">
        <f t="shared" si="31"/>
        <v>0</v>
      </c>
      <c r="AF25" s="352">
        <f t="shared" si="31"/>
        <v>0</v>
      </c>
      <c r="AG25" s="352">
        <f t="shared" si="31"/>
        <v>0</v>
      </c>
      <c r="AH25" s="400">
        <f t="shared" si="11"/>
        <v>0</v>
      </c>
      <c r="AJ25" s="352">
        <f>D25*('Assumptions-Output Override'!$D$10/'Winners-Losers HRA'!$H$107)*(1+'Assumptions-Output Override'!$F$41)</f>
        <v>0</v>
      </c>
      <c r="AK25" s="352">
        <f>E25*('Assumptions-Output Override'!$D$10/'Winners-Losers HRA'!$H$107)*(1+'Assumptions-Output Override'!$F$37)</f>
        <v>0</v>
      </c>
      <c r="AL25" s="352">
        <f>F25*('Assumptions-Output Override'!$D$10/'Winners-Losers HRA'!$H$107)*(1+'Assumptions-Output Override'!$F$38)</f>
        <v>0</v>
      </c>
      <c r="AM25" s="352">
        <f>G25*('Shoppable Detail'!$X$21/'Shoppable Detail'!$H$21)*('Assumptions-Output Override'!$D$10/'Winners-Losers HRA'!$H$107)*(1+'Assumptions-Output Override'!$F$39)</f>
        <v>0</v>
      </c>
      <c r="AN25" s="352">
        <f t="shared" si="12"/>
        <v>0</v>
      </c>
      <c r="AO25" s="352">
        <v>0</v>
      </c>
      <c r="AP25" s="352">
        <f>U25*'Assumptions-Output Override'!$D$10/'Winners-Losers HRA'!$H$107*(1+'Assumptions-Output Override'!$F$37)</f>
        <v>0</v>
      </c>
      <c r="AQ25" s="352">
        <f>AH25*'Assumptions-Output Override'!$D$10/'Winners-Losers HRA'!$H$107*(1+'Assumptions-Output Override'!$F$38)</f>
        <v>0</v>
      </c>
      <c r="AR25" s="352">
        <f>AM25*('Shoppable Detail'!$AA$23/'Shoppable Detail'!$Y$23)</f>
        <v>0</v>
      </c>
      <c r="AS25" s="352">
        <f t="shared" si="13"/>
        <v>0</v>
      </c>
      <c r="AT25" s="352">
        <f t="shared" si="14"/>
        <v>0</v>
      </c>
      <c r="AU25" s="352">
        <f t="shared" si="14"/>
        <v>0</v>
      </c>
      <c r="AV25" s="352">
        <f t="shared" si="14"/>
        <v>0</v>
      </c>
      <c r="AW25" s="352">
        <f t="shared" si="14"/>
        <v>0</v>
      </c>
      <c r="AX25" s="352">
        <f t="shared" si="15"/>
        <v>0</v>
      </c>
      <c r="AY25" s="352">
        <f>AT25*'Assumptions-Output Override'!$D$24</f>
        <v>0</v>
      </c>
      <c r="AZ25" s="352">
        <f>$AU$107*'Assumptions-Output Override'!$D$21</f>
        <v>46.041131296780591</v>
      </c>
      <c r="BA25" s="352">
        <f>AV25*'Assumptions-Output Override'!$D$22</f>
        <v>0</v>
      </c>
      <c r="BB25" s="352">
        <f>AW25*'Assumptions-Output Override'!$D$23</f>
        <v>0</v>
      </c>
      <c r="BC25" s="352">
        <f t="shared" si="16"/>
        <v>46.041131296780591</v>
      </c>
      <c r="BD25" s="352">
        <f t="shared" si="17"/>
        <v>0</v>
      </c>
      <c r="BE25" s="352">
        <f t="shared" si="17"/>
        <v>46.041131296780591</v>
      </c>
      <c r="BF25" s="352">
        <f t="shared" si="17"/>
        <v>0</v>
      </c>
      <c r="BG25" s="352">
        <f t="shared" si="17"/>
        <v>0</v>
      </c>
      <c r="BH25" s="352">
        <f t="shared" si="18"/>
        <v>46.041131296780591</v>
      </c>
      <c r="BJ25" s="401">
        <f>D25*'Assumptions-Output Override'!$D$10/'Winners-Losers HRA'!$H$107</f>
        <v>0</v>
      </c>
      <c r="BK25" s="401">
        <f>E25*'Assumptions-Output Override'!$D$10/'Winners-Losers HRA'!$H$107</f>
        <v>0</v>
      </c>
      <c r="BL25" s="401">
        <f>F25*'Assumptions-Output Override'!$D$10/'Winners-Losers HRA'!$H$107</f>
        <v>0</v>
      </c>
      <c r="BM25" s="401">
        <f>G25*'Assumptions-Output Override'!$D$10/'Winners-Losers HRA'!$H$107</f>
        <v>0</v>
      </c>
      <c r="BN25" s="401">
        <f t="shared" si="2"/>
        <v>0</v>
      </c>
      <c r="BO25" s="401">
        <f>BJ25*(1-'Assumptions-Output Override'!$D$11)</f>
        <v>0</v>
      </c>
      <c r="BP25" s="401">
        <f>BK25*(1-'Assumptions-Output Override'!$D$11)</f>
        <v>0</v>
      </c>
      <c r="BQ25" s="401">
        <f>BL25*(1-'Assumptions-Output Override'!$D$11)</f>
        <v>0</v>
      </c>
      <c r="BR25" s="401">
        <f>BM25*(1-'Assumptions-Output Override'!$D$11)</f>
        <v>0</v>
      </c>
      <c r="BS25" s="352">
        <f t="shared" si="3"/>
        <v>0</v>
      </c>
      <c r="BT25" s="352">
        <f t="shared" si="19"/>
        <v>0</v>
      </c>
      <c r="BU25" s="352">
        <f t="shared" si="19"/>
        <v>0</v>
      </c>
      <c r="BV25" s="352">
        <f t="shared" si="19"/>
        <v>0</v>
      </c>
      <c r="BW25" s="352">
        <f t="shared" si="19"/>
        <v>0</v>
      </c>
      <c r="BX25" s="352">
        <f t="shared" si="4"/>
        <v>0</v>
      </c>
      <c r="BY25" s="352">
        <f>BT$107*(1-'Assumptions-Output Override'!$D$12)</f>
        <v>22.753074310428271</v>
      </c>
      <c r="BZ25" s="352">
        <f>BU$107*(1-'Assumptions-Output Override'!$D$12)</f>
        <v>51.446038369839215</v>
      </c>
      <c r="CA25" s="352">
        <f>BV$107*(1-'Assumptions-Output Override'!$D$12)</f>
        <v>9.7401900534537411</v>
      </c>
      <c r="CB25" s="352">
        <f>BW$107*(1-'Assumptions-Output Override'!$D$12)</f>
        <v>1.7000814189516649</v>
      </c>
      <c r="CC25" s="352">
        <f t="shared" si="5"/>
        <v>85.639384152672903</v>
      </c>
      <c r="CD25" s="352">
        <f t="shared" si="20"/>
        <v>22.753074310428271</v>
      </c>
      <c r="CE25" s="352">
        <f t="shared" si="20"/>
        <v>51.446038369839215</v>
      </c>
      <c r="CF25" s="352">
        <f t="shared" si="20"/>
        <v>9.7401900534537411</v>
      </c>
      <c r="CG25" s="352">
        <f t="shared" si="20"/>
        <v>1.7000814189516649</v>
      </c>
      <c r="CH25" s="352">
        <f t="shared" si="6"/>
        <v>85.639384152672903</v>
      </c>
      <c r="CJ25" s="352">
        <f t="shared" si="21"/>
        <v>85.639384152672903</v>
      </c>
      <c r="CK25" s="352">
        <f t="shared" si="22"/>
        <v>0</v>
      </c>
      <c r="CL25" s="352">
        <f t="shared" si="23"/>
        <v>85.639384152672903</v>
      </c>
      <c r="CN25" s="352">
        <f>('HRA Balance Calc'!U37+'HRA Balance Calc'!V37+'HRA Balance Calc'!W37+'HRA Balance Calc'!X37)/12</f>
        <v>-24.021739760490163</v>
      </c>
      <c r="CO25" s="352">
        <f>('HRA Balance Calc'!Q37+IF('HRA Balance Calc'!L37&lt;0,-'HRA Balance Calc'!L37,0))/12</f>
        <v>0</v>
      </c>
      <c r="CP25" s="352">
        <f>('HRA Balance Calc'!N37)/12</f>
        <v>0</v>
      </c>
      <c r="CQ25" s="352">
        <f>('HRA Balance Calc'!O37)/12</f>
        <v>0</v>
      </c>
      <c r="CR25" s="352">
        <f>('HRA Balance Calc'!P37)/12</f>
        <v>0</v>
      </c>
      <c r="CS25" s="352">
        <f t="shared" si="7"/>
        <v>0</v>
      </c>
      <c r="CU25" s="577">
        <f t="shared" si="24"/>
        <v>1315.9334869579568</v>
      </c>
      <c r="CV25" s="352">
        <f t="shared" si="25"/>
        <v>109.66112391316307</v>
      </c>
      <c r="CW25" s="352">
        <f t="shared" si="29"/>
        <v>0</v>
      </c>
      <c r="CX25" s="352">
        <f t="shared" si="29"/>
        <v>0</v>
      </c>
      <c r="CY25" s="352">
        <f t="shared" si="29"/>
        <v>0</v>
      </c>
      <c r="CZ25" s="352">
        <f t="shared" si="29"/>
        <v>0</v>
      </c>
      <c r="DA25" s="352">
        <f t="shared" si="9"/>
        <v>0</v>
      </c>
      <c r="DC25" s="352">
        <f>('HRA Balance Calc'!Q37+'HRA Balance Calc'!X37+IF('HRA Balance Calc'!L37&lt;0,-'HRA Balance Calc'!L37,0))/12</f>
        <v>0</v>
      </c>
      <c r="DD25" s="352">
        <f>('HRA Balance Calc'!N37+'HRA Balance Calc'!U37)/12</f>
        <v>-24.021739760490163</v>
      </c>
      <c r="DE25" s="352">
        <f>('HRA Balance Calc'!O37+'HRA Balance Calc'!V37)/12</f>
        <v>0</v>
      </c>
      <c r="DF25" s="352">
        <f>('HRA Balance Calc'!P37+'HRA Balance Calc'!W37)/12</f>
        <v>0</v>
      </c>
      <c r="DG25" s="352">
        <f t="shared" si="26"/>
        <v>-24.021739760490163</v>
      </c>
      <c r="DI25" s="352">
        <f t="shared" si="27"/>
        <v>22.753074310428271</v>
      </c>
      <c r="DJ25" s="352">
        <f t="shared" si="27"/>
        <v>75.467778130329378</v>
      </c>
      <c r="DK25" s="352">
        <f t="shared" si="27"/>
        <v>9.7401900534537411</v>
      </c>
      <c r="DL25" s="352">
        <f t="shared" si="27"/>
        <v>1.7000814189516649</v>
      </c>
      <c r="DM25" s="352">
        <f t="shared" si="27"/>
        <v>109.66112391316307</v>
      </c>
    </row>
    <row r="26" spans="1:117" x14ac:dyDescent="0.2">
      <c r="A26">
        <f t="shared" si="28"/>
        <v>21</v>
      </c>
      <c r="B26" s="397">
        <v>34308</v>
      </c>
      <c r="C26" s="398">
        <v>397997.79676138877</v>
      </c>
      <c r="D26" s="399">
        <v>0</v>
      </c>
      <c r="E26" s="399">
        <v>0</v>
      </c>
      <c r="F26" s="399">
        <v>0</v>
      </c>
      <c r="G26" s="399">
        <v>0</v>
      </c>
      <c r="H26" s="399">
        <v>0</v>
      </c>
      <c r="I26" s="400">
        <v>0</v>
      </c>
      <c r="J26" s="400">
        <v>0</v>
      </c>
      <c r="K26" s="400">
        <v>0</v>
      </c>
      <c r="L26" s="400">
        <v>0</v>
      </c>
      <c r="M26" s="400">
        <v>0</v>
      </c>
      <c r="N26" s="400">
        <v>0</v>
      </c>
      <c r="O26" s="399">
        <f t="shared" si="30"/>
        <v>0</v>
      </c>
      <c r="P26" s="399">
        <f t="shared" si="30"/>
        <v>0</v>
      </c>
      <c r="Q26" s="399">
        <f t="shared" si="30"/>
        <v>0</v>
      </c>
      <c r="R26" s="399">
        <f t="shared" si="30"/>
        <v>0</v>
      </c>
      <c r="S26" s="399">
        <f t="shared" si="30"/>
        <v>0</v>
      </c>
      <c r="T26" s="399">
        <f t="shared" si="30"/>
        <v>0</v>
      </c>
      <c r="U26" s="399">
        <f t="shared" si="10"/>
        <v>0</v>
      </c>
      <c r="V26" s="400">
        <v>0</v>
      </c>
      <c r="W26" s="400">
        <v>0</v>
      </c>
      <c r="X26" s="400">
        <v>0</v>
      </c>
      <c r="Y26" s="400">
        <v>0</v>
      </c>
      <c r="Z26" s="400">
        <v>0</v>
      </c>
      <c r="AA26" s="400">
        <v>0</v>
      </c>
      <c r="AB26" s="352">
        <f t="shared" si="31"/>
        <v>0</v>
      </c>
      <c r="AC26" s="352">
        <f t="shared" si="31"/>
        <v>0</v>
      </c>
      <c r="AD26" s="352">
        <f t="shared" si="31"/>
        <v>0</v>
      </c>
      <c r="AE26" s="352">
        <f t="shared" si="31"/>
        <v>0</v>
      </c>
      <c r="AF26" s="352">
        <f t="shared" si="31"/>
        <v>0</v>
      </c>
      <c r="AG26" s="352">
        <f t="shared" si="31"/>
        <v>0</v>
      </c>
      <c r="AH26" s="400">
        <f t="shared" si="11"/>
        <v>0</v>
      </c>
      <c r="AJ26" s="352">
        <f>D26*('Assumptions-Output Override'!$D$10/'Winners-Losers HRA'!$H$107)*(1+'Assumptions-Output Override'!$F$41)</f>
        <v>0</v>
      </c>
      <c r="AK26" s="352">
        <f>E26*('Assumptions-Output Override'!$D$10/'Winners-Losers HRA'!$H$107)*(1+'Assumptions-Output Override'!$F$37)</f>
        <v>0</v>
      </c>
      <c r="AL26" s="352">
        <f>F26*('Assumptions-Output Override'!$D$10/'Winners-Losers HRA'!$H$107)*(1+'Assumptions-Output Override'!$F$38)</f>
        <v>0</v>
      </c>
      <c r="AM26" s="352">
        <f>G26*('Shoppable Detail'!$X$21/'Shoppable Detail'!$H$21)*('Assumptions-Output Override'!$D$10/'Winners-Losers HRA'!$H$107)*(1+'Assumptions-Output Override'!$F$39)</f>
        <v>0</v>
      </c>
      <c r="AN26" s="352">
        <f t="shared" si="12"/>
        <v>0</v>
      </c>
      <c r="AO26" s="352">
        <v>0</v>
      </c>
      <c r="AP26" s="352">
        <f>U26*'Assumptions-Output Override'!$D$10/'Winners-Losers HRA'!$H$107*(1+'Assumptions-Output Override'!$F$37)</f>
        <v>0</v>
      </c>
      <c r="AQ26" s="352">
        <f>AH26*'Assumptions-Output Override'!$D$10/'Winners-Losers HRA'!$H$107*(1+'Assumptions-Output Override'!$F$38)</f>
        <v>0</v>
      </c>
      <c r="AR26" s="352">
        <f>AM26*('Shoppable Detail'!$AA$23/'Shoppable Detail'!$Y$23)</f>
        <v>0</v>
      </c>
      <c r="AS26" s="352">
        <f t="shared" si="13"/>
        <v>0</v>
      </c>
      <c r="AT26" s="352">
        <f t="shared" si="14"/>
        <v>0</v>
      </c>
      <c r="AU26" s="352">
        <f t="shared" si="14"/>
        <v>0</v>
      </c>
      <c r="AV26" s="352">
        <f t="shared" si="14"/>
        <v>0</v>
      </c>
      <c r="AW26" s="352">
        <f t="shared" si="14"/>
        <v>0</v>
      </c>
      <c r="AX26" s="352">
        <f t="shared" si="15"/>
        <v>0</v>
      </c>
      <c r="AY26" s="352">
        <f>AT26*'Assumptions-Output Override'!$D$24</f>
        <v>0</v>
      </c>
      <c r="AZ26" s="352">
        <f>$AU$107*'Assumptions-Output Override'!$D$21</f>
        <v>46.041131296780591</v>
      </c>
      <c r="BA26" s="352">
        <f>AV26*'Assumptions-Output Override'!$D$22</f>
        <v>0</v>
      </c>
      <c r="BB26" s="352">
        <f>AW26*'Assumptions-Output Override'!$D$23</f>
        <v>0</v>
      </c>
      <c r="BC26" s="352">
        <f t="shared" si="16"/>
        <v>46.041131296780591</v>
      </c>
      <c r="BD26" s="352">
        <f t="shared" si="17"/>
        <v>0</v>
      </c>
      <c r="BE26" s="352">
        <f t="shared" si="17"/>
        <v>46.041131296780591</v>
      </c>
      <c r="BF26" s="352">
        <f t="shared" si="17"/>
        <v>0</v>
      </c>
      <c r="BG26" s="352">
        <f t="shared" si="17"/>
        <v>0</v>
      </c>
      <c r="BH26" s="352">
        <f t="shared" si="18"/>
        <v>46.041131296780591</v>
      </c>
      <c r="BJ26" s="401">
        <f>D26*'Assumptions-Output Override'!$D$10/'Winners-Losers HRA'!$H$107</f>
        <v>0</v>
      </c>
      <c r="BK26" s="401">
        <f>E26*'Assumptions-Output Override'!$D$10/'Winners-Losers HRA'!$H$107</f>
        <v>0</v>
      </c>
      <c r="BL26" s="401">
        <f>F26*'Assumptions-Output Override'!$D$10/'Winners-Losers HRA'!$H$107</f>
        <v>0</v>
      </c>
      <c r="BM26" s="401">
        <f>G26*'Assumptions-Output Override'!$D$10/'Winners-Losers HRA'!$H$107</f>
        <v>0</v>
      </c>
      <c r="BN26" s="401">
        <f t="shared" si="2"/>
        <v>0</v>
      </c>
      <c r="BO26" s="401">
        <f>BJ26*(1-'Assumptions-Output Override'!$D$11)</f>
        <v>0</v>
      </c>
      <c r="BP26" s="401">
        <f>BK26*(1-'Assumptions-Output Override'!$D$11)</f>
        <v>0</v>
      </c>
      <c r="BQ26" s="401">
        <f>BL26*(1-'Assumptions-Output Override'!$D$11)</f>
        <v>0</v>
      </c>
      <c r="BR26" s="401">
        <f>BM26*(1-'Assumptions-Output Override'!$D$11)</f>
        <v>0</v>
      </c>
      <c r="BS26" s="352">
        <f t="shared" si="3"/>
        <v>0</v>
      </c>
      <c r="BT26" s="352">
        <f t="shared" si="19"/>
        <v>0</v>
      </c>
      <c r="BU26" s="352">
        <f t="shared" si="19"/>
        <v>0</v>
      </c>
      <c r="BV26" s="352">
        <f t="shared" si="19"/>
        <v>0</v>
      </c>
      <c r="BW26" s="352">
        <f t="shared" si="19"/>
        <v>0</v>
      </c>
      <c r="BX26" s="352">
        <f t="shared" si="4"/>
        <v>0</v>
      </c>
      <c r="BY26" s="352">
        <f>BT$107*(1-'Assumptions-Output Override'!$D$12)</f>
        <v>22.753074310428271</v>
      </c>
      <c r="BZ26" s="352">
        <f>BU$107*(1-'Assumptions-Output Override'!$D$12)</f>
        <v>51.446038369839215</v>
      </c>
      <c r="CA26" s="352">
        <f>BV$107*(1-'Assumptions-Output Override'!$D$12)</f>
        <v>9.7401900534537411</v>
      </c>
      <c r="CB26" s="352">
        <f>BW$107*(1-'Assumptions-Output Override'!$D$12)</f>
        <v>1.7000814189516649</v>
      </c>
      <c r="CC26" s="352">
        <f t="shared" si="5"/>
        <v>85.639384152672903</v>
      </c>
      <c r="CD26" s="352">
        <f t="shared" si="20"/>
        <v>22.753074310428271</v>
      </c>
      <c r="CE26" s="352">
        <f t="shared" si="20"/>
        <v>51.446038369839215</v>
      </c>
      <c r="CF26" s="352">
        <f t="shared" si="20"/>
        <v>9.7401900534537411</v>
      </c>
      <c r="CG26" s="352">
        <f t="shared" si="20"/>
        <v>1.7000814189516649</v>
      </c>
      <c r="CH26" s="352">
        <f t="shared" si="6"/>
        <v>85.639384152672903</v>
      </c>
      <c r="CJ26" s="352">
        <f t="shared" si="21"/>
        <v>85.639384152672903</v>
      </c>
      <c r="CK26" s="352">
        <f t="shared" si="22"/>
        <v>0</v>
      </c>
      <c r="CL26" s="352">
        <f t="shared" si="23"/>
        <v>85.639384152672903</v>
      </c>
      <c r="CN26" s="352">
        <f>('HRA Balance Calc'!U38+'HRA Balance Calc'!V38+'HRA Balance Calc'!W38+'HRA Balance Calc'!X38)/12</f>
        <v>-24.021739760490163</v>
      </c>
      <c r="CO26" s="352">
        <f>('HRA Balance Calc'!Q38+IF('HRA Balance Calc'!L38&lt;0,-'HRA Balance Calc'!L38,0))/12</f>
        <v>0</v>
      </c>
      <c r="CP26" s="352">
        <f>('HRA Balance Calc'!N38)/12</f>
        <v>0</v>
      </c>
      <c r="CQ26" s="352">
        <f>('HRA Balance Calc'!O38)/12</f>
        <v>0</v>
      </c>
      <c r="CR26" s="352">
        <f>('HRA Balance Calc'!P38)/12</f>
        <v>0</v>
      </c>
      <c r="CS26" s="352">
        <f t="shared" si="7"/>
        <v>0</v>
      </c>
      <c r="CU26" s="577">
        <f t="shared" si="24"/>
        <v>1315.9334869579568</v>
      </c>
      <c r="CV26" s="352">
        <f t="shared" si="25"/>
        <v>109.66112391316307</v>
      </c>
      <c r="CW26" s="352">
        <f t="shared" si="29"/>
        <v>0</v>
      </c>
      <c r="CX26" s="352">
        <f t="shared" si="29"/>
        <v>0</v>
      </c>
      <c r="CY26" s="352">
        <f t="shared" si="29"/>
        <v>0</v>
      </c>
      <c r="CZ26" s="352">
        <f t="shared" si="29"/>
        <v>0</v>
      </c>
      <c r="DA26" s="352">
        <f t="shared" si="9"/>
        <v>0</v>
      </c>
      <c r="DC26" s="352">
        <f>('HRA Balance Calc'!Q38+'HRA Balance Calc'!X38+IF('HRA Balance Calc'!L38&lt;0,-'HRA Balance Calc'!L38,0))/12</f>
        <v>0</v>
      </c>
      <c r="DD26" s="352">
        <f>('HRA Balance Calc'!N38+'HRA Balance Calc'!U38)/12</f>
        <v>-24.021739760490163</v>
      </c>
      <c r="DE26" s="352">
        <f>('HRA Balance Calc'!O38+'HRA Balance Calc'!V38)/12</f>
        <v>0</v>
      </c>
      <c r="DF26" s="352">
        <f>('HRA Balance Calc'!P38+'HRA Balance Calc'!W38)/12</f>
        <v>0</v>
      </c>
      <c r="DG26" s="352">
        <f t="shared" si="26"/>
        <v>-24.021739760490163</v>
      </c>
      <c r="DI26" s="352">
        <f t="shared" si="27"/>
        <v>22.753074310428271</v>
      </c>
      <c r="DJ26" s="352">
        <f t="shared" si="27"/>
        <v>75.467778130329378</v>
      </c>
      <c r="DK26" s="352">
        <f t="shared" si="27"/>
        <v>9.7401900534537411</v>
      </c>
      <c r="DL26" s="352">
        <f t="shared" si="27"/>
        <v>1.7000814189516649</v>
      </c>
      <c r="DM26" s="352">
        <f t="shared" si="27"/>
        <v>109.66112391316307</v>
      </c>
    </row>
    <row r="27" spans="1:117" x14ac:dyDescent="0.2">
      <c r="A27">
        <v>22</v>
      </c>
      <c r="B27" s="397">
        <v>33967</v>
      </c>
      <c r="C27" s="398">
        <v>394041.94830926001</v>
      </c>
      <c r="D27" s="399">
        <v>0</v>
      </c>
      <c r="E27" s="399">
        <v>0</v>
      </c>
      <c r="F27" s="399">
        <v>1.2897230908483435</v>
      </c>
      <c r="G27" s="399">
        <v>0</v>
      </c>
      <c r="H27" s="399">
        <v>1.2897230908483435</v>
      </c>
      <c r="I27" s="400">
        <v>0</v>
      </c>
      <c r="J27" s="400">
        <v>0</v>
      </c>
      <c r="K27" s="400">
        <v>0</v>
      </c>
      <c r="L27" s="400">
        <v>0</v>
      </c>
      <c r="M27" s="400">
        <v>0</v>
      </c>
      <c r="N27" s="400">
        <v>0</v>
      </c>
      <c r="O27" s="399">
        <f t="shared" si="30"/>
        <v>0</v>
      </c>
      <c r="P27" s="399">
        <f t="shared" si="30"/>
        <v>0</v>
      </c>
      <c r="Q27" s="399">
        <f t="shared" si="30"/>
        <v>0</v>
      </c>
      <c r="R27" s="399">
        <f t="shared" si="30"/>
        <v>0</v>
      </c>
      <c r="S27" s="399">
        <f t="shared" si="30"/>
        <v>0</v>
      </c>
      <c r="T27" s="399">
        <f t="shared" si="30"/>
        <v>0</v>
      </c>
      <c r="U27" s="399">
        <f t="shared" si="10"/>
        <v>0</v>
      </c>
      <c r="V27" s="400">
        <v>7.5617806104033211E-4</v>
      </c>
      <c r="W27" s="400">
        <v>5.0148525142624835E-3</v>
      </c>
      <c r="X27" s="400">
        <v>1.0404983574952164E-4</v>
      </c>
      <c r="Y27" s="400">
        <v>6.9688178520606214E-2</v>
      </c>
      <c r="Z27" s="400">
        <v>1.035209580478102E-2</v>
      </c>
      <c r="AA27" s="400">
        <v>1.1304075667862781E-2</v>
      </c>
      <c r="AB27" s="352">
        <f t="shared" si="31"/>
        <v>0.18904451526008303</v>
      </c>
      <c r="AC27" s="352">
        <f t="shared" si="31"/>
        <v>0</v>
      </c>
      <c r="AD27" s="352">
        <f t="shared" si="31"/>
        <v>0.10404983574952163</v>
      </c>
      <c r="AE27" s="352">
        <f t="shared" si="31"/>
        <v>2.4703369123061845</v>
      </c>
      <c r="AF27" s="352">
        <f t="shared" si="31"/>
        <v>0.31056287414343059</v>
      </c>
      <c r="AG27" s="352">
        <f t="shared" si="31"/>
        <v>0.67824454007176682</v>
      </c>
      <c r="AH27" s="400">
        <f t="shared" si="11"/>
        <v>3.7522386775309866</v>
      </c>
      <c r="AJ27" s="352">
        <f>D27*('Assumptions-Output Override'!$D$10/'Winners-Losers HRA'!$H$107)*(1+'Assumptions-Output Override'!$F$41)</f>
        <v>0</v>
      </c>
      <c r="AK27" s="352">
        <f>E27*('Assumptions-Output Override'!$D$10/'Winners-Losers HRA'!$H$107)*(1+'Assumptions-Output Override'!$F$37)</f>
        <v>0</v>
      </c>
      <c r="AL27" s="352">
        <f>F27*('Assumptions-Output Override'!$D$10/'Winners-Losers HRA'!$H$107)*(1+'Assumptions-Output Override'!$F$38)</f>
        <v>2.1665361226380013</v>
      </c>
      <c r="AM27" s="352">
        <f>G27*('Shoppable Detail'!$X$21/'Shoppable Detail'!$H$21)*('Assumptions-Output Override'!$D$10/'Winners-Losers HRA'!$H$107)*(1+'Assumptions-Output Override'!$F$39)</f>
        <v>0</v>
      </c>
      <c r="AN27" s="352">
        <f t="shared" si="12"/>
        <v>2.1665361226380013</v>
      </c>
      <c r="AO27" s="352">
        <v>0</v>
      </c>
      <c r="AP27" s="352">
        <f>U27*'Assumptions-Output Override'!$D$10/'Winners-Losers HRA'!$H$107*(1+'Assumptions-Output Override'!$F$37)</f>
        <v>0</v>
      </c>
      <c r="AQ27" s="352">
        <f>AH27*'Assumptions-Output Override'!$D$10/'Winners-Losers HRA'!$H$107*(1+'Assumptions-Output Override'!$F$38)</f>
        <v>6.3031829803737649</v>
      </c>
      <c r="AR27" s="352">
        <f>AM27*('Shoppable Detail'!$AA$23/'Shoppable Detail'!$Y$23)</f>
        <v>0</v>
      </c>
      <c r="AS27" s="352">
        <f t="shared" si="13"/>
        <v>6.3031829803737649</v>
      </c>
      <c r="AT27" s="352">
        <f t="shared" si="14"/>
        <v>0</v>
      </c>
      <c r="AU27" s="352">
        <f t="shared" si="14"/>
        <v>0</v>
      </c>
      <c r="AV27" s="352">
        <f t="shared" si="14"/>
        <v>-4.136646857735764</v>
      </c>
      <c r="AW27" s="352">
        <f t="shared" si="14"/>
        <v>0</v>
      </c>
      <c r="AX27" s="352">
        <f t="shared" si="15"/>
        <v>-4.136646857735764</v>
      </c>
      <c r="AY27" s="352">
        <f>AT27*'Assumptions-Output Override'!$D$24</f>
        <v>0</v>
      </c>
      <c r="AZ27" s="352">
        <f>$AU$107*'Assumptions-Output Override'!$D$21</f>
        <v>46.041131296780591</v>
      </c>
      <c r="BA27" s="352">
        <f>AV27*'Assumptions-Output Override'!$D$22</f>
        <v>-0.6204970286603646</v>
      </c>
      <c r="BB27" s="352">
        <f>AW27*'Assumptions-Output Override'!$D$23</f>
        <v>0</v>
      </c>
      <c r="BC27" s="352">
        <f t="shared" si="16"/>
        <v>45.420634268120224</v>
      </c>
      <c r="BD27" s="352">
        <f t="shared" si="17"/>
        <v>0</v>
      </c>
      <c r="BE27" s="352">
        <f t="shared" si="17"/>
        <v>46.041131296780591</v>
      </c>
      <c r="BF27" s="352">
        <f t="shared" si="17"/>
        <v>5.6826859517134007</v>
      </c>
      <c r="BG27" s="352">
        <f t="shared" si="17"/>
        <v>0</v>
      </c>
      <c r="BH27" s="352">
        <f t="shared" si="18"/>
        <v>51.723817248493994</v>
      </c>
      <c r="BJ27" s="401">
        <f>D27*'Assumptions-Output Override'!$D$10/'Winners-Losers HRA'!$H$107</f>
        <v>0</v>
      </c>
      <c r="BK27" s="401">
        <f>E27*'Assumptions-Output Override'!$D$10/'Winners-Losers HRA'!$H$107</f>
        <v>0</v>
      </c>
      <c r="BL27" s="401">
        <f>F27*'Assumptions-Output Override'!$D$10/'Winners-Losers HRA'!$H$107</f>
        <v>2.1789592135664679</v>
      </c>
      <c r="BM27" s="401">
        <f>G27*'Assumptions-Output Override'!$D$10/'Winners-Losers HRA'!$H$107</f>
        <v>0</v>
      </c>
      <c r="BN27" s="401">
        <f t="shared" si="2"/>
        <v>2.1789592135664679</v>
      </c>
      <c r="BO27" s="401">
        <f>BJ27*(1-'Assumptions-Output Override'!$D$11)</f>
        <v>0</v>
      </c>
      <c r="BP27" s="401">
        <f>BK27*(1-'Assumptions-Output Override'!$D$11)</f>
        <v>0</v>
      </c>
      <c r="BQ27" s="401">
        <f>BL27*(1-'Assumptions-Output Override'!$D$11)</f>
        <v>0.31054479318351691</v>
      </c>
      <c r="BR27" s="401">
        <f>BM27*(1-'Assumptions-Output Override'!$D$11)</f>
        <v>0</v>
      </c>
      <c r="BS27" s="352">
        <f t="shared" si="3"/>
        <v>0.31054479318351691</v>
      </c>
      <c r="BT27" s="352">
        <f t="shared" si="19"/>
        <v>0</v>
      </c>
      <c r="BU27" s="352">
        <f t="shared" si="19"/>
        <v>0</v>
      </c>
      <c r="BV27" s="352">
        <f t="shared" si="19"/>
        <v>1.8684144203829511</v>
      </c>
      <c r="BW27" s="352">
        <f t="shared" si="19"/>
        <v>0</v>
      </c>
      <c r="BX27" s="352">
        <f t="shared" si="4"/>
        <v>1.8684144203829511</v>
      </c>
      <c r="BY27" s="352">
        <f>BT$107*(1-'Assumptions-Output Override'!$D$12)</f>
        <v>22.753074310428271</v>
      </c>
      <c r="BZ27" s="352">
        <f>BU$107*(1-'Assumptions-Output Override'!$D$12)</f>
        <v>51.446038369839215</v>
      </c>
      <c r="CA27" s="352">
        <f>BV$107*(1-'Assumptions-Output Override'!$D$12)</f>
        <v>9.7401900534537411</v>
      </c>
      <c r="CB27" s="352">
        <f>BW$107*(1-'Assumptions-Output Override'!$D$12)</f>
        <v>1.7000814189516649</v>
      </c>
      <c r="CC27" s="352">
        <f t="shared" si="5"/>
        <v>85.639384152672903</v>
      </c>
      <c r="CD27" s="352">
        <f t="shared" si="20"/>
        <v>22.753074310428271</v>
      </c>
      <c r="CE27" s="352">
        <f t="shared" si="20"/>
        <v>51.446038369839215</v>
      </c>
      <c r="CF27" s="352">
        <f t="shared" si="20"/>
        <v>10.050734846637258</v>
      </c>
      <c r="CG27" s="352">
        <f t="shared" si="20"/>
        <v>1.7000814189516649</v>
      </c>
      <c r="CH27" s="352">
        <f t="shared" si="6"/>
        <v>85.949928945856414</v>
      </c>
      <c r="CJ27" s="352">
        <f t="shared" si="21"/>
        <v>85.949928945856414</v>
      </c>
      <c r="CK27" s="352">
        <f t="shared" si="22"/>
        <v>6.3031829803737649</v>
      </c>
      <c r="CL27" s="352">
        <f t="shared" si="23"/>
        <v>79.646745965482651</v>
      </c>
      <c r="CN27" s="352">
        <f>('HRA Balance Calc'!U39+'HRA Balance Calc'!V39+'HRA Balance Calc'!W39+'HRA Balance Calc'!X39)/12</f>
        <v>-24.64223678915053</v>
      </c>
      <c r="CO27" s="352">
        <f>('HRA Balance Calc'!Q39+IF('HRA Balance Calc'!L39&lt;0,-'HRA Balance Calc'!L39,0))/12</f>
        <v>0</v>
      </c>
      <c r="CP27" s="352">
        <f>('HRA Balance Calc'!N39)/12</f>
        <v>0</v>
      </c>
      <c r="CQ27" s="352">
        <f>('HRA Balance Calc'!O39)/12</f>
        <v>6.3031829803737649</v>
      </c>
      <c r="CR27" s="352">
        <f>('HRA Balance Calc'!P39)/12</f>
        <v>0</v>
      </c>
      <c r="CS27" s="352">
        <f t="shared" si="7"/>
        <v>6.3031829803737649</v>
      </c>
      <c r="CU27" s="577">
        <f t="shared" si="24"/>
        <v>1323.3794513018811</v>
      </c>
      <c r="CV27" s="352">
        <f t="shared" si="25"/>
        <v>110.28162094182343</v>
      </c>
      <c r="CW27" s="352">
        <f t="shared" si="29"/>
        <v>0</v>
      </c>
      <c r="CX27" s="352">
        <f t="shared" si="29"/>
        <v>0</v>
      </c>
      <c r="CY27" s="352">
        <f t="shared" si="29"/>
        <v>0.97917829766482656</v>
      </c>
      <c r="CZ27" s="352">
        <f t="shared" si="29"/>
        <v>0</v>
      </c>
      <c r="DA27" s="352">
        <f t="shared" si="9"/>
        <v>0.97917829766482656</v>
      </c>
      <c r="DC27" s="352">
        <f>('HRA Balance Calc'!Q39+'HRA Balance Calc'!X39+IF('HRA Balance Calc'!L39&lt;0,-'HRA Balance Calc'!L39,0))/12</f>
        <v>0</v>
      </c>
      <c r="DD27" s="352">
        <f>('HRA Balance Calc'!N39+'HRA Balance Calc'!U39)/12</f>
        <v>-24.021739760490163</v>
      </c>
      <c r="DE27" s="352">
        <f>('HRA Balance Calc'!O39+'HRA Balance Calc'!V39)/12</f>
        <v>5.6826859517133999</v>
      </c>
      <c r="DF27" s="352">
        <f>('HRA Balance Calc'!P39+'HRA Balance Calc'!W39)/12</f>
        <v>0</v>
      </c>
      <c r="DG27" s="352">
        <f t="shared" si="26"/>
        <v>-18.339053808776764</v>
      </c>
      <c r="DI27" s="352">
        <f t="shared" si="27"/>
        <v>22.753074310428271</v>
      </c>
      <c r="DJ27" s="352">
        <f t="shared" si="27"/>
        <v>75.467778130329378</v>
      </c>
      <c r="DK27" s="352">
        <f t="shared" si="27"/>
        <v>4.3680488949238585</v>
      </c>
      <c r="DL27" s="352">
        <f t="shared" si="27"/>
        <v>1.7000814189516649</v>
      </c>
      <c r="DM27" s="352">
        <f t="shared" si="27"/>
        <v>104.28898275463318</v>
      </c>
    </row>
    <row r="28" spans="1:117" x14ac:dyDescent="0.2">
      <c r="A28">
        <v>23</v>
      </c>
      <c r="B28" s="397">
        <v>34308</v>
      </c>
      <c r="C28" s="398">
        <v>397997.79676138877</v>
      </c>
      <c r="D28" s="399">
        <v>1.0640629547361423E-4</v>
      </c>
      <c r="E28" s="399">
        <v>4.5844975250992475</v>
      </c>
      <c r="F28" s="399">
        <v>7.5238657093725037</v>
      </c>
      <c r="G28" s="399">
        <v>9.9964324982007406E-4</v>
      </c>
      <c r="H28" s="399">
        <v>12.109469284017045</v>
      </c>
      <c r="I28" s="400">
        <v>1.9711339281594132E-4</v>
      </c>
      <c r="J28" s="400">
        <v>2.2543284861924404E-3</v>
      </c>
      <c r="K28" s="400">
        <v>5.0251534462615584E-6</v>
      </c>
      <c r="L28" s="400">
        <v>0.10582614011248612</v>
      </c>
      <c r="M28" s="400">
        <v>6.0338926987563067E-2</v>
      </c>
      <c r="N28" s="400">
        <v>5.9761838365796141E-2</v>
      </c>
      <c r="O28" s="399">
        <f t="shared" si="30"/>
        <v>4.9278348203985328E-2</v>
      </c>
      <c r="P28" s="399">
        <f t="shared" si="30"/>
        <v>0</v>
      </c>
      <c r="Q28" s="399">
        <f t="shared" si="30"/>
        <v>5.0251534462615582E-3</v>
      </c>
      <c r="R28" s="399">
        <f t="shared" si="30"/>
        <v>2.1972116032781615</v>
      </c>
      <c r="S28" s="399">
        <f t="shared" si="30"/>
        <v>1.8101678096268921</v>
      </c>
      <c r="T28" s="399">
        <f t="shared" si="30"/>
        <v>3.5857103019477683</v>
      </c>
      <c r="U28" s="399">
        <f t="shared" si="10"/>
        <v>7.6473932165030689</v>
      </c>
      <c r="V28" s="400">
        <v>2.6072810338464424E-5</v>
      </c>
      <c r="W28" s="400">
        <v>2.6706007160969669E-3</v>
      </c>
      <c r="X28" s="400">
        <v>0</v>
      </c>
      <c r="Y28" s="400">
        <v>7.3013430318507336E-2</v>
      </c>
      <c r="Z28" s="400">
        <v>3.0475344584059996E-2</v>
      </c>
      <c r="AA28" s="400">
        <v>2.3587366755268398E-2</v>
      </c>
      <c r="AB28" s="352">
        <f t="shared" si="31"/>
        <v>6.5182025846161062E-3</v>
      </c>
      <c r="AC28" s="352">
        <f t="shared" si="31"/>
        <v>0</v>
      </c>
      <c r="AD28" s="352">
        <f t="shared" si="31"/>
        <v>0</v>
      </c>
      <c r="AE28" s="352">
        <f t="shared" si="31"/>
        <v>2.5882118867057331</v>
      </c>
      <c r="AF28" s="352">
        <f t="shared" si="31"/>
        <v>0.91426033752179992</v>
      </c>
      <c r="AG28" s="352">
        <f t="shared" si="31"/>
        <v>1.4152420053161039</v>
      </c>
      <c r="AH28" s="400">
        <f t="shared" si="11"/>
        <v>4.9242324321282531</v>
      </c>
      <c r="AJ28" s="352">
        <f>D28*('Assumptions-Output Override'!$D$10/'Winners-Losers HRA'!$H$107)*(1+'Assumptions-Output Override'!$F$41)</f>
        <v>1.2700783066260145E-4</v>
      </c>
      <c r="AK28" s="352">
        <f>E28*('Assumptions-Output Override'!$D$10/'Winners-Losers HRA'!$H$107)*(1+'Assumptions-Output Override'!$F$37)</f>
        <v>7.54506835980549</v>
      </c>
      <c r="AL28" s="352">
        <f>F28*('Assumptions-Output Override'!$D$10/'Winners-Losers HRA'!$H$107)*(1+'Assumptions-Output Override'!$F$38)</f>
        <v>12.638935409391454</v>
      </c>
      <c r="AM28" s="352">
        <f>G28*('Shoppable Detail'!$X$21/'Shoppable Detail'!$H$21)*('Assumptions-Output Override'!$D$10/'Winners-Losers HRA'!$H$107)*(1+'Assumptions-Output Override'!$F$39)</f>
        <v>1.7141801117401155E-3</v>
      </c>
      <c r="AN28" s="352">
        <f t="shared" si="12"/>
        <v>20.185844957139345</v>
      </c>
      <c r="AO28" s="352">
        <v>0</v>
      </c>
      <c r="AP28" s="352">
        <f>U28*'Assumptions-Output Override'!$D$10/'Winners-Losers HRA'!$H$107*(1+'Assumptions-Output Override'!$F$37)</f>
        <v>12.58591683754466</v>
      </c>
      <c r="AQ28" s="352">
        <f>AH28*'Assumptions-Output Override'!$D$10/'Winners-Losers HRA'!$H$107*(1+'Assumptions-Output Override'!$F$38)</f>
        <v>8.2719519532320565</v>
      </c>
      <c r="AR28" s="352">
        <f>AM28*('Shoppable Detail'!$AA$23/'Shoppable Detail'!$Y$23)</f>
        <v>5.7276140176152172E-5</v>
      </c>
      <c r="AS28" s="352">
        <f t="shared" si="13"/>
        <v>20.857926066916892</v>
      </c>
      <c r="AT28" s="352">
        <f t="shared" si="14"/>
        <v>1.2700783066260145E-4</v>
      </c>
      <c r="AU28" s="352">
        <f t="shared" si="14"/>
        <v>-5.0408484777391704</v>
      </c>
      <c r="AV28" s="352">
        <f t="shared" si="14"/>
        <v>4.3669834561593976</v>
      </c>
      <c r="AW28" s="352">
        <f t="shared" si="14"/>
        <v>1.6569039715639633E-3</v>
      </c>
      <c r="AX28" s="352">
        <f t="shared" si="15"/>
        <v>-0.67208110977754654</v>
      </c>
      <c r="AY28" s="352">
        <f>AT28*'Assumptions-Output Override'!$D$24</f>
        <v>3.8693687735137763E-5</v>
      </c>
      <c r="AZ28" s="352">
        <f>$AU$107*'Assumptions-Output Override'!$D$21</f>
        <v>46.041131296780591</v>
      </c>
      <c r="BA28" s="352">
        <f>AV28*'Assumptions-Output Override'!$D$22</f>
        <v>0.65504751842390962</v>
      </c>
      <c r="BB28" s="352">
        <f>AW28*'Assumptions-Output Override'!$D$23</f>
        <v>2.485355957345945E-4</v>
      </c>
      <c r="BC28" s="352">
        <f t="shared" si="16"/>
        <v>46.69646604448797</v>
      </c>
      <c r="BD28" s="352">
        <f t="shared" si="17"/>
        <v>3.8693687735137763E-5</v>
      </c>
      <c r="BE28" s="352">
        <f t="shared" si="17"/>
        <v>58.62704813432525</v>
      </c>
      <c r="BF28" s="352">
        <f t="shared" si="17"/>
        <v>8.9269994716559662</v>
      </c>
      <c r="BG28" s="352">
        <f t="shared" si="17"/>
        <v>3.0581173591074669E-4</v>
      </c>
      <c r="BH28" s="352">
        <f t="shared" si="18"/>
        <v>67.554392111404866</v>
      </c>
      <c r="BJ28" s="401">
        <f>D28*'Assumptions-Output Override'!$D$10/'Winners-Losers HRA'!$H$107</f>
        <v>1.7977113036814749E-4</v>
      </c>
      <c r="BK28" s="401">
        <f>E28*'Assumptions-Output Override'!$D$10/'Winners-Losers HRA'!$H$107</f>
        <v>7.7454092221586173</v>
      </c>
      <c r="BL28" s="401">
        <f>F28*'Assumptions-Output Override'!$D$10/'Winners-Losers HRA'!$H$107</f>
        <v>12.711408073100705</v>
      </c>
      <c r="BM28" s="401">
        <f>G28*'Assumptions-Output Override'!$D$10/'Winners-Losers HRA'!$H$107</f>
        <v>1.6888756082068983E-3</v>
      </c>
      <c r="BN28" s="401">
        <f t="shared" si="2"/>
        <v>20.458685941997896</v>
      </c>
      <c r="BO28" s="401">
        <f>BJ28*(1-'Assumptions-Output Override'!$D$11)</f>
        <v>2.5620942398993852E-5</v>
      </c>
      <c r="BP28" s="401">
        <f>BK28*(1-'Assumptions-Output Override'!$D$11)</f>
        <v>1.1038740376787599</v>
      </c>
      <c r="BQ28" s="401">
        <f>BL28*(1-'Assumptions-Output Override'!$D$11)</f>
        <v>1.8116271137866942</v>
      </c>
      <c r="BR28" s="401">
        <f>BM28*(1-'Assumptions-Output Override'!$D$11)</f>
        <v>2.4069818434318245E-4</v>
      </c>
      <c r="BS28" s="352">
        <f t="shared" si="3"/>
        <v>2.9157674705921961</v>
      </c>
      <c r="BT28" s="352">
        <f t="shared" si="19"/>
        <v>1.5415018796915365E-4</v>
      </c>
      <c r="BU28" s="352">
        <f t="shared" si="19"/>
        <v>6.6415351844798574</v>
      </c>
      <c r="BV28" s="352">
        <f t="shared" si="19"/>
        <v>10.899780959314011</v>
      </c>
      <c r="BW28" s="352">
        <f t="shared" si="19"/>
        <v>1.448177423863716E-3</v>
      </c>
      <c r="BX28" s="352">
        <f t="shared" si="4"/>
        <v>17.542918471405702</v>
      </c>
      <c r="BY28" s="352">
        <f>BT$107*(1-'Assumptions-Output Override'!$D$12)</f>
        <v>22.753074310428271</v>
      </c>
      <c r="BZ28" s="352">
        <f>BU$107*(1-'Assumptions-Output Override'!$D$12)</f>
        <v>51.446038369839215</v>
      </c>
      <c r="CA28" s="352">
        <f>BV$107*(1-'Assumptions-Output Override'!$D$12)</f>
        <v>9.7401900534537411</v>
      </c>
      <c r="CB28" s="352">
        <f>BW$107*(1-'Assumptions-Output Override'!$D$12)</f>
        <v>1.7000814189516649</v>
      </c>
      <c r="CC28" s="352">
        <f t="shared" si="5"/>
        <v>85.639384152672903</v>
      </c>
      <c r="CD28" s="352">
        <f t="shared" si="20"/>
        <v>22.75309993137067</v>
      </c>
      <c r="CE28" s="352">
        <f t="shared" si="20"/>
        <v>52.549912407517972</v>
      </c>
      <c r="CF28" s="352">
        <f t="shared" si="20"/>
        <v>11.551817167240435</v>
      </c>
      <c r="CG28" s="352">
        <f t="shared" si="20"/>
        <v>1.7003221171360081</v>
      </c>
      <c r="CH28" s="352">
        <f t="shared" si="6"/>
        <v>88.555151623265076</v>
      </c>
      <c r="CJ28" s="352">
        <f t="shared" si="21"/>
        <v>88.555151623265076</v>
      </c>
      <c r="CK28" s="352">
        <f t="shared" si="22"/>
        <v>20.857926066916892</v>
      </c>
      <c r="CL28" s="352">
        <f t="shared" si="23"/>
        <v>67.697225556348187</v>
      </c>
      <c r="CN28" s="352">
        <f>('HRA Balance Calc'!U40+'HRA Balance Calc'!V40+'HRA Balance Calc'!W40+'HRA Balance Calc'!X40)/12</f>
        <v>-23.366355392327591</v>
      </c>
      <c r="CO28" s="352">
        <f>('HRA Balance Calc'!Q40+IF('HRA Balance Calc'!L40&lt;0,-'HRA Balance Calc'!L40,0))/12</f>
        <v>0</v>
      </c>
      <c r="CP28" s="352">
        <f>('HRA Balance Calc'!N40)/12</f>
        <v>12.58591683754466</v>
      </c>
      <c r="CQ28" s="352">
        <f>('HRA Balance Calc'!O40)/12</f>
        <v>8.2719519532320565</v>
      </c>
      <c r="CR28" s="352">
        <f>('HRA Balance Calc'!P40)/12</f>
        <v>5.7276140176152172E-5</v>
      </c>
      <c r="CS28" s="352">
        <f t="shared" si="7"/>
        <v>20.857926066916892</v>
      </c>
      <c r="CU28" s="577">
        <f t="shared" si="24"/>
        <v>1308.0688745400059</v>
      </c>
      <c r="CV28" s="352">
        <f t="shared" si="25"/>
        <v>109.00573954500049</v>
      </c>
      <c r="CW28" s="352">
        <f t="shared" si="29"/>
        <v>8.0785353074620369E-5</v>
      </c>
      <c r="CX28" s="352">
        <f t="shared" si="29"/>
        <v>3.4806234874204875</v>
      </c>
      <c r="CY28" s="352">
        <f t="shared" si="29"/>
        <v>5.7122385955858093</v>
      </c>
      <c r="CZ28" s="352">
        <f t="shared" si="29"/>
        <v>7.5894506547689161E-4</v>
      </c>
      <c r="DA28" s="352">
        <f t="shared" si="9"/>
        <v>9.1937018134248483</v>
      </c>
      <c r="DC28" s="352">
        <f>('HRA Balance Calc'!Q40+'HRA Balance Calc'!X40+IF('HRA Balance Calc'!L40&lt;0,-'HRA Balance Calc'!L40,0))/12</f>
        <v>8.8314142927463669E-5</v>
      </c>
      <c r="DD28" s="352">
        <f>('HRA Balance Calc'!N40+'HRA Balance Calc'!U40)/12</f>
        <v>-11.435822922945503</v>
      </c>
      <c r="DE28" s="352">
        <f>('HRA Balance Calc'!O40+'HRA Balance Calc'!V40)/12</f>
        <v>8.9269994716559662</v>
      </c>
      <c r="DF28" s="352">
        <f>('HRA Balance Calc'!P40+'HRA Balance Calc'!W40)/12</f>
        <v>3.0581173591074669E-4</v>
      </c>
      <c r="DG28" s="352">
        <f t="shared" si="26"/>
        <v>-2.5084293254106993</v>
      </c>
      <c r="DI28" s="352">
        <f t="shared" si="27"/>
        <v>22.753011617227742</v>
      </c>
      <c r="DJ28" s="352">
        <f t="shared" si="27"/>
        <v>63.985735330463477</v>
      </c>
      <c r="DK28" s="352">
        <f t="shared" si="27"/>
        <v>2.6248176955844684</v>
      </c>
      <c r="DL28" s="352">
        <f t="shared" si="27"/>
        <v>1.7000163054000974</v>
      </c>
      <c r="DM28" s="352">
        <f t="shared" si="27"/>
        <v>91.063580948675778</v>
      </c>
    </row>
    <row r="29" spans="1:117" x14ac:dyDescent="0.2">
      <c r="A29">
        <v>24</v>
      </c>
      <c r="B29" s="397">
        <v>34308</v>
      </c>
      <c r="C29" s="398">
        <v>397997.79676138877</v>
      </c>
      <c r="D29" s="399">
        <v>4.1943898761649383E-2</v>
      </c>
      <c r="E29" s="399">
        <v>15.245344600533455</v>
      </c>
      <c r="F29" s="399">
        <v>1.1408960277026146</v>
      </c>
      <c r="G29" s="399">
        <v>0</v>
      </c>
      <c r="H29" s="399">
        <v>16.428184526997718</v>
      </c>
      <c r="I29" s="400">
        <v>2.1208403024500013E-4</v>
      </c>
      <c r="J29" s="400">
        <v>2.8905805769274522E-3</v>
      </c>
      <c r="K29" s="400">
        <v>1.0050306892523117E-5</v>
      </c>
      <c r="L29" s="400">
        <v>0.10966147328882139</v>
      </c>
      <c r="M29" s="400">
        <v>0.11134991289053175</v>
      </c>
      <c r="N29" s="400">
        <v>9.4543035931821576E-2</v>
      </c>
      <c r="O29" s="399">
        <f t="shared" si="30"/>
        <v>5.3021007561250035E-2</v>
      </c>
      <c r="P29" s="399">
        <f t="shared" si="30"/>
        <v>0</v>
      </c>
      <c r="Q29" s="399">
        <f t="shared" si="30"/>
        <v>1.0050306892523116E-2</v>
      </c>
      <c r="R29" s="399">
        <f t="shared" si="30"/>
        <v>2.276842576764714</v>
      </c>
      <c r="S29" s="399">
        <f t="shared" si="30"/>
        <v>3.3404973867159526</v>
      </c>
      <c r="T29" s="399">
        <f t="shared" si="30"/>
        <v>5.6725821559092946</v>
      </c>
      <c r="U29" s="399">
        <f t="shared" si="10"/>
        <v>11.352993433843734</v>
      </c>
      <c r="V29" s="400">
        <v>2.4831247941394571E-6</v>
      </c>
      <c r="W29" s="400">
        <v>6.4809557127039796E-4</v>
      </c>
      <c r="X29" s="400">
        <v>0</v>
      </c>
      <c r="Y29" s="400">
        <v>1.1027549471173246E-2</v>
      </c>
      <c r="Z29" s="400">
        <v>4.5832414521972909E-3</v>
      </c>
      <c r="AA29" s="400">
        <v>3.3331842809053163E-3</v>
      </c>
      <c r="AB29" s="352">
        <f t="shared" si="31"/>
        <v>6.2078119853486427E-4</v>
      </c>
      <c r="AC29" s="352">
        <f t="shared" si="31"/>
        <v>0</v>
      </c>
      <c r="AD29" s="352">
        <f t="shared" si="31"/>
        <v>0</v>
      </c>
      <c r="AE29" s="352">
        <f t="shared" si="31"/>
        <v>0.39090937787772212</v>
      </c>
      <c r="AF29" s="352">
        <f t="shared" si="31"/>
        <v>0.13749724356591872</v>
      </c>
      <c r="AG29" s="352">
        <f t="shared" si="31"/>
        <v>0.19999105685431898</v>
      </c>
      <c r="AH29" s="400">
        <f t="shared" si="11"/>
        <v>0.72901845949649469</v>
      </c>
      <c r="AJ29" s="352">
        <f>D29*('Assumptions-Output Override'!$D$10/'Winners-Losers HRA'!$H$107)*(1+'Assumptions-Output Override'!$F$41)</f>
        <v>5.0064740695439959E-2</v>
      </c>
      <c r="AK29" s="352">
        <f>E29*('Assumptions-Output Override'!$D$10/'Winners-Losers HRA'!$H$107)*(1+'Assumptions-Output Override'!$F$37)</f>
        <v>25.090463360502365</v>
      </c>
      <c r="AL29" s="352">
        <f>F29*('Assumptions-Output Override'!$D$10/'Winners-Losers HRA'!$H$107)*(1+'Assumptions-Output Override'!$F$38)</f>
        <v>1.9165295819942598</v>
      </c>
      <c r="AM29" s="352">
        <f>G29*('Shoppable Detail'!$X$21/'Shoppable Detail'!$H$21)*('Assumptions-Output Override'!$D$10/'Winners-Losers HRA'!$H$107)*(1+'Assumptions-Output Override'!$F$39)</f>
        <v>0</v>
      </c>
      <c r="AN29" s="352">
        <f t="shared" si="12"/>
        <v>27.057057683192067</v>
      </c>
      <c r="AO29" s="352">
        <v>0</v>
      </c>
      <c r="AP29" s="352">
        <f>U29*'Assumptions-Output Override'!$D$10/'Winners-Losers HRA'!$H$107*(1+'Assumptions-Output Override'!$F$37)</f>
        <v>18.684514732052222</v>
      </c>
      <c r="AQ29" s="352">
        <f>AH29*'Assumptions-Output Override'!$D$10/'Winners-Losers HRA'!$H$107*(1+'Assumptions-Output Override'!$F$38)</f>
        <v>1.2246387133614471</v>
      </c>
      <c r="AR29" s="352">
        <f>AM29*('Shoppable Detail'!$AA$23/'Shoppable Detail'!$Y$23)</f>
        <v>0</v>
      </c>
      <c r="AS29" s="352">
        <f t="shared" si="13"/>
        <v>19.909153445413668</v>
      </c>
      <c r="AT29" s="352">
        <f t="shared" si="14"/>
        <v>5.0064740695439959E-2</v>
      </c>
      <c r="AU29" s="352">
        <f t="shared" si="14"/>
        <v>6.4059486284501439</v>
      </c>
      <c r="AV29" s="352">
        <f t="shared" si="14"/>
        <v>0.69189086863281268</v>
      </c>
      <c r="AW29" s="352">
        <f t="shared" si="14"/>
        <v>0</v>
      </c>
      <c r="AX29" s="352">
        <f t="shared" si="15"/>
        <v>7.1479042377783966</v>
      </c>
      <c r="AY29" s="352">
        <f>AT29*'Assumptions-Output Override'!$D$24</f>
        <v>1.5252519729717891E-2</v>
      </c>
      <c r="AZ29" s="352">
        <f>$AU$107*'Assumptions-Output Override'!$D$21</f>
        <v>46.041131296780591</v>
      </c>
      <c r="BA29" s="352">
        <f>AV29*'Assumptions-Output Override'!$D$22</f>
        <v>0.10378363029492189</v>
      </c>
      <c r="BB29" s="352">
        <f>AW29*'Assumptions-Output Override'!$D$23</f>
        <v>0</v>
      </c>
      <c r="BC29" s="352">
        <f t="shared" si="16"/>
        <v>46.160167446805232</v>
      </c>
      <c r="BD29" s="352">
        <f t="shared" si="17"/>
        <v>1.5252519729717891E-2</v>
      </c>
      <c r="BE29" s="352">
        <f t="shared" si="17"/>
        <v>64.725646028832813</v>
      </c>
      <c r="BF29" s="352">
        <f t="shared" si="17"/>
        <v>1.3284223436563691</v>
      </c>
      <c r="BG29" s="352">
        <f t="shared" si="17"/>
        <v>0</v>
      </c>
      <c r="BH29" s="352">
        <f t="shared" si="18"/>
        <v>66.069320892218897</v>
      </c>
      <c r="BJ29" s="401">
        <f>D29*'Assumptions-Output Override'!$D$10/'Winners-Losers HRA'!$H$107</f>
        <v>7.0863308029538857E-2</v>
      </c>
      <c r="BK29" s="401">
        <f>E29*'Assumptions-Output Override'!$D$10/'Winners-Losers HRA'!$H$107</f>
        <v>25.756679334536585</v>
      </c>
      <c r="BL29" s="401">
        <f>F29*'Assumptions-Output Override'!$D$10/'Winners-Losers HRA'!$H$107</f>
        <v>1.9275191154783451</v>
      </c>
      <c r="BM29" s="401">
        <f>G29*'Assumptions-Output Override'!$D$10/'Winners-Losers HRA'!$H$107</f>
        <v>0</v>
      </c>
      <c r="BN29" s="401">
        <f t="shared" si="2"/>
        <v>27.755061758044466</v>
      </c>
      <c r="BO29" s="401">
        <f>BJ29*(1-'Assumptions-Output Override'!$D$11)</f>
        <v>1.0099423247263874E-2</v>
      </c>
      <c r="BP29" s="401">
        <f>BK29*(1-'Assumptions-Output Override'!$D$11)</f>
        <v>3.6708363365580889</v>
      </c>
      <c r="BQ29" s="401">
        <f>BL29*(1-'Assumptions-Output Override'!$D$11)</f>
        <v>0.27470960509341297</v>
      </c>
      <c r="BR29" s="401">
        <f>BM29*(1-'Assumptions-Output Override'!$D$11)</f>
        <v>0</v>
      </c>
      <c r="BS29" s="352">
        <f t="shared" si="3"/>
        <v>3.9556453648987655</v>
      </c>
      <c r="BT29" s="352">
        <f t="shared" si="19"/>
        <v>6.0763884782274985E-2</v>
      </c>
      <c r="BU29" s="352">
        <f t="shared" si="19"/>
        <v>22.085842997978496</v>
      </c>
      <c r="BV29" s="352">
        <f t="shared" si="19"/>
        <v>1.6528095103849321</v>
      </c>
      <c r="BW29" s="352">
        <f t="shared" si="19"/>
        <v>0</v>
      </c>
      <c r="BX29" s="352">
        <f t="shared" si="4"/>
        <v>23.799416393145705</v>
      </c>
      <c r="BY29" s="352">
        <f>BT$107*(1-'Assumptions-Output Override'!$D$12)</f>
        <v>22.753074310428271</v>
      </c>
      <c r="BZ29" s="352">
        <f>BU$107*(1-'Assumptions-Output Override'!$D$12)</f>
        <v>51.446038369839215</v>
      </c>
      <c r="CA29" s="352">
        <f>BV$107*(1-'Assumptions-Output Override'!$D$12)</f>
        <v>9.7401900534537411</v>
      </c>
      <c r="CB29" s="352">
        <f>BW$107*(1-'Assumptions-Output Override'!$D$12)</f>
        <v>1.7000814189516649</v>
      </c>
      <c r="CC29" s="352">
        <f t="shared" si="5"/>
        <v>85.639384152672903</v>
      </c>
      <c r="CD29" s="352">
        <f t="shared" si="20"/>
        <v>22.763173733675536</v>
      </c>
      <c r="CE29" s="352">
        <f t="shared" si="20"/>
        <v>55.116874706397304</v>
      </c>
      <c r="CF29" s="352">
        <f t="shared" si="20"/>
        <v>10.014899658547154</v>
      </c>
      <c r="CG29" s="352">
        <f t="shared" si="20"/>
        <v>1.7000814189516649</v>
      </c>
      <c r="CH29" s="352">
        <f t="shared" si="6"/>
        <v>89.59502951757166</v>
      </c>
      <c r="CJ29" s="352">
        <f t="shared" si="21"/>
        <v>89.59502951757166</v>
      </c>
      <c r="CK29" s="352">
        <f t="shared" si="22"/>
        <v>19.909153445413668</v>
      </c>
      <c r="CL29" s="352">
        <f t="shared" si="23"/>
        <v>69.685876072157996</v>
      </c>
      <c r="CN29" s="352">
        <f>('HRA Balance Calc'!U41+'HRA Balance Calc'!V41+'HRA Balance Calc'!W41+'HRA Balance Calc'!X41)/12</f>
        <v>-23.883143909229517</v>
      </c>
      <c r="CO29" s="352">
        <f>('HRA Balance Calc'!Q41+IF('HRA Balance Calc'!L41&lt;0,-'HRA Balance Calc'!L41,0))/12</f>
        <v>0</v>
      </c>
      <c r="CP29" s="352">
        <f>('HRA Balance Calc'!N41)/12</f>
        <v>18.684514732052222</v>
      </c>
      <c r="CQ29" s="352">
        <f>('HRA Balance Calc'!O41)/12</f>
        <v>1.2246387133614471</v>
      </c>
      <c r="CR29" s="352">
        <f>('HRA Balance Calc'!P41)/12</f>
        <v>0</v>
      </c>
      <c r="CS29" s="352">
        <f t="shared" si="7"/>
        <v>19.909153445413668</v>
      </c>
      <c r="CU29" s="577">
        <f t="shared" si="24"/>
        <v>1314.2703367428289</v>
      </c>
      <c r="CV29" s="352">
        <f t="shared" si="25"/>
        <v>109.52252806190242</v>
      </c>
      <c r="CW29" s="352">
        <f t="shared" si="29"/>
        <v>3.184447551438551E-2</v>
      </c>
      <c r="CX29" s="352">
        <f t="shared" si="29"/>
        <v>11.574508263975366</v>
      </c>
      <c r="CY29" s="352">
        <f t="shared" si="29"/>
        <v>0.86618642260920153</v>
      </c>
      <c r="CZ29" s="352">
        <f t="shared" si="29"/>
        <v>0</v>
      </c>
      <c r="DA29" s="352">
        <f t="shared" si="9"/>
        <v>12.472539162098952</v>
      </c>
      <c r="DC29" s="352">
        <f>('HRA Balance Calc'!Q41+'HRA Balance Calc'!X41+IF('HRA Balance Calc'!L41&lt;0,-'HRA Balance Calc'!L41,0))/12</f>
        <v>3.481222096572207E-2</v>
      </c>
      <c r="DD29" s="352">
        <f>('HRA Balance Calc'!N41+'HRA Balance Calc'!U41)/12</f>
        <v>-5.3372250284379419</v>
      </c>
      <c r="DE29" s="352">
        <f>('HRA Balance Calc'!O41+'HRA Balance Calc'!V41)/12</f>
        <v>1.3284223436563691</v>
      </c>
      <c r="DF29" s="352">
        <f>('HRA Balance Calc'!P41+'HRA Balance Calc'!W41)/12</f>
        <v>0</v>
      </c>
      <c r="DG29" s="352">
        <f t="shared" si="26"/>
        <v>-3.9739904638158512</v>
      </c>
      <c r="DI29" s="352">
        <f t="shared" si="27"/>
        <v>22.728361512709814</v>
      </c>
      <c r="DJ29" s="352">
        <f t="shared" si="27"/>
        <v>60.454099734835246</v>
      </c>
      <c r="DK29" s="352">
        <f t="shared" si="27"/>
        <v>8.6864773148907855</v>
      </c>
      <c r="DL29" s="352">
        <f t="shared" si="27"/>
        <v>1.7000814189516649</v>
      </c>
      <c r="DM29" s="352">
        <f t="shared" si="27"/>
        <v>93.569019981387513</v>
      </c>
    </row>
    <row r="30" spans="1:117" x14ac:dyDescent="0.2">
      <c r="A30">
        <v>25</v>
      </c>
      <c r="B30" s="397">
        <v>34308</v>
      </c>
      <c r="C30" s="398">
        <v>397997.79676138877</v>
      </c>
      <c r="D30" s="399">
        <v>0.2035765797044225</v>
      </c>
      <c r="E30" s="399">
        <v>16.252418150596949</v>
      </c>
      <c r="F30" s="399">
        <v>1.2283915700824823</v>
      </c>
      <c r="G30" s="399">
        <v>0</v>
      </c>
      <c r="H30" s="399">
        <v>17.684386300383853</v>
      </c>
      <c r="I30" s="400">
        <v>3.4432466086835333E-4</v>
      </c>
      <c r="J30" s="400">
        <v>3.4370088430880912E-3</v>
      </c>
      <c r="K30" s="400">
        <v>0</v>
      </c>
      <c r="L30" s="400">
        <v>0.11752003222639344</v>
      </c>
      <c r="M30" s="400">
        <v>0.11535802553080721</v>
      </c>
      <c r="N30" s="400">
        <v>0.10054608423873368</v>
      </c>
      <c r="O30" s="399">
        <f t="shared" si="30"/>
        <v>8.6081165217088335E-2</v>
      </c>
      <c r="P30" s="399">
        <f t="shared" si="30"/>
        <v>0</v>
      </c>
      <c r="Q30" s="399">
        <f t="shared" si="30"/>
        <v>0</v>
      </c>
      <c r="R30" s="399">
        <f t="shared" si="30"/>
        <v>2.4400056370853966</v>
      </c>
      <c r="S30" s="399">
        <f t="shared" si="30"/>
        <v>3.460740765924216</v>
      </c>
      <c r="T30" s="399">
        <f t="shared" si="30"/>
        <v>6.0327650543240203</v>
      </c>
      <c r="U30" s="399">
        <f t="shared" si="10"/>
        <v>12.019592622550721</v>
      </c>
      <c r="V30" s="400">
        <v>3.7246871912091819E-6</v>
      </c>
      <c r="W30" s="400">
        <v>5.8601745141691165E-4</v>
      </c>
      <c r="X30" s="400">
        <v>0</v>
      </c>
      <c r="Y30" s="400">
        <v>1.2242700384306438E-2</v>
      </c>
      <c r="Z30" s="400">
        <v>4.8663585973596421E-3</v>
      </c>
      <c r="AA30" s="400">
        <v>3.7646439558013086E-3</v>
      </c>
      <c r="AB30" s="352">
        <f t="shared" si="31"/>
        <v>9.3117179780229542E-4</v>
      </c>
      <c r="AC30" s="352">
        <f t="shared" si="31"/>
        <v>0</v>
      </c>
      <c r="AD30" s="352">
        <f t="shared" si="31"/>
        <v>0</v>
      </c>
      <c r="AE30" s="352">
        <f t="shared" si="31"/>
        <v>0.43398457683485764</v>
      </c>
      <c r="AF30" s="352">
        <f t="shared" si="31"/>
        <v>0.14599075792078925</v>
      </c>
      <c r="AG30" s="352">
        <f t="shared" si="31"/>
        <v>0.2258786373480785</v>
      </c>
      <c r="AH30" s="400">
        <f t="shared" si="11"/>
        <v>0.80678514390152767</v>
      </c>
      <c r="AJ30" s="352">
        <f>D30*('Assumptions-Output Override'!$D$10/'Winners-Losers HRA'!$H$107)*(1+'Assumptions-Output Override'!$F$41)</f>
        <v>0.24299144751620824</v>
      </c>
      <c r="AK30" s="352">
        <f>E30*('Assumptions-Output Override'!$D$10/'Winners-Losers HRA'!$H$107)*(1+'Assumptions-Output Override'!$F$37)</f>
        <v>26.747883554750711</v>
      </c>
      <c r="AL30" s="352">
        <f>F30*('Assumptions-Output Override'!$D$10/'Winners-Losers HRA'!$H$107)*(1+'Assumptions-Output Override'!$F$38)</f>
        <v>2.063508615308379</v>
      </c>
      <c r="AM30" s="352">
        <f>G30*('Shoppable Detail'!$X$21/'Shoppable Detail'!$H$21)*('Assumptions-Output Override'!$D$10/'Winners-Losers HRA'!$H$107)*(1+'Assumptions-Output Override'!$F$39)</f>
        <v>0</v>
      </c>
      <c r="AN30" s="352">
        <f t="shared" si="12"/>
        <v>29.054383617575297</v>
      </c>
      <c r="AO30" s="352">
        <v>0</v>
      </c>
      <c r="AP30" s="352">
        <f>U30*'Assumptions-Output Override'!$D$10/'Winners-Losers HRA'!$H$107*(1+'Assumptions-Output Override'!$F$37)</f>
        <v>19.781589475761724</v>
      </c>
      <c r="AQ30" s="352">
        <f>AH30*'Assumptions-Output Override'!$D$10/'Winners-Losers HRA'!$H$107*(1+'Assumptions-Output Override'!$F$38)</f>
        <v>1.355274763918989</v>
      </c>
      <c r="AR30" s="352">
        <f>AM30*('Shoppable Detail'!$AA$23/'Shoppable Detail'!$Y$23)</f>
        <v>0</v>
      </c>
      <c r="AS30" s="352">
        <f t="shared" si="13"/>
        <v>21.136864239680712</v>
      </c>
      <c r="AT30" s="352">
        <f t="shared" si="14"/>
        <v>0.24299144751620824</v>
      </c>
      <c r="AU30" s="352">
        <f t="shared" si="14"/>
        <v>6.9662940789889873</v>
      </c>
      <c r="AV30" s="352">
        <f t="shared" si="14"/>
        <v>0.70823385138938999</v>
      </c>
      <c r="AW30" s="352">
        <f t="shared" si="14"/>
        <v>0</v>
      </c>
      <c r="AX30" s="352">
        <f t="shared" si="15"/>
        <v>7.9175193778945854</v>
      </c>
      <c r="AY30" s="352">
        <f>AT30*'Assumptions-Output Override'!$D$24</f>
        <v>7.4028783449411731E-2</v>
      </c>
      <c r="AZ30" s="352">
        <f>$AU$107*'Assumptions-Output Override'!$D$21</f>
        <v>46.041131296780591</v>
      </c>
      <c r="BA30" s="352">
        <f>AV30*'Assumptions-Output Override'!$D$22</f>
        <v>0.1062350777084085</v>
      </c>
      <c r="BB30" s="352">
        <f>AW30*'Assumptions-Output Override'!$D$23</f>
        <v>0</v>
      </c>
      <c r="BC30" s="352">
        <f t="shared" si="16"/>
        <v>46.221395157938417</v>
      </c>
      <c r="BD30" s="352">
        <f t="shared" si="17"/>
        <v>7.4028783449411731E-2</v>
      </c>
      <c r="BE30" s="352">
        <f t="shared" si="17"/>
        <v>65.822720772542311</v>
      </c>
      <c r="BF30" s="352">
        <f t="shared" si="17"/>
        <v>1.4615098416273975</v>
      </c>
      <c r="BG30" s="352">
        <f t="shared" si="17"/>
        <v>0</v>
      </c>
      <c r="BH30" s="352">
        <f t="shared" si="18"/>
        <v>67.358259397619122</v>
      </c>
      <c r="BJ30" s="401">
        <f>D30*'Assumptions-Output Override'!$D$10/'Winners-Losers HRA'!$H$107</f>
        <v>0.34393821988681467</v>
      </c>
      <c r="BK30" s="401">
        <f>E30*'Assumptions-Output Override'!$D$10/'Winners-Losers HRA'!$H$107</f>
        <v>27.458108273989428</v>
      </c>
      <c r="BL30" s="401">
        <f>F30*'Assumptions-Output Override'!$D$10/'Winners-Losers HRA'!$H$107</f>
        <v>2.0753409382924226</v>
      </c>
      <c r="BM30" s="401">
        <f>G30*'Assumptions-Output Override'!$D$10/'Winners-Losers HRA'!$H$107</f>
        <v>0</v>
      </c>
      <c r="BN30" s="401">
        <f t="shared" si="2"/>
        <v>29.877387432168668</v>
      </c>
      <c r="BO30" s="401">
        <f>BJ30*(1-'Assumptions-Output Override'!$D$11)</f>
        <v>4.901800029007275E-2</v>
      </c>
      <c r="BP30" s="401">
        <f>BK30*(1-'Assumptions-Output Override'!$D$11)</f>
        <v>3.913323618940034</v>
      </c>
      <c r="BQ30" s="401">
        <f>BL30*(1-'Assumptions-Output Override'!$D$11)</f>
        <v>0.29577713912892689</v>
      </c>
      <c r="BR30" s="401">
        <f>BM30*(1-'Assumptions-Output Override'!$D$11)</f>
        <v>0</v>
      </c>
      <c r="BS30" s="352">
        <f t="shared" si="3"/>
        <v>4.2581187583590339</v>
      </c>
      <c r="BT30" s="352">
        <f t="shared" si="19"/>
        <v>0.29492021959674192</v>
      </c>
      <c r="BU30" s="352">
        <f t="shared" si="19"/>
        <v>23.544784655049394</v>
      </c>
      <c r="BV30" s="352">
        <f t="shared" si="19"/>
        <v>1.7795637991634958</v>
      </c>
      <c r="BW30" s="352">
        <f t="shared" si="19"/>
        <v>0</v>
      </c>
      <c r="BX30" s="352">
        <f t="shared" si="4"/>
        <v>25.619268673809628</v>
      </c>
      <c r="BY30" s="352">
        <f>BT$107*(1-'Assumptions-Output Override'!$D$12)</f>
        <v>22.753074310428271</v>
      </c>
      <c r="BZ30" s="352">
        <f>BU$107*(1-'Assumptions-Output Override'!$D$12)</f>
        <v>51.446038369839215</v>
      </c>
      <c r="CA30" s="352">
        <f>BV$107*(1-'Assumptions-Output Override'!$D$12)</f>
        <v>9.7401900534537411</v>
      </c>
      <c r="CB30" s="352">
        <f>BW$107*(1-'Assumptions-Output Override'!$D$12)</f>
        <v>1.7000814189516649</v>
      </c>
      <c r="CC30" s="352">
        <f t="shared" si="5"/>
        <v>85.639384152672903</v>
      </c>
      <c r="CD30" s="352">
        <f t="shared" si="20"/>
        <v>22.802092310718344</v>
      </c>
      <c r="CE30" s="352">
        <f t="shared" si="20"/>
        <v>55.359361988779249</v>
      </c>
      <c r="CF30" s="352">
        <f t="shared" si="20"/>
        <v>10.035967192582667</v>
      </c>
      <c r="CG30" s="352">
        <f t="shared" si="20"/>
        <v>1.7000814189516649</v>
      </c>
      <c r="CH30" s="352">
        <f t="shared" si="6"/>
        <v>89.897502911031921</v>
      </c>
      <c r="CJ30" s="352">
        <f t="shared" si="21"/>
        <v>89.897502911031921</v>
      </c>
      <c r="CK30" s="352">
        <f t="shared" si="22"/>
        <v>21.136864239680712</v>
      </c>
      <c r="CL30" s="352">
        <f t="shared" si="23"/>
        <v>68.760638671351217</v>
      </c>
      <c r="CN30" s="352">
        <f>('HRA Balance Calc'!U42+'HRA Balance Calc'!V42+'HRA Balance Calc'!W42+'HRA Balance Calc'!X42)/12</f>
        <v>-23.746542018714958</v>
      </c>
      <c r="CO30" s="352">
        <f>('HRA Balance Calc'!Q42+IF('HRA Balance Calc'!L42&lt;0,-'HRA Balance Calc'!L42,0))/12</f>
        <v>0</v>
      </c>
      <c r="CP30" s="352">
        <f>('HRA Balance Calc'!N42)/12</f>
        <v>19.781589475761724</v>
      </c>
      <c r="CQ30" s="352">
        <f>('HRA Balance Calc'!O42)/12</f>
        <v>1.355274763918989</v>
      </c>
      <c r="CR30" s="352">
        <f>('HRA Balance Calc'!P42)/12</f>
        <v>0</v>
      </c>
      <c r="CS30" s="352">
        <f t="shared" si="7"/>
        <v>21.136864239680712</v>
      </c>
      <c r="CU30" s="577">
        <f t="shared" si="24"/>
        <v>1312.6311140566545</v>
      </c>
      <c r="CV30" s="352">
        <f t="shared" si="25"/>
        <v>109.38592617138787</v>
      </c>
      <c r="CW30" s="352">
        <f t="shared" si="29"/>
        <v>0.15455857941434975</v>
      </c>
      <c r="CX30" s="352">
        <f t="shared" si="29"/>
        <v>12.339094531656915</v>
      </c>
      <c r="CY30" s="352">
        <f t="shared" si="29"/>
        <v>0.93261443095355545</v>
      </c>
      <c r="CZ30" s="352">
        <f t="shared" si="29"/>
        <v>0</v>
      </c>
      <c r="DA30" s="352">
        <f t="shared" si="9"/>
        <v>13.426267542024819</v>
      </c>
      <c r="DC30" s="352">
        <f>('HRA Balance Calc'!Q42+'HRA Balance Calc'!X42+IF('HRA Balance Calc'!L42&lt;0,-'HRA Balance Calc'!L42,0))/12</f>
        <v>0.1689626640667965</v>
      </c>
      <c r="DD30" s="352">
        <f>('HRA Balance Calc'!N42+'HRA Balance Calc'!U42)/12</f>
        <v>-4.2401502847284389</v>
      </c>
      <c r="DE30" s="352">
        <f>('HRA Balance Calc'!O42+'HRA Balance Calc'!V42)/12</f>
        <v>1.4615098416273975</v>
      </c>
      <c r="DF30" s="352">
        <f>('HRA Balance Calc'!P42+'HRA Balance Calc'!W42)/12</f>
        <v>0</v>
      </c>
      <c r="DG30" s="352">
        <f t="shared" si="26"/>
        <v>-2.6096777790342447</v>
      </c>
      <c r="DI30" s="352">
        <f t="shared" si="27"/>
        <v>22.633129646651547</v>
      </c>
      <c r="DJ30" s="352">
        <f t="shared" si="27"/>
        <v>59.599512273507685</v>
      </c>
      <c r="DK30" s="352">
        <f t="shared" si="27"/>
        <v>8.5744573509552708</v>
      </c>
      <c r="DL30" s="352">
        <f t="shared" si="27"/>
        <v>1.7000814189516649</v>
      </c>
      <c r="DM30" s="352">
        <f t="shared" si="27"/>
        <v>92.507180690066164</v>
      </c>
    </row>
    <row r="31" spans="1:117" x14ac:dyDescent="0.2">
      <c r="A31">
        <v>26</v>
      </c>
      <c r="B31" s="397">
        <v>34308</v>
      </c>
      <c r="C31" s="398">
        <v>397997.79676138877</v>
      </c>
      <c r="D31" s="399">
        <v>0.48903963530837924</v>
      </c>
      <c r="E31" s="399">
        <v>17.231784757205268</v>
      </c>
      <c r="F31" s="399">
        <v>1.2357659305111521</v>
      </c>
      <c r="G31" s="399">
        <v>5.4281236415077978E-4</v>
      </c>
      <c r="H31" s="399">
        <v>18.957133135388954</v>
      </c>
      <c r="I31" s="400">
        <v>3.1937359848658941E-4</v>
      </c>
      <c r="J31" s="400">
        <v>3.4756829897798331E-3</v>
      </c>
      <c r="K31" s="400">
        <v>0</v>
      </c>
      <c r="L31" s="400">
        <v>0.12261637646221882</v>
      </c>
      <c r="M31" s="400">
        <v>0.1227009807526247</v>
      </c>
      <c r="N31" s="400">
        <v>0.11174293014155282</v>
      </c>
      <c r="O31" s="399">
        <f t="shared" si="30"/>
        <v>7.9843399621647354E-2</v>
      </c>
      <c r="P31" s="399">
        <f t="shared" si="30"/>
        <v>0</v>
      </c>
      <c r="Q31" s="399">
        <f t="shared" si="30"/>
        <v>0</v>
      </c>
      <c r="R31" s="399">
        <f t="shared" si="30"/>
        <v>2.5458183094303659</v>
      </c>
      <c r="S31" s="399">
        <f t="shared" si="30"/>
        <v>3.681029422578741</v>
      </c>
      <c r="T31" s="399">
        <f t="shared" si="30"/>
        <v>6.7045758084931686</v>
      </c>
      <c r="U31" s="399">
        <f t="shared" si="10"/>
        <v>13.011266940123923</v>
      </c>
      <c r="V31" s="400">
        <v>1.2415623970697298E-6</v>
      </c>
      <c r="W31" s="400">
        <v>6.2823057291728395E-4</v>
      </c>
      <c r="X31" s="400">
        <v>0</v>
      </c>
      <c r="Y31" s="400">
        <v>1.2514076763640879E-2</v>
      </c>
      <c r="Z31" s="400">
        <v>4.6836440180535975E-3</v>
      </c>
      <c r="AA31" s="400">
        <v>4.0224343275945271E-3</v>
      </c>
      <c r="AB31" s="352">
        <f t="shared" si="31"/>
        <v>3.1039059926743246E-4</v>
      </c>
      <c r="AC31" s="352">
        <f t="shared" si="31"/>
        <v>0</v>
      </c>
      <c r="AD31" s="352">
        <f t="shared" si="31"/>
        <v>0</v>
      </c>
      <c r="AE31" s="352">
        <f t="shared" si="31"/>
        <v>0.44360444495638768</v>
      </c>
      <c r="AF31" s="352">
        <f t="shared" si="31"/>
        <v>0.14050932054160792</v>
      </c>
      <c r="AG31" s="352">
        <f t="shared" si="31"/>
        <v>0.24134605965567163</v>
      </c>
      <c r="AH31" s="400">
        <f t="shared" si="11"/>
        <v>0.82577021575293452</v>
      </c>
      <c r="AJ31" s="352">
        <f>D31*('Assumptions-Output Override'!$D$10/'Winners-Losers HRA'!$H$107)*(1+'Assumptions-Output Override'!$F$41)</f>
        <v>0.58372357492653237</v>
      </c>
      <c r="AK31" s="352">
        <f>E31*('Assumptions-Output Override'!$D$10/'Winners-Losers HRA'!$H$107)*(1+'Assumptions-Output Override'!$F$37)</f>
        <v>28.359704251722412</v>
      </c>
      <c r="AL31" s="352">
        <f>F31*('Assumptions-Output Override'!$D$10/'Winners-Losers HRA'!$H$107)*(1+'Assumptions-Output Override'!$F$38)</f>
        <v>2.0758964048761039</v>
      </c>
      <c r="AM31" s="352">
        <f>G31*('Shoppable Detail'!$X$21/'Shoppable Detail'!$H$21)*('Assumptions-Output Override'!$D$10/'Winners-Losers HRA'!$H$107)*(1+'Assumptions-Output Override'!$F$39)</f>
        <v>9.3081022574941288E-4</v>
      </c>
      <c r="AN31" s="352">
        <f t="shared" si="12"/>
        <v>31.020255041750801</v>
      </c>
      <c r="AO31" s="352">
        <v>0</v>
      </c>
      <c r="AP31" s="352">
        <f>U31*'Assumptions-Output Override'!$D$10/'Winners-Losers HRA'!$H$107*(1+'Assumptions-Output Override'!$F$37)</f>
        <v>21.413665941238989</v>
      </c>
      <c r="AQ31" s="352">
        <f>AH31*'Assumptions-Output Override'!$D$10/'Winners-Losers HRA'!$H$107*(1+'Assumptions-Output Override'!$F$38)</f>
        <v>1.3871667601535413</v>
      </c>
      <c r="AR31" s="352">
        <f>AM31*('Shoppable Detail'!$AA$23/'Shoppable Detail'!$Y$23)</f>
        <v>3.1101292450126134E-5</v>
      </c>
      <c r="AS31" s="352">
        <f t="shared" si="13"/>
        <v>22.800863802684979</v>
      </c>
      <c r="AT31" s="352">
        <f t="shared" si="14"/>
        <v>0.58372357492653237</v>
      </c>
      <c r="AU31" s="352">
        <f t="shared" si="14"/>
        <v>6.9460383104834236</v>
      </c>
      <c r="AV31" s="352">
        <f t="shared" si="14"/>
        <v>0.6887296447225626</v>
      </c>
      <c r="AW31" s="352">
        <f t="shared" si="14"/>
        <v>8.9970893329928674E-4</v>
      </c>
      <c r="AX31" s="352">
        <f t="shared" si="15"/>
        <v>8.2193912390658177</v>
      </c>
      <c r="AY31" s="352">
        <f>AT31*'Assumptions-Output Override'!$D$24</f>
        <v>0.17783484383609979</v>
      </c>
      <c r="AZ31" s="352">
        <f>$AU$107*'Assumptions-Output Override'!$D$21</f>
        <v>46.041131296780591</v>
      </c>
      <c r="BA31" s="352">
        <f>AV31*'Assumptions-Output Override'!$D$22</f>
        <v>0.10330944670838439</v>
      </c>
      <c r="BB31" s="352">
        <f>AW31*'Assumptions-Output Override'!$D$23</f>
        <v>1.3495633999489301E-4</v>
      </c>
      <c r="BC31" s="352">
        <f t="shared" si="16"/>
        <v>46.322410543665079</v>
      </c>
      <c r="BD31" s="352">
        <f t="shared" si="17"/>
        <v>0.17783484383609979</v>
      </c>
      <c r="BE31" s="352">
        <f t="shared" si="17"/>
        <v>67.45479723801958</v>
      </c>
      <c r="BF31" s="352">
        <f t="shared" si="17"/>
        <v>1.4904762068619257</v>
      </c>
      <c r="BG31" s="352">
        <f t="shared" si="17"/>
        <v>1.6605763244501915E-4</v>
      </c>
      <c r="BH31" s="352">
        <f t="shared" si="18"/>
        <v>69.123274346350044</v>
      </c>
      <c r="BJ31" s="401">
        <f>D31*'Assumptions-Output Override'!$D$10/'Winners-Losers HRA'!$H$107</f>
        <v>0.8262218663181865</v>
      </c>
      <c r="BK31" s="401">
        <f>E31*'Assumptions-Output Override'!$D$10/'Winners-Losers HRA'!$H$107</f>
        <v>29.112726932886847</v>
      </c>
      <c r="BL31" s="401">
        <f>F31*'Assumptions-Output Override'!$D$10/'Winners-Losers HRA'!$H$107</f>
        <v>2.0877997604335699</v>
      </c>
      <c r="BM31" s="401">
        <f>G31*'Assumptions-Output Override'!$D$10/'Winners-Losers HRA'!$H$107</f>
        <v>9.1706972643728376E-4</v>
      </c>
      <c r="BN31" s="401">
        <f t="shared" si="2"/>
        <v>32.027665629365039</v>
      </c>
      <c r="BO31" s="401">
        <f>BJ31*(1-'Assumptions-Output Override'!$D$11)</f>
        <v>0.11775296068048856</v>
      </c>
      <c r="BP31" s="401">
        <f>BK31*(1-'Assumptions-Output Override'!$D$11)</f>
        <v>4.1491395103186788</v>
      </c>
      <c r="BQ31" s="401">
        <f>BL31*(1-'Assumptions-Output Override'!$D$11)</f>
        <v>0.29755276775063022</v>
      </c>
      <c r="BR31" s="401">
        <f>BM31*(1-'Assumptions-Output Override'!$D$11)</f>
        <v>1.3070057794482132E-4</v>
      </c>
      <c r="BS31" s="352">
        <f t="shared" si="3"/>
        <v>4.5645759393277423</v>
      </c>
      <c r="BT31" s="352">
        <f t="shared" si="19"/>
        <v>0.70846890563769793</v>
      </c>
      <c r="BU31" s="352">
        <f t="shared" si="19"/>
        <v>24.963587422568168</v>
      </c>
      <c r="BV31" s="352">
        <f t="shared" si="19"/>
        <v>1.7902469926829396</v>
      </c>
      <c r="BW31" s="352">
        <f t="shared" si="19"/>
        <v>7.8636914849246245E-4</v>
      </c>
      <c r="BX31" s="352">
        <f t="shared" si="4"/>
        <v>27.463089690037297</v>
      </c>
      <c r="BY31" s="352">
        <f>BT$107*(1-'Assumptions-Output Override'!$D$12)</f>
        <v>22.753074310428271</v>
      </c>
      <c r="BZ31" s="352">
        <f>BU$107*(1-'Assumptions-Output Override'!$D$12)</f>
        <v>51.446038369839215</v>
      </c>
      <c r="CA31" s="352">
        <f>BV$107*(1-'Assumptions-Output Override'!$D$12)</f>
        <v>9.7401900534537411</v>
      </c>
      <c r="CB31" s="352">
        <f>BW$107*(1-'Assumptions-Output Override'!$D$12)</f>
        <v>1.7000814189516649</v>
      </c>
      <c r="CC31" s="352">
        <f t="shared" si="5"/>
        <v>85.639384152672903</v>
      </c>
      <c r="CD31" s="352">
        <f t="shared" si="20"/>
        <v>22.870827271108759</v>
      </c>
      <c r="CE31" s="352">
        <f t="shared" si="20"/>
        <v>55.595177880157891</v>
      </c>
      <c r="CF31" s="352">
        <f t="shared" si="20"/>
        <v>10.037742821204372</v>
      </c>
      <c r="CG31" s="352">
        <f t="shared" si="20"/>
        <v>1.7002121195296096</v>
      </c>
      <c r="CH31" s="352">
        <f t="shared" si="6"/>
        <v>90.203960092000628</v>
      </c>
      <c r="CJ31" s="352">
        <f t="shared" si="21"/>
        <v>90.203960092000628</v>
      </c>
      <c r="CK31" s="352">
        <f t="shared" si="22"/>
        <v>22.800863802684979</v>
      </c>
      <c r="CL31" s="352">
        <f t="shared" si="23"/>
        <v>67.403096289315641</v>
      </c>
      <c r="CN31" s="352">
        <f>('HRA Balance Calc'!U43+'HRA Balance Calc'!V43+'HRA Balance Calc'!W43+'HRA Balance Calc'!X43)/12</f>
        <v>-23.51240662635135</v>
      </c>
      <c r="CO31" s="352">
        <f>('HRA Balance Calc'!Q43+IF('HRA Balance Calc'!L43&lt;0,-'HRA Balance Calc'!L43,0))/12</f>
        <v>0</v>
      </c>
      <c r="CP31" s="352">
        <f>('HRA Balance Calc'!N43)/12</f>
        <v>21.413665941238989</v>
      </c>
      <c r="CQ31" s="352">
        <f>('HRA Balance Calc'!O43)/12</f>
        <v>1.3871667601535413</v>
      </c>
      <c r="CR31" s="352">
        <f>('HRA Balance Calc'!P43)/12</f>
        <v>3.1101292450126134E-5</v>
      </c>
      <c r="CS31" s="352">
        <f t="shared" si="7"/>
        <v>22.800863802684979</v>
      </c>
      <c r="CU31" s="577">
        <f t="shared" si="24"/>
        <v>1309.8214893482909</v>
      </c>
      <c r="CV31" s="352">
        <f t="shared" si="25"/>
        <v>109.15179077902425</v>
      </c>
      <c r="CW31" s="352">
        <f t="shared" si="29"/>
        <v>0.37128667462789067</v>
      </c>
      <c r="CX31" s="352">
        <f t="shared" si="29"/>
        <v>13.082645246886589</v>
      </c>
      <c r="CY31" s="352">
        <f t="shared" si="29"/>
        <v>0.93821316276052191</v>
      </c>
      <c r="CZ31" s="352">
        <f t="shared" si="29"/>
        <v>4.1211178620595846E-4</v>
      </c>
      <c r="DA31" s="352">
        <f t="shared" si="9"/>
        <v>14.392557196061208</v>
      </c>
      <c r="DC31" s="352">
        <f>('HRA Balance Calc'!Q43+'HRA Balance Calc'!X43+IF('HRA Balance Calc'!L43&lt;0,-'HRA Balance Calc'!L43,0))/12</f>
        <v>0.40588873109043261</v>
      </c>
      <c r="DD31" s="352">
        <f>('HRA Balance Calc'!N43+'HRA Balance Calc'!U43)/12</f>
        <v>-2.6080738192511745</v>
      </c>
      <c r="DE31" s="352">
        <f>('HRA Balance Calc'!O43+'HRA Balance Calc'!V43)/12</f>
        <v>1.4904762068619257</v>
      </c>
      <c r="DF31" s="352">
        <f>('HRA Balance Calc'!P43+'HRA Balance Calc'!W43)/12</f>
        <v>1.6605763244501915E-4</v>
      </c>
      <c r="DG31" s="352">
        <f t="shared" si="26"/>
        <v>-0.71154282366637112</v>
      </c>
      <c r="DI31" s="352">
        <f t="shared" si="27"/>
        <v>22.464938540018327</v>
      </c>
      <c r="DJ31" s="352">
        <f t="shared" si="27"/>
        <v>58.203251699409066</v>
      </c>
      <c r="DK31" s="352">
        <f t="shared" si="27"/>
        <v>8.5472666143424458</v>
      </c>
      <c r="DL31" s="352">
        <f t="shared" si="27"/>
        <v>1.7000460618971647</v>
      </c>
      <c r="DM31" s="352">
        <f t="shared" si="27"/>
        <v>90.915502915667005</v>
      </c>
    </row>
    <row r="32" spans="1:117" x14ac:dyDescent="0.2">
      <c r="A32">
        <v>27</v>
      </c>
      <c r="B32" s="397">
        <v>34308</v>
      </c>
      <c r="C32" s="398">
        <v>397997.79676138877</v>
      </c>
      <c r="D32" s="399">
        <v>0.7217364300353889</v>
      </c>
      <c r="E32" s="399">
        <v>18.243451192057659</v>
      </c>
      <c r="F32" s="399">
        <v>1.2958957366735131</v>
      </c>
      <c r="G32" s="399">
        <v>0</v>
      </c>
      <c r="H32" s="399">
        <v>20.261083358766562</v>
      </c>
      <c r="I32" s="400">
        <v>4.3664359168088074E-4</v>
      </c>
      <c r="J32" s="400">
        <v>4.0757560400612744E-3</v>
      </c>
      <c r="K32" s="400">
        <v>7.5377301693923375E-6</v>
      </c>
      <c r="L32" s="400">
        <v>0.1308759020500434</v>
      </c>
      <c r="M32" s="400">
        <v>0.13118816341416123</v>
      </c>
      <c r="N32" s="400">
        <v>0.11157046687528792</v>
      </c>
      <c r="O32" s="399">
        <f t="shared" si="30"/>
        <v>0.10916089792022018</v>
      </c>
      <c r="P32" s="399">
        <f t="shared" si="30"/>
        <v>0</v>
      </c>
      <c r="Q32" s="399">
        <f t="shared" si="30"/>
        <v>7.5377301693923373E-3</v>
      </c>
      <c r="R32" s="399">
        <f t="shared" si="30"/>
        <v>2.717306426070083</v>
      </c>
      <c r="S32" s="399">
        <f t="shared" si="30"/>
        <v>3.935644902424837</v>
      </c>
      <c r="T32" s="399">
        <f t="shared" si="30"/>
        <v>6.6942280125172751</v>
      </c>
      <c r="U32" s="399">
        <f t="shared" si="10"/>
        <v>13.463877969101809</v>
      </c>
      <c r="V32" s="400">
        <v>2.2348123147255119E-5</v>
      </c>
      <c r="W32" s="400">
        <v>7.834258725510011E-4</v>
      </c>
      <c r="X32" s="400">
        <v>0</v>
      </c>
      <c r="Y32" s="400">
        <v>1.3599582280978639E-2</v>
      </c>
      <c r="Z32" s="400">
        <v>5.0210328204355727E-3</v>
      </c>
      <c r="AA32" s="400">
        <v>3.9202227064975672E-3</v>
      </c>
      <c r="AB32" s="352">
        <f t="shared" si="31"/>
        <v>5.5870307868137797E-3</v>
      </c>
      <c r="AC32" s="352">
        <f t="shared" si="31"/>
        <v>0</v>
      </c>
      <c r="AD32" s="352">
        <f t="shared" si="31"/>
        <v>0</v>
      </c>
      <c r="AE32" s="352">
        <f t="shared" si="31"/>
        <v>0.48208391744250773</v>
      </c>
      <c r="AF32" s="352">
        <f t="shared" si="31"/>
        <v>0.15063098461306718</v>
      </c>
      <c r="AG32" s="352">
        <f t="shared" si="31"/>
        <v>0.23521336238985402</v>
      </c>
      <c r="AH32" s="400">
        <f t="shared" si="11"/>
        <v>0.87351529523224269</v>
      </c>
      <c r="AJ32" s="352">
        <f>D32*('Assumptions-Output Override'!$D$10/'Winners-Losers HRA'!$H$107)*(1+'Assumptions-Output Override'!$F$41)</f>
        <v>0.86147326040211414</v>
      </c>
      <c r="AK32" s="352">
        <f>E32*('Assumptions-Output Override'!$D$10/'Winners-Losers HRA'!$H$107)*(1+'Assumptions-Output Override'!$F$37)</f>
        <v>30.024683317910643</v>
      </c>
      <c r="AL32" s="352">
        <f>F32*('Assumptions-Output Override'!$D$10/'Winners-Losers HRA'!$H$107)*(1+'Assumptions-Output Override'!$F$38)</f>
        <v>2.176905216784935</v>
      </c>
      <c r="AM32" s="352">
        <f>G32*('Shoppable Detail'!$X$21/'Shoppable Detail'!$H$21)*('Assumptions-Output Override'!$D$10/'Winners-Losers HRA'!$H$107)*(1+'Assumptions-Output Override'!$F$39)</f>
        <v>0</v>
      </c>
      <c r="AN32" s="352">
        <f t="shared" si="12"/>
        <v>33.063061795097695</v>
      </c>
      <c r="AO32" s="352">
        <v>0</v>
      </c>
      <c r="AP32" s="352">
        <f>U32*'Assumptions-Output Override'!$D$10/'Winners-Losers HRA'!$H$107*(1+'Assumptions-Output Override'!$F$37)</f>
        <v>22.158563530417236</v>
      </c>
      <c r="AQ32" s="352">
        <f>AH32*'Assumptions-Output Override'!$D$10/'Winners-Losers HRA'!$H$107*(1+'Assumptions-Output Override'!$F$38)</f>
        <v>1.4673711389881507</v>
      </c>
      <c r="AR32" s="352">
        <f>AM32*('Shoppable Detail'!$AA$23/'Shoppable Detail'!$Y$23)</f>
        <v>0</v>
      </c>
      <c r="AS32" s="352">
        <f t="shared" si="13"/>
        <v>23.625934669405389</v>
      </c>
      <c r="AT32" s="352">
        <f t="shared" si="14"/>
        <v>0.86147326040211414</v>
      </c>
      <c r="AU32" s="352">
        <f t="shared" si="14"/>
        <v>7.8661197874934068</v>
      </c>
      <c r="AV32" s="352">
        <f t="shared" si="14"/>
        <v>0.70953407779678423</v>
      </c>
      <c r="AW32" s="352">
        <f t="shared" si="14"/>
        <v>0</v>
      </c>
      <c r="AX32" s="352">
        <f t="shared" si="15"/>
        <v>9.4371271256923048</v>
      </c>
      <c r="AY32" s="352">
        <f>AT32*'Assumptions-Output Override'!$D$24</f>
        <v>0.26245293031357775</v>
      </c>
      <c r="AZ32" s="352">
        <f>$AU$107*'Assumptions-Output Override'!$D$21</f>
        <v>46.041131296780591</v>
      </c>
      <c r="BA32" s="352">
        <f>AV32*'Assumptions-Output Override'!$D$22</f>
        <v>0.10643011166951763</v>
      </c>
      <c r="BB32" s="352">
        <f>AW32*'Assumptions-Output Override'!$D$23</f>
        <v>0</v>
      </c>
      <c r="BC32" s="352">
        <f t="shared" si="16"/>
        <v>46.410014338763688</v>
      </c>
      <c r="BD32" s="352">
        <f t="shared" si="17"/>
        <v>0.26245293031357775</v>
      </c>
      <c r="BE32" s="352">
        <f t="shared" si="17"/>
        <v>68.199694827197831</v>
      </c>
      <c r="BF32" s="352">
        <f t="shared" si="17"/>
        <v>1.5738012506576684</v>
      </c>
      <c r="BG32" s="352">
        <f t="shared" si="17"/>
        <v>0</v>
      </c>
      <c r="BH32" s="352">
        <f t="shared" si="18"/>
        <v>70.035949008169069</v>
      </c>
      <c r="BJ32" s="401">
        <f>D32*'Assumptions-Output Override'!$D$10/'Winners-Losers HRA'!$H$107</f>
        <v>1.2193580584478383</v>
      </c>
      <c r="BK32" s="401">
        <f>E32*'Assumptions-Output Override'!$D$10/'Winners-Losers HRA'!$H$107</f>
        <v>30.821915451662285</v>
      </c>
      <c r="BL32" s="401">
        <f>F32*'Assumptions-Output Override'!$D$10/'Winners-Losers HRA'!$H$107</f>
        <v>2.1893877649262712</v>
      </c>
      <c r="BM32" s="401">
        <f>G32*'Assumptions-Output Override'!$D$10/'Winners-Losers HRA'!$H$107</f>
        <v>0</v>
      </c>
      <c r="BN32" s="401">
        <f t="shared" si="2"/>
        <v>34.230661275036397</v>
      </c>
      <c r="BO32" s="401">
        <f>BJ32*(1-'Assumptions-Output Override'!$D$11)</f>
        <v>0.17378264527381787</v>
      </c>
      <c r="BP32" s="401">
        <f>BK32*(1-'Assumptions-Output Override'!$D$11)</f>
        <v>4.3927326862579346</v>
      </c>
      <c r="BQ32" s="401">
        <f>BL32*(1-'Assumptions-Output Override'!$D$11)</f>
        <v>0.31203106805505659</v>
      </c>
      <c r="BR32" s="401">
        <f>BM32*(1-'Assumptions-Output Override'!$D$11)</f>
        <v>0</v>
      </c>
      <c r="BS32" s="352">
        <f t="shared" si="3"/>
        <v>4.878546399586809</v>
      </c>
      <c r="BT32" s="352">
        <f t="shared" si="19"/>
        <v>1.0455754131740205</v>
      </c>
      <c r="BU32" s="352">
        <f t="shared" si="19"/>
        <v>26.429182765404349</v>
      </c>
      <c r="BV32" s="352">
        <f t="shared" si="19"/>
        <v>1.8773566968712145</v>
      </c>
      <c r="BW32" s="352">
        <f t="shared" si="19"/>
        <v>0</v>
      </c>
      <c r="BX32" s="352">
        <f t="shared" si="4"/>
        <v>29.352114875449583</v>
      </c>
      <c r="BY32" s="352">
        <f>BT$107*(1-'Assumptions-Output Override'!$D$12)</f>
        <v>22.753074310428271</v>
      </c>
      <c r="BZ32" s="352">
        <f>BU$107*(1-'Assumptions-Output Override'!$D$12)</f>
        <v>51.446038369839215</v>
      </c>
      <c r="CA32" s="352">
        <f>BV$107*(1-'Assumptions-Output Override'!$D$12)</f>
        <v>9.7401900534537411</v>
      </c>
      <c r="CB32" s="352">
        <f>BW$107*(1-'Assumptions-Output Override'!$D$12)</f>
        <v>1.7000814189516649</v>
      </c>
      <c r="CC32" s="352">
        <f t="shared" si="5"/>
        <v>85.639384152672903</v>
      </c>
      <c r="CD32" s="352">
        <f t="shared" si="20"/>
        <v>22.926856955702089</v>
      </c>
      <c r="CE32" s="352">
        <f t="shared" si="20"/>
        <v>55.838771056097151</v>
      </c>
      <c r="CF32" s="352">
        <f t="shared" si="20"/>
        <v>10.052221121508797</v>
      </c>
      <c r="CG32" s="352">
        <f t="shared" si="20"/>
        <v>1.7000814189516649</v>
      </c>
      <c r="CH32" s="352">
        <f t="shared" si="6"/>
        <v>90.517930552259699</v>
      </c>
      <c r="CJ32" s="352">
        <f t="shared" si="21"/>
        <v>90.517930552259699</v>
      </c>
      <c r="CK32" s="352">
        <f t="shared" si="22"/>
        <v>23.625934669405389</v>
      </c>
      <c r="CL32" s="352">
        <f t="shared" si="23"/>
        <v>66.891995882854303</v>
      </c>
      <c r="CN32" s="352">
        <f>('HRA Balance Calc'!U44+'HRA Balance Calc'!V44+'HRA Balance Calc'!W44+'HRA Balance Calc'!X44)/12</f>
        <v>-23.316289318732107</v>
      </c>
      <c r="CO32" s="352">
        <f>('HRA Balance Calc'!Q44+IF('HRA Balance Calc'!L44&lt;0,-'HRA Balance Calc'!L44,0))/12</f>
        <v>0</v>
      </c>
      <c r="CP32" s="352">
        <f>('HRA Balance Calc'!N44)/12</f>
        <v>22.158563530417236</v>
      </c>
      <c r="CQ32" s="352">
        <f>('HRA Balance Calc'!O44)/12</f>
        <v>1.4673711389881507</v>
      </c>
      <c r="CR32" s="352">
        <f>('HRA Balance Calc'!P44)/12</f>
        <v>0</v>
      </c>
      <c r="CS32" s="352">
        <f t="shared" si="7"/>
        <v>23.625934669405389</v>
      </c>
      <c r="CU32" s="577">
        <f t="shared" si="24"/>
        <v>1307.46808165686</v>
      </c>
      <c r="CV32" s="352">
        <f t="shared" si="25"/>
        <v>108.95567347140501</v>
      </c>
      <c r="CW32" s="352">
        <f t="shared" si="29"/>
        <v>0.54795378476157097</v>
      </c>
      <c r="CX32" s="352">
        <f t="shared" si="29"/>
        <v>13.850718505799724</v>
      </c>
      <c r="CY32" s="352">
        <f t="shared" si="29"/>
        <v>0.98386466861845645</v>
      </c>
      <c r="CZ32" s="352">
        <f t="shared" si="29"/>
        <v>0</v>
      </c>
      <c r="DA32" s="352">
        <f t="shared" si="9"/>
        <v>15.382536959179753</v>
      </c>
      <c r="DC32" s="352">
        <f>('HRA Balance Calc'!Q44+'HRA Balance Calc'!X44+IF('HRA Balance Calc'!L44&lt;0,-'HRA Balance Calc'!L44,0))/12</f>
        <v>0.59902033008853628</v>
      </c>
      <c r="DD32" s="352">
        <f>('HRA Balance Calc'!N44+'HRA Balance Calc'!U44)/12</f>
        <v>-1.8631762300729282</v>
      </c>
      <c r="DE32" s="352">
        <f>('HRA Balance Calc'!O44+'HRA Balance Calc'!V44)/12</f>
        <v>1.5738012506576684</v>
      </c>
      <c r="DF32" s="352">
        <f>('HRA Balance Calc'!P44+'HRA Balance Calc'!W44)/12</f>
        <v>0</v>
      </c>
      <c r="DG32" s="352">
        <f t="shared" si="26"/>
        <v>0.30964535067327636</v>
      </c>
      <c r="DI32" s="352">
        <f t="shared" si="27"/>
        <v>22.327836625613553</v>
      </c>
      <c r="DJ32" s="352">
        <f t="shared" si="27"/>
        <v>57.701947286170082</v>
      </c>
      <c r="DK32" s="352">
        <f t="shared" si="27"/>
        <v>8.4784198708511287</v>
      </c>
      <c r="DL32" s="352">
        <f t="shared" si="27"/>
        <v>1.7000814189516649</v>
      </c>
      <c r="DM32" s="352">
        <f t="shared" si="27"/>
        <v>90.20828520158642</v>
      </c>
    </row>
    <row r="33" spans="1:117" x14ac:dyDescent="0.2">
      <c r="A33">
        <v>28</v>
      </c>
      <c r="B33" s="397">
        <v>34308</v>
      </c>
      <c r="C33" s="398">
        <v>397997.79676138877</v>
      </c>
      <c r="D33" s="399">
        <v>0.67664740407847701</v>
      </c>
      <c r="E33" s="399">
        <v>19.506307852577269</v>
      </c>
      <c r="F33" s="399">
        <v>1.4347748976511028</v>
      </c>
      <c r="G33" s="399">
        <v>0</v>
      </c>
      <c r="H33" s="399">
        <v>21.617730154306848</v>
      </c>
      <c r="I33" s="400">
        <v>5.2397231001705688E-4</v>
      </c>
      <c r="J33" s="400">
        <v>5.0837789602845634E-3</v>
      </c>
      <c r="K33" s="400">
        <v>0</v>
      </c>
      <c r="L33" s="400">
        <v>0.13885068320507973</v>
      </c>
      <c r="M33" s="400">
        <v>0.13979806032285119</v>
      </c>
      <c r="N33" s="400">
        <v>0.11596662186467389</v>
      </c>
      <c r="O33" s="399">
        <f t="shared" si="30"/>
        <v>0.13099307750426423</v>
      </c>
      <c r="P33" s="399">
        <f t="shared" si="30"/>
        <v>0</v>
      </c>
      <c r="Q33" s="399">
        <f t="shared" si="30"/>
        <v>0</v>
      </c>
      <c r="R33" s="399">
        <f t="shared" si="30"/>
        <v>2.8828825461933798</v>
      </c>
      <c r="S33" s="399">
        <f t="shared" si="30"/>
        <v>4.1939418096855361</v>
      </c>
      <c r="T33" s="399">
        <f t="shared" si="30"/>
        <v>6.9579973118804332</v>
      </c>
      <c r="U33" s="399">
        <f t="shared" si="10"/>
        <v>14.165814745263614</v>
      </c>
      <c r="V33" s="400">
        <v>1.8623435956045936E-5</v>
      </c>
      <c r="W33" s="400">
        <v>7.4742056303597813E-4</v>
      </c>
      <c r="X33" s="400">
        <v>0</v>
      </c>
      <c r="Y33" s="400">
        <v>1.5364078091549943E-2</v>
      </c>
      <c r="Z33" s="400">
        <v>5.1521893253829998E-3</v>
      </c>
      <c r="AA33" s="400">
        <v>4.3887680138269946E-3</v>
      </c>
      <c r="AB33" s="352">
        <f t="shared" si="31"/>
        <v>4.6558589890114844E-3</v>
      </c>
      <c r="AC33" s="352">
        <f t="shared" si="31"/>
        <v>0</v>
      </c>
      <c r="AD33" s="352">
        <f t="shared" si="31"/>
        <v>0</v>
      </c>
      <c r="AE33" s="352">
        <f t="shared" si="31"/>
        <v>0.5446325336497031</v>
      </c>
      <c r="AF33" s="352">
        <f t="shared" si="31"/>
        <v>0.15456567976148999</v>
      </c>
      <c r="AG33" s="352">
        <f t="shared" si="31"/>
        <v>0.26332608082961967</v>
      </c>
      <c r="AH33" s="400">
        <f t="shared" si="11"/>
        <v>0.96718015322982409</v>
      </c>
      <c r="AJ33" s="352">
        <f>D33*('Assumptions-Output Override'!$D$10/'Winners-Losers HRA'!$H$107)*(1+'Assumptions-Output Override'!$F$41)</f>
        <v>0.8076544581593732</v>
      </c>
      <c r="AK33" s="352">
        <f>E33*('Assumptions-Output Override'!$D$10/'Winners-Losers HRA'!$H$107)*(1+'Assumptions-Output Override'!$F$37)</f>
        <v>32.103065906207462</v>
      </c>
      <c r="AL33" s="352">
        <f>F33*('Assumptions-Output Override'!$D$10/'Winners-Losers HRA'!$H$107)*(1+'Assumptions-Output Override'!$F$38)</f>
        <v>2.4102008141690923</v>
      </c>
      <c r="AM33" s="352">
        <f>G33*('Shoppable Detail'!$X$21/'Shoppable Detail'!$H$21)*('Assumptions-Output Override'!$D$10/'Winners-Losers HRA'!$H$107)*(1+'Assumptions-Output Override'!$F$39)</f>
        <v>0</v>
      </c>
      <c r="AN33" s="352">
        <f t="shared" si="12"/>
        <v>35.320921178535933</v>
      </c>
      <c r="AO33" s="352">
        <v>0</v>
      </c>
      <c r="AP33" s="352">
        <f>U33*'Assumptions-Output Override'!$D$10/'Winners-Losers HRA'!$H$107*(1+'Assumptions-Output Override'!$F$37)</f>
        <v>23.313796122736637</v>
      </c>
      <c r="AQ33" s="352">
        <f>AH33*'Assumptions-Output Override'!$D$10/'Winners-Losers HRA'!$H$107*(1+'Assumptions-Output Override'!$F$38)</f>
        <v>1.6247136722136655</v>
      </c>
      <c r="AR33" s="352">
        <f>AM33*('Shoppable Detail'!$AA$23/'Shoppable Detail'!$Y$23)</f>
        <v>0</v>
      </c>
      <c r="AS33" s="352">
        <f t="shared" si="13"/>
        <v>24.938509794950303</v>
      </c>
      <c r="AT33" s="352">
        <f t="shared" si="14"/>
        <v>0.8076544581593732</v>
      </c>
      <c r="AU33" s="352">
        <f t="shared" si="14"/>
        <v>8.7892697834708251</v>
      </c>
      <c r="AV33" s="352">
        <f t="shared" si="14"/>
        <v>0.78548714195542679</v>
      </c>
      <c r="AW33" s="352">
        <f t="shared" si="14"/>
        <v>0</v>
      </c>
      <c r="AX33" s="352">
        <f t="shared" si="15"/>
        <v>10.382411383585625</v>
      </c>
      <c r="AY33" s="352">
        <f>AT33*'Assumptions-Output Override'!$D$24</f>
        <v>0.24605671350241271</v>
      </c>
      <c r="AZ33" s="352">
        <f>$AU$107*'Assumptions-Output Override'!$D$21</f>
        <v>46.041131296780591</v>
      </c>
      <c r="BA33" s="352">
        <f>AV33*'Assumptions-Output Override'!$D$22</f>
        <v>0.11782307129331401</v>
      </c>
      <c r="BB33" s="352">
        <f>AW33*'Assumptions-Output Override'!$D$23</f>
        <v>0</v>
      </c>
      <c r="BC33" s="352">
        <f t="shared" si="16"/>
        <v>46.405011081576319</v>
      </c>
      <c r="BD33" s="352">
        <f t="shared" si="17"/>
        <v>0.24605671350241271</v>
      </c>
      <c r="BE33" s="352">
        <f t="shared" si="17"/>
        <v>69.354927419517225</v>
      </c>
      <c r="BF33" s="352">
        <f t="shared" si="17"/>
        <v>1.7425367435069794</v>
      </c>
      <c r="BG33" s="352">
        <f t="shared" si="17"/>
        <v>0</v>
      </c>
      <c r="BH33" s="352">
        <f t="shared" si="18"/>
        <v>71.343520876526611</v>
      </c>
      <c r="BJ33" s="401">
        <f>D33*'Assumptions-Output Override'!$D$10/'Winners-Losers HRA'!$H$107</f>
        <v>1.1431811261771085</v>
      </c>
      <c r="BK33" s="401">
        <f>E33*'Assumptions-Output Override'!$D$10/'Winners-Losers HRA'!$H$107</f>
        <v>32.955484413386451</v>
      </c>
      <c r="BL33" s="401">
        <f>F33*'Assumptions-Output Override'!$D$10/'Winners-Losers HRA'!$H$107</f>
        <v>2.4240210978733074</v>
      </c>
      <c r="BM33" s="401">
        <f>G33*'Assumptions-Output Override'!$D$10/'Winners-Losers HRA'!$H$107</f>
        <v>0</v>
      </c>
      <c r="BN33" s="401">
        <f t="shared" si="2"/>
        <v>36.52268663743687</v>
      </c>
      <c r="BO33" s="401">
        <f>BJ33*(1-'Assumptions-Output Override'!$D$11)</f>
        <v>0.16292592545543796</v>
      </c>
      <c r="BP33" s="401">
        <f>BK33*(1-'Assumptions-Output Override'!$D$11)</f>
        <v>4.6968084706214821</v>
      </c>
      <c r="BQ33" s="401">
        <f>BL33*(1-'Assumptions-Output Override'!$D$11)</f>
        <v>0.34547095963280411</v>
      </c>
      <c r="BR33" s="401">
        <f>BM33*(1-'Assumptions-Output Override'!$D$11)</f>
        <v>0</v>
      </c>
      <c r="BS33" s="352">
        <f t="shared" si="3"/>
        <v>5.2052053557097242</v>
      </c>
      <c r="BT33" s="352">
        <f t="shared" si="19"/>
        <v>0.98025520072167061</v>
      </c>
      <c r="BU33" s="352">
        <f t="shared" si="19"/>
        <v>28.258675942764967</v>
      </c>
      <c r="BV33" s="352">
        <f t="shared" si="19"/>
        <v>2.0785501382405034</v>
      </c>
      <c r="BW33" s="352">
        <f t="shared" si="19"/>
        <v>0</v>
      </c>
      <c r="BX33" s="352">
        <f t="shared" si="4"/>
        <v>31.31748128172714</v>
      </c>
      <c r="BY33" s="352">
        <f>BT$107*(1-'Assumptions-Output Override'!$D$12)</f>
        <v>22.753074310428271</v>
      </c>
      <c r="BZ33" s="352">
        <f>BU$107*(1-'Assumptions-Output Override'!$D$12)</f>
        <v>51.446038369839215</v>
      </c>
      <c r="CA33" s="352">
        <f>BV$107*(1-'Assumptions-Output Override'!$D$12)</f>
        <v>9.7401900534537411</v>
      </c>
      <c r="CB33" s="352">
        <f>BW$107*(1-'Assumptions-Output Override'!$D$12)</f>
        <v>1.7000814189516649</v>
      </c>
      <c r="CC33" s="352">
        <f t="shared" si="5"/>
        <v>85.639384152672903</v>
      </c>
      <c r="CD33" s="352">
        <f t="shared" si="20"/>
        <v>22.916000235883708</v>
      </c>
      <c r="CE33" s="352">
        <f t="shared" si="20"/>
        <v>56.142846840460699</v>
      </c>
      <c r="CF33" s="352">
        <f t="shared" si="20"/>
        <v>10.085661013086545</v>
      </c>
      <c r="CG33" s="352">
        <f t="shared" si="20"/>
        <v>1.7000814189516649</v>
      </c>
      <c r="CH33" s="352">
        <f t="shared" si="6"/>
        <v>90.844589508382626</v>
      </c>
      <c r="CJ33" s="352">
        <f t="shared" si="21"/>
        <v>90.844589508382626</v>
      </c>
      <c r="CK33" s="352">
        <f t="shared" si="22"/>
        <v>24.938509794950303</v>
      </c>
      <c r="CL33" s="352">
        <f t="shared" si="23"/>
        <v>65.90607971343232</v>
      </c>
      <c r="CN33" s="352">
        <f>('HRA Balance Calc'!U45+'HRA Balance Calc'!V45+'HRA Balance Calc'!W45+'HRA Balance Calc'!X45)/12</f>
        <v>-23.342318944539887</v>
      </c>
      <c r="CO33" s="352">
        <f>('HRA Balance Calc'!Q45+IF('HRA Balance Calc'!L45&lt;0,-'HRA Balance Calc'!L45,0))/12</f>
        <v>0</v>
      </c>
      <c r="CP33" s="352">
        <f>('HRA Balance Calc'!N45)/12</f>
        <v>23.313796122736637</v>
      </c>
      <c r="CQ33" s="352">
        <f>('HRA Balance Calc'!O45)/12</f>
        <v>1.6247136722136652</v>
      </c>
      <c r="CR33" s="352">
        <f>('HRA Balance Calc'!P45)/12</f>
        <v>0</v>
      </c>
      <c r="CS33" s="352">
        <f t="shared" si="7"/>
        <v>24.938509794950303</v>
      </c>
      <c r="CU33" s="577">
        <f t="shared" si="24"/>
        <v>1307.7804371665534</v>
      </c>
      <c r="CV33" s="352">
        <f t="shared" si="25"/>
        <v>108.98170309721279</v>
      </c>
      <c r="CW33" s="352">
        <f t="shared" si="29"/>
        <v>0.51372147862303907</v>
      </c>
      <c r="CX33" s="352">
        <f t="shared" si="29"/>
        <v>14.809499381955787</v>
      </c>
      <c r="CY33" s="352">
        <f t="shared" si="29"/>
        <v>1.0893039380182987</v>
      </c>
      <c r="CZ33" s="352">
        <f t="shared" si="29"/>
        <v>0</v>
      </c>
      <c r="DA33" s="352">
        <f t="shared" si="9"/>
        <v>16.412524798597126</v>
      </c>
      <c r="DC33" s="352">
        <f>('HRA Balance Calc'!Q45+'HRA Balance Calc'!X45+IF('HRA Balance Calc'!L45&lt;0,-'HRA Balance Calc'!L45,0))/12</f>
        <v>0.56159774465696055</v>
      </c>
      <c r="DD33" s="352">
        <f>('HRA Balance Calc'!N45+'HRA Balance Calc'!U45)/12</f>
        <v>-0.70794363775352542</v>
      </c>
      <c r="DE33" s="352">
        <f>('HRA Balance Calc'!O45+'HRA Balance Calc'!V45)/12</f>
        <v>1.7425367435069792</v>
      </c>
      <c r="DF33" s="352">
        <f>('HRA Balance Calc'!P45+'HRA Balance Calc'!W45)/12</f>
        <v>0</v>
      </c>
      <c r="DG33" s="352">
        <f t="shared" si="26"/>
        <v>1.5961908504104143</v>
      </c>
      <c r="DI33" s="352">
        <f t="shared" si="27"/>
        <v>22.354402491226747</v>
      </c>
      <c r="DJ33" s="352">
        <f t="shared" si="27"/>
        <v>56.850790478214222</v>
      </c>
      <c r="DK33" s="352">
        <f t="shared" si="27"/>
        <v>8.3431242695795653</v>
      </c>
      <c r="DL33" s="352">
        <f t="shared" si="27"/>
        <v>1.7000814189516649</v>
      </c>
      <c r="DM33" s="352">
        <f t="shared" si="27"/>
        <v>89.248398657972217</v>
      </c>
    </row>
    <row r="34" spans="1:117" x14ac:dyDescent="0.2">
      <c r="A34">
        <v>29</v>
      </c>
      <c r="B34" s="397">
        <v>34308</v>
      </c>
      <c r="C34" s="398">
        <v>397997.79676138877</v>
      </c>
      <c r="D34" s="399">
        <v>0.7139492557444439</v>
      </c>
      <c r="E34" s="399">
        <v>20.792561197684464</v>
      </c>
      <c r="F34" s="399">
        <v>1.5422297987779925</v>
      </c>
      <c r="G34" s="399">
        <v>0</v>
      </c>
      <c r="H34" s="399">
        <v>23.048740252206901</v>
      </c>
      <c r="I34" s="400">
        <v>5.6888422230423098E-4</v>
      </c>
      <c r="J34" s="400">
        <v>5.5640869111335403E-3</v>
      </c>
      <c r="K34" s="400">
        <v>7.5377301693923375E-6</v>
      </c>
      <c r="L34" s="400">
        <v>0.14353250153194808</v>
      </c>
      <c r="M34" s="400">
        <v>0.15072128662053019</v>
      </c>
      <c r="N34" s="400">
        <v>0.12168610076261872</v>
      </c>
      <c r="O34" s="399">
        <f t="shared" si="30"/>
        <v>0.14222105557605774</v>
      </c>
      <c r="P34" s="399">
        <f t="shared" si="30"/>
        <v>0</v>
      </c>
      <c r="Q34" s="399">
        <f t="shared" si="30"/>
        <v>7.5377301693923373E-3</v>
      </c>
      <c r="R34" s="399">
        <f t="shared" si="30"/>
        <v>2.9800886385756695</v>
      </c>
      <c r="S34" s="399">
        <f t="shared" si="30"/>
        <v>4.5216385986159056</v>
      </c>
      <c r="T34" s="399">
        <f t="shared" si="30"/>
        <v>7.3011660457571237</v>
      </c>
      <c r="U34" s="399">
        <f t="shared" si="10"/>
        <v>14.95265206869415</v>
      </c>
      <c r="V34" s="400">
        <v>2.855593513260368E-5</v>
      </c>
      <c r="W34" s="400">
        <v>8.8771711390485722E-4</v>
      </c>
      <c r="X34" s="400">
        <v>0</v>
      </c>
      <c r="Y34" s="400">
        <v>1.5850797670680091E-2</v>
      </c>
      <c r="Z34" s="400">
        <v>5.6216391603327552E-3</v>
      </c>
      <c r="AA34" s="400">
        <v>4.5380150711809624E-3</v>
      </c>
      <c r="AB34" s="352">
        <f t="shared" si="31"/>
        <v>7.1389837831509198E-3</v>
      </c>
      <c r="AC34" s="352">
        <f t="shared" si="31"/>
        <v>0</v>
      </c>
      <c r="AD34" s="352">
        <f t="shared" si="31"/>
        <v>0</v>
      </c>
      <c r="AE34" s="352">
        <f t="shared" si="31"/>
        <v>0.56188598133325551</v>
      </c>
      <c r="AF34" s="352">
        <f t="shared" si="31"/>
        <v>0.16864917480998265</v>
      </c>
      <c r="AG34" s="352">
        <f t="shared" si="31"/>
        <v>0.27228090427085777</v>
      </c>
      <c r="AH34" s="400">
        <f t="shared" si="11"/>
        <v>1.0099550441972469</v>
      </c>
      <c r="AJ34" s="352">
        <f>D34*('Assumptions-Output Override'!$D$10/'Winners-Losers HRA'!$H$107)*(1+'Assumptions-Output Override'!$F$41)</f>
        <v>0.85217839575822885</v>
      </c>
      <c r="AK34" s="352">
        <f>E34*('Assumptions-Output Override'!$D$10/'Winners-Losers HRA'!$H$107)*(1+'Assumptions-Output Override'!$F$37)</f>
        <v>34.219954259561334</v>
      </c>
      <c r="AL34" s="352">
        <f>F34*('Assumptions-Output Override'!$D$10/'Winners-Losers HRA'!$H$107)*(1+'Assumptions-Output Override'!$F$38)</f>
        <v>2.5907084956224566</v>
      </c>
      <c r="AM34" s="352">
        <f>G34*('Shoppable Detail'!$X$21/'Shoppable Detail'!$H$21)*('Assumptions-Output Override'!$D$10/'Winners-Losers HRA'!$H$107)*(1+'Assumptions-Output Override'!$F$39)</f>
        <v>0</v>
      </c>
      <c r="AN34" s="352">
        <f t="shared" si="12"/>
        <v>37.662841150942022</v>
      </c>
      <c r="AO34" s="352">
        <v>0</v>
      </c>
      <c r="AP34" s="352">
        <f>U34*'Assumptions-Output Override'!$D$10/'Winners-Losers HRA'!$H$107*(1+'Assumptions-Output Override'!$F$37)</f>
        <v>24.608756227050634</v>
      </c>
      <c r="AQ34" s="352">
        <f>AH34*'Assumptions-Output Override'!$D$10/'Winners-Losers HRA'!$H$107*(1+'Assumptions-Output Override'!$F$38)</f>
        <v>1.696568899960162</v>
      </c>
      <c r="AR34" s="352">
        <f>AM34*('Shoppable Detail'!$AA$23/'Shoppable Detail'!$Y$23)</f>
        <v>0</v>
      </c>
      <c r="AS34" s="352">
        <f t="shared" si="13"/>
        <v>26.305325127010796</v>
      </c>
      <c r="AT34" s="352">
        <f t="shared" si="14"/>
        <v>0.85217839575822885</v>
      </c>
      <c r="AU34" s="352">
        <f t="shared" si="14"/>
        <v>9.6111980325106998</v>
      </c>
      <c r="AV34" s="352">
        <f t="shared" si="14"/>
        <v>0.89413959566229462</v>
      </c>
      <c r="AW34" s="352">
        <f t="shared" si="14"/>
        <v>0</v>
      </c>
      <c r="AX34" s="352">
        <f t="shared" si="15"/>
        <v>11.357516023931222</v>
      </c>
      <c r="AY34" s="352">
        <f>AT34*'Assumptions-Output Override'!$D$24</f>
        <v>0.25962119475684431</v>
      </c>
      <c r="AZ34" s="352">
        <f>$AU$107*'Assumptions-Output Override'!$D$21</f>
        <v>46.041131296780591</v>
      </c>
      <c r="BA34" s="352">
        <f>AV34*'Assumptions-Output Override'!$D$22</f>
        <v>0.13412093934934419</v>
      </c>
      <c r="BB34" s="352">
        <f>AW34*'Assumptions-Output Override'!$D$23</f>
        <v>0</v>
      </c>
      <c r="BC34" s="352">
        <f t="shared" si="16"/>
        <v>46.434873430886782</v>
      </c>
      <c r="BD34" s="352">
        <f t="shared" si="17"/>
        <v>0.25962119475684431</v>
      </c>
      <c r="BE34" s="352">
        <f t="shared" si="17"/>
        <v>70.649887523831225</v>
      </c>
      <c r="BF34" s="352">
        <f t="shared" si="17"/>
        <v>1.8306898393095061</v>
      </c>
      <c r="BG34" s="352">
        <f t="shared" si="17"/>
        <v>0</v>
      </c>
      <c r="BH34" s="352">
        <f t="shared" si="18"/>
        <v>72.740198557897571</v>
      </c>
      <c r="BJ34" s="401">
        <f>D34*'Assumptions-Output Override'!$D$10/'Winners-Losers HRA'!$H$107</f>
        <v>1.206201796232093</v>
      </c>
      <c r="BK34" s="401">
        <f>E34*'Assumptions-Output Override'!$D$10/'Winners-Losers HRA'!$H$107</f>
        <v>35.128581566712974</v>
      </c>
      <c r="BL34" s="401">
        <f>F34*'Assumptions-Output Override'!$D$10/'Winners-Losers HRA'!$H$107</f>
        <v>2.6055638247692792</v>
      </c>
      <c r="BM34" s="401">
        <f>G34*'Assumptions-Output Override'!$D$10/'Winners-Losers HRA'!$H$107</f>
        <v>0</v>
      </c>
      <c r="BN34" s="401">
        <f t="shared" si="2"/>
        <v>38.940347187714345</v>
      </c>
      <c r="BO34" s="401">
        <f>BJ34*(1-'Assumptions-Output Override'!$D$11)</f>
        <v>0.17190761764437934</v>
      </c>
      <c r="BP34" s="401">
        <f>BK34*(1-'Assumptions-Output Override'!$D$11)</f>
        <v>5.0065178042546279</v>
      </c>
      <c r="BQ34" s="401">
        <f>BL34*(1-'Assumptions-Output Override'!$D$11)</f>
        <v>0.37134438958361282</v>
      </c>
      <c r="BR34" s="401">
        <f>BM34*(1-'Assumptions-Output Override'!$D$11)</f>
        <v>0</v>
      </c>
      <c r="BS34" s="352">
        <f t="shared" si="3"/>
        <v>5.5497698114826202</v>
      </c>
      <c r="BT34" s="352">
        <f t="shared" si="19"/>
        <v>1.0342941785877136</v>
      </c>
      <c r="BU34" s="352">
        <f t="shared" si="19"/>
        <v>30.122063762458346</v>
      </c>
      <c r="BV34" s="352">
        <f t="shared" si="19"/>
        <v>2.2342194351856666</v>
      </c>
      <c r="BW34" s="352">
        <f t="shared" si="19"/>
        <v>0</v>
      </c>
      <c r="BX34" s="352">
        <f t="shared" si="4"/>
        <v>33.390577376231725</v>
      </c>
      <c r="BY34" s="352">
        <f>BT$107*(1-'Assumptions-Output Override'!$D$12)</f>
        <v>22.753074310428271</v>
      </c>
      <c r="BZ34" s="352">
        <f>BU$107*(1-'Assumptions-Output Override'!$D$12)</f>
        <v>51.446038369839215</v>
      </c>
      <c r="CA34" s="352">
        <f>BV$107*(1-'Assumptions-Output Override'!$D$12)</f>
        <v>9.7401900534537411</v>
      </c>
      <c r="CB34" s="352">
        <f>BW$107*(1-'Assumptions-Output Override'!$D$12)</f>
        <v>1.7000814189516649</v>
      </c>
      <c r="CC34" s="352">
        <f t="shared" si="5"/>
        <v>85.639384152672903</v>
      </c>
      <c r="CD34" s="352">
        <f t="shared" si="20"/>
        <v>22.924981928072651</v>
      </c>
      <c r="CE34" s="352">
        <f t="shared" si="20"/>
        <v>56.452556174093843</v>
      </c>
      <c r="CF34" s="352">
        <f t="shared" si="20"/>
        <v>10.111534443037353</v>
      </c>
      <c r="CG34" s="352">
        <f t="shared" si="20"/>
        <v>1.7000814189516649</v>
      </c>
      <c r="CH34" s="352">
        <f t="shared" si="6"/>
        <v>91.189153964155523</v>
      </c>
      <c r="CJ34" s="352">
        <f t="shared" si="21"/>
        <v>91.189153964155523</v>
      </c>
      <c r="CK34" s="352">
        <f t="shared" si="22"/>
        <v>26.305325127010796</v>
      </c>
      <c r="CL34" s="352">
        <f t="shared" si="23"/>
        <v>64.883828837144733</v>
      </c>
      <c r="CN34" s="352">
        <f>('HRA Balance Calc'!U46+'HRA Balance Calc'!V46+'HRA Balance Calc'!W46+'HRA Balance Calc'!X46)/12</f>
        <v>-23.295061620139435</v>
      </c>
      <c r="CO34" s="352">
        <f>('HRA Balance Calc'!Q46+IF('HRA Balance Calc'!L46&lt;0,-'HRA Balance Calc'!L46,0))/12</f>
        <v>0</v>
      </c>
      <c r="CP34" s="352">
        <f>('HRA Balance Calc'!N46)/12</f>
        <v>24.608756227050634</v>
      </c>
      <c r="CQ34" s="352">
        <f>('HRA Balance Calc'!O46)/12</f>
        <v>1.6965688999601618</v>
      </c>
      <c r="CR34" s="352">
        <f>('HRA Balance Calc'!P46)/12</f>
        <v>0</v>
      </c>
      <c r="CS34" s="352">
        <f t="shared" si="7"/>
        <v>26.305325127010796</v>
      </c>
      <c r="CU34" s="577">
        <f t="shared" si="24"/>
        <v>1307.213349273748</v>
      </c>
      <c r="CV34" s="352">
        <f t="shared" si="25"/>
        <v>108.93444577281234</v>
      </c>
      <c r="CW34" s="352">
        <f t="shared" si="29"/>
        <v>0.54204163810006456</v>
      </c>
      <c r="CX34" s="352">
        <f t="shared" si="29"/>
        <v>15.786043393429836</v>
      </c>
      <c r="CY34" s="352">
        <f t="shared" si="29"/>
        <v>1.1708854091943797</v>
      </c>
      <c r="CZ34" s="352">
        <f t="shared" si="29"/>
        <v>0</v>
      </c>
      <c r="DA34" s="352">
        <f t="shared" si="9"/>
        <v>17.498970440724282</v>
      </c>
      <c r="DC34" s="352">
        <f>('HRA Balance Calc'!Q46+'HRA Balance Calc'!X46+IF('HRA Balance Calc'!L46&lt;0,-'HRA Balance Calc'!L46,0))/12</f>
        <v>0.59255720100138454</v>
      </c>
      <c r="DD34" s="352">
        <f>('HRA Balance Calc'!N46+'HRA Balance Calc'!U46)/12</f>
        <v>0.58701646656047046</v>
      </c>
      <c r="DE34" s="352">
        <f>('HRA Balance Calc'!O46+'HRA Balance Calc'!V46)/12</f>
        <v>1.8306898393095061</v>
      </c>
      <c r="DF34" s="352">
        <f>('HRA Balance Calc'!P46+'HRA Balance Calc'!W46)/12</f>
        <v>0</v>
      </c>
      <c r="DG34" s="352">
        <f t="shared" si="26"/>
        <v>3.010263506871361</v>
      </c>
      <c r="DI34" s="352">
        <f t="shared" si="27"/>
        <v>22.332424727071267</v>
      </c>
      <c r="DJ34" s="352">
        <f t="shared" si="27"/>
        <v>55.865539707533372</v>
      </c>
      <c r="DK34" s="352">
        <f t="shared" si="27"/>
        <v>8.2808446037278465</v>
      </c>
      <c r="DL34" s="352">
        <f t="shared" si="27"/>
        <v>1.7000814189516649</v>
      </c>
      <c r="DM34" s="352">
        <f t="shared" si="27"/>
        <v>88.178890457284155</v>
      </c>
    </row>
    <row r="35" spans="1:117" x14ac:dyDescent="0.2">
      <c r="A35">
        <v>30</v>
      </c>
      <c r="B35" s="397">
        <v>34308</v>
      </c>
      <c r="C35" s="398">
        <v>397997.79676138877</v>
      </c>
      <c r="D35" s="399">
        <v>0.69208363149239471</v>
      </c>
      <c r="E35" s="399">
        <v>22.193703978943653</v>
      </c>
      <c r="F35" s="399">
        <v>1.6489391261067718</v>
      </c>
      <c r="G35" s="399">
        <v>6.9346993582082735E-4</v>
      </c>
      <c r="H35" s="399">
        <v>24.535420206478641</v>
      </c>
      <c r="I35" s="400">
        <v>5.8510241285237815E-4</v>
      </c>
      <c r="J35" s="400">
        <v>6.2527362328702613E-3</v>
      </c>
      <c r="K35" s="400">
        <v>7.5377301693923375E-6</v>
      </c>
      <c r="L35" s="400">
        <v>0.15181720860022524</v>
      </c>
      <c r="M35" s="400">
        <v>0.15924329359544329</v>
      </c>
      <c r="N35" s="400">
        <v>0.12217198284932745</v>
      </c>
      <c r="O35" s="399">
        <f t="shared" si="30"/>
        <v>0.14627560321309455</v>
      </c>
      <c r="P35" s="399">
        <f t="shared" si="30"/>
        <v>0</v>
      </c>
      <c r="Q35" s="399">
        <f t="shared" si="30"/>
        <v>7.5377301693923373E-3</v>
      </c>
      <c r="R35" s="399">
        <f t="shared" si="30"/>
        <v>3.1520995848393274</v>
      </c>
      <c r="S35" s="399">
        <f t="shared" si="30"/>
        <v>4.777298807863299</v>
      </c>
      <c r="T35" s="399">
        <f t="shared" si="30"/>
        <v>7.330318970959647</v>
      </c>
      <c r="U35" s="399">
        <f t="shared" si="10"/>
        <v>15.413530697044761</v>
      </c>
      <c r="V35" s="400">
        <v>1.2415623970697298E-5</v>
      </c>
      <c r="W35" s="400">
        <v>1.0677436614799671E-3</v>
      </c>
      <c r="X35" s="400">
        <v>0</v>
      </c>
      <c r="Y35" s="400">
        <v>1.7676820109764471E-2</v>
      </c>
      <c r="Z35" s="400">
        <v>5.9228468579016732E-3</v>
      </c>
      <c r="AA35" s="400">
        <v>4.8654540697393662E-3</v>
      </c>
      <c r="AB35" s="352">
        <f t="shared" si="31"/>
        <v>3.1039059926743244E-3</v>
      </c>
      <c r="AC35" s="352">
        <f t="shared" si="31"/>
        <v>0</v>
      </c>
      <c r="AD35" s="352">
        <f t="shared" si="31"/>
        <v>0</v>
      </c>
      <c r="AE35" s="352">
        <f t="shared" si="31"/>
        <v>0.62661562027245776</v>
      </c>
      <c r="AF35" s="352">
        <f t="shared" si="31"/>
        <v>0.17768540573705019</v>
      </c>
      <c r="AG35" s="352">
        <f t="shared" si="31"/>
        <v>0.29192724418436194</v>
      </c>
      <c r="AH35" s="400">
        <f t="shared" si="11"/>
        <v>1.0993321761865442</v>
      </c>
      <c r="AJ35" s="352">
        <f>D35*('Assumptions-Output Override'!$D$10/'Winners-Losers HRA'!$H$107)*(1+'Assumptions-Output Override'!$F$41)</f>
        <v>0.82607932436423426</v>
      </c>
      <c r="AK35" s="352">
        <f>E35*('Assumptions-Output Override'!$D$10/'Winners-Losers HRA'!$H$107)*(1+'Assumptions-Output Override'!$F$37)</f>
        <v>36.525925199357992</v>
      </c>
      <c r="AL35" s="352">
        <f>F35*('Assumptions-Output Override'!$D$10/'Winners-Losers HRA'!$H$107)*(1+'Assumptions-Output Override'!$F$38)</f>
        <v>2.7699637279437863</v>
      </c>
      <c r="AM35" s="352">
        <f>G35*('Shoppable Detail'!$X$21/'Shoppable Detail'!$H$21)*('Assumptions-Output Override'!$D$10/'Winners-Losers HRA'!$H$107)*(1+'Assumptions-Output Override'!$F$39)</f>
        <v>1.1891566039061603E-3</v>
      </c>
      <c r="AN35" s="352">
        <f t="shared" si="12"/>
        <v>40.123157408269925</v>
      </c>
      <c r="AO35" s="352">
        <v>0</v>
      </c>
      <c r="AP35" s="352">
        <f>U35*'Assumptions-Output Override'!$D$10/'Winners-Losers HRA'!$H$107*(1+'Assumptions-Output Override'!$F$37)</f>
        <v>25.367260455145615</v>
      </c>
      <c r="AQ35" s="352">
        <f>AH35*'Assumptions-Output Override'!$D$10/'Winners-Losers HRA'!$H$107*(1+'Assumptions-Output Override'!$F$38)</f>
        <v>1.8467087139765392</v>
      </c>
      <c r="AR35" s="352">
        <f>AM35*('Shoppable Detail'!$AA$23/'Shoppable Detail'!$Y$23)</f>
        <v>3.9733456169658566E-5</v>
      </c>
      <c r="AS35" s="352">
        <f t="shared" si="13"/>
        <v>27.214008902578325</v>
      </c>
      <c r="AT35" s="352">
        <f t="shared" si="14"/>
        <v>0.82607932436423426</v>
      </c>
      <c r="AU35" s="352">
        <f t="shared" si="14"/>
        <v>11.158664744212377</v>
      </c>
      <c r="AV35" s="352">
        <f t="shared" si="14"/>
        <v>0.92325501396724707</v>
      </c>
      <c r="AW35" s="352">
        <f t="shared" si="14"/>
        <v>1.1494231477365017E-3</v>
      </c>
      <c r="AX35" s="352">
        <f t="shared" si="15"/>
        <v>12.909148505691597</v>
      </c>
      <c r="AY35" s="352">
        <f>AT35*'Assumptions-Output Override'!$D$24</f>
        <v>0.2516699581013736</v>
      </c>
      <c r="AZ35" s="352">
        <f>$AU$107*'Assumptions-Output Override'!$D$21</f>
        <v>46.041131296780591</v>
      </c>
      <c r="BA35" s="352">
        <f>AV35*'Assumptions-Output Override'!$D$22</f>
        <v>0.13848825209508706</v>
      </c>
      <c r="BB35" s="352">
        <f>AW35*'Assumptions-Output Override'!$D$23</f>
        <v>1.7241347216047525E-4</v>
      </c>
      <c r="BC35" s="352">
        <f t="shared" si="16"/>
        <v>46.431461920449209</v>
      </c>
      <c r="BD35" s="352">
        <f t="shared" si="17"/>
        <v>0.2516699581013736</v>
      </c>
      <c r="BE35" s="352">
        <f t="shared" si="17"/>
        <v>71.408391751926203</v>
      </c>
      <c r="BF35" s="352">
        <f t="shared" si="17"/>
        <v>1.9851969660716262</v>
      </c>
      <c r="BG35" s="352">
        <f t="shared" si="17"/>
        <v>2.1214692833013382E-4</v>
      </c>
      <c r="BH35" s="352">
        <f t="shared" si="18"/>
        <v>73.645470823027537</v>
      </c>
      <c r="BJ35" s="401">
        <f>D35*'Assumptions-Output Override'!$D$10/'Winners-Losers HRA'!$H$107</f>
        <v>1.169260297888409</v>
      </c>
      <c r="BK35" s="401">
        <f>E35*'Assumptions-Output Override'!$D$10/'Winners-Losers HRA'!$H$107</f>
        <v>37.495781932753296</v>
      </c>
      <c r="BL35" s="401">
        <f>F35*'Assumptions-Output Override'!$D$10/'Winners-Losers HRA'!$H$107</f>
        <v>2.7858469208899992</v>
      </c>
      <c r="BM35" s="401">
        <f>G35*'Assumptions-Output Override'!$D$10/'Winners-Losers HRA'!$H$107</f>
        <v>1.1716024290099496E-3</v>
      </c>
      <c r="BN35" s="401">
        <f t="shared" si="2"/>
        <v>41.452060753960716</v>
      </c>
      <c r="BO35" s="401">
        <f>BJ35*(1-'Assumptions-Output Override'!$D$11)</f>
        <v>0.16664272333538882</v>
      </c>
      <c r="BP35" s="401">
        <f>BK35*(1-'Assumptions-Output Override'!$D$11)</f>
        <v>5.3438906855453743</v>
      </c>
      <c r="BQ35" s="401">
        <f>BL35*(1-'Assumptions-Output Override'!$D$11)</f>
        <v>0.39703829723030831</v>
      </c>
      <c r="BR35" s="401">
        <f>BM35*(1-'Assumptions-Output Override'!$D$11)</f>
        <v>1.6697652335340615E-4</v>
      </c>
      <c r="BS35" s="352">
        <f t="shared" si="3"/>
        <v>5.9077386826344247</v>
      </c>
      <c r="BT35" s="352">
        <f t="shared" si="19"/>
        <v>1.0026175745530201</v>
      </c>
      <c r="BU35" s="352">
        <f t="shared" si="19"/>
        <v>32.151891247207921</v>
      </c>
      <c r="BV35" s="352">
        <f t="shared" si="19"/>
        <v>2.388808623659691</v>
      </c>
      <c r="BW35" s="352">
        <f t="shared" si="19"/>
        <v>1.0046259056565436E-3</v>
      </c>
      <c r="BX35" s="352">
        <f t="shared" si="4"/>
        <v>35.544322071326292</v>
      </c>
      <c r="BY35" s="352">
        <f>BT$107*(1-'Assumptions-Output Override'!$D$12)</f>
        <v>22.753074310428271</v>
      </c>
      <c r="BZ35" s="352">
        <f>BU$107*(1-'Assumptions-Output Override'!$D$12)</f>
        <v>51.446038369839215</v>
      </c>
      <c r="CA35" s="352">
        <f>BV$107*(1-'Assumptions-Output Override'!$D$12)</f>
        <v>9.7401900534537411</v>
      </c>
      <c r="CB35" s="352">
        <f>BW$107*(1-'Assumptions-Output Override'!$D$12)</f>
        <v>1.7000814189516649</v>
      </c>
      <c r="CC35" s="352">
        <f t="shared" si="5"/>
        <v>85.639384152672903</v>
      </c>
      <c r="CD35" s="352">
        <f t="shared" si="20"/>
        <v>22.919717033763661</v>
      </c>
      <c r="CE35" s="352">
        <f t="shared" si="20"/>
        <v>56.78992905538459</v>
      </c>
      <c r="CF35" s="352">
        <f t="shared" si="20"/>
        <v>10.137228350684049</v>
      </c>
      <c r="CG35" s="352">
        <f t="shared" si="20"/>
        <v>1.7002483954750183</v>
      </c>
      <c r="CH35" s="352">
        <f t="shared" si="6"/>
        <v>91.54712283530732</v>
      </c>
      <c r="CJ35" s="352">
        <f t="shared" si="21"/>
        <v>91.54712283530732</v>
      </c>
      <c r="CK35" s="352">
        <f t="shared" si="22"/>
        <v>27.214008902578325</v>
      </c>
      <c r="CL35" s="352">
        <f t="shared" si="23"/>
        <v>64.333113932728992</v>
      </c>
      <c r="CN35" s="352">
        <f>('HRA Balance Calc'!U47+'HRA Balance Calc'!V47+'HRA Balance Calc'!W47+'HRA Balance Calc'!X47)/12</f>
        <v>-23.308669728660053</v>
      </c>
      <c r="CO35" s="352">
        <f>('HRA Balance Calc'!Q47+IF('HRA Balance Calc'!L47&lt;0,-'HRA Balance Calc'!L47,0))/12</f>
        <v>0</v>
      </c>
      <c r="CP35" s="352">
        <f>('HRA Balance Calc'!N47)/12</f>
        <v>25.367260455145615</v>
      </c>
      <c r="CQ35" s="352">
        <f>('HRA Balance Calc'!O47)/12</f>
        <v>1.846708713976539</v>
      </c>
      <c r="CR35" s="352">
        <f>('HRA Balance Calc'!P47)/12</f>
        <v>3.9733456169658566E-5</v>
      </c>
      <c r="CS35" s="352">
        <f t="shared" si="7"/>
        <v>27.214008902578325</v>
      </c>
      <c r="CU35" s="577">
        <f t="shared" si="24"/>
        <v>1307.3766465759954</v>
      </c>
      <c r="CV35" s="352">
        <f t="shared" si="25"/>
        <v>108.94805388133295</v>
      </c>
      <c r="CW35" s="352">
        <f t="shared" si="29"/>
        <v>0.52544090815700595</v>
      </c>
      <c r="CX35" s="352">
        <f t="shared" si="29"/>
        <v>16.849813293398277</v>
      </c>
      <c r="CY35" s="352">
        <f t="shared" si="29"/>
        <v>1.2519008288764635</v>
      </c>
      <c r="CZ35" s="352">
        <f t="shared" si="29"/>
        <v>5.2649341246742117E-4</v>
      </c>
      <c r="DA35" s="352">
        <f t="shared" si="9"/>
        <v>18.627681523844213</v>
      </c>
      <c r="DC35" s="352">
        <f>('HRA Balance Calc'!Q47+'HRA Balance Calc'!X47+IF('HRA Balance Calc'!L47&lt;0,-'HRA Balance Calc'!L47,0))/12</f>
        <v>0.57440936626286065</v>
      </c>
      <c r="DD35" s="352">
        <f>('HRA Balance Calc'!N47+'HRA Balance Calc'!U47)/12</f>
        <v>1.345520694655453</v>
      </c>
      <c r="DE35" s="352">
        <f>('HRA Balance Calc'!O47+'HRA Balance Calc'!V47)/12</f>
        <v>1.9851969660716262</v>
      </c>
      <c r="DF35" s="352">
        <f>('HRA Balance Calc'!P47+'HRA Balance Calc'!W47)/12</f>
        <v>2.1214692833013385E-4</v>
      </c>
      <c r="DG35" s="352">
        <f t="shared" si="26"/>
        <v>3.9053391739182701</v>
      </c>
      <c r="DI35" s="352">
        <f t="shared" si="27"/>
        <v>22.345307667500801</v>
      </c>
      <c r="DJ35" s="352">
        <f t="shared" si="27"/>
        <v>55.444408360729135</v>
      </c>
      <c r="DK35" s="352">
        <f t="shared" si="27"/>
        <v>8.1520313846124228</v>
      </c>
      <c r="DL35" s="352">
        <f t="shared" si="27"/>
        <v>1.7000362485466882</v>
      </c>
      <c r="DM35" s="352">
        <f t="shared" si="27"/>
        <v>87.641783661389056</v>
      </c>
    </row>
    <row r="36" spans="1:117" x14ac:dyDescent="0.2">
      <c r="A36">
        <v>31</v>
      </c>
      <c r="B36" s="397">
        <v>34308</v>
      </c>
      <c r="C36" s="398">
        <v>397997.79676138877</v>
      </c>
      <c r="D36" s="399">
        <v>0.68383773703945738</v>
      </c>
      <c r="E36" s="399">
        <v>23.759965429391467</v>
      </c>
      <c r="F36" s="399">
        <v>1.6380087033899291</v>
      </c>
      <c r="G36" s="399">
        <v>0</v>
      </c>
      <c r="H36" s="399">
        <v>26.081811869820854</v>
      </c>
      <c r="I36" s="400">
        <v>5.9258773156690883E-4</v>
      </c>
      <c r="J36" s="400">
        <v>6.8340959863654018E-3</v>
      </c>
      <c r="K36" s="400">
        <v>0</v>
      </c>
      <c r="L36" s="400">
        <v>0.15728740096889515</v>
      </c>
      <c r="M36" s="400">
        <v>0.1706922011951362</v>
      </c>
      <c r="N36" s="400">
        <v>0.1235334476725319</v>
      </c>
      <c r="O36" s="399">
        <f t="shared" si="30"/>
        <v>0.1481469328917272</v>
      </c>
      <c r="P36" s="399">
        <f t="shared" si="30"/>
        <v>0</v>
      </c>
      <c r="Q36" s="399">
        <f t="shared" si="30"/>
        <v>0</v>
      </c>
      <c r="R36" s="399">
        <f t="shared" si="30"/>
        <v>3.2656742662160614</v>
      </c>
      <c r="S36" s="399">
        <f t="shared" si="30"/>
        <v>5.1207660358540856</v>
      </c>
      <c r="T36" s="399">
        <f t="shared" si="30"/>
        <v>7.412006860351914</v>
      </c>
      <c r="U36" s="399">
        <f t="shared" si="10"/>
        <v>15.946594095313788</v>
      </c>
      <c r="V36" s="400">
        <v>4.9662495882789092E-6</v>
      </c>
      <c r="W36" s="400">
        <v>1.0888502222301543E-3</v>
      </c>
      <c r="X36" s="400">
        <v>0</v>
      </c>
      <c r="Y36" s="400">
        <v>1.722745598366009E-2</v>
      </c>
      <c r="Z36" s="400">
        <v>6.1100840753094037E-3</v>
      </c>
      <c r="AA36" s="400">
        <v>4.9260574203012801E-3</v>
      </c>
      <c r="AB36" s="352">
        <f t="shared" si="31"/>
        <v>1.2415623970697272E-3</v>
      </c>
      <c r="AC36" s="352">
        <f t="shared" si="31"/>
        <v>0</v>
      </c>
      <c r="AD36" s="352">
        <f t="shared" si="31"/>
        <v>0</v>
      </c>
      <c r="AE36" s="352">
        <f t="shared" si="31"/>
        <v>0.61068636496190865</v>
      </c>
      <c r="AF36" s="352">
        <f t="shared" si="31"/>
        <v>0.18330252225928212</v>
      </c>
      <c r="AG36" s="352">
        <f t="shared" si="31"/>
        <v>0.29556344521807681</v>
      </c>
      <c r="AH36" s="400">
        <f t="shared" si="11"/>
        <v>1.0907938948363374</v>
      </c>
      <c r="AJ36" s="352">
        <f>D36*('Assumptions-Output Override'!$D$10/'Winners-Losers HRA'!$H$107)*(1+'Assumptions-Output Override'!$F$41)</f>
        <v>0.81623692583246654</v>
      </c>
      <c r="AK36" s="352">
        <f>E36*('Assumptions-Output Override'!$D$10/'Winners-Losers HRA'!$H$107)*(1+'Assumptions-Output Override'!$F$37)</f>
        <v>39.10364492725796</v>
      </c>
      <c r="AL36" s="352">
        <f>F36*('Assumptions-Output Override'!$D$10/'Winners-Losers HRA'!$H$107)*(1+'Assumptions-Output Override'!$F$38)</f>
        <v>2.7516023015106392</v>
      </c>
      <c r="AM36" s="352">
        <f>G36*('Shoppable Detail'!$X$21/'Shoppable Detail'!$H$21)*('Assumptions-Output Override'!$D$10/'Winners-Losers HRA'!$H$107)*(1+'Assumptions-Output Override'!$F$39)</f>
        <v>0</v>
      </c>
      <c r="AN36" s="352">
        <f t="shared" si="12"/>
        <v>42.67148415460106</v>
      </c>
      <c r="AO36" s="352">
        <v>0</v>
      </c>
      <c r="AP36" s="352">
        <f>U36*'Assumptions-Output Override'!$D$10/'Winners-Losers HRA'!$H$107*(1+'Assumptions-Output Override'!$F$37)</f>
        <v>26.244564839765818</v>
      </c>
      <c r="AQ36" s="352">
        <f>AH36*'Assumptions-Output Override'!$D$10/'Winners-Losers HRA'!$H$107*(1+'Assumptions-Output Override'!$F$38)</f>
        <v>1.8323657165519511</v>
      </c>
      <c r="AR36" s="352">
        <f>AM36*('Shoppable Detail'!$AA$23/'Shoppable Detail'!$Y$23)</f>
        <v>0</v>
      </c>
      <c r="AS36" s="352">
        <f t="shared" si="13"/>
        <v>28.07693055631777</v>
      </c>
      <c r="AT36" s="352">
        <f t="shared" si="14"/>
        <v>0.81623692583246654</v>
      </c>
      <c r="AU36" s="352">
        <f t="shared" si="14"/>
        <v>12.859080087492142</v>
      </c>
      <c r="AV36" s="352">
        <f t="shared" si="14"/>
        <v>0.9192365849586881</v>
      </c>
      <c r="AW36" s="352">
        <f t="shared" si="14"/>
        <v>0</v>
      </c>
      <c r="AX36" s="352">
        <f t="shared" si="15"/>
        <v>14.594553598283296</v>
      </c>
      <c r="AY36" s="352">
        <f>AT36*'Assumptions-Output Override'!$D$24</f>
        <v>0.24867141310327265</v>
      </c>
      <c r="AZ36" s="352">
        <f>$AU$107*'Assumptions-Output Override'!$D$21</f>
        <v>46.041131296780591</v>
      </c>
      <c r="BA36" s="352">
        <f>AV36*'Assumptions-Output Override'!$D$22</f>
        <v>0.13788548774380321</v>
      </c>
      <c r="BB36" s="352">
        <f>AW36*'Assumptions-Output Override'!$D$23</f>
        <v>0</v>
      </c>
      <c r="BC36" s="352">
        <f t="shared" si="16"/>
        <v>46.427688197627667</v>
      </c>
      <c r="BD36" s="352">
        <f t="shared" si="17"/>
        <v>0.24867141310327265</v>
      </c>
      <c r="BE36" s="352">
        <f t="shared" si="17"/>
        <v>72.285696136546406</v>
      </c>
      <c r="BF36" s="352">
        <f t="shared" si="17"/>
        <v>1.9702512042957543</v>
      </c>
      <c r="BG36" s="352">
        <f t="shared" si="17"/>
        <v>0</v>
      </c>
      <c r="BH36" s="352">
        <f t="shared" si="18"/>
        <v>74.504618753945422</v>
      </c>
      <c r="BJ36" s="401">
        <f>D36*'Assumptions-Output Override'!$D$10/'Winners-Losers HRA'!$H$107</f>
        <v>1.1553290378994869</v>
      </c>
      <c r="BK36" s="401">
        <f>E36*'Assumptions-Output Override'!$D$10/'Winners-Losers HRA'!$H$107</f>
        <v>40.141946712250565</v>
      </c>
      <c r="BL36" s="401">
        <f>F36*'Assumptions-Output Override'!$D$10/'Winners-Losers HRA'!$H$107</f>
        <v>2.7673802085731913</v>
      </c>
      <c r="BM36" s="401">
        <f>G36*'Assumptions-Output Override'!$D$10/'Winners-Losers HRA'!$H$107</f>
        <v>0</v>
      </c>
      <c r="BN36" s="401">
        <f t="shared" si="2"/>
        <v>44.064655958723243</v>
      </c>
      <c r="BO36" s="401">
        <f>BJ36*(1-'Assumptions-Output Override'!$D$11)</f>
        <v>0.16465724319188285</v>
      </c>
      <c r="BP36" s="401">
        <f>BK36*(1-'Assumptions-Output Override'!$D$11)</f>
        <v>5.7210215143659191</v>
      </c>
      <c r="BQ36" s="401">
        <f>BL36*(1-'Assumptions-Output Override'!$D$11)</f>
        <v>0.39440642540751447</v>
      </c>
      <c r="BR36" s="401">
        <f>BM36*(1-'Assumptions-Output Override'!$D$11)</f>
        <v>0</v>
      </c>
      <c r="BS36" s="352">
        <f t="shared" si="3"/>
        <v>6.2800851829653164</v>
      </c>
      <c r="BT36" s="352">
        <f t="shared" si="19"/>
        <v>0.99067179470760403</v>
      </c>
      <c r="BU36" s="352">
        <f t="shared" si="19"/>
        <v>34.420925197884642</v>
      </c>
      <c r="BV36" s="352">
        <f t="shared" si="19"/>
        <v>2.3729737831656768</v>
      </c>
      <c r="BW36" s="352">
        <f t="shared" si="19"/>
        <v>0</v>
      </c>
      <c r="BX36" s="352">
        <f t="shared" si="4"/>
        <v>37.784570775757921</v>
      </c>
      <c r="BY36" s="352">
        <f>BT$107*(1-'Assumptions-Output Override'!$D$12)</f>
        <v>22.753074310428271</v>
      </c>
      <c r="BZ36" s="352">
        <f>BU$107*(1-'Assumptions-Output Override'!$D$12)</f>
        <v>51.446038369839215</v>
      </c>
      <c r="CA36" s="352">
        <f>BV$107*(1-'Assumptions-Output Override'!$D$12)</f>
        <v>9.7401900534537411</v>
      </c>
      <c r="CB36" s="352">
        <f>BW$107*(1-'Assumptions-Output Override'!$D$12)</f>
        <v>1.7000814189516649</v>
      </c>
      <c r="CC36" s="352">
        <f t="shared" si="5"/>
        <v>85.639384152672903</v>
      </c>
      <c r="CD36" s="352">
        <f t="shared" si="20"/>
        <v>22.917731553620154</v>
      </c>
      <c r="CE36" s="352">
        <f t="shared" si="20"/>
        <v>57.167059884205131</v>
      </c>
      <c r="CF36" s="352">
        <f t="shared" si="20"/>
        <v>10.134596478861255</v>
      </c>
      <c r="CG36" s="352">
        <f t="shared" si="20"/>
        <v>1.7000814189516649</v>
      </c>
      <c r="CH36" s="352">
        <f t="shared" si="6"/>
        <v>91.919469335638212</v>
      </c>
      <c r="CJ36" s="352">
        <f t="shared" si="21"/>
        <v>91.919469335638212</v>
      </c>
      <c r="CK36" s="352">
        <f t="shared" si="22"/>
        <v>28.07693055631777</v>
      </c>
      <c r="CL36" s="352">
        <f t="shared" si="23"/>
        <v>63.842538779320442</v>
      </c>
      <c r="CN36" s="352">
        <f>('HRA Balance Calc'!U48+'HRA Balance Calc'!V48+'HRA Balance Calc'!W48+'HRA Balance Calc'!X48)/12</f>
        <v>-23.316288760017169</v>
      </c>
      <c r="CO36" s="352">
        <f>('HRA Balance Calc'!Q48+IF('HRA Balance Calc'!L48&lt;0,-'HRA Balance Calc'!L48,0))/12</f>
        <v>0</v>
      </c>
      <c r="CP36" s="352">
        <f>('HRA Balance Calc'!N48)/12</f>
        <v>26.244564839765818</v>
      </c>
      <c r="CQ36" s="352">
        <f>('HRA Balance Calc'!O48)/12</f>
        <v>1.8323657165519511</v>
      </c>
      <c r="CR36" s="352">
        <f>('HRA Balance Calc'!P48)/12</f>
        <v>0</v>
      </c>
      <c r="CS36" s="352">
        <f t="shared" si="7"/>
        <v>28.07693055631777</v>
      </c>
      <c r="CU36" s="577">
        <f t="shared" si="24"/>
        <v>1307.4680749522809</v>
      </c>
      <c r="CV36" s="352">
        <f t="shared" si="25"/>
        <v>108.95567291269008</v>
      </c>
      <c r="CW36" s="352">
        <f t="shared" si="29"/>
        <v>0.51918049384757459</v>
      </c>
      <c r="CX36" s="352">
        <f t="shared" si="29"/>
        <v>18.038943915025548</v>
      </c>
      <c r="CY36" s="352">
        <f t="shared" si="29"/>
        <v>1.2436022779824145</v>
      </c>
      <c r="CZ36" s="352">
        <f t="shared" si="29"/>
        <v>0</v>
      </c>
      <c r="DA36" s="352">
        <f t="shared" si="9"/>
        <v>19.801726686855538</v>
      </c>
      <c r="DC36" s="352">
        <f>('HRA Balance Calc'!Q48+'HRA Balance Calc'!X48+IF('HRA Balance Calc'!L48&lt;0,-'HRA Balance Calc'!L48,0))/12</f>
        <v>0.56756551272919387</v>
      </c>
      <c r="DD36" s="352">
        <f>('HRA Balance Calc'!N48+'HRA Balance Calc'!U48)/12</f>
        <v>2.2228250792756561</v>
      </c>
      <c r="DE36" s="352">
        <f>('HRA Balance Calc'!O48+'HRA Balance Calc'!V48)/12</f>
        <v>1.9702512042957541</v>
      </c>
      <c r="DF36" s="352">
        <f>('HRA Balance Calc'!P48+'HRA Balance Calc'!W48)/12</f>
        <v>0</v>
      </c>
      <c r="DG36" s="352">
        <f t="shared" si="26"/>
        <v>4.7606417963006038</v>
      </c>
      <c r="DI36" s="352">
        <f t="shared" si="27"/>
        <v>22.350166040890961</v>
      </c>
      <c r="DJ36" s="352">
        <f t="shared" si="27"/>
        <v>54.944234804929472</v>
      </c>
      <c r="DK36" s="352">
        <f t="shared" si="27"/>
        <v>8.1643452745655001</v>
      </c>
      <c r="DL36" s="352">
        <f t="shared" si="27"/>
        <v>1.7000814189516649</v>
      </c>
      <c r="DM36" s="352">
        <f t="shared" si="27"/>
        <v>87.158827539337608</v>
      </c>
    </row>
    <row r="37" spans="1:117" x14ac:dyDescent="0.2">
      <c r="A37">
        <v>32</v>
      </c>
      <c r="B37" s="397">
        <v>34308</v>
      </c>
      <c r="C37" s="398">
        <v>397997.79676138877</v>
      </c>
      <c r="D37" s="399">
        <v>0.66491063787590288</v>
      </c>
      <c r="E37" s="399">
        <v>25.045403958991827</v>
      </c>
      <c r="F37" s="399">
        <v>1.9631515743282946</v>
      </c>
      <c r="G37" s="399">
        <v>0</v>
      </c>
      <c r="H37" s="399">
        <v>27.673466171196022</v>
      </c>
      <c r="I37" s="400">
        <v>6.2876677202046872E-4</v>
      </c>
      <c r="J37" s="400">
        <v>7.4266837179323393E-3</v>
      </c>
      <c r="K37" s="400">
        <v>1.0050306892523117E-5</v>
      </c>
      <c r="L37" s="400">
        <v>0.16533772656528484</v>
      </c>
      <c r="M37" s="400">
        <v>0.17773666230224425</v>
      </c>
      <c r="N37" s="400">
        <v>0.12812528213711477</v>
      </c>
      <c r="O37" s="399">
        <f t="shared" si="30"/>
        <v>0.15719169300511718</v>
      </c>
      <c r="P37" s="399">
        <f t="shared" si="30"/>
        <v>0</v>
      </c>
      <c r="Q37" s="399">
        <f t="shared" si="30"/>
        <v>1.0050306892523116E-2</v>
      </c>
      <c r="R37" s="399">
        <f t="shared" si="30"/>
        <v>3.43281887521109</v>
      </c>
      <c r="S37" s="399">
        <f t="shared" si="30"/>
        <v>5.3320998690673278</v>
      </c>
      <c r="T37" s="399">
        <f t="shared" si="30"/>
        <v>7.687516928226886</v>
      </c>
      <c r="U37" s="399">
        <f t="shared" si="10"/>
        <v>16.619677672402943</v>
      </c>
      <c r="V37" s="400">
        <v>1.117406157362757E-5</v>
      </c>
      <c r="W37" s="400">
        <v>1.2775677065847528E-3</v>
      </c>
      <c r="X37" s="400">
        <v>0</v>
      </c>
      <c r="Y37" s="400">
        <v>2.0288405752185334E-2</v>
      </c>
      <c r="Z37" s="400">
        <v>6.8382288096726779E-3</v>
      </c>
      <c r="AA37" s="400">
        <v>5.9418419379285922E-3</v>
      </c>
      <c r="AB37" s="352">
        <f t="shared" si="31"/>
        <v>2.7935153934068925E-3</v>
      </c>
      <c r="AC37" s="352">
        <f t="shared" si="31"/>
        <v>0</v>
      </c>
      <c r="AD37" s="352">
        <f t="shared" si="31"/>
        <v>0</v>
      </c>
      <c r="AE37" s="352">
        <f t="shared" si="31"/>
        <v>0.71919224587924513</v>
      </c>
      <c r="AF37" s="352">
        <f t="shared" si="31"/>
        <v>0.20514686429018034</v>
      </c>
      <c r="AG37" s="352">
        <f t="shared" si="31"/>
        <v>0.35651051627571551</v>
      </c>
      <c r="AH37" s="400">
        <f t="shared" si="11"/>
        <v>1.2836431418385479</v>
      </c>
      <c r="AJ37" s="352">
        <f>D37*('Assumptions-Output Override'!$D$10/'Winners-Losers HRA'!$H$107)*(1+'Assumptions-Output Override'!$F$41)</f>
        <v>0.79364531323286147</v>
      </c>
      <c r="AK37" s="352">
        <f>E37*('Assumptions-Output Override'!$D$10/'Winners-Losers HRA'!$H$107)*(1+'Assumptions-Output Override'!$F$37)</f>
        <v>41.219192274609306</v>
      </c>
      <c r="AL37" s="352">
        <f>F37*('Assumptions-Output Override'!$D$10/'Winners-Losers HRA'!$H$107)*(1+'Assumptions-Output Override'!$F$38)</f>
        <v>3.2977922394164865</v>
      </c>
      <c r="AM37" s="352">
        <f>G37*('Shoppable Detail'!$X$21/'Shoppable Detail'!$H$21)*('Assumptions-Output Override'!$D$10/'Winners-Losers HRA'!$H$107)*(1+'Assumptions-Output Override'!$F$39)</f>
        <v>0</v>
      </c>
      <c r="AN37" s="352">
        <f t="shared" si="12"/>
        <v>45.310629827258651</v>
      </c>
      <c r="AO37" s="352">
        <v>0</v>
      </c>
      <c r="AP37" s="352">
        <f>U37*'Assumptions-Output Override'!$D$10/'Winners-Losers HRA'!$H$107*(1+'Assumptions-Output Override'!$F$37)</f>
        <v>27.352311451732881</v>
      </c>
      <c r="AQ37" s="352">
        <f>AH37*'Assumptions-Output Override'!$D$10/'Winners-Losers HRA'!$H$107*(1+'Assumptions-Output Override'!$F$38)</f>
        <v>2.1563227448618036</v>
      </c>
      <c r="AR37" s="352">
        <f>AM37*('Shoppable Detail'!$AA$23/'Shoppable Detail'!$Y$23)</f>
        <v>0</v>
      </c>
      <c r="AS37" s="352">
        <f t="shared" si="13"/>
        <v>29.508634196594684</v>
      </c>
      <c r="AT37" s="352">
        <f t="shared" si="14"/>
        <v>0.79364531323286147</v>
      </c>
      <c r="AU37" s="352">
        <f t="shared" si="14"/>
        <v>13.866880822876425</v>
      </c>
      <c r="AV37" s="352">
        <f t="shared" si="14"/>
        <v>1.1414694945546828</v>
      </c>
      <c r="AW37" s="352">
        <f t="shared" si="14"/>
        <v>0</v>
      </c>
      <c r="AX37" s="352">
        <f t="shared" si="15"/>
        <v>15.801995630663969</v>
      </c>
      <c r="AY37" s="352">
        <f>AT37*'Assumptions-Output Override'!$D$24</f>
        <v>0.24178874454022534</v>
      </c>
      <c r="AZ37" s="352">
        <f>$AU$107*'Assumptions-Output Override'!$D$21</f>
        <v>46.041131296780591</v>
      </c>
      <c r="BA37" s="352">
        <f>AV37*'Assumptions-Output Override'!$D$22</f>
        <v>0.17122042418320241</v>
      </c>
      <c r="BB37" s="352">
        <f>AW37*'Assumptions-Output Override'!$D$23</f>
        <v>0</v>
      </c>
      <c r="BC37" s="352">
        <f t="shared" si="16"/>
        <v>46.454140465504018</v>
      </c>
      <c r="BD37" s="352">
        <f t="shared" si="17"/>
        <v>0.24178874454022534</v>
      </c>
      <c r="BE37" s="352">
        <f t="shared" si="17"/>
        <v>73.393442748513479</v>
      </c>
      <c r="BF37" s="352">
        <f t="shared" si="17"/>
        <v>2.3275431690450059</v>
      </c>
      <c r="BG37" s="352">
        <f t="shared" si="17"/>
        <v>0</v>
      </c>
      <c r="BH37" s="352">
        <f t="shared" si="18"/>
        <v>75.96277466209871</v>
      </c>
      <c r="BJ37" s="401">
        <f>D37*'Assumptions-Output Override'!$D$10/'Winners-Losers HRA'!$H$107</f>
        <v>1.1233521140146971</v>
      </c>
      <c r="BK37" s="401">
        <f>E37*'Assumptions-Output Override'!$D$10/'Winners-Losers HRA'!$H$107</f>
        <v>42.313667252435415</v>
      </c>
      <c r="BL37" s="401">
        <f>F37*'Assumptions-Output Override'!$D$10/'Winners-Losers HRA'!$H$107</f>
        <v>3.316702043146682</v>
      </c>
      <c r="BM37" s="401">
        <f>G37*'Assumptions-Output Override'!$D$10/'Winners-Losers HRA'!$H$107</f>
        <v>0</v>
      </c>
      <c r="BN37" s="401">
        <f t="shared" si="2"/>
        <v>46.7537214095968</v>
      </c>
      <c r="BO37" s="401">
        <f>BJ37*(1-'Assumptions-Output Override'!$D$11)</f>
        <v>0.16009989895495541</v>
      </c>
      <c r="BP37" s="401">
        <f>BK37*(1-'Assumptions-Output Override'!$D$11)</f>
        <v>6.0305346533935342</v>
      </c>
      <c r="BQ37" s="401">
        <f>BL37*(1-'Assumptions-Output Override'!$D$11)</f>
        <v>0.47269565379082079</v>
      </c>
      <c r="BR37" s="401">
        <f>BM37*(1-'Assumptions-Output Override'!$D$11)</f>
        <v>0</v>
      </c>
      <c r="BS37" s="352">
        <f t="shared" si="3"/>
        <v>6.6633302061393103</v>
      </c>
      <c r="BT37" s="352">
        <f t="shared" si="19"/>
        <v>0.96325221505974179</v>
      </c>
      <c r="BU37" s="352">
        <f t="shared" si="19"/>
        <v>36.283132599041878</v>
      </c>
      <c r="BV37" s="352">
        <f t="shared" si="19"/>
        <v>2.8440063893558611</v>
      </c>
      <c r="BW37" s="352">
        <f t="shared" si="19"/>
        <v>0</v>
      </c>
      <c r="BX37" s="352">
        <f t="shared" si="4"/>
        <v>40.090391203457479</v>
      </c>
      <c r="BY37" s="352">
        <f>BT$107*(1-'Assumptions-Output Override'!$D$12)</f>
        <v>22.753074310428271</v>
      </c>
      <c r="BZ37" s="352">
        <f>BU$107*(1-'Assumptions-Output Override'!$D$12)</f>
        <v>51.446038369839215</v>
      </c>
      <c r="CA37" s="352">
        <f>BV$107*(1-'Assumptions-Output Override'!$D$12)</f>
        <v>9.7401900534537411</v>
      </c>
      <c r="CB37" s="352">
        <f>BW$107*(1-'Assumptions-Output Override'!$D$12)</f>
        <v>1.7000814189516649</v>
      </c>
      <c r="CC37" s="352">
        <f t="shared" si="5"/>
        <v>85.639384152672903</v>
      </c>
      <c r="CD37" s="352">
        <f t="shared" si="20"/>
        <v>22.913174209383225</v>
      </c>
      <c r="CE37" s="352">
        <f t="shared" si="20"/>
        <v>57.476573023232746</v>
      </c>
      <c r="CF37" s="352">
        <f t="shared" si="20"/>
        <v>10.212885707244562</v>
      </c>
      <c r="CG37" s="352">
        <f t="shared" si="20"/>
        <v>1.7000814189516649</v>
      </c>
      <c r="CH37" s="352">
        <f t="shared" si="6"/>
        <v>92.30271435881221</v>
      </c>
      <c r="CJ37" s="352">
        <f t="shared" si="21"/>
        <v>92.30271435881221</v>
      </c>
      <c r="CK37" s="352">
        <f t="shared" si="22"/>
        <v>29.508634196594688</v>
      </c>
      <c r="CL37" s="352">
        <f t="shared" si="23"/>
        <v>62.794080162217526</v>
      </c>
      <c r="CN37" s="352">
        <f>('HRA Balance Calc'!U49+'HRA Balance Calc'!V49+'HRA Balance Calc'!W49+'HRA Balance Calc'!X49)/12</f>
        <v>-23.298662767614321</v>
      </c>
      <c r="CO37" s="352">
        <f>('HRA Balance Calc'!Q49+IF('HRA Balance Calc'!L49&lt;0,-'HRA Balance Calc'!L49,0))/12</f>
        <v>0</v>
      </c>
      <c r="CP37" s="352">
        <f>('HRA Balance Calc'!N49)/12</f>
        <v>27.352311451732884</v>
      </c>
      <c r="CQ37" s="352">
        <f>('HRA Balance Calc'!O49)/12</f>
        <v>2.1563227448618036</v>
      </c>
      <c r="CR37" s="352">
        <f>('HRA Balance Calc'!P49)/12</f>
        <v>0</v>
      </c>
      <c r="CS37" s="352">
        <f t="shared" si="7"/>
        <v>29.508634196594688</v>
      </c>
      <c r="CU37" s="577">
        <f t="shared" si="24"/>
        <v>1307.2565630434467</v>
      </c>
      <c r="CV37" s="352">
        <f t="shared" si="25"/>
        <v>108.93804692028722</v>
      </c>
      <c r="CW37" s="352">
        <f t="shared" si="29"/>
        <v>0.50481073892094752</v>
      </c>
      <c r="CX37" s="352">
        <f t="shared" si="29"/>
        <v>19.014869305598292</v>
      </c>
      <c r="CY37" s="352">
        <f t="shared" si="29"/>
        <v>1.4904559205374737</v>
      </c>
      <c r="CZ37" s="352">
        <f t="shared" si="29"/>
        <v>0</v>
      </c>
      <c r="DA37" s="352">
        <f t="shared" si="9"/>
        <v>21.010135965056715</v>
      </c>
      <c r="DC37" s="352">
        <f>('HRA Balance Calc'!Q49+'HRA Balance Calc'!X49+IF('HRA Balance Calc'!L49&lt;0,-'HRA Balance Calc'!L49,0))/12</f>
        <v>0.55185656869263611</v>
      </c>
      <c r="DD37" s="352">
        <f>('HRA Balance Calc'!N49+'HRA Balance Calc'!U49)/12</f>
        <v>3.3305716912427195</v>
      </c>
      <c r="DE37" s="352">
        <f>('HRA Balance Calc'!O49+'HRA Balance Calc'!V49)/12</f>
        <v>2.3275431690450064</v>
      </c>
      <c r="DF37" s="352">
        <f>('HRA Balance Calc'!P49+'HRA Balance Calc'!W49)/12</f>
        <v>0</v>
      </c>
      <c r="DG37" s="352">
        <f t="shared" si="26"/>
        <v>6.2099714289803618</v>
      </c>
      <c r="DI37" s="352">
        <f t="shared" si="27"/>
        <v>22.36131764069059</v>
      </c>
      <c r="DJ37" s="352">
        <f t="shared" si="27"/>
        <v>54.146001331990028</v>
      </c>
      <c r="DK37" s="352">
        <f t="shared" si="27"/>
        <v>7.8853425381995557</v>
      </c>
      <c r="DL37" s="352">
        <f t="shared" si="27"/>
        <v>1.7000814189516649</v>
      </c>
      <c r="DM37" s="352">
        <f t="shared" si="27"/>
        <v>86.092742929831843</v>
      </c>
    </row>
    <row r="38" spans="1:117" x14ac:dyDescent="0.2">
      <c r="A38">
        <v>33</v>
      </c>
      <c r="B38" s="397">
        <v>34308</v>
      </c>
      <c r="C38" s="398">
        <v>397997.79676138877</v>
      </c>
      <c r="D38" s="399">
        <v>0.61640013197916266</v>
      </c>
      <c r="E38" s="399">
        <v>26.672617198892901</v>
      </c>
      <c r="F38" s="399">
        <v>2.0477544258198876</v>
      </c>
      <c r="G38" s="399">
        <v>0</v>
      </c>
      <c r="H38" s="399">
        <v>29.336771756691952</v>
      </c>
      <c r="I38" s="400">
        <v>5.8510241285237815E-4</v>
      </c>
      <c r="J38" s="400">
        <v>8.1240659115026301E-3</v>
      </c>
      <c r="K38" s="400">
        <v>2.5125767231307792E-6</v>
      </c>
      <c r="L38" s="400">
        <v>0.17660934462240549</v>
      </c>
      <c r="M38" s="400">
        <v>0.18888210088531465</v>
      </c>
      <c r="N38" s="400">
        <v>0.12742547926819719</v>
      </c>
      <c r="O38" s="399">
        <f t="shared" si="30"/>
        <v>0.14627560321309455</v>
      </c>
      <c r="P38" s="399">
        <f t="shared" si="30"/>
        <v>0</v>
      </c>
      <c r="Q38" s="399">
        <f t="shared" si="30"/>
        <v>2.5125767231307791E-3</v>
      </c>
      <c r="R38" s="399">
        <f t="shared" si="30"/>
        <v>3.6668454584021655</v>
      </c>
      <c r="S38" s="399">
        <f t="shared" si="30"/>
        <v>5.6664630265594393</v>
      </c>
      <c r="T38" s="399">
        <f t="shared" si="30"/>
        <v>7.6455287560918315</v>
      </c>
      <c r="U38" s="399">
        <f t="shared" si="10"/>
        <v>17.127625420989659</v>
      </c>
      <c r="V38" s="400">
        <v>1.7381873558976208E-5</v>
      </c>
      <c r="W38" s="400">
        <v>1.29494958014373E-3</v>
      </c>
      <c r="X38" s="400">
        <v>0</v>
      </c>
      <c r="Y38" s="400">
        <v>2.1455214314343968E-2</v>
      </c>
      <c r="Z38" s="400">
        <v>7.0924010709845628E-3</v>
      </c>
      <c r="AA38" s="400">
        <v>5.9192287474203898E-3</v>
      </c>
      <c r="AB38" s="352">
        <f t="shared" si="31"/>
        <v>4.345468389744052E-3</v>
      </c>
      <c r="AC38" s="352">
        <f t="shared" si="31"/>
        <v>0</v>
      </c>
      <c r="AD38" s="352">
        <f t="shared" si="31"/>
        <v>0</v>
      </c>
      <c r="AE38" s="352">
        <f t="shared" si="31"/>
        <v>0.76055378411837515</v>
      </c>
      <c r="AF38" s="352">
        <f t="shared" si="31"/>
        <v>0.21277203212953688</v>
      </c>
      <c r="AG38" s="352">
        <f t="shared" si="31"/>
        <v>0.3551537248452234</v>
      </c>
      <c r="AH38" s="400">
        <f t="shared" si="11"/>
        <v>1.3328250094828795</v>
      </c>
      <c r="AJ38" s="352">
        <f>D38*('Assumptions-Output Override'!$D$10/'Winners-Losers HRA'!$H$107)*(1+'Assumptions-Output Override'!$F$41)</f>
        <v>0.73574259149194621</v>
      </c>
      <c r="AK38" s="352">
        <f>E38*('Assumptions-Output Override'!$D$10/'Winners-Losers HRA'!$H$107)*(1+'Assumptions-Output Override'!$F$37)</f>
        <v>43.897225159089572</v>
      </c>
      <c r="AL38" s="352">
        <f>F38*('Assumptions-Output Override'!$D$10/'Winners-Losers HRA'!$H$107)*(1+'Assumptions-Output Override'!$F$38)</f>
        <v>3.4399119976307468</v>
      </c>
      <c r="AM38" s="352">
        <f>G38*('Shoppable Detail'!$X$21/'Shoppable Detail'!$H$21)*('Assumptions-Output Override'!$D$10/'Winners-Losers HRA'!$H$107)*(1+'Assumptions-Output Override'!$F$39)</f>
        <v>0</v>
      </c>
      <c r="AN38" s="352">
        <f t="shared" si="12"/>
        <v>48.072879748212266</v>
      </c>
      <c r="AO38" s="352">
        <v>0</v>
      </c>
      <c r="AP38" s="352">
        <f>U38*'Assumptions-Output Override'!$D$10/'Winners-Losers HRA'!$H$107*(1+'Assumptions-Output Override'!$F$37)</f>
        <v>28.188281035163531</v>
      </c>
      <c r="AQ38" s="352">
        <f>AH38*'Assumptions-Output Override'!$D$10/'Winners-Losers HRA'!$H$107*(1+'Assumptions-Output Override'!$F$38)</f>
        <v>2.2389407064896418</v>
      </c>
      <c r="AR38" s="352">
        <f>AM38*('Shoppable Detail'!$AA$23/'Shoppable Detail'!$Y$23)</f>
        <v>0</v>
      </c>
      <c r="AS38" s="352">
        <f t="shared" si="13"/>
        <v>30.427221741653174</v>
      </c>
      <c r="AT38" s="352">
        <f t="shared" si="14"/>
        <v>0.73574259149194621</v>
      </c>
      <c r="AU38" s="352">
        <f t="shared" si="14"/>
        <v>15.708944123926042</v>
      </c>
      <c r="AV38" s="352">
        <f t="shared" si="14"/>
        <v>1.200971291141105</v>
      </c>
      <c r="AW38" s="352">
        <f t="shared" si="14"/>
        <v>0</v>
      </c>
      <c r="AX38" s="352">
        <f t="shared" si="15"/>
        <v>17.645658006559092</v>
      </c>
      <c r="AY38" s="352">
        <f>AT38*'Assumptions-Output Override'!$D$24</f>
        <v>0.22414833746950388</v>
      </c>
      <c r="AZ38" s="352">
        <f>$AU$107*'Assumptions-Output Override'!$D$21</f>
        <v>46.041131296780591</v>
      </c>
      <c r="BA38" s="352">
        <f>AV38*'Assumptions-Output Override'!$D$22</f>
        <v>0.18014569367116576</v>
      </c>
      <c r="BB38" s="352">
        <f>AW38*'Assumptions-Output Override'!$D$23</f>
        <v>0</v>
      </c>
      <c r="BC38" s="352">
        <f t="shared" si="16"/>
        <v>46.445425327921257</v>
      </c>
      <c r="BD38" s="352">
        <f t="shared" si="17"/>
        <v>0.22414833746950388</v>
      </c>
      <c r="BE38" s="352">
        <f t="shared" si="17"/>
        <v>74.229412331944118</v>
      </c>
      <c r="BF38" s="352">
        <f t="shared" si="17"/>
        <v>2.4190864001608077</v>
      </c>
      <c r="BG38" s="352">
        <f t="shared" si="17"/>
        <v>0</v>
      </c>
      <c r="BH38" s="352">
        <f t="shared" si="18"/>
        <v>76.872647069574427</v>
      </c>
      <c r="BJ38" s="401">
        <f>D38*'Assumptions-Output Override'!$D$10/'Winners-Losers HRA'!$H$107</f>
        <v>1.0413946655294222</v>
      </c>
      <c r="BK38" s="401">
        <f>E38*'Assumptions-Output Override'!$D$10/'Winners-Losers HRA'!$H$107</f>
        <v>45.062808759382904</v>
      </c>
      <c r="BL38" s="401">
        <f>F38*'Assumptions-Output Override'!$D$10/'Winners-Losers HRA'!$H$107</f>
        <v>3.4596367273899058</v>
      </c>
      <c r="BM38" s="401">
        <f>G38*'Assumptions-Output Override'!$D$10/'Winners-Losers HRA'!$H$107</f>
        <v>0</v>
      </c>
      <c r="BN38" s="401">
        <f t="shared" si="2"/>
        <v>49.563840152302234</v>
      </c>
      <c r="BO38" s="401">
        <f>BJ38*(1-'Assumptions-Output Override'!$D$11)</f>
        <v>0.14841934122296824</v>
      </c>
      <c r="BP38" s="401">
        <f>BK38*(1-'Assumptions-Output Override'!$D$11)</f>
        <v>6.422341703012358</v>
      </c>
      <c r="BQ38" s="401">
        <f>BL38*(1-'Assumptions-Output Override'!$D$11)</f>
        <v>0.49306667390019249</v>
      </c>
      <c r="BR38" s="401">
        <f>BM38*(1-'Assumptions-Output Override'!$D$11)</f>
        <v>0</v>
      </c>
      <c r="BS38" s="352">
        <f t="shared" si="3"/>
        <v>7.0638277181355189</v>
      </c>
      <c r="BT38" s="352">
        <f t="shared" si="19"/>
        <v>0.89297532430645399</v>
      </c>
      <c r="BU38" s="352">
        <f t="shared" si="19"/>
        <v>38.640467056370547</v>
      </c>
      <c r="BV38" s="352">
        <f t="shared" si="19"/>
        <v>2.9665700534897135</v>
      </c>
      <c r="BW38" s="352">
        <f t="shared" si="19"/>
        <v>0</v>
      </c>
      <c r="BX38" s="352">
        <f t="shared" si="4"/>
        <v>42.500012434166713</v>
      </c>
      <c r="BY38" s="352">
        <f>BT$107*(1-'Assumptions-Output Override'!$D$12)</f>
        <v>22.753074310428271</v>
      </c>
      <c r="BZ38" s="352">
        <f>BU$107*(1-'Assumptions-Output Override'!$D$12)</f>
        <v>51.446038369839215</v>
      </c>
      <c r="CA38" s="352">
        <f>BV$107*(1-'Assumptions-Output Override'!$D$12)</f>
        <v>9.7401900534537411</v>
      </c>
      <c r="CB38" s="352">
        <f>BW$107*(1-'Assumptions-Output Override'!$D$12)</f>
        <v>1.7000814189516649</v>
      </c>
      <c r="CC38" s="352">
        <f t="shared" si="5"/>
        <v>85.639384152672903</v>
      </c>
      <c r="CD38" s="352">
        <f t="shared" si="20"/>
        <v>22.90149365165124</v>
      </c>
      <c r="CE38" s="352">
        <f t="shared" si="20"/>
        <v>57.868380072851572</v>
      </c>
      <c r="CF38" s="352">
        <f t="shared" si="20"/>
        <v>10.233256727353934</v>
      </c>
      <c r="CG38" s="352">
        <f t="shared" si="20"/>
        <v>1.7000814189516649</v>
      </c>
      <c r="CH38" s="352">
        <f t="shared" si="6"/>
        <v>92.703211870808417</v>
      </c>
      <c r="CJ38" s="352">
        <f t="shared" si="21"/>
        <v>92.703211870808417</v>
      </c>
      <c r="CK38" s="352">
        <f t="shared" si="22"/>
        <v>30.427221741653174</v>
      </c>
      <c r="CL38" s="352">
        <f t="shared" si="23"/>
        <v>62.275990129155247</v>
      </c>
      <c r="CN38" s="352">
        <f>('HRA Balance Calc'!U50+'HRA Balance Calc'!V50+'HRA Balance Calc'!W50+'HRA Balance Calc'!X50)/12</f>
        <v>-23.329999812796558</v>
      </c>
      <c r="CO38" s="352">
        <f>('HRA Balance Calc'!Q50+IF('HRA Balance Calc'!L50&lt;0,-'HRA Balance Calc'!L50,0))/12</f>
        <v>0</v>
      </c>
      <c r="CP38" s="352">
        <f>('HRA Balance Calc'!N50)/12</f>
        <v>28.188281035163531</v>
      </c>
      <c r="CQ38" s="352">
        <f>('HRA Balance Calc'!O50)/12</f>
        <v>2.2389407064896418</v>
      </c>
      <c r="CR38" s="352">
        <f>('HRA Balance Calc'!P50)/12</f>
        <v>0</v>
      </c>
      <c r="CS38" s="352">
        <f t="shared" si="7"/>
        <v>30.427221741653174</v>
      </c>
      <c r="CU38" s="577">
        <f t="shared" si="24"/>
        <v>1307.6326075856337</v>
      </c>
      <c r="CV38" s="352">
        <f t="shared" si="25"/>
        <v>108.96938396546946</v>
      </c>
      <c r="CW38" s="352">
        <f t="shared" si="29"/>
        <v>0.46798079075619442</v>
      </c>
      <c r="CX38" s="352">
        <f t="shared" si="29"/>
        <v>20.250275495880544</v>
      </c>
      <c r="CY38" s="352">
        <f t="shared" si="29"/>
        <v>1.5546877519196951</v>
      </c>
      <c r="CZ38" s="352">
        <f t="shared" si="29"/>
        <v>0</v>
      </c>
      <c r="DA38" s="352">
        <f t="shared" si="9"/>
        <v>22.272944038556432</v>
      </c>
      <c r="DC38" s="352">
        <f>('HRA Balance Calc'!Q50+'HRA Balance Calc'!X50+IF('HRA Balance Calc'!L50&lt;0,-'HRA Balance Calc'!L50,0))/12</f>
        <v>0.5115942540224423</v>
      </c>
      <c r="DD38" s="352">
        <f>('HRA Balance Calc'!N50+'HRA Balance Calc'!U50)/12</f>
        <v>4.1665412746733681</v>
      </c>
      <c r="DE38" s="352">
        <f>('HRA Balance Calc'!O50+'HRA Balance Calc'!V50)/12</f>
        <v>2.4190864001608077</v>
      </c>
      <c r="DF38" s="352">
        <f>('HRA Balance Calc'!P50+'HRA Balance Calc'!W50)/12</f>
        <v>0</v>
      </c>
      <c r="DG38" s="352">
        <f t="shared" si="26"/>
        <v>7.0972219288566176</v>
      </c>
      <c r="DI38" s="352">
        <f t="shared" si="27"/>
        <v>22.389899397628799</v>
      </c>
      <c r="DJ38" s="352">
        <f t="shared" si="27"/>
        <v>53.701838798178201</v>
      </c>
      <c r="DK38" s="352">
        <f t="shared" si="27"/>
        <v>7.8141703271931267</v>
      </c>
      <c r="DL38" s="352">
        <f t="shared" si="27"/>
        <v>1.7000814189516649</v>
      </c>
      <c r="DM38" s="352">
        <f t="shared" si="27"/>
        <v>85.605989941951805</v>
      </c>
    </row>
    <row r="39" spans="1:117" x14ac:dyDescent="0.2">
      <c r="A39">
        <v>34</v>
      </c>
      <c r="B39" s="397">
        <v>34308</v>
      </c>
      <c r="C39" s="398">
        <v>397997.79676138877</v>
      </c>
      <c r="D39" s="399">
        <v>0.58181593298239487</v>
      </c>
      <c r="E39" s="399">
        <v>28.24860106178134</v>
      </c>
      <c r="F39" s="399">
        <v>2.2442457247369116</v>
      </c>
      <c r="G39" s="399">
        <v>0</v>
      </c>
      <c r="H39" s="399">
        <v>31.074662719500644</v>
      </c>
      <c r="I39" s="400">
        <v>5.9258773156690883E-4</v>
      </c>
      <c r="J39" s="400">
        <v>9.0821867069624303E-3</v>
      </c>
      <c r="K39" s="400">
        <v>1.0050306892523117E-5</v>
      </c>
      <c r="L39" s="400">
        <v>0.18018705188336143</v>
      </c>
      <c r="M39" s="400">
        <v>0.19757159622459342</v>
      </c>
      <c r="N39" s="400">
        <v>0.12938724892207645</v>
      </c>
      <c r="O39" s="399">
        <f t="shared" si="30"/>
        <v>0.1481469328917272</v>
      </c>
      <c r="P39" s="399">
        <f t="shared" si="30"/>
        <v>0</v>
      </c>
      <c r="Q39" s="399">
        <f t="shared" si="30"/>
        <v>1.0050306892523116E-2</v>
      </c>
      <c r="R39" s="399">
        <f t="shared" si="30"/>
        <v>3.7411274826595862</v>
      </c>
      <c r="S39" s="399">
        <f t="shared" si="30"/>
        <v>5.9271478867378029</v>
      </c>
      <c r="T39" s="399">
        <f t="shared" si="30"/>
        <v>7.7632349353245873</v>
      </c>
      <c r="U39" s="399">
        <f t="shared" si="10"/>
        <v>17.589707544506226</v>
      </c>
      <c r="V39" s="400">
        <v>2.1106560750185388E-5</v>
      </c>
      <c r="W39" s="400">
        <v>1.5221554988074882E-3</v>
      </c>
      <c r="X39" s="400">
        <v>0</v>
      </c>
      <c r="Y39" s="400">
        <v>2.2753865651887761E-2</v>
      </c>
      <c r="Z39" s="400">
        <v>7.7599424547859482E-3</v>
      </c>
      <c r="AA39" s="400">
        <v>6.6437553713023807E-3</v>
      </c>
      <c r="AB39" s="352">
        <f t="shared" si="31"/>
        <v>5.2766401875463474E-3</v>
      </c>
      <c r="AC39" s="352">
        <f t="shared" si="31"/>
        <v>0</v>
      </c>
      <c r="AD39" s="352">
        <f t="shared" si="31"/>
        <v>0</v>
      </c>
      <c r="AE39" s="352">
        <f t="shared" si="31"/>
        <v>0.80658894249752011</v>
      </c>
      <c r="AF39" s="352">
        <f t="shared" si="31"/>
        <v>0.23279827364357844</v>
      </c>
      <c r="AG39" s="352">
        <f t="shared" si="31"/>
        <v>0.39862532227814285</v>
      </c>
      <c r="AH39" s="400">
        <f t="shared" si="11"/>
        <v>1.4432891786067878</v>
      </c>
      <c r="AJ39" s="352">
        <f>D39*('Assumptions-Output Override'!$D$10/'Winners-Losers HRA'!$H$107)*(1+'Assumptions-Output Override'!$F$41)</f>
        <v>0.69446247671835737</v>
      </c>
      <c r="AK39" s="352">
        <f>E39*('Assumptions-Output Override'!$D$10/'Winners-Losers HRA'!$H$107)*(1+'Assumptions-Output Override'!$F$37)</f>
        <v>46.490945826260436</v>
      </c>
      <c r="AL39" s="352">
        <f>F39*('Assumptions-Output Override'!$D$10/'Winners-Losers HRA'!$H$107)*(1+'Assumptions-Output Override'!$F$38)</f>
        <v>3.7699871121328656</v>
      </c>
      <c r="AM39" s="352">
        <f>G39*('Shoppable Detail'!$X$21/'Shoppable Detail'!$H$21)*('Assumptions-Output Override'!$D$10/'Winners-Losers HRA'!$H$107)*(1+'Assumptions-Output Override'!$F$39)</f>
        <v>0</v>
      </c>
      <c r="AN39" s="352">
        <f t="shared" si="12"/>
        <v>50.95539541511166</v>
      </c>
      <c r="AO39" s="352">
        <v>0</v>
      </c>
      <c r="AP39" s="352">
        <f>U39*'Assumptions-Output Override'!$D$10/'Winners-Losers HRA'!$H$107*(1+'Assumptions-Output Override'!$F$37)</f>
        <v>28.948765949963672</v>
      </c>
      <c r="AQ39" s="352">
        <f>AH39*'Assumptions-Output Override'!$D$10/'Winners-Losers HRA'!$H$107*(1+'Assumptions-Output Override'!$F$38)</f>
        <v>2.4245034946279236</v>
      </c>
      <c r="AR39" s="352">
        <f>AM39*('Shoppable Detail'!$AA$23/'Shoppable Detail'!$Y$23)</f>
        <v>0</v>
      </c>
      <c r="AS39" s="352">
        <f t="shared" si="13"/>
        <v>31.373269444591596</v>
      </c>
      <c r="AT39" s="352">
        <f t="shared" si="14"/>
        <v>0.69446247671835737</v>
      </c>
      <c r="AU39" s="352">
        <f t="shared" si="14"/>
        <v>17.542179876296764</v>
      </c>
      <c r="AV39" s="352">
        <f t="shared" si="14"/>
        <v>1.3454836175049421</v>
      </c>
      <c r="AW39" s="352">
        <f t="shared" si="14"/>
        <v>0</v>
      </c>
      <c r="AX39" s="352">
        <f t="shared" si="15"/>
        <v>19.582125970520064</v>
      </c>
      <c r="AY39" s="352">
        <f>AT39*'Assumptions-Output Override'!$D$24</f>
        <v>0.21157210604828469</v>
      </c>
      <c r="AZ39" s="352">
        <f>$AU$107*'Assumptions-Output Override'!$D$21</f>
        <v>46.041131296780591</v>
      </c>
      <c r="BA39" s="352">
        <f>AV39*'Assumptions-Output Override'!$D$22</f>
        <v>0.20182254262574131</v>
      </c>
      <c r="BB39" s="352">
        <f>AW39*'Assumptions-Output Override'!$D$23</f>
        <v>0</v>
      </c>
      <c r="BC39" s="352">
        <f t="shared" si="16"/>
        <v>46.45452594545462</v>
      </c>
      <c r="BD39" s="352">
        <f t="shared" si="17"/>
        <v>0.21157210604828469</v>
      </c>
      <c r="BE39" s="352">
        <f t="shared" si="17"/>
        <v>74.989897246744263</v>
      </c>
      <c r="BF39" s="352">
        <f t="shared" si="17"/>
        <v>2.6263260372536648</v>
      </c>
      <c r="BG39" s="352">
        <f t="shared" si="17"/>
        <v>0</v>
      </c>
      <c r="BH39" s="352">
        <f t="shared" si="18"/>
        <v>77.827795390046205</v>
      </c>
      <c r="BJ39" s="401">
        <f>D39*'Assumptions-Output Override'!$D$10/'Winners-Losers HRA'!$H$107</f>
        <v>0.9829654107672583</v>
      </c>
      <c r="BK39" s="401">
        <f>E39*'Assumptions-Output Override'!$D$10/'Winners-Losers HRA'!$H$107</f>
        <v>47.725399344013013</v>
      </c>
      <c r="BL39" s="401">
        <f>F39*'Assumptions-Output Override'!$D$10/'Winners-Losers HRA'!$H$107</f>
        <v>3.7916045189251175</v>
      </c>
      <c r="BM39" s="401">
        <f>G39*'Assumptions-Output Override'!$D$10/'Winners-Losers HRA'!$H$107</f>
        <v>0</v>
      </c>
      <c r="BN39" s="401">
        <f t="shared" si="2"/>
        <v>52.499969273705389</v>
      </c>
      <c r="BO39" s="401">
        <f>BJ39*(1-'Assumptions-Output Override'!$D$11)</f>
        <v>0.14009201654290501</v>
      </c>
      <c r="BP39" s="401">
        <f>BK39*(1-'Assumptions-Output Override'!$D$11)</f>
        <v>6.8018135340077448</v>
      </c>
      <c r="BQ39" s="401">
        <f>BL39*(1-'Assumptions-Output Override'!$D$11)</f>
        <v>0.54037865134521978</v>
      </c>
      <c r="BR39" s="401">
        <f>BM39*(1-'Assumptions-Output Override'!$D$11)</f>
        <v>0</v>
      </c>
      <c r="BS39" s="352">
        <f t="shared" si="3"/>
        <v>7.4822842018958697</v>
      </c>
      <c r="BT39" s="352">
        <f t="shared" si="19"/>
        <v>0.84287339422435326</v>
      </c>
      <c r="BU39" s="352">
        <f t="shared" si="19"/>
        <v>40.923585810005271</v>
      </c>
      <c r="BV39" s="352">
        <f t="shared" si="19"/>
        <v>3.2512258675798975</v>
      </c>
      <c r="BW39" s="352">
        <f t="shared" si="19"/>
        <v>0</v>
      </c>
      <c r="BX39" s="352">
        <f t="shared" si="4"/>
        <v>45.017685071809524</v>
      </c>
      <c r="BY39" s="352">
        <f>BT$107*(1-'Assumptions-Output Override'!$D$12)</f>
        <v>22.753074310428271</v>
      </c>
      <c r="BZ39" s="352">
        <f>BU$107*(1-'Assumptions-Output Override'!$D$12)</f>
        <v>51.446038369839215</v>
      </c>
      <c r="CA39" s="352">
        <f>BV$107*(1-'Assumptions-Output Override'!$D$12)</f>
        <v>9.7401900534537411</v>
      </c>
      <c r="CB39" s="352">
        <f>BW$107*(1-'Assumptions-Output Override'!$D$12)</f>
        <v>1.7000814189516649</v>
      </c>
      <c r="CC39" s="352">
        <f t="shared" si="5"/>
        <v>85.639384152672903</v>
      </c>
      <c r="CD39" s="352">
        <f t="shared" si="20"/>
        <v>22.893166326971176</v>
      </c>
      <c r="CE39" s="352">
        <f t="shared" si="20"/>
        <v>58.247851903846957</v>
      </c>
      <c r="CF39" s="352">
        <f t="shared" si="20"/>
        <v>10.280568704798961</v>
      </c>
      <c r="CG39" s="352">
        <f t="shared" si="20"/>
        <v>1.7000814189516649</v>
      </c>
      <c r="CH39" s="352">
        <f t="shared" si="6"/>
        <v>93.121668354568769</v>
      </c>
      <c r="CJ39" s="352">
        <f t="shared" si="21"/>
        <v>93.121668354568769</v>
      </c>
      <c r="CK39" s="352">
        <f t="shared" si="22"/>
        <v>31.373269444591596</v>
      </c>
      <c r="CL39" s="352">
        <f t="shared" si="23"/>
        <v>61.748398909977169</v>
      </c>
      <c r="CN39" s="352">
        <f>('HRA Balance Calc'!U51+'HRA Balance Calc'!V51+'HRA Balance Calc'!W51+'HRA Balance Calc'!X51)/12</f>
        <v>-23.337026847194352</v>
      </c>
      <c r="CO39" s="352">
        <f>('HRA Balance Calc'!Q51+IF('HRA Balance Calc'!L51&lt;0,-'HRA Balance Calc'!L51,0))/12</f>
        <v>0</v>
      </c>
      <c r="CP39" s="352">
        <f>('HRA Balance Calc'!N51)/12</f>
        <v>28.948765949963672</v>
      </c>
      <c r="CQ39" s="352">
        <f>('HRA Balance Calc'!O51)/12</f>
        <v>2.4245034946279236</v>
      </c>
      <c r="CR39" s="352">
        <f>('HRA Balance Calc'!P51)/12</f>
        <v>0</v>
      </c>
      <c r="CS39" s="352">
        <f t="shared" si="7"/>
        <v>31.373269444591596</v>
      </c>
      <c r="CU39" s="577">
        <f t="shared" si="24"/>
        <v>1307.7169319984071</v>
      </c>
      <c r="CV39" s="352">
        <f t="shared" si="25"/>
        <v>108.97641099986726</v>
      </c>
      <c r="CW39" s="352">
        <f t="shared" si="29"/>
        <v>0.44172391643948983</v>
      </c>
      <c r="CX39" s="352">
        <f t="shared" si="29"/>
        <v>21.446787527773594</v>
      </c>
      <c r="CY39" s="352">
        <f t="shared" si="29"/>
        <v>1.7038670733916919</v>
      </c>
      <c r="CZ39" s="352">
        <f t="shared" si="29"/>
        <v>0</v>
      </c>
      <c r="DA39" s="352">
        <f t="shared" si="9"/>
        <v>23.592378517604775</v>
      </c>
      <c r="DC39" s="352">
        <f>('HRA Balance Calc'!Q51+'HRA Balance Calc'!X51+IF('HRA Balance Calc'!L51&lt;0,-'HRA Balance Calc'!L51,0))/12</f>
        <v>0.48289037067007262</v>
      </c>
      <c r="DD39" s="352">
        <f>('HRA Balance Calc'!N51+'HRA Balance Calc'!U51)/12</f>
        <v>4.9270261894735086</v>
      </c>
      <c r="DE39" s="352">
        <f>('HRA Balance Calc'!O51+'HRA Balance Calc'!V51)/12</f>
        <v>2.6263260372536648</v>
      </c>
      <c r="DF39" s="352">
        <f>('HRA Balance Calc'!P51+'HRA Balance Calc'!W51)/12</f>
        <v>0</v>
      </c>
      <c r="DG39" s="352">
        <f t="shared" si="26"/>
        <v>8.036242597397246</v>
      </c>
      <c r="DI39" s="352">
        <f t="shared" si="27"/>
        <v>22.410275956301103</v>
      </c>
      <c r="DJ39" s="352">
        <f t="shared" si="27"/>
        <v>53.320825714373449</v>
      </c>
      <c r="DK39" s="352">
        <f t="shared" si="27"/>
        <v>7.6542426675452964</v>
      </c>
      <c r="DL39" s="352">
        <f t="shared" si="27"/>
        <v>1.7000814189516649</v>
      </c>
      <c r="DM39" s="352">
        <f t="shared" si="27"/>
        <v>85.085425757171521</v>
      </c>
    </row>
    <row r="40" spans="1:117" x14ac:dyDescent="0.2">
      <c r="A40">
        <v>35</v>
      </c>
      <c r="B40" s="397">
        <v>34308</v>
      </c>
      <c r="C40" s="398">
        <v>397997.79676138877</v>
      </c>
      <c r="D40" s="399">
        <v>0.48214983457700239</v>
      </c>
      <c r="E40" s="399">
        <v>30.066138497299065</v>
      </c>
      <c r="F40" s="399">
        <v>2.3212444528251921</v>
      </c>
      <c r="G40" s="399">
        <v>9.4642049751508936E-4</v>
      </c>
      <c r="H40" s="399">
        <v>32.87047920519877</v>
      </c>
      <c r="I40" s="400">
        <v>5.8634996597146656E-4</v>
      </c>
      <c r="J40" s="400">
        <v>9.7309143288883213E-3</v>
      </c>
      <c r="K40" s="400">
        <v>5.0251534462615584E-6</v>
      </c>
      <c r="L40" s="400">
        <v>0.18886691449101906</v>
      </c>
      <c r="M40" s="400">
        <v>0.2057005859484719</v>
      </c>
      <c r="N40" s="400">
        <v>0.13608015029409359</v>
      </c>
      <c r="O40" s="399">
        <f t="shared" si="30"/>
        <v>0.14658749149286665</v>
      </c>
      <c r="P40" s="399">
        <f t="shared" si="30"/>
        <v>0</v>
      </c>
      <c r="Q40" s="399">
        <f t="shared" si="30"/>
        <v>5.0251534462615582E-3</v>
      </c>
      <c r="R40" s="399">
        <f t="shared" si="30"/>
        <v>3.9213428322521713</v>
      </c>
      <c r="S40" s="399">
        <f t="shared" si="30"/>
        <v>6.1710175784541574</v>
      </c>
      <c r="T40" s="399">
        <f t="shared" si="30"/>
        <v>8.1648090176456165</v>
      </c>
      <c r="U40" s="399">
        <f t="shared" si="10"/>
        <v>18.408782073291071</v>
      </c>
      <c r="V40" s="400">
        <v>1.3657186367767025E-5</v>
      </c>
      <c r="W40" s="400">
        <v>1.3346795768499607E-3</v>
      </c>
      <c r="X40" s="400">
        <v>0</v>
      </c>
      <c r="Y40" s="400">
        <v>2.3402092630864717E-2</v>
      </c>
      <c r="Z40" s="400">
        <v>8.0439641275686768E-3</v>
      </c>
      <c r="AA40" s="400">
        <v>6.6301874569974755E-3</v>
      </c>
      <c r="AB40" s="352">
        <f t="shared" si="31"/>
        <v>3.4142965919417563E-3</v>
      </c>
      <c r="AC40" s="352">
        <f t="shared" si="31"/>
        <v>0</v>
      </c>
      <c r="AD40" s="352">
        <f t="shared" si="31"/>
        <v>0</v>
      </c>
      <c r="AE40" s="352">
        <f t="shared" si="31"/>
        <v>0.82956757485259014</v>
      </c>
      <c r="AF40" s="352">
        <f t="shared" si="31"/>
        <v>0.2413189238270603</v>
      </c>
      <c r="AG40" s="352">
        <f t="shared" si="31"/>
        <v>0.39781124741984852</v>
      </c>
      <c r="AH40" s="400">
        <f t="shared" si="11"/>
        <v>1.4721120426914407</v>
      </c>
      <c r="AJ40" s="352">
        <f>D40*('Assumptions-Output Override'!$D$10/'Winners-Losers HRA'!$H$107)*(1+'Assumptions-Output Override'!$F$41)</f>
        <v>0.5754998261276959</v>
      </c>
      <c r="AK40" s="352">
        <f>E40*('Assumptions-Output Override'!$D$10/'Winners-Losers HRA'!$H$107)*(1+'Assumptions-Output Override'!$F$37)</f>
        <v>49.482210217266939</v>
      </c>
      <c r="AL40" s="352">
        <f>F40*('Assumptions-Output Override'!$D$10/'Winners-Losers HRA'!$H$107)*(1+'Assumptions-Output Override'!$F$38)</f>
        <v>3.8993331143748748</v>
      </c>
      <c r="AM40" s="352">
        <f>G40*('Shoppable Detail'!$X$21/'Shoppable Detail'!$H$21)*('Assumptions-Output Override'!$D$10/'Winners-Losers HRA'!$H$107)*(1+'Assumptions-Output Override'!$F$39)</f>
        <v>1.622914169105384E-3</v>
      </c>
      <c r="AN40" s="352">
        <f t="shared" si="12"/>
        <v>53.958666071938616</v>
      </c>
      <c r="AO40" s="352">
        <v>0</v>
      </c>
      <c r="AP40" s="352">
        <f>U40*'Assumptions-Output Override'!$D$10/'Winners-Losers HRA'!$H$107*(1+'Assumptions-Output Override'!$F$37)</f>
        <v>30.296781360076334</v>
      </c>
      <c r="AQ40" s="352">
        <f>AH40*'Assumptions-Output Override'!$D$10/'Winners-Losers HRA'!$H$107*(1+'Assumptions-Output Override'!$F$38)</f>
        <v>2.4729214663928634</v>
      </c>
      <c r="AR40" s="352">
        <f>AM40*('Shoppable Detail'!$AA$23/'Shoppable Detail'!$Y$23)</f>
        <v>5.4226658451417257E-5</v>
      </c>
      <c r="AS40" s="352">
        <f t="shared" si="13"/>
        <v>32.769757053127648</v>
      </c>
      <c r="AT40" s="352">
        <f t="shared" si="14"/>
        <v>0.5754998261276959</v>
      </c>
      <c r="AU40" s="352">
        <f t="shared" si="14"/>
        <v>19.185428857190605</v>
      </c>
      <c r="AV40" s="352">
        <f t="shared" si="14"/>
        <v>1.4264116479820115</v>
      </c>
      <c r="AW40" s="352">
        <f t="shared" si="14"/>
        <v>1.5686875106539668E-3</v>
      </c>
      <c r="AX40" s="352">
        <f t="shared" si="15"/>
        <v>21.188909018810968</v>
      </c>
      <c r="AY40" s="352">
        <f>AT40*'Assumptions-Output Override'!$D$24</f>
        <v>0.17532943006456853</v>
      </c>
      <c r="AZ40" s="352">
        <f>$AU$107*'Assumptions-Output Override'!$D$21</f>
        <v>46.041131296780591</v>
      </c>
      <c r="BA40" s="352">
        <f>AV40*'Assumptions-Output Override'!$D$22</f>
        <v>0.21396174719730171</v>
      </c>
      <c r="BB40" s="352">
        <f>AW40*'Assumptions-Output Override'!$D$23</f>
        <v>2.3530312659809501E-4</v>
      </c>
      <c r="BC40" s="352">
        <f t="shared" si="16"/>
        <v>46.430657777169067</v>
      </c>
      <c r="BD40" s="352">
        <f t="shared" si="17"/>
        <v>0.17532943006456853</v>
      </c>
      <c r="BE40" s="352">
        <f t="shared" si="17"/>
        <v>76.337912656856929</v>
      </c>
      <c r="BF40" s="352">
        <f t="shared" si="17"/>
        <v>2.686883213590165</v>
      </c>
      <c r="BG40" s="352">
        <f t="shared" si="17"/>
        <v>2.8952978504951228E-4</v>
      </c>
      <c r="BH40" s="352">
        <f t="shared" si="18"/>
        <v>79.200414830296708</v>
      </c>
      <c r="BJ40" s="401">
        <f>D40*'Assumptions-Output Override'!$D$10/'Winners-Losers HRA'!$H$107</f>
        <v>0.81458169728516117</v>
      </c>
      <c r="BK40" s="401">
        <f>E40*'Assumptions-Output Override'!$D$10/'Winners-Losers HRA'!$H$107</f>
        <v>50.796089455111442</v>
      </c>
      <c r="BL40" s="401">
        <f>F40*'Assumptions-Output Override'!$D$10/'Winners-Losers HRA'!$H$107</f>
        <v>3.9216922014605204</v>
      </c>
      <c r="BM40" s="401">
        <f>G40*'Assumptions-Output Override'!$D$10/'Winners-Losers HRA'!$H$107</f>
        <v>1.5989569215297216E-3</v>
      </c>
      <c r="BN40" s="401">
        <f t="shared" si="2"/>
        <v>55.533962310778655</v>
      </c>
      <c r="BO40" s="401">
        <f>BJ40*(1-'Assumptions-Output Override'!$D$11)</f>
        <v>0.11609400632169382</v>
      </c>
      <c r="BP40" s="401">
        <f>BK40*(1-'Assumptions-Output Override'!$D$11)</f>
        <v>7.2394476207518119</v>
      </c>
      <c r="BQ40" s="401">
        <f>BL40*(1-'Assumptions-Output Override'!$D$11)</f>
        <v>0.55891871956547667</v>
      </c>
      <c r="BR40" s="401">
        <f>BM40*(1-'Assumptions-Output Override'!$D$11)</f>
        <v>2.2788299267569257E-4</v>
      </c>
      <c r="BS40" s="352">
        <f t="shared" si="3"/>
        <v>7.9146882296316585</v>
      </c>
      <c r="BT40" s="352">
        <f t="shared" si="19"/>
        <v>0.6984876909634673</v>
      </c>
      <c r="BU40" s="352">
        <f t="shared" si="19"/>
        <v>43.556641834359631</v>
      </c>
      <c r="BV40" s="352">
        <f t="shared" si="19"/>
        <v>3.3627734818950437</v>
      </c>
      <c r="BW40" s="352">
        <f t="shared" si="19"/>
        <v>1.3710739288540291E-3</v>
      </c>
      <c r="BX40" s="352">
        <f t="shared" si="4"/>
        <v>47.619274081146997</v>
      </c>
      <c r="BY40" s="352">
        <f>BT$107*(1-'Assumptions-Output Override'!$D$12)</f>
        <v>22.753074310428271</v>
      </c>
      <c r="BZ40" s="352">
        <f>BU$107*(1-'Assumptions-Output Override'!$D$12)</f>
        <v>51.446038369839215</v>
      </c>
      <c r="CA40" s="352">
        <f>BV$107*(1-'Assumptions-Output Override'!$D$12)</f>
        <v>9.7401900534537411</v>
      </c>
      <c r="CB40" s="352">
        <f>BW$107*(1-'Assumptions-Output Override'!$D$12)</f>
        <v>1.7000814189516649</v>
      </c>
      <c r="CC40" s="352">
        <f t="shared" si="5"/>
        <v>85.639384152672903</v>
      </c>
      <c r="CD40" s="352">
        <f t="shared" si="20"/>
        <v>22.869168316749967</v>
      </c>
      <c r="CE40" s="352">
        <f t="shared" si="20"/>
        <v>58.685485990591026</v>
      </c>
      <c r="CF40" s="352">
        <f t="shared" si="20"/>
        <v>10.299108773019217</v>
      </c>
      <c r="CG40" s="352">
        <f t="shared" si="20"/>
        <v>1.7003093019443405</v>
      </c>
      <c r="CH40" s="352">
        <f t="shared" si="6"/>
        <v>93.554072382304554</v>
      </c>
      <c r="CJ40" s="352">
        <f t="shared" si="21"/>
        <v>93.554072382304554</v>
      </c>
      <c r="CK40" s="352">
        <f t="shared" si="22"/>
        <v>32.769757053127648</v>
      </c>
      <c r="CL40" s="352">
        <f t="shared" si="23"/>
        <v>60.784315329176906</v>
      </c>
      <c r="CN40" s="352">
        <f>('HRA Balance Calc'!U52+'HRA Balance Calc'!V52+'HRA Balance Calc'!W52+'HRA Balance Calc'!X52)/12</f>
        <v>-23.407372314103139</v>
      </c>
      <c r="CO40" s="352">
        <f>('HRA Balance Calc'!Q52+IF('HRA Balance Calc'!L52&lt;0,-'HRA Balance Calc'!L52,0))/12</f>
        <v>0</v>
      </c>
      <c r="CP40" s="352">
        <f>('HRA Balance Calc'!N52)/12</f>
        <v>30.296781360076334</v>
      </c>
      <c r="CQ40" s="352">
        <f>('HRA Balance Calc'!O52)/12</f>
        <v>2.4729214663928634</v>
      </c>
      <c r="CR40" s="352">
        <f>('HRA Balance Calc'!P52)/12</f>
        <v>5.4226658451417263E-5</v>
      </c>
      <c r="CS40" s="352">
        <f t="shared" si="7"/>
        <v>32.769757053127648</v>
      </c>
      <c r="CU40" s="577">
        <f t="shared" si="24"/>
        <v>1308.5610776013125</v>
      </c>
      <c r="CV40" s="352">
        <f t="shared" si="25"/>
        <v>109.04675646677605</v>
      </c>
      <c r="CW40" s="352">
        <f t="shared" si="29"/>
        <v>0.36605582825530858</v>
      </c>
      <c r="CX40" s="352">
        <f t="shared" si="29"/>
        <v>22.826690876547254</v>
      </c>
      <c r="CY40" s="352">
        <f t="shared" si="29"/>
        <v>1.7623257332597153</v>
      </c>
      <c r="CZ40" s="352">
        <f t="shared" si="29"/>
        <v>7.1853750483939684E-4</v>
      </c>
      <c r="DA40" s="352">
        <f t="shared" si="9"/>
        <v>24.955790975567115</v>
      </c>
      <c r="DC40" s="352">
        <f>('HRA Balance Calc'!Q52+'HRA Balance Calc'!X52+IF('HRA Balance Calc'!L52&lt;0,-'HRA Balance Calc'!L52,0))/12</f>
        <v>0.40017039606312738</v>
      </c>
      <c r="DD40" s="352">
        <f>('HRA Balance Calc'!N52+'HRA Balance Calc'!U52)/12</f>
        <v>6.2750415995861699</v>
      </c>
      <c r="DE40" s="352">
        <f>('HRA Balance Calc'!O52+'HRA Balance Calc'!V52)/12</f>
        <v>2.6868832135901655</v>
      </c>
      <c r="DF40" s="352">
        <f>('HRA Balance Calc'!P52+'HRA Balance Calc'!W52)/12</f>
        <v>2.8952978504951228E-4</v>
      </c>
      <c r="DG40" s="352">
        <f t="shared" si="26"/>
        <v>9.3623847390245132</v>
      </c>
      <c r="DI40" s="352">
        <f t="shared" si="27"/>
        <v>22.468997920686839</v>
      </c>
      <c r="DJ40" s="352">
        <f t="shared" si="27"/>
        <v>52.410444391004859</v>
      </c>
      <c r="DK40" s="352">
        <f t="shared" si="27"/>
        <v>7.6122255594290511</v>
      </c>
      <c r="DL40" s="352">
        <f t="shared" si="27"/>
        <v>1.7000197721592909</v>
      </c>
      <c r="DM40" s="352">
        <f t="shared" si="27"/>
        <v>84.191687643280034</v>
      </c>
    </row>
    <row r="41" spans="1:117" x14ac:dyDescent="0.2">
      <c r="A41">
        <v>36</v>
      </c>
      <c r="B41" s="397">
        <v>34308</v>
      </c>
      <c r="C41" s="398">
        <v>397997.79676138877</v>
      </c>
      <c r="D41" s="399">
        <v>0.54648495776667683</v>
      </c>
      <c r="E41" s="399">
        <v>31.718461068252545</v>
      </c>
      <c r="F41" s="399">
        <v>2.4994799600972968</v>
      </c>
      <c r="G41" s="399">
        <v>0</v>
      </c>
      <c r="H41" s="399">
        <v>34.764425986116521</v>
      </c>
      <c r="I41" s="400">
        <v>6.362520907349969E-4</v>
      </c>
      <c r="J41" s="400">
        <v>1.0702758208658071E-2</v>
      </c>
      <c r="K41" s="400">
        <v>2.5125767231307792E-6</v>
      </c>
      <c r="L41" s="400">
        <v>0.19721166970498538</v>
      </c>
      <c r="M41" s="400">
        <v>0.21534194585354202</v>
      </c>
      <c r="N41" s="400">
        <v>0.14056751181852845</v>
      </c>
      <c r="O41" s="399">
        <f t="shared" si="30"/>
        <v>0.15906302268374922</v>
      </c>
      <c r="P41" s="399">
        <f t="shared" si="30"/>
        <v>0</v>
      </c>
      <c r="Q41" s="399">
        <f t="shared" si="30"/>
        <v>2.5125767231307791E-3</v>
      </c>
      <c r="R41" s="399">
        <f t="shared" si="30"/>
        <v>4.0946005260804981</v>
      </c>
      <c r="S41" s="399">
        <f t="shared" si="30"/>
        <v>6.4602583756062604</v>
      </c>
      <c r="T41" s="399">
        <f t="shared" si="30"/>
        <v>8.4340507091117072</v>
      </c>
      <c r="U41" s="399">
        <f t="shared" si="10"/>
        <v>19.150485210205346</v>
      </c>
      <c r="V41" s="400">
        <v>3.1039059926743186E-5</v>
      </c>
      <c r="W41" s="400">
        <v>1.5060151876455817E-3</v>
      </c>
      <c r="X41" s="400">
        <v>0</v>
      </c>
      <c r="Y41" s="400">
        <v>2.5106160502717835E-2</v>
      </c>
      <c r="Z41" s="400">
        <v>8.5342180977859283E-3</v>
      </c>
      <c r="AA41" s="400">
        <v>7.1095870957708267E-3</v>
      </c>
      <c r="AB41" s="352">
        <f t="shared" si="31"/>
        <v>7.7597649816857966E-3</v>
      </c>
      <c r="AC41" s="352">
        <f t="shared" si="31"/>
        <v>0</v>
      </c>
      <c r="AD41" s="352">
        <f t="shared" si="31"/>
        <v>0</v>
      </c>
      <c r="AE41" s="352">
        <f t="shared" si="31"/>
        <v>0.88997411516227909</v>
      </c>
      <c r="AF41" s="352">
        <f t="shared" si="31"/>
        <v>0.25602654293357785</v>
      </c>
      <c r="AG41" s="352">
        <f t="shared" si="31"/>
        <v>0.42657522574624962</v>
      </c>
      <c r="AH41" s="400">
        <f t="shared" si="11"/>
        <v>1.5803356488237925</v>
      </c>
      <c r="AJ41" s="352">
        <f>D41*('Assumptions-Output Override'!$D$10/'Winners-Losers HRA'!$H$107)*(1+'Assumptions-Output Override'!$F$41)</f>
        <v>0.65229100089195557</v>
      </c>
      <c r="AK41" s="352">
        <f>E41*('Assumptions-Output Override'!$D$10/'Winners-Losers HRA'!$H$107)*(1+'Assumptions-Output Override'!$F$37)</f>
        <v>52.201567503870265</v>
      </c>
      <c r="AL41" s="352">
        <f>F41*('Assumptions-Output Override'!$D$10/'Winners-Losers HRA'!$H$107)*(1+'Assumptions-Output Override'!$F$38)</f>
        <v>4.1987413110504281</v>
      </c>
      <c r="AM41" s="352">
        <f>G41*('Shoppable Detail'!$X$21/'Shoppable Detail'!$H$21)*('Assumptions-Output Override'!$D$10/'Winners-Losers HRA'!$H$107)*(1+'Assumptions-Output Override'!$F$39)</f>
        <v>0</v>
      </c>
      <c r="AN41" s="352">
        <f t="shared" si="12"/>
        <v>57.052599815812648</v>
      </c>
      <c r="AO41" s="352">
        <v>0</v>
      </c>
      <c r="AP41" s="352">
        <f>U41*'Assumptions-Output Override'!$D$10/'Winners-Losers HRA'!$H$107*(1+'Assumptions-Output Override'!$F$37)</f>
        <v>31.517460581749432</v>
      </c>
      <c r="AQ41" s="352">
        <f>AH41*'Assumptions-Output Override'!$D$10/'Winners-Losers HRA'!$H$107*(1+'Assumptions-Output Override'!$F$38)</f>
        <v>2.6547204538434634</v>
      </c>
      <c r="AR41" s="352">
        <f>AM41*('Shoppable Detail'!$AA$23/'Shoppable Detail'!$Y$23)</f>
        <v>0</v>
      </c>
      <c r="AS41" s="352">
        <f t="shared" si="13"/>
        <v>34.172181035592899</v>
      </c>
      <c r="AT41" s="352">
        <f t="shared" si="14"/>
        <v>0.65229100089195557</v>
      </c>
      <c r="AU41" s="352">
        <f t="shared" si="14"/>
        <v>20.684106922120833</v>
      </c>
      <c r="AV41" s="352">
        <f t="shared" si="14"/>
        <v>1.5440208572069647</v>
      </c>
      <c r="AW41" s="352">
        <f t="shared" si="14"/>
        <v>0</v>
      </c>
      <c r="AX41" s="352">
        <f t="shared" si="15"/>
        <v>22.880418780219756</v>
      </c>
      <c r="AY41" s="352">
        <f>AT41*'Assumptions-Output Override'!$D$24</f>
        <v>0.19872431620380238</v>
      </c>
      <c r="AZ41" s="352">
        <f>$AU$107*'Assumptions-Output Override'!$D$21</f>
        <v>46.041131296780591</v>
      </c>
      <c r="BA41" s="352">
        <f>AV41*'Assumptions-Output Override'!$D$22</f>
        <v>0.2316031285810447</v>
      </c>
      <c r="BB41" s="352">
        <f>AW41*'Assumptions-Output Override'!$D$23</f>
        <v>0</v>
      </c>
      <c r="BC41" s="352">
        <f t="shared" si="16"/>
        <v>46.471458741565435</v>
      </c>
      <c r="BD41" s="352">
        <f t="shared" si="17"/>
        <v>0.19872431620380238</v>
      </c>
      <c r="BE41" s="352">
        <f t="shared" si="17"/>
        <v>77.558591878530024</v>
      </c>
      <c r="BF41" s="352">
        <f t="shared" si="17"/>
        <v>2.8863235824245081</v>
      </c>
      <c r="BG41" s="352">
        <f t="shared" si="17"/>
        <v>0</v>
      </c>
      <c r="BH41" s="352">
        <f t="shared" si="18"/>
        <v>80.643639777158342</v>
      </c>
      <c r="BJ41" s="401">
        <f>D41*'Assumptions-Output Override'!$D$10/'Winners-Losers HRA'!$H$107</f>
        <v>0.92327449376588955</v>
      </c>
      <c r="BK41" s="401">
        <f>E41*'Assumptions-Output Override'!$D$10/'Winners-Losers HRA'!$H$107</f>
        <v>53.587652632750384</v>
      </c>
      <c r="BL41" s="401">
        <f>F41*'Assumptions-Output Override'!$D$10/'Winners-Losers HRA'!$H$107</f>
        <v>4.2228172286163792</v>
      </c>
      <c r="BM41" s="401">
        <f>G41*'Assumptions-Output Override'!$D$10/'Winners-Losers HRA'!$H$107</f>
        <v>0</v>
      </c>
      <c r="BN41" s="401">
        <f t="shared" si="2"/>
        <v>58.73374435513265</v>
      </c>
      <c r="BO41" s="401">
        <f>BJ41*(1-'Assumptions-Output Override'!$D$11)</f>
        <v>0.13158488003492785</v>
      </c>
      <c r="BP41" s="401">
        <f>BK41*(1-'Assumptions-Output Override'!$D$11)</f>
        <v>7.6373005976506665</v>
      </c>
      <c r="BQ41" s="401">
        <f>BL41*(1-'Assumptions-Output Override'!$D$11)</f>
        <v>0.60183499293960629</v>
      </c>
      <c r="BR41" s="401">
        <f>BM41*(1-'Assumptions-Output Override'!$D$11)</f>
        <v>0</v>
      </c>
      <c r="BS41" s="352">
        <f t="shared" si="3"/>
        <v>8.3707204706252014</v>
      </c>
      <c r="BT41" s="352">
        <f t="shared" si="19"/>
        <v>0.79168961373096169</v>
      </c>
      <c r="BU41" s="352">
        <f t="shared" si="19"/>
        <v>45.950352035099719</v>
      </c>
      <c r="BV41" s="352">
        <f t="shared" si="19"/>
        <v>3.6209822356767729</v>
      </c>
      <c r="BW41" s="352">
        <f t="shared" si="19"/>
        <v>0</v>
      </c>
      <c r="BX41" s="352">
        <f t="shared" si="4"/>
        <v>50.363023884507449</v>
      </c>
      <c r="BY41" s="352">
        <f>BT$107*(1-'Assumptions-Output Override'!$D$12)</f>
        <v>22.753074310428271</v>
      </c>
      <c r="BZ41" s="352">
        <f>BU$107*(1-'Assumptions-Output Override'!$D$12)</f>
        <v>51.446038369839215</v>
      </c>
      <c r="CA41" s="352">
        <f>BV$107*(1-'Assumptions-Output Override'!$D$12)</f>
        <v>9.7401900534537411</v>
      </c>
      <c r="CB41" s="352">
        <f>BW$107*(1-'Assumptions-Output Override'!$D$12)</f>
        <v>1.7000814189516649</v>
      </c>
      <c r="CC41" s="352">
        <f t="shared" si="5"/>
        <v>85.639384152672903</v>
      </c>
      <c r="CD41" s="352">
        <f t="shared" si="20"/>
        <v>22.8846591904632</v>
      </c>
      <c r="CE41" s="352">
        <f t="shared" si="20"/>
        <v>59.08333896748988</v>
      </c>
      <c r="CF41" s="352">
        <f t="shared" si="20"/>
        <v>10.342025046393347</v>
      </c>
      <c r="CG41" s="352">
        <f t="shared" si="20"/>
        <v>1.7000814189516649</v>
      </c>
      <c r="CH41" s="352">
        <f t="shared" si="6"/>
        <v>94.010104623298091</v>
      </c>
      <c r="CJ41" s="352">
        <f t="shared" si="21"/>
        <v>94.010104623298091</v>
      </c>
      <c r="CK41" s="352">
        <f t="shared" si="22"/>
        <v>34.172181035592899</v>
      </c>
      <c r="CL41" s="352">
        <f t="shared" si="23"/>
        <v>59.837923587705191</v>
      </c>
      <c r="CN41" s="352">
        <f>('HRA Balance Calc'!U53+'HRA Balance Calc'!V53+'HRA Balance Calc'!W53+'HRA Balance Calc'!X53)/12</f>
        <v>-23.336569947220966</v>
      </c>
      <c r="CO41" s="352">
        <f>('HRA Balance Calc'!Q53+IF('HRA Balance Calc'!L53&lt;0,-'HRA Balance Calc'!L53,0))/12</f>
        <v>0</v>
      </c>
      <c r="CP41" s="352">
        <f>('HRA Balance Calc'!N53)/12</f>
        <v>31.517460581749432</v>
      </c>
      <c r="CQ41" s="352">
        <f>('HRA Balance Calc'!O53)/12</f>
        <v>2.6547204538434634</v>
      </c>
      <c r="CR41" s="352">
        <f>('HRA Balance Calc'!P53)/12</f>
        <v>0</v>
      </c>
      <c r="CS41" s="352">
        <f t="shared" si="7"/>
        <v>34.172181035592899</v>
      </c>
      <c r="CU41" s="577">
        <f t="shared" si="24"/>
        <v>1307.7114491987263</v>
      </c>
      <c r="CV41" s="352">
        <f t="shared" si="25"/>
        <v>108.97595409989387</v>
      </c>
      <c r="CW41" s="352">
        <f t="shared" si="29"/>
        <v>0.41490007773174897</v>
      </c>
      <c r="CX41" s="352">
        <f t="shared" si="29"/>
        <v>24.08116047060188</v>
      </c>
      <c r="CY41" s="352">
        <f t="shared" si="29"/>
        <v>1.8976449671576905</v>
      </c>
      <c r="CZ41" s="352">
        <f t="shared" si="29"/>
        <v>0</v>
      </c>
      <c r="DA41" s="352">
        <f t="shared" si="9"/>
        <v>26.39370551549132</v>
      </c>
      <c r="DC41" s="352">
        <f>('HRA Balance Calc'!Q53+'HRA Balance Calc'!X53+IF('HRA Balance Calc'!L53&lt;0,-'HRA Balance Calc'!L53,0))/12</f>
        <v>0.4535666846881532</v>
      </c>
      <c r="DD41" s="352">
        <f>('HRA Balance Calc'!N53+'HRA Balance Calc'!U53)/12</f>
        <v>7.495720821259269</v>
      </c>
      <c r="DE41" s="352">
        <f>('HRA Balance Calc'!O53+'HRA Balance Calc'!V53)/12</f>
        <v>2.8863235824245081</v>
      </c>
      <c r="DF41" s="352">
        <f>('HRA Balance Calc'!P53+'HRA Balance Calc'!W53)/12</f>
        <v>0</v>
      </c>
      <c r="DG41" s="352">
        <f t="shared" si="26"/>
        <v>10.83561108837193</v>
      </c>
      <c r="DI41" s="352">
        <f t="shared" si="27"/>
        <v>22.431092505775048</v>
      </c>
      <c r="DJ41" s="352">
        <f t="shared" si="27"/>
        <v>51.587618146230611</v>
      </c>
      <c r="DK41" s="352">
        <f t="shared" si="27"/>
        <v>7.4557014639688397</v>
      </c>
      <c r="DL41" s="352">
        <f t="shared" si="27"/>
        <v>1.7000814189516649</v>
      </c>
      <c r="DM41" s="352">
        <f t="shared" si="27"/>
        <v>83.174493534926157</v>
      </c>
    </row>
    <row r="42" spans="1:117" x14ac:dyDescent="0.2">
      <c r="A42">
        <v>37</v>
      </c>
      <c r="B42" s="397">
        <v>34308</v>
      </c>
      <c r="C42" s="398">
        <v>397997.79676138877</v>
      </c>
      <c r="D42" s="399">
        <v>0.5842772444671348</v>
      </c>
      <c r="E42" s="399">
        <v>33.39789989315949</v>
      </c>
      <c r="F42" s="399">
        <v>2.7341586468324115</v>
      </c>
      <c r="G42" s="399">
        <v>2.1196822820087921E-3</v>
      </c>
      <c r="H42" s="399">
        <v>36.718455466741048</v>
      </c>
      <c r="I42" s="400">
        <v>8.8576271455264091E-4</v>
      </c>
      <c r="J42" s="400">
        <v>1.1396397742871121E-2</v>
      </c>
      <c r="K42" s="400">
        <v>1.0050306892523117E-5</v>
      </c>
      <c r="L42" s="400">
        <v>0.20800483963354172</v>
      </c>
      <c r="M42" s="400">
        <v>0.22209288774785269</v>
      </c>
      <c r="N42" s="400">
        <v>0.14693041136372986</v>
      </c>
      <c r="O42" s="399">
        <f t="shared" si="30"/>
        <v>0.22144067863816022</v>
      </c>
      <c r="P42" s="399">
        <f t="shared" si="30"/>
        <v>0</v>
      </c>
      <c r="Q42" s="399">
        <f t="shared" si="30"/>
        <v>1.0050306892523116E-2</v>
      </c>
      <c r="R42" s="399">
        <f t="shared" si="30"/>
        <v>4.3186933464174171</v>
      </c>
      <c r="S42" s="399">
        <f t="shared" si="30"/>
        <v>6.6627866324355809</v>
      </c>
      <c r="T42" s="399">
        <f t="shared" si="30"/>
        <v>8.8158246818237913</v>
      </c>
      <c r="U42" s="399">
        <f t="shared" si="10"/>
        <v>20.028795646207474</v>
      </c>
      <c r="V42" s="400">
        <v>3.6005309515022192E-5</v>
      </c>
      <c r="W42" s="400">
        <v>1.6189973657789265E-3</v>
      </c>
      <c r="X42" s="400">
        <v>2.5125767231307792E-6</v>
      </c>
      <c r="Y42" s="400">
        <v>2.7893536512318965E-2</v>
      </c>
      <c r="Z42" s="400">
        <v>9.3329159865347417E-3</v>
      </c>
      <c r="AA42" s="400">
        <v>7.804264308182025E-3</v>
      </c>
      <c r="AB42" s="352">
        <f t="shared" si="31"/>
        <v>9.0013273787555477E-3</v>
      </c>
      <c r="AC42" s="352">
        <f t="shared" si="31"/>
        <v>0</v>
      </c>
      <c r="AD42" s="352">
        <f t="shared" si="31"/>
        <v>2.5125767231307791E-3</v>
      </c>
      <c r="AE42" s="352">
        <f t="shared" si="31"/>
        <v>0.98878223428908807</v>
      </c>
      <c r="AF42" s="352">
        <f t="shared" si="31"/>
        <v>0.27998747959604225</v>
      </c>
      <c r="AG42" s="352">
        <f t="shared" si="31"/>
        <v>0.46825585849092149</v>
      </c>
      <c r="AH42" s="400">
        <f t="shared" si="11"/>
        <v>1.7485394764779381</v>
      </c>
      <c r="AJ42" s="352">
        <f>D42*('Assumptions-Output Override'!$D$10/'Winners-Losers HRA'!$H$107)*(1+'Assumptions-Output Override'!$F$41)</f>
        <v>0.69740032763094062</v>
      </c>
      <c r="AK42" s="352">
        <f>E42*('Assumptions-Output Override'!$D$10/'Winners-Losers HRA'!$H$107)*(1+'Assumptions-Output Override'!$F$37)</f>
        <v>54.96555214355223</v>
      </c>
      <c r="AL42" s="352">
        <f>F42*('Assumptions-Output Override'!$D$10/'Winners-Losers HRA'!$H$107)*(1+'Assumptions-Output Override'!$F$38)</f>
        <v>4.5929653546708575</v>
      </c>
      <c r="AM42" s="352">
        <f>G42*('Shoppable Detail'!$X$21/'Shoppable Detail'!$H$21)*('Assumptions-Output Override'!$D$10/'Winners-Losers HRA'!$H$107)*(1+'Assumptions-Output Override'!$F$39)</f>
        <v>3.6348139315514525E-3</v>
      </c>
      <c r="AN42" s="352">
        <f t="shared" si="12"/>
        <v>60.259552639785582</v>
      </c>
      <c r="AO42" s="352">
        <v>0</v>
      </c>
      <c r="AP42" s="352">
        <f>U42*'Assumptions-Output Override'!$D$10/'Winners-Losers HRA'!$H$107*(1+'Assumptions-Output Override'!$F$37)</f>
        <v>32.962965186013157</v>
      </c>
      <c r="AQ42" s="352">
        <f>AH42*'Assumptions-Output Override'!$D$10/'Winners-Losers HRA'!$H$107*(1+'Assumptions-Output Override'!$F$38)</f>
        <v>2.9372769740488809</v>
      </c>
      <c r="AR42" s="352">
        <f>AM42*('Shoppable Detail'!$AA$23/'Shoppable Detail'!$Y$23)</f>
        <v>1.2145054701774238E-4</v>
      </c>
      <c r="AS42" s="352">
        <f t="shared" si="13"/>
        <v>35.900363610609055</v>
      </c>
      <c r="AT42" s="352">
        <f t="shared" si="14"/>
        <v>0.69740032763094062</v>
      </c>
      <c r="AU42" s="352">
        <f t="shared" si="14"/>
        <v>22.002586957539073</v>
      </c>
      <c r="AV42" s="352">
        <f t="shared" si="14"/>
        <v>1.6556883806219767</v>
      </c>
      <c r="AW42" s="352">
        <f t="shared" si="14"/>
        <v>3.5133633845337102E-3</v>
      </c>
      <c r="AX42" s="352">
        <f t="shared" si="15"/>
        <v>24.359189029176527</v>
      </c>
      <c r="AY42" s="352">
        <f>AT42*'Assumptions-Output Override'!$D$24</f>
        <v>0.21246713972637238</v>
      </c>
      <c r="AZ42" s="352">
        <f>$AU$107*'Assumptions-Output Override'!$D$21</f>
        <v>46.041131296780591</v>
      </c>
      <c r="BA42" s="352">
        <f>AV42*'Assumptions-Output Override'!$D$22</f>
        <v>0.24835325709329648</v>
      </c>
      <c r="BB42" s="352">
        <f>AW42*'Assumptions-Output Override'!$D$23</f>
        <v>5.2700450768005649E-4</v>
      </c>
      <c r="BC42" s="352">
        <f t="shared" si="16"/>
        <v>46.502478698107943</v>
      </c>
      <c r="BD42" s="352">
        <f t="shared" si="17"/>
        <v>0.21246713972637238</v>
      </c>
      <c r="BE42" s="352">
        <f t="shared" si="17"/>
        <v>79.004096482793756</v>
      </c>
      <c r="BF42" s="352">
        <f t="shared" si="17"/>
        <v>3.1856302311421771</v>
      </c>
      <c r="BG42" s="352">
        <f t="shared" si="17"/>
        <v>6.4845505469779885E-4</v>
      </c>
      <c r="BH42" s="352">
        <f t="shared" si="18"/>
        <v>82.402842308717013</v>
      </c>
      <c r="BJ42" s="401">
        <f>D42*'Assumptions-Output Override'!$D$10/'Winners-Losers HRA'!$H$107</f>
        <v>0.98712374318387297</v>
      </c>
      <c r="BK42" s="401">
        <f>E42*'Assumptions-Output Override'!$D$10/'Winners-Losers HRA'!$H$107</f>
        <v>56.425028133831908</v>
      </c>
      <c r="BL42" s="401">
        <f>F42*'Assumptions-Output Override'!$D$10/'Winners-Losers HRA'!$H$107</f>
        <v>4.6193017843459367</v>
      </c>
      <c r="BM42" s="401">
        <f>G42*'Assumptions-Output Override'!$D$10/'Winners-Losers HRA'!$H$107</f>
        <v>3.5811572817375879E-3</v>
      </c>
      <c r="BN42" s="401">
        <f t="shared" si="2"/>
        <v>62.035034818643453</v>
      </c>
      <c r="BO42" s="401">
        <f>BJ42*(1-'Assumptions-Output Override'!$D$11)</f>
        <v>0.1406846611744639</v>
      </c>
      <c r="BP42" s="401">
        <f>BK42*(1-'Assumptions-Output Override'!$D$11)</f>
        <v>8.0416827369221604</v>
      </c>
      <c r="BQ42" s="401">
        <f>BL42*(1-'Assumptions-Output Override'!$D$11)</f>
        <v>0.65834188558490925</v>
      </c>
      <c r="BR42" s="401">
        <f>BM42*(1-'Assumptions-Output Override'!$D$11)</f>
        <v>5.1038575687452651E-4</v>
      </c>
      <c r="BS42" s="352">
        <f t="shared" si="3"/>
        <v>8.8412196694384075</v>
      </c>
      <c r="BT42" s="352">
        <f t="shared" si="19"/>
        <v>0.84643908200940909</v>
      </c>
      <c r="BU42" s="352">
        <f t="shared" si="19"/>
        <v>48.383345396909746</v>
      </c>
      <c r="BV42" s="352">
        <f t="shared" si="19"/>
        <v>3.9609598987610273</v>
      </c>
      <c r="BW42" s="352">
        <f t="shared" si="19"/>
        <v>3.0707715248630614E-3</v>
      </c>
      <c r="BX42" s="352">
        <f t="shared" si="4"/>
        <v>53.193815149205044</v>
      </c>
      <c r="BY42" s="352">
        <f>BT$107*(1-'Assumptions-Output Override'!$D$12)</f>
        <v>22.753074310428271</v>
      </c>
      <c r="BZ42" s="352">
        <f>BU$107*(1-'Assumptions-Output Override'!$D$12)</f>
        <v>51.446038369839215</v>
      </c>
      <c r="CA42" s="352">
        <f>BV$107*(1-'Assumptions-Output Override'!$D$12)</f>
        <v>9.7401900534537411</v>
      </c>
      <c r="CB42" s="352">
        <f>BW$107*(1-'Assumptions-Output Override'!$D$12)</f>
        <v>1.7000814189516649</v>
      </c>
      <c r="CC42" s="352">
        <f t="shared" si="5"/>
        <v>85.639384152672903</v>
      </c>
      <c r="CD42" s="352">
        <f t="shared" si="20"/>
        <v>22.893758971602736</v>
      </c>
      <c r="CE42" s="352">
        <f t="shared" si="20"/>
        <v>59.487721106761377</v>
      </c>
      <c r="CF42" s="352">
        <f t="shared" si="20"/>
        <v>10.39853193903865</v>
      </c>
      <c r="CG42" s="352">
        <f t="shared" si="20"/>
        <v>1.7005918047085393</v>
      </c>
      <c r="CH42" s="352">
        <f t="shared" si="6"/>
        <v>94.480603822111306</v>
      </c>
      <c r="CJ42" s="352">
        <f t="shared" si="21"/>
        <v>94.480603822111306</v>
      </c>
      <c r="CK42" s="352">
        <f t="shared" si="22"/>
        <v>35.900363610609055</v>
      </c>
      <c r="CL42" s="352">
        <f t="shared" si="23"/>
        <v>58.58024021150225</v>
      </c>
      <c r="CN42" s="352">
        <f>('HRA Balance Calc'!U54+'HRA Balance Calc'!V54+'HRA Balance Calc'!W54+'HRA Balance Calc'!X54)/12</f>
        <v>-23.28792631098462</v>
      </c>
      <c r="CO42" s="352">
        <f>('HRA Balance Calc'!Q54+IF('HRA Balance Calc'!L54&lt;0,-'HRA Balance Calc'!L54,0))/12</f>
        <v>0</v>
      </c>
      <c r="CP42" s="352">
        <f>('HRA Balance Calc'!N54)/12</f>
        <v>32.962965186013157</v>
      </c>
      <c r="CQ42" s="352">
        <f>('HRA Balance Calc'!O54)/12</f>
        <v>2.9372769740488809</v>
      </c>
      <c r="CR42" s="352">
        <f>('HRA Balance Calc'!P54)/12</f>
        <v>1.2145054701774239E-4</v>
      </c>
      <c r="CS42" s="352">
        <f t="shared" si="7"/>
        <v>35.900363610609055</v>
      </c>
      <c r="CU42" s="577">
        <f t="shared" si="24"/>
        <v>1307.1277255638902</v>
      </c>
      <c r="CV42" s="352">
        <f t="shared" si="25"/>
        <v>108.92731046365752</v>
      </c>
      <c r="CW42" s="352">
        <f t="shared" si="29"/>
        <v>0.44359258329267093</v>
      </c>
      <c r="CX42" s="352">
        <f t="shared" si="29"/>
        <v>25.356217156237328</v>
      </c>
      <c r="CY42" s="352">
        <f t="shared" si="29"/>
        <v>2.075816761247502</v>
      </c>
      <c r="CZ42" s="352">
        <f t="shared" si="29"/>
        <v>1.6092965251342656E-3</v>
      </c>
      <c r="DA42" s="352">
        <f t="shared" si="9"/>
        <v>27.877235797302635</v>
      </c>
      <c r="DC42" s="352">
        <f>('HRA Balance Calc'!Q54+'HRA Balance Calc'!X54+IF('HRA Balance Calc'!L54&lt;0,-'HRA Balance Calc'!L54,0))/12</f>
        <v>0.48493318790456819</v>
      </c>
      <c r="DD42" s="352">
        <f>('HRA Balance Calc'!N54+'HRA Balance Calc'!U54)/12</f>
        <v>8.9412254255229957</v>
      </c>
      <c r="DE42" s="352">
        <f>('HRA Balance Calc'!O54+'HRA Balance Calc'!V54)/12</f>
        <v>3.1856302311421771</v>
      </c>
      <c r="DF42" s="352">
        <f>('HRA Balance Calc'!P54+'HRA Balance Calc'!W54)/12</f>
        <v>6.4845505469779895E-4</v>
      </c>
      <c r="DG42" s="352">
        <f t="shared" si="26"/>
        <v>12.612437299624439</v>
      </c>
      <c r="DI42" s="352">
        <f t="shared" si="27"/>
        <v>22.40882578369817</v>
      </c>
      <c r="DJ42" s="352">
        <f t="shared" si="27"/>
        <v>50.546495681238383</v>
      </c>
      <c r="DK42" s="352">
        <f t="shared" si="27"/>
        <v>7.2129017078964726</v>
      </c>
      <c r="DL42" s="352">
        <f t="shared" si="27"/>
        <v>1.6999433496538414</v>
      </c>
      <c r="DM42" s="352">
        <f t="shared" si="27"/>
        <v>81.86816652248686</v>
      </c>
    </row>
    <row r="43" spans="1:117" x14ac:dyDescent="0.2">
      <c r="A43">
        <v>38</v>
      </c>
      <c r="B43" s="397">
        <v>34308</v>
      </c>
      <c r="C43" s="398">
        <v>397997.79676138877</v>
      </c>
      <c r="D43" s="399">
        <v>0.6415771863915104</v>
      </c>
      <c r="E43" s="399">
        <v>35.180046046136667</v>
      </c>
      <c r="F43" s="399">
        <v>2.9073881213918762</v>
      </c>
      <c r="G43" s="399">
        <v>0</v>
      </c>
      <c r="H43" s="399">
        <v>38.72901135392005</v>
      </c>
      <c r="I43" s="400">
        <v>7.7847314631105215E-4</v>
      </c>
      <c r="J43" s="400">
        <v>1.2784924364416261E-2</v>
      </c>
      <c r="K43" s="400">
        <v>7.5377301693923375E-6</v>
      </c>
      <c r="L43" s="400">
        <v>0.2111525246898765</v>
      </c>
      <c r="M43" s="400">
        <v>0.23051042178261852</v>
      </c>
      <c r="N43" s="400">
        <v>0.15075942753517149</v>
      </c>
      <c r="O43" s="399">
        <f t="shared" si="30"/>
        <v>0.19461828657776303</v>
      </c>
      <c r="P43" s="399">
        <f t="shared" si="30"/>
        <v>0</v>
      </c>
      <c r="Q43" s="399">
        <f t="shared" si="30"/>
        <v>7.5377301693923373E-3</v>
      </c>
      <c r="R43" s="399">
        <f t="shared" si="30"/>
        <v>4.3840470494050967</v>
      </c>
      <c r="S43" s="399">
        <f t="shared" si="30"/>
        <v>6.9153126534785558</v>
      </c>
      <c r="T43" s="399">
        <f t="shared" si="30"/>
        <v>9.0455656521102892</v>
      </c>
      <c r="U43" s="399">
        <f t="shared" si="10"/>
        <v>20.547081371741097</v>
      </c>
      <c r="V43" s="400">
        <v>1.8623435956045936E-5</v>
      </c>
      <c r="W43" s="400">
        <v>1.7506029798683171E-3</v>
      </c>
      <c r="X43" s="400">
        <v>0</v>
      </c>
      <c r="Y43" s="400">
        <v>2.7562830884061151E-2</v>
      </c>
      <c r="Z43" s="400">
        <v>9.8693008653887495E-3</v>
      </c>
      <c r="AA43" s="400">
        <v>7.9146166778619291E-3</v>
      </c>
      <c r="AB43" s="352">
        <f t="shared" si="31"/>
        <v>4.6558589890114844E-3</v>
      </c>
      <c r="AC43" s="352">
        <f t="shared" si="31"/>
        <v>0</v>
      </c>
      <c r="AD43" s="352">
        <f t="shared" si="31"/>
        <v>0</v>
      </c>
      <c r="AE43" s="352">
        <f t="shared" si="31"/>
        <v>0.97705923710454956</v>
      </c>
      <c r="AF43" s="352">
        <f t="shared" si="31"/>
        <v>0.29607902596166247</v>
      </c>
      <c r="AG43" s="352">
        <f t="shared" si="31"/>
        <v>0.47487700067171573</v>
      </c>
      <c r="AH43" s="400">
        <f t="shared" si="11"/>
        <v>1.7526711227269391</v>
      </c>
      <c r="AJ43" s="352">
        <f>D43*('Assumptions-Output Override'!$D$10/'Winners-Losers HRA'!$H$107)*(1+'Assumptions-Output Override'!$F$41)</f>
        <v>0.76579422564717803</v>
      </c>
      <c r="AK43" s="352">
        <f>E43*('Assumptions-Output Override'!$D$10/'Winners-Losers HRA'!$H$107)*(1+'Assumptions-Output Override'!$F$37)</f>
        <v>57.898570315720633</v>
      </c>
      <c r="AL43" s="352">
        <f>F43*('Assumptions-Output Override'!$D$10/'Winners-Losers HRA'!$H$107)*(1+'Assumptions-Output Override'!$F$38)</f>
        <v>4.8839641875225004</v>
      </c>
      <c r="AM43" s="352">
        <f>G43*('Shoppable Detail'!$X$21/'Shoppable Detail'!$H$21)*('Assumptions-Output Override'!$D$10/'Winners-Losers HRA'!$H$107)*(1+'Assumptions-Output Override'!$F$39)</f>
        <v>0</v>
      </c>
      <c r="AN43" s="352">
        <f t="shared" si="12"/>
        <v>63.548328728890311</v>
      </c>
      <c r="AO43" s="352">
        <v>0</v>
      </c>
      <c r="AP43" s="352">
        <f>U43*'Assumptions-Output Override'!$D$10/'Winners-Losers HRA'!$H$107*(1+'Assumptions-Output Override'!$F$37)</f>
        <v>33.815948791665313</v>
      </c>
      <c r="AQ43" s="352">
        <f>AH43*'Assumptions-Output Override'!$D$10/'Winners-Losers HRA'!$H$107*(1+'Assumptions-Output Override'!$F$38)</f>
        <v>2.9442175033050759</v>
      </c>
      <c r="AR43" s="352">
        <f>AM43*('Shoppable Detail'!$AA$23/'Shoppable Detail'!$Y$23)</f>
        <v>0</v>
      </c>
      <c r="AS43" s="352">
        <f t="shared" si="13"/>
        <v>36.760166294970389</v>
      </c>
      <c r="AT43" s="352">
        <f t="shared" si="14"/>
        <v>0.76579422564717803</v>
      </c>
      <c r="AU43" s="352">
        <f t="shared" si="14"/>
        <v>24.08262152405532</v>
      </c>
      <c r="AV43" s="352">
        <f t="shared" si="14"/>
        <v>1.9397466842174245</v>
      </c>
      <c r="AW43" s="352">
        <f t="shared" si="14"/>
        <v>0</v>
      </c>
      <c r="AX43" s="352">
        <f t="shared" si="15"/>
        <v>26.788162433919922</v>
      </c>
      <c r="AY43" s="352">
        <f>AT43*'Assumptions-Output Override'!$D$24</f>
        <v>0.23330374577674567</v>
      </c>
      <c r="AZ43" s="352">
        <f>$AU$107*'Assumptions-Output Override'!$D$21</f>
        <v>46.041131296780591</v>
      </c>
      <c r="BA43" s="352">
        <f>AV43*'Assumptions-Output Override'!$D$22</f>
        <v>0.29096200263261368</v>
      </c>
      <c r="BB43" s="352">
        <f>AW43*'Assumptions-Output Override'!$D$23</f>
        <v>0</v>
      </c>
      <c r="BC43" s="352">
        <f t="shared" si="16"/>
        <v>46.565397045189947</v>
      </c>
      <c r="BD43" s="352">
        <f t="shared" si="17"/>
        <v>0.23330374577674567</v>
      </c>
      <c r="BE43" s="352">
        <f t="shared" si="17"/>
        <v>79.857080088445912</v>
      </c>
      <c r="BF43" s="352">
        <f t="shared" si="17"/>
        <v>3.2351795059376895</v>
      </c>
      <c r="BG43" s="352">
        <f t="shared" si="17"/>
        <v>0</v>
      </c>
      <c r="BH43" s="352">
        <f t="shared" si="18"/>
        <v>83.325563340160357</v>
      </c>
      <c r="BJ43" s="401">
        <f>D43*'Assumptions-Output Override'!$D$10/'Winners-Losers HRA'!$H$107</f>
        <v>1.0839307533699247</v>
      </c>
      <c r="BK43" s="401">
        <f>E43*'Assumptions-Output Override'!$D$10/'Winners-Losers HRA'!$H$107</f>
        <v>59.435925440010543</v>
      </c>
      <c r="BL43" s="401">
        <f>F43*'Assumptions-Output Override'!$D$10/'Winners-Losers HRA'!$H$107</f>
        <v>4.9119692277149944</v>
      </c>
      <c r="BM43" s="401">
        <f>G43*'Assumptions-Output Override'!$D$10/'Winners-Losers HRA'!$H$107</f>
        <v>0</v>
      </c>
      <c r="BN43" s="401">
        <f t="shared" si="2"/>
        <v>65.431825421095468</v>
      </c>
      <c r="BO43" s="401">
        <f>BJ43*(1-'Assumptions-Output Override'!$D$11)</f>
        <v>0.15448157521019557</v>
      </c>
      <c r="BP43" s="401">
        <f>BK43*(1-'Assumptions-Output Override'!$D$11)</f>
        <v>8.4707951661142769</v>
      </c>
      <c r="BQ43" s="401">
        <f>BL43*(1-'Assumptions-Output Override'!$D$11)</f>
        <v>0.70005278595730858</v>
      </c>
      <c r="BR43" s="401">
        <f>BM43*(1-'Assumptions-Output Override'!$D$11)</f>
        <v>0</v>
      </c>
      <c r="BS43" s="352">
        <f t="shared" si="3"/>
        <v>9.3253295272817827</v>
      </c>
      <c r="BT43" s="352">
        <f t="shared" si="19"/>
        <v>0.92944917815972916</v>
      </c>
      <c r="BU43" s="352">
        <f t="shared" si="19"/>
        <v>50.965130273896264</v>
      </c>
      <c r="BV43" s="352">
        <f t="shared" si="19"/>
        <v>4.211916441757686</v>
      </c>
      <c r="BW43" s="352">
        <f t="shared" si="19"/>
        <v>0</v>
      </c>
      <c r="BX43" s="352">
        <f t="shared" si="4"/>
        <v>56.10649589381368</v>
      </c>
      <c r="BY43" s="352">
        <f>BT$107*(1-'Assumptions-Output Override'!$D$12)</f>
        <v>22.753074310428271</v>
      </c>
      <c r="BZ43" s="352">
        <f>BU$107*(1-'Assumptions-Output Override'!$D$12)</f>
        <v>51.446038369839215</v>
      </c>
      <c r="CA43" s="352">
        <f>BV$107*(1-'Assumptions-Output Override'!$D$12)</f>
        <v>9.7401900534537411</v>
      </c>
      <c r="CB43" s="352">
        <f>BW$107*(1-'Assumptions-Output Override'!$D$12)</f>
        <v>1.7000814189516649</v>
      </c>
      <c r="CC43" s="352">
        <f t="shared" si="5"/>
        <v>85.639384152672903</v>
      </c>
      <c r="CD43" s="352">
        <f t="shared" si="20"/>
        <v>22.907555885638466</v>
      </c>
      <c r="CE43" s="352">
        <f t="shared" si="20"/>
        <v>59.916833535953494</v>
      </c>
      <c r="CF43" s="352">
        <f t="shared" si="20"/>
        <v>10.44024283941105</v>
      </c>
      <c r="CG43" s="352">
        <f t="shared" si="20"/>
        <v>1.7000814189516649</v>
      </c>
      <c r="CH43" s="352">
        <f t="shared" si="6"/>
        <v>94.964713679954684</v>
      </c>
      <c r="CJ43" s="352">
        <f t="shared" si="21"/>
        <v>94.964713679954684</v>
      </c>
      <c r="CK43" s="352">
        <f t="shared" si="22"/>
        <v>36.760166294970389</v>
      </c>
      <c r="CL43" s="352">
        <f t="shared" si="23"/>
        <v>58.204547384984295</v>
      </c>
      <c r="CN43" s="352">
        <f>('HRA Balance Calc'!U55+'HRA Balance Calc'!V55+'HRA Balance Calc'!W55+'HRA Balance Calc'!X55)/12</f>
        <v>-23.198287277987117</v>
      </c>
      <c r="CO43" s="352">
        <f>('HRA Balance Calc'!Q55+IF('HRA Balance Calc'!L55&lt;0,-'HRA Balance Calc'!L55,0))/12</f>
        <v>0</v>
      </c>
      <c r="CP43" s="352">
        <f>('HRA Balance Calc'!N55)/12</f>
        <v>33.815948791665313</v>
      </c>
      <c r="CQ43" s="352">
        <f>('HRA Balance Calc'!O55)/12</f>
        <v>2.9442175033050759</v>
      </c>
      <c r="CR43" s="352">
        <f>('HRA Balance Calc'!P55)/12</f>
        <v>0</v>
      </c>
      <c r="CS43" s="352">
        <f t="shared" si="7"/>
        <v>36.760166294970389</v>
      </c>
      <c r="CU43" s="577">
        <f t="shared" si="24"/>
        <v>1306.0520571679203</v>
      </c>
      <c r="CV43" s="352">
        <f t="shared" si="25"/>
        <v>108.83767143066002</v>
      </c>
      <c r="CW43" s="352">
        <f t="shared" si="29"/>
        <v>0.48709561118131484</v>
      </c>
      <c r="CX43" s="352">
        <f t="shared" si="29"/>
        <v>26.709250880022388</v>
      </c>
      <c r="CY43" s="352">
        <f t="shared" si="29"/>
        <v>2.2073353354345677</v>
      </c>
      <c r="CZ43" s="352">
        <f t="shared" si="29"/>
        <v>0</v>
      </c>
      <c r="DA43" s="352">
        <f t="shared" si="9"/>
        <v>29.40368182663827</v>
      </c>
      <c r="DC43" s="352">
        <f>('HRA Balance Calc'!Q55+'HRA Balance Calc'!X55+IF('HRA Balance Calc'!L55&lt;0,-'HRA Balance Calc'!L55,0))/12</f>
        <v>0.5324904798704323</v>
      </c>
      <c r="DD43" s="352">
        <f>('HRA Balance Calc'!N55+'HRA Balance Calc'!U55)/12</f>
        <v>9.7942090311751517</v>
      </c>
      <c r="DE43" s="352">
        <f>('HRA Balance Calc'!O55+'HRA Balance Calc'!V55)/12</f>
        <v>3.23517950593769</v>
      </c>
      <c r="DF43" s="352">
        <f>('HRA Balance Calc'!P55+'HRA Balance Calc'!W55)/12</f>
        <v>0</v>
      </c>
      <c r="DG43" s="352">
        <f t="shared" si="26"/>
        <v>13.561879016983275</v>
      </c>
      <c r="DI43" s="352">
        <f t="shared" si="27"/>
        <v>22.375065405768034</v>
      </c>
      <c r="DJ43" s="352">
        <f t="shared" si="27"/>
        <v>50.122624504778344</v>
      </c>
      <c r="DK43" s="352">
        <f t="shared" si="27"/>
        <v>7.20506333347336</v>
      </c>
      <c r="DL43" s="352">
        <f t="shared" si="27"/>
        <v>1.7000814189516649</v>
      </c>
      <c r="DM43" s="352">
        <f t="shared" si="27"/>
        <v>81.402834662971415</v>
      </c>
    </row>
    <row r="44" spans="1:117" x14ac:dyDescent="0.2">
      <c r="A44">
        <v>39</v>
      </c>
      <c r="B44" s="397">
        <v>34308</v>
      </c>
      <c r="C44" s="398">
        <v>397997.79676138877</v>
      </c>
      <c r="D44" s="399">
        <v>0.81062167996190049</v>
      </c>
      <c r="E44" s="399">
        <v>36.813740631933882</v>
      </c>
      <c r="F44" s="399">
        <v>3.1845435895827778</v>
      </c>
      <c r="G44" s="399">
        <v>3.61143922116795E-3</v>
      </c>
      <c r="H44" s="399">
        <v>40.812517340699728</v>
      </c>
      <c r="I44" s="400">
        <v>9.942998359133157E-4</v>
      </c>
      <c r="J44" s="400">
        <v>1.299825594778041E-2</v>
      </c>
      <c r="K44" s="400">
        <v>7.5377301693923375E-6</v>
      </c>
      <c r="L44" s="400">
        <v>0.22382655750440605</v>
      </c>
      <c r="M44" s="400">
        <v>0.23757312419673549</v>
      </c>
      <c r="N44" s="400">
        <v>0.15491347063153191</v>
      </c>
      <c r="O44" s="399">
        <f t="shared" si="30"/>
        <v>0.24857495897832893</v>
      </c>
      <c r="P44" s="399">
        <f t="shared" si="30"/>
        <v>0</v>
      </c>
      <c r="Q44" s="399">
        <f t="shared" si="30"/>
        <v>7.5377301693923373E-3</v>
      </c>
      <c r="R44" s="399">
        <f t="shared" si="30"/>
        <v>4.6471912208811847</v>
      </c>
      <c r="S44" s="399">
        <f t="shared" si="30"/>
        <v>7.1271937259020648</v>
      </c>
      <c r="T44" s="399">
        <f t="shared" si="30"/>
        <v>9.2948082378919139</v>
      </c>
      <c r="U44" s="399">
        <f t="shared" si="10"/>
        <v>21.325305873822884</v>
      </c>
      <c r="V44" s="400">
        <v>5.2145620676928598E-5</v>
      </c>
      <c r="W44" s="400">
        <v>1.9219385906639379E-3</v>
      </c>
      <c r="X44" s="400">
        <v>7.5377301693923375E-6</v>
      </c>
      <c r="Y44" s="400">
        <v>3.1064355260331765E-2</v>
      </c>
      <c r="Z44" s="400">
        <v>1.0844381640101267E-2</v>
      </c>
      <c r="AA44" s="400">
        <v>8.422056672865396E-3</v>
      </c>
      <c r="AB44" s="352">
        <f t="shared" si="31"/>
        <v>1.303640516923215E-2</v>
      </c>
      <c r="AC44" s="352">
        <f t="shared" si="31"/>
        <v>0</v>
      </c>
      <c r="AD44" s="352">
        <f t="shared" si="31"/>
        <v>7.5377301693923373E-3</v>
      </c>
      <c r="AE44" s="352">
        <f t="shared" si="31"/>
        <v>1.1011827986564342</v>
      </c>
      <c r="AF44" s="352">
        <f t="shared" si="31"/>
        <v>0.32533144920303803</v>
      </c>
      <c r="AG44" s="352">
        <f t="shared" si="31"/>
        <v>0.5053234003719238</v>
      </c>
      <c r="AH44" s="400">
        <f t="shared" si="11"/>
        <v>1.9524117835700205</v>
      </c>
      <c r="AJ44" s="352">
        <f>D44*('Assumptions-Output Override'!$D$10/'Winners-Losers HRA'!$H$107)*(1+'Assumptions-Output Override'!$F$41)</f>
        <v>0.96756776092787267</v>
      </c>
      <c r="AK44" s="352">
        <f>E44*('Assumptions-Output Override'!$D$10/'Winners-Losers HRA'!$H$107)*(1+'Assumptions-Output Override'!$F$37)</f>
        <v>60.587270061199774</v>
      </c>
      <c r="AL44" s="352">
        <f>F44*('Assumptions-Output Override'!$D$10/'Winners-Losers HRA'!$H$107)*(1+'Assumptions-Output Override'!$F$38)</f>
        <v>5.3495426808309103</v>
      </c>
      <c r="AM44" s="352">
        <f>G44*('Shoppable Detail'!$X$21/'Shoppable Detail'!$H$21)*('Assumptions-Output Override'!$D$10/'Winners-Losers HRA'!$H$107)*(1+'Assumptions-Output Override'!$F$39)</f>
        <v>6.1928665939559625E-3</v>
      </c>
      <c r="AN44" s="352">
        <f t="shared" si="12"/>
        <v>66.910573369552509</v>
      </c>
      <c r="AO44" s="352">
        <v>0</v>
      </c>
      <c r="AP44" s="352">
        <f>U44*'Assumptions-Output Override'!$D$10/'Winners-Losers HRA'!$H$107*(1+'Assumptions-Output Override'!$F$37)</f>
        <v>35.096734098088959</v>
      </c>
      <c r="AQ44" s="352">
        <f>AH44*'Assumptions-Output Override'!$D$10/'Winners-Losers HRA'!$H$107*(1+'Assumptions-Output Override'!$F$38)</f>
        <v>3.2797510453086338</v>
      </c>
      <c r="AR44" s="352">
        <f>AM44*('Shoppable Detail'!$AA$23/'Shoppable Detail'!$Y$23)</f>
        <v>2.0692311892917813E-4</v>
      </c>
      <c r="AS44" s="352">
        <f t="shared" si="13"/>
        <v>38.376692066516526</v>
      </c>
      <c r="AT44" s="352">
        <f t="shared" si="14"/>
        <v>0.96756776092787267</v>
      </c>
      <c r="AU44" s="352">
        <f t="shared" si="14"/>
        <v>25.490535963110815</v>
      </c>
      <c r="AV44" s="352">
        <f t="shared" si="14"/>
        <v>2.0697916355222765</v>
      </c>
      <c r="AW44" s="352">
        <f t="shared" si="14"/>
        <v>5.985943475026784E-3</v>
      </c>
      <c r="AX44" s="352">
        <f t="shared" si="15"/>
        <v>28.53388130303599</v>
      </c>
      <c r="AY44" s="352">
        <f>AT44*'Assumptions-Output Override'!$D$24</f>
        <v>0.29477524817651812</v>
      </c>
      <c r="AZ44" s="352">
        <f>$AU$107*'Assumptions-Output Override'!$D$21</f>
        <v>46.041131296780591</v>
      </c>
      <c r="BA44" s="352">
        <f>AV44*'Assumptions-Output Override'!$D$22</f>
        <v>0.31046874532834146</v>
      </c>
      <c r="BB44" s="352">
        <f>AW44*'Assumptions-Output Override'!$D$23</f>
        <v>8.9789152125401754E-4</v>
      </c>
      <c r="BC44" s="352">
        <f t="shared" si="16"/>
        <v>46.64727318180671</v>
      </c>
      <c r="BD44" s="352">
        <f t="shared" si="17"/>
        <v>0.29477524817651812</v>
      </c>
      <c r="BE44" s="352">
        <f t="shared" si="17"/>
        <v>81.13786539486955</v>
      </c>
      <c r="BF44" s="352">
        <f t="shared" si="17"/>
        <v>3.5902197906369753</v>
      </c>
      <c r="BG44" s="352">
        <f t="shared" si="17"/>
        <v>1.1048146401831957E-3</v>
      </c>
      <c r="BH44" s="352">
        <f t="shared" si="18"/>
        <v>85.023965248323236</v>
      </c>
      <c r="BJ44" s="401">
        <f>D44*'Assumptions-Output Override'!$D$10/'Winners-Losers HRA'!$H$107</f>
        <v>1.3695277620468762</v>
      </c>
      <c r="BK44" s="401">
        <f>E44*'Assumptions-Output Override'!$D$10/'Winners-Losers HRA'!$H$107</f>
        <v>62.196017040398182</v>
      </c>
      <c r="BL44" s="401">
        <f>F44*'Assumptions-Output Override'!$D$10/'Winners-Losers HRA'!$H$107</f>
        <v>5.3802173852382182</v>
      </c>
      <c r="BM44" s="401">
        <f>G44*'Assumptions-Output Override'!$D$10/'Winners-Losers HRA'!$H$107</f>
        <v>6.1014483039325048E-3</v>
      </c>
      <c r="BN44" s="401">
        <f t="shared" si="2"/>
        <v>68.951863635987209</v>
      </c>
      <c r="BO44" s="401">
        <f>BJ44*(1-'Assumptions-Output Override'!$D$11)</f>
        <v>0.19518479876812911</v>
      </c>
      <c r="BP44" s="401">
        <f>BK44*(1-'Assumptions-Output Override'!$D$11)</f>
        <v>8.8641628206684935</v>
      </c>
      <c r="BQ44" s="401">
        <f>BL44*(1-'Assumptions-Output Override'!$D$11)</f>
        <v>0.76678741152132068</v>
      </c>
      <c r="BR44" s="401">
        <f>BM44*(1-'Assumptions-Output Override'!$D$11)</f>
        <v>8.6957708518248071E-4</v>
      </c>
      <c r="BS44" s="352">
        <f t="shared" si="3"/>
        <v>9.8270046080431257</v>
      </c>
      <c r="BT44" s="352">
        <f t="shared" si="19"/>
        <v>1.1743429632787472</v>
      </c>
      <c r="BU44" s="352">
        <f t="shared" si="19"/>
        <v>53.331854219729692</v>
      </c>
      <c r="BV44" s="352">
        <f t="shared" si="19"/>
        <v>4.6134299737168973</v>
      </c>
      <c r="BW44" s="352">
        <f t="shared" si="19"/>
        <v>5.2318712187500241E-3</v>
      </c>
      <c r="BX44" s="352">
        <f t="shared" si="4"/>
        <v>59.124859027944083</v>
      </c>
      <c r="BY44" s="352">
        <f>BT$107*(1-'Assumptions-Output Override'!$D$12)</f>
        <v>22.753074310428271</v>
      </c>
      <c r="BZ44" s="352">
        <f>BU$107*(1-'Assumptions-Output Override'!$D$12)</f>
        <v>51.446038369839215</v>
      </c>
      <c r="CA44" s="352">
        <f>BV$107*(1-'Assumptions-Output Override'!$D$12)</f>
        <v>9.7401900534537411</v>
      </c>
      <c r="CB44" s="352">
        <f>BW$107*(1-'Assumptions-Output Override'!$D$12)</f>
        <v>1.7000814189516649</v>
      </c>
      <c r="CC44" s="352">
        <f t="shared" si="5"/>
        <v>85.639384152672903</v>
      </c>
      <c r="CD44" s="352">
        <f t="shared" si="20"/>
        <v>22.9482591091964</v>
      </c>
      <c r="CE44" s="352">
        <f t="shared" si="20"/>
        <v>60.310201190507712</v>
      </c>
      <c r="CF44" s="352">
        <f t="shared" si="20"/>
        <v>10.506977464975062</v>
      </c>
      <c r="CG44" s="352">
        <f t="shared" si="20"/>
        <v>1.7009509960368474</v>
      </c>
      <c r="CH44" s="352">
        <f t="shared" si="6"/>
        <v>95.466388760716029</v>
      </c>
      <c r="CJ44" s="352">
        <f t="shared" si="21"/>
        <v>95.466388760716029</v>
      </c>
      <c r="CK44" s="352">
        <f t="shared" si="22"/>
        <v>38.376692066516526</v>
      </c>
      <c r="CL44" s="352">
        <f t="shared" si="23"/>
        <v>57.089696694199503</v>
      </c>
      <c r="CN44" s="352">
        <f>('HRA Balance Calc'!U56+'HRA Balance Calc'!V56+'HRA Balance Calc'!W56+'HRA Balance Calc'!X56)/12</f>
        <v>-23.037580610889218</v>
      </c>
      <c r="CO44" s="352">
        <f>('HRA Balance Calc'!Q56+IF('HRA Balance Calc'!L56&lt;0,-'HRA Balance Calc'!L56,0))/12</f>
        <v>0</v>
      </c>
      <c r="CP44" s="352">
        <f>('HRA Balance Calc'!N56)/12</f>
        <v>35.096734098088959</v>
      </c>
      <c r="CQ44" s="352">
        <f>('HRA Balance Calc'!O56)/12</f>
        <v>3.2797510453086338</v>
      </c>
      <c r="CR44" s="352">
        <f>('HRA Balance Calc'!P56)/12</f>
        <v>2.0692311892917813E-4</v>
      </c>
      <c r="CS44" s="352">
        <f t="shared" si="7"/>
        <v>38.376692066516526</v>
      </c>
      <c r="CU44" s="577">
        <f t="shared" si="24"/>
        <v>1304.1235771627455</v>
      </c>
      <c r="CV44" s="352">
        <f t="shared" si="25"/>
        <v>108.67696476356213</v>
      </c>
      <c r="CW44" s="352">
        <f t="shared" si="29"/>
        <v>0.61543688119377138</v>
      </c>
      <c r="CX44" s="352">
        <f t="shared" si="29"/>
        <v>27.949577811265389</v>
      </c>
      <c r="CY44" s="352">
        <f t="shared" si="29"/>
        <v>2.4177561780614569</v>
      </c>
      <c r="CZ44" s="352">
        <f t="shared" si="29"/>
        <v>2.7418621359854693E-3</v>
      </c>
      <c r="DA44" s="352">
        <f t="shared" si="9"/>
        <v>30.985512732656602</v>
      </c>
      <c r="DC44" s="352">
        <f>('HRA Balance Calc'!Q56+'HRA Balance Calc'!X56+IF('HRA Balance Calc'!L56&lt;0,-'HRA Balance Calc'!L56,0))/12</f>
        <v>0.67279251275135454</v>
      </c>
      <c r="DD44" s="352">
        <f>('HRA Balance Calc'!N56+'HRA Balance Calc'!U56)/12</f>
        <v>11.074994337598795</v>
      </c>
      <c r="DE44" s="352">
        <f>('HRA Balance Calc'!O56+'HRA Balance Calc'!V56)/12</f>
        <v>3.5902197906369753</v>
      </c>
      <c r="DF44" s="352">
        <f>('HRA Balance Calc'!P56+'HRA Balance Calc'!W56)/12</f>
        <v>1.1048146401831961E-3</v>
      </c>
      <c r="DG44" s="352">
        <f t="shared" si="26"/>
        <v>15.339111455627307</v>
      </c>
      <c r="DI44" s="352">
        <f t="shared" si="27"/>
        <v>22.275466596445046</v>
      </c>
      <c r="DJ44" s="352">
        <f t="shared" si="27"/>
        <v>49.235206852908917</v>
      </c>
      <c r="DK44" s="352">
        <f t="shared" si="27"/>
        <v>6.9167576743380863</v>
      </c>
      <c r="DL44" s="352">
        <f t="shared" si="27"/>
        <v>1.6998461813966641</v>
      </c>
      <c r="DM44" s="352">
        <f t="shared" si="27"/>
        <v>80.127277305088725</v>
      </c>
    </row>
    <row r="45" spans="1:117" x14ac:dyDescent="0.2">
      <c r="A45">
        <v>40</v>
      </c>
      <c r="B45" s="397">
        <v>34308</v>
      </c>
      <c r="C45" s="398">
        <v>397997.79676138877</v>
      </c>
      <c r="D45" s="399">
        <v>0.89797109095384753</v>
      </c>
      <c r="E45" s="399">
        <v>38.753895228434182</v>
      </c>
      <c r="F45" s="399">
        <v>3.3165495490885992</v>
      </c>
      <c r="G45" s="399">
        <v>0</v>
      </c>
      <c r="H45" s="399">
        <v>42.968415868476626</v>
      </c>
      <c r="I45" s="400">
        <v>1.0629152574631652E-3</v>
      </c>
      <c r="J45" s="400">
        <v>1.4442922459684577E-2</v>
      </c>
      <c r="K45" s="400">
        <v>7.5377301693923375E-6</v>
      </c>
      <c r="L45" s="400">
        <v>0.23167930533110309</v>
      </c>
      <c r="M45" s="400">
        <v>0.24920776146779769</v>
      </c>
      <c r="N45" s="400">
        <v>0.16178049357044594</v>
      </c>
      <c r="O45" s="399">
        <f t="shared" si="30"/>
        <v>0.26572881436579127</v>
      </c>
      <c r="P45" s="399">
        <f t="shared" si="30"/>
        <v>0</v>
      </c>
      <c r="Q45" s="399">
        <f t="shared" si="30"/>
        <v>7.5377301693923373E-3</v>
      </c>
      <c r="R45" s="399">
        <f t="shared" si="30"/>
        <v>4.8102336282116998</v>
      </c>
      <c r="S45" s="399">
        <f t="shared" si="30"/>
        <v>7.4762328440339303</v>
      </c>
      <c r="T45" s="399">
        <f t="shared" si="30"/>
        <v>9.7068296142267556</v>
      </c>
      <c r="U45" s="399">
        <f t="shared" si="10"/>
        <v>22.26656263100757</v>
      </c>
      <c r="V45" s="400">
        <v>2.2348123147255119E-5</v>
      </c>
      <c r="W45" s="400">
        <v>2.0262298320177967E-3</v>
      </c>
      <c r="X45" s="400">
        <v>5.0251534462615584E-6</v>
      </c>
      <c r="Y45" s="400">
        <v>3.1197296725511837E-2</v>
      </c>
      <c r="Z45" s="400">
        <v>1.0581164102586112E-2</v>
      </c>
      <c r="AA45" s="400">
        <v>8.7576364200067681E-3</v>
      </c>
      <c r="AB45" s="352">
        <f t="shared" si="31"/>
        <v>5.5870307868137797E-3</v>
      </c>
      <c r="AC45" s="352">
        <f t="shared" si="31"/>
        <v>0</v>
      </c>
      <c r="AD45" s="352">
        <f t="shared" si="31"/>
        <v>5.0251534462615582E-3</v>
      </c>
      <c r="AE45" s="352">
        <f t="shared" si="31"/>
        <v>1.1058953656309505</v>
      </c>
      <c r="AF45" s="352">
        <f t="shared" si="31"/>
        <v>0.31743492307758336</v>
      </c>
      <c r="AG45" s="352">
        <f t="shared" si="31"/>
        <v>0.5254581852004061</v>
      </c>
      <c r="AH45" s="400">
        <f t="shared" si="11"/>
        <v>1.9594006581420151</v>
      </c>
      <c r="AJ45" s="352">
        <f>D45*('Assumptions-Output Override'!$D$10/'Winners-Losers HRA'!$H$107)*(1+'Assumptions-Output Override'!$F$41)</f>
        <v>1.071829065678344</v>
      </c>
      <c r="AK45" s="352">
        <f>E45*('Assumptions-Output Override'!$D$10/'Winners-Losers HRA'!$H$107)*(1+'Assumptions-Output Override'!$F$37)</f>
        <v>63.780335163545686</v>
      </c>
      <c r="AL45" s="352">
        <f>F45*('Assumptions-Output Override'!$D$10/'Winners-Losers HRA'!$H$107)*(1+'Assumptions-Output Override'!$F$38)</f>
        <v>5.5712923584960059</v>
      </c>
      <c r="AM45" s="352">
        <f>G45*('Shoppable Detail'!$X$21/'Shoppable Detail'!$H$21)*('Assumptions-Output Override'!$D$10/'Winners-Losers HRA'!$H$107)*(1+'Assumptions-Output Override'!$F$39)</f>
        <v>0</v>
      </c>
      <c r="AN45" s="352">
        <f t="shared" si="12"/>
        <v>70.42345658772004</v>
      </c>
      <c r="AO45" s="352">
        <v>0</v>
      </c>
      <c r="AP45" s="352">
        <f>U45*'Assumptions-Output Override'!$D$10/'Winners-Losers HRA'!$H$107*(1+'Assumptions-Output Override'!$F$37)</f>
        <v>36.645834416762064</v>
      </c>
      <c r="AQ45" s="352">
        <f>AH45*'Assumptions-Output Override'!$D$10/'Winners-Losers HRA'!$H$107*(1+'Assumptions-Output Override'!$F$38)</f>
        <v>3.2914912780176975</v>
      </c>
      <c r="AR45" s="352">
        <f>AM45*('Shoppable Detail'!$AA$23/'Shoppable Detail'!$Y$23)</f>
        <v>0</v>
      </c>
      <c r="AS45" s="352">
        <f t="shared" si="13"/>
        <v>39.937325694779759</v>
      </c>
      <c r="AT45" s="352">
        <f t="shared" si="14"/>
        <v>1.071829065678344</v>
      </c>
      <c r="AU45" s="352">
        <f t="shared" si="14"/>
        <v>27.134500746783623</v>
      </c>
      <c r="AV45" s="352">
        <f t="shared" si="14"/>
        <v>2.2798010804783084</v>
      </c>
      <c r="AW45" s="352">
        <f t="shared" si="14"/>
        <v>0</v>
      </c>
      <c r="AX45" s="352">
        <f t="shared" si="15"/>
        <v>30.486130892940274</v>
      </c>
      <c r="AY45" s="352">
        <f>AT45*'Assumptions-Output Override'!$D$24</f>
        <v>0.32653907209057148</v>
      </c>
      <c r="AZ45" s="352">
        <f>$AU$107*'Assumptions-Output Override'!$D$21</f>
        <v>46.041131296780591</v>
      </c>
      <c r="BA45" s="352">
        <f>AV45*'Assumptions-Output Override'!$D$22</f>
        <v>0.34197016207174624</v>
      </c>
      <c r="BB45" s="352">
        <f>AW45*'Assumptions-Output Override'!$D$23</f>
        <v>0</v>
      </c>
      <c r="BC45" s="352">
        <f t="shared" si="16"/>
        <v>46.709640530942906</v>
      </c>
      <c r="BD45" s="352">
        <f t="shared" si="17"/>
        <v>0.32653907209057148</v>
      </c>
      <c r="BE45" s="352">
        <f t="shared" si="17"/>
        <v>82.686965713542662</v>
      </c>
      <c r="BF45" s="352">
        <f t="shared" si="17"/>
        <v>3.6334614400894436</v>
      </c>
      <c r="BG45" s="352">
        <f t="shared" si="17"/>
        <v>0</v>
      </c>
      <c r="BH45" s="352">
        <f t="shared" si="18"/>
        <v>86.646966225722679</v>
      </c>
      <c r="BJ45" s="401">
        <f>D45*'Assumptions-Output Override'!$D$10/'Winners-Losers HRA'!$H$107</f>
        <v>1.5171026990477428</v>
      </c>
      <c r="BK45" s="401">
        <f>E45*'Assumptions-Output Override'!$D$10/'Winners-Losers HRA'!$H$107</f>
        <v>65.473866187851158</v>
      </c>
      <c r="BL45" s="401">
        <f>F45*'Assumptions-Output Override'!$D$10/'Winners-Losers HRA'!$H$107</f>
        <v>5.6032385932416302</v>
      </c>
      <c r="BM45" s="401">
        <f>G45*'Assumptions-Output Override'!$D$10/'Winners-Losers HRA'!$H$107</f>
        <v>0</v>
      </c>
      <c r="BN45" s="401">
        <f t="shared" si="2"/>
        <v>72.594207480140525</v>
      </c>
      <c r="BO45" s="401">
        <f>BJ45*(1-'Assumptions-Output Override'!$D$11)</f>
        <v>0.21621714669124303</v>
      </c>
      <c r="BP45" s="401">
        <f>BK45*(1-'Assumptions-Output Override'!$D$11)</f>
        <v>9.3313211682157373</v>
      </c>
      <c r="BQ45" s="401">
        <f>BL45*(1-'Assumptions-Output Override'!$D$11)</f>
        <v>0.79857234557779511</v>
      </c>
      <c r="BR45" s="401">
        <f>BM45*(1-'Assumptions-Output Override'!$D$11)</f>
        <v>0</v>
      </c>
      <c r="BS45" s="352">
        <f t="shared" si="3"/>
        <v>10.346110660484776</v>
      </c>
      <c r="BT45" s="352">
        <f t="shared" si="19"/>
        <v>1.3008855523564997</v>
      </c>
      <c r="BU45" s="352">
        <f t="shared" si="19"/>
        <v>56.142545019635421</v>
      </c>
      <c r="BV45" s="352">
        <f t="shared" si="19"/>
        <v>4.8046662476638353</v>
      </c>
      <c r="BW45" s="352">
        <f t="shared" si="19"/>
        <v>0</v>
      </c>
      <c r="BX45" s="352">
        <f t="shared" si="4"/>
        <v>62.248096819655757</v>
      </c>
      <c r="BY45" s="352">
        <f>BT$107*(1-'Assumptions-Output Override'!$D$12)</f>
        <v>22.753074310428271</v>
      </c>
      <c r="BZ45" s="352">
        <f>BU$107*(1-'Assumptions-Output Override'!$D$12)</f>
        <v>51.446038369839215</v>
      </c>
      <c r="CA45" s="352">
        <f>BV$107*(1-'Assumptions-Output Override'!$D$12)</f>
        <v>9.7401900534537411</v>
      </c>
      <c r="CB45" s="352">
        <f>BW$107*(1-'Assumptions-Output Override'!$D$12)</f>
        <v>1.7000814189516649</v>
      </c>
      <c r="CC45" s="352">
        <f t="shared" si="5"/>
        <v>85.639384152672903</v>
      </c>
      <c r="CD45" s="352">
        <f t="shared" si="20"/>
        <v>22.969291457119514</v>
      </c>
      <c r="CE45" s="352">
        <f t="shared" si="20"/>
        <v>60.777359538054952</v>
      </c>
      <c r="CF45" s="352">
        <f t="shared" si="20"/>
        <v>10.538762399031537</v>
      </c>
      <c r="CG45" s="352">
        <f t="shared" si="20"/>
        <v>1.7000814189516649</v>
      </c>
      <c r="CH45" s="352">
        <f t="shared" si="6"/>
        <v>95.985494813157672</v>
      </c>
      <c r="CJ45" s="352">
        <f t="shared" si="21"/>
        <v>95.985494813157672</v>
      </c>
      <c r="CK45" s="352">
        <f t="shared" si="22"/>
        <v>39.937325694779759</v>
      </c>
      <c r="CL45" s="352">
        <f t="shared" si="23"/>
        <v>56.048169118377913</v>
      </c>
      <c r="CN45" s="352">
        <f>('HRA Balance Calc'!U57+'HRA Balance Calc'!V57+'HRA Balance Calc'!W57+'HRA Balance Calc'!X57)/12</f>
        <v>-22.934479604830646</v>
      </c>
      <c r="CO45" s="352">
        <f>('HRA Balance Calc'!Q57+IF('HRA Balance Calc'!L57&lt;0,-'HRA Balance Calc'!L57,0))/12</f>
        <v>0</v>
      </c>
      <c r="CP45" s="352">
        <f>('HRA Balance Calc'!N57)/12</f>
        <v>36.645834416762064</v>
      </c>
      <c r="CQ45" s="352">
        <f>('HRA Balance Calc'!O57)/12</f>
        <v>3.291491278017697</v>
      </c>
      <c r="CR45" s="352">
        <f>('HRA Balance Calc'!P57)/12</f>
        <v>0</v>
      </c>
      <c r="CS45" s="352">
        <f t="shared" si="7"/>
        <v>39.937325694779759</v>
      </c>
      <c r="CU45" s="577">
        <f t="shared" si="24"/>
        <v>1302.8863650900425</v>
      </c>
      <c r="CV45" s="352">
        <f t="shared" si="25"/>
        <v>108.57386375750355</v>
      </c>
      <c r="CW45" s="352">
        <f t="shared" si="29"/>
        <v>0.68175394426260449</v>
      </c>
      <c r="CX45" s="352">
        <f t="shared" si="29"/>
        <v>29.422574060218444</v>
      </c>
      <c r="CY45" s="352">
        <f t="shared" si="29"/>
        <v>2.5179772035108039</v>
      </c>
      <c r="CZ45" s="352">
        <f t="shared" si="29"/>
        <v>0</v>
      </c>
      <c r="DA45" s="352">
        <f t="shared" si="9"/>
        <v>32.62230520799185</v>
      </c>
      <c r="DC45" s="352">
        <f>('HRA Balance Calc'!Q57+'HRA Balance Calc'!X57+IF('HRA Balance Calc'!L57&lt;0,-'HRA Balance Calc'!L57,0))/12</f>
        <v>0.74528999358777259</v>
      </c>
      <c r="DD45" s="352">
        <f>('HRA Balance Calc'!N57+'HRA Balance Calc'!U57)/12</f>
        <v>12.624094656271902</v>
      </c>
      <c r="DE45" s="352">
        <f>('HRA Balance Calc'!O57+'HRA Balance Calc'!V57)/12</f>
        <v>3.6334614400894432</v>
      </c>
      <c r="DF45" s="352">
        <f>('HRA Balance Calc'!P57+'HRA Balance Calc'!W57)/12</f>
        <v>0</v>
      </c>
      <c r="DG45" s="352">
        <f t="shared" si="26"/>
        <v>17.00284608994912</v>
      </c>
      <c r="DI45" s="352">
        <f t="shared" si="27"/>
        <v>22.224001463531742</v>
      </c>
      <c r="DJ45" s="352">
        <f t="shared" si="27"/>
        <v>48.153264881783052</v>
      </c>
      <c r="DK45" s="352">
        <f t="shared" si="27"/>
        <v>6.9053009589420942</v>
      </c>
      <c r="DL45" s="352">
        <f t="shared" si="27"/>
        <v>1.7000814189516649</v>
      </c>
      <c r="DM45" s="352">
        <f t="shared" si="27"/>
        <v>78.982648723208555</v>
      </c>
    </row>
    <row r="46" spans="1:117" x14ac:dyDescent="0.2">
      <c r="A46">
        <v>41</v>
      </c>
      <c r="B46" s="397">
        <v>34308</v>
      </c>
      <c r="C46" s="398">
        <v>397997.79676138877</v>
      </c>
      <c r="D46" s="399">
        <v>1.0049647602193359</v>
      </c>
      <c r="E46" s="399">
        <v>40.578407986683814</v>
      </c>
      <c r="F46" s="399">
        <v>3.6244400099127487</v>
      </c>
      <c r="G46" s="399">
        <v>0</v>
      </c>
      <c r="H46" s="399">
        <v>45.207812756815898</v>
      </c>
      <c r="I46" s="400">
        <v>1.1826803568956358E-3</v>
      </c>
      <c r="J46" s="400">
        <v>1.5972422583686762E-2</v>
      </c>
      <c r="K46" s="400">
        <v>0</v>
      </c>
      <c r="L46" s="400">
        <v>0.24067877903678639</v>
      </c>
      <c r="M46" s="400">
        <v>0.25820570072560423</v>
      </c>
      <c r="N46" s="400">
        <v>0.16505895393032974</v>
      </c>
      <c r="O46" s="399">
        <f t="shared" si="30"/>
        <v>0.29567008922390897</v>
      </c>
      <c r="P46" s="399">
        <f t="shared" si="30"/>
        <v>0</v>
      </c>
      <c r="Q46" s="399">
        <f t="shared" si="30"/>
        <v>0</v>
      </c>
      <c r="R46" s="399">
        <f t="shared" si="30"/>
        <v>4.9970848922614497</v>
      </c>
      <c r="S46" s="399">
        <f t="shared" si="30"/>
        <v>7.7461710217681272</v>
      </c>
      <c r="T46" s="399">
        <f t="shared" si="30"/>
        <v>9.9035372358197851</v>
      </c>
      <c r="U46" s="399">
        <f t="shared" si="10"/>
        <v>22.94246323907327</v>
      </c>
      <c r="V46" s="400">
        <v>6.4561244647625869E-5</v>
      </c>
      <c r="W46" s="400">
        <v>2.4645013581834066E-3</v>
      </c>
      <c r="X46" s="400">
        <v>2.5125767231307792E-6</v>
      </c>
      <c r="Y46" s="400">
        <v>3.4192325106344429E-2</v>
      </c>
      <c r="Z46" s="400">
        <v>1.1181770442483242E-2</v>
      </c>
      <c r="AA46" s="400">
        <v>9.360051815144578E-3</v>
      </c>
      <c r="AB46" s="352">
        <f t="shared" si="31"/>
        <v>1.6140311161906468E-2</v>
      </c>
      <c r="AC46" s="352">
        <f t="shared" si="31"/>
        <v>0</v>
      </c>
      <c r="AD46" s="352">
        <f t="shared" si="31"/>
        <v>2.5125767231307791E-3</v>
      </c>
      <c r="AE46" s="352">
        <f t="shared" si="31"/>
        <v>1.2120644364782769</v>
      </c>
      <c r="AF46" s="352">
        <f t="shared" si="31"/>
        <v>0.33545311327449723</v>
      </c>
      <c r="AG46" s="352">
        <f t="shared" si="31"/>
        <v>0.56160310890867471</v>
      </c>
      <c r="AH46" s="400">
        <f t="shared" si="11"/>
        <v>2.1277735465464862</v>
      </c>
      <c r="AJ46" s="352">
        <f>D46*('Assumptions-Output Override'!$D$10/'Winners-Losers HRA'!$H$107)*(1+'Assumptions-Output Override'!$F$41)</f>
        <v>1.1995379927447058</v>
      </c>
      <c r="AK46" s="352">
        <f>E46*('Assumptions-Output Override'!$D$10/'Winners-Losers HRA'!$H$107)*(1+'Assumptions-Output Override'!$F$37)</f>
        <v>66.783079392103801</v>
      </c>
      <c r="AL46" s="352">
        <f>F46*('Assumptions-Output Override'!$D$10/'Winners-Losers HRA'!$H$107)*(1+'Assumptions-Output Override'!$F$38)</f>
        <v>6.0885009049851666</v>
      </c>
      <c r="AM46" s="352">
        <f>G46*('Shoppable Detail'!$X$21/'Shoppable Detail'!$H$21)*('Assumptions-Output Override'!$D$10/'Winners-Losers HRA'!$H$107)*(1+'Assumptions-Output Override'!$F$39)</f>
        <v>0</v>
      </c>
      <c r="AN46" s="352">
        <f t="shared" si="12"/>
        <v>74.071118289833677</v>
      </c>
      <c r="AO46" s="352">
        <v>0</v>
      </c>
      <c r="AP46" s="352">
        <f>U46*'Assumptions-Output Override'!$D$10/'Winners-Losers HRA'!$H$107*(1+'Assumptions-Output Override'!$F$37)</f>
        <v>37.758217238296993</v>
      </c>
      <c r="AQ46" s="352">
        <f>AH46*'Assumptions-Output Override'!$D$10/'Winners-Losers HRA'!$H$107*(1+'Assumptions-Output Override'!$F$38)</f>
        <v>3.5743317942414072</v>
      </c>
      <c r="AR46" s="352">
        <f>AM46*('Shoppable Detail'!$AA$23/'Shoppable Detail'!$Y$23)</f>
        <v>0</v>
      </c>
      <c r="AS46" s="352">
        <f t="shared" si="13"/>
        <v>41.332549032538402</v>
      </c>
      <c r="AT46" s="352">
        <f t="shared" si="14"/>
        <v>1.1995379927447058</v>
      </c>
      <c r="AU46" s="352">
        <f t="shared" si="14"/>
        <v>29.024862153806808</v>
      </c>
      <c r="AV46" s="352">
        <f t="shared" si="14"/>
        <v>2.5141691107437594</v>
      </c>
      <c r="AW46" s="352">
        <f t="shared" si="14"/>
        <v>0</v>
      </c>
      <c r="AX46" s="352">
        <f t="shared" si="15"/>
        <v>32.738569257295275</v>
      </c>
      <c r="AY46" s="352">
        <f>AT46*'Assumptions-Output Override'!$D$24</f>
        <v>0.36544635299691614</v>
      </c>
      <c r="AZ46" s="352">
        <f>$AU$107*'Assumptions-Output Override'!$D$21</f>
        <v>46.041131296780591</v>
      </c>
      <c r="BA46" s="352">
        <f>AV46*'Assumptions-Output Override'!$D$22</f>
        <v>0.37712536661156387</v>
      </c>
      <c r="BB46" s="352">
        <f>AW46*'Assumptions-Output Override'!$D$23</f>
        <v>0</v>
      </c>
      <c r="BC46" s="352">
        <f t="shared" si="16"/>
        <v>46.783703016389076</v>
      </c>
      <c r="BD46" s="352">
        <f t="shared" si="17"/>
        <v>0.36544635299691614</v>
      </c>
      <c r="BE46" s="352">
        <f t="shared" si="17"/>
        <v>83.799348535077584</v>
      </c>
      <c r="BF46" s="352">
        <f t="shared" si="17"/>
        <v>3.9514571608529709</v>
      </c>
      <c r="BG46" s="352">
        <f t="shared" si="17"/>
        <v>0</v>
      </c>
      <c r="BH46" s="352">
        <f t="shared" si="18"/>
        <v>88.116252048927464</v>
      </c>
      <c r="BJ46" s="401">
        <f>D46*'Assumptions-Output Override'!$D$10/'Winners-Losers HRA'!$H$107</f>
        <v>1.6978661847088157</v>
      </c>
      <c r="BK46" s="401">
        <f>E46*'Assumptions-Output Override'!$D$10/'Winners-Losers HRA'!$H$107</f>
        <v>68.556340955549246</v>
      </c>
      <c r="BL46" s="401">
        <f>F46*'Assumptions-Output Override'!$D$10/'Winners-Losers HRA'!$H$107</f>
        <v>6.1234128547885165</v>
      </c>
      <c r="BM46" s="401">
        <f>G46*'Assumptions-Output Override'!$D$10/'Winners-Losers HRA'!$H$107</f>
        <v>0</v>
      </c>
      <c r="BN46" s="401">
        <f t="shared" si="2"/>
        <v>76.377619995046572</v>
      </c>
      <c r="BO46" s="401">
        <f>BJ46*(1-'Assumptions-Output Override'!$D$11)</f>
        <v>0.24197951935074261</v>
      </c>
      <c r="BP46" s="401">
        <f>BK46*(1-'Assumptions-Output Override'!$D$11)</f>
        <v>9.7706348016551683</v>
      </c>
      <c r="BQ46" s="401">
        <f>BL46*(1-'Assumptions-Output Override'!$D$11)</f>
        <v>0.87270746819308531</v>
      </c>
      <c r="BR46" s="401">
        <f>BM46*(1-'Assumptions-Output Override'!$D$11)</f>
        <v>0</v>
      </c>
      <c r="BS46" s="352">
        <f t="shared" si="3"/>
        <v>10.885321789198997</v>
      </c>
      <c r="BT46" s="352">
        <f t="shared" si="19"/>
        <v>1.4558866653580731</v>
      </c>
      <c r="BU46" s="352">
        <f t="shared" si="19"/>
        <v>58.785706153894075</v>
      </c>
      <c r="BV46" s="352">
        <f t="shared" si="19"/>
        <v>5.2507053865954312</v>
      </c>
      <c r="BW46" s="352">
        <f t="shared" si="19"/>
        <v>0</v>
      </c>
      <c r="BX46" s="352">
        <f t="shared" si="4"/>
        <v>65.492298205847575</v>
      </c>
      <c r="BY46" s="352">
        <f>BT$107*(1-'Assumptions-Output Override'!$D$12)</f>
        <v>22.753074310428271</v>
      </c>
      <c r="BZ46" s="352">
        <f>BU$107*(1-'Assumptions-Output Override'!$D$12)</f>
        <v>51.446038369839215</v>
      </c>
      <c r="CA46" s="352">
        <f>BV$107*(1-'Assumptions-Output Override'!$D$12)</f>
        <v>9.7401900534537411</v>
      </c>
      <c r="CB46" s="352">
        <f>BW$107*(1-'Assumptions-Output Override'!$D$12)</f>
        <v>1.7000814189516649</v>
      </c>
      <c r="CC46" s="352">
        <f t="shared" si="5"/>
        <v>85.639384152672903</v>
      </c>
      <c r="CD46" s="352">
        <f t="shared" si="20"/>
        <v>22.995053829779014</v>
      </c>
      <c r="CE46" s="352">
        <f t="shared" si="20"/>
        <v>61.216673171494385</v>
      </c>
      <c r="CF46" s="352">
        <f t="shared" si="20"/>
        <v>10.612897521646826</v>
      </c>
      <c r="CG46" s="352">
        <f t="shared" si="20"/>
        <v>1.7000814189516649</v>
      </c>
      <c r="CH46" s="352">
        <f t="shared" si="6"/>
        <v>96.5247059418719</v>
      </c>
      <c r="CJ46" s="352">
        <f t="shared" si="21"/>
        <v>96.5247059418719</v>
      </c>
      <c r="CK46" s="352">
        <f t="shared" si="22"/>
        <v>41.332549032538402</v>
      </c>
      <c r="CL46" s="352">
        <f t="shared" si="23"/>
        <v>55.192156909333498</v>
      </c>
      <c r="CN46" s="352">
        <f>('HRA Balance Calc'!U58+'HRA Balance Calc'!V58+'HRA Balance Calc'!W58+'HRA Balance Calc'!X58)/12</f>
        <v>-22.810522754130812</v>
      </c>
      <c r="CO46" s="352">
        <f>('HRA Balance Calc'!Q58+IF('HRA Balance Calc'!L58&lt;0,-'HRA Balance Calc'!L58,0))/12</f>
        <v>0</v>
      </c>
      <c r="CP46" s="352">
        <f>('HRA Balance Calc'!N58)/12</f>
        <v>37.758217238296993</v>
      </c>
      <c r="CQ46" s="352">
        <f>('HRA Balance Calc'!O58)/12</f>
        <v>3.5743317942414072</v>
      </c>
      <c r="CR46" s="352">
        <f>('HRA Balance Calc'!P58)/12</f>
        <v>0</v>
      </c>
      <c r="CS46" s="352">
        <f t="shared" si="7"/>
        <v>41.332549032538402</v>
      </c>
      <c r="CU46" s="577">
        <f t="shared" si="24"/>
        <v>1301.3988828816446</v>
      </c>
      <c r="CV46" s="352">
        <f t="shared" si="25"/>
        <v>108.44990690680372</v>
      </c>
      <c r="CW46" s="352">
        <f t="shared" si="29"/>
        <v>0.76298524086859332</v>
      </c>
      <c r="CX46" s="352">
        <f t="shared" si="29"/>
        <v>30.807773185028644</v>
      </c>
      <c r="CY46" s="352">
        <f t="shared" si="29"/>
        <v>2.7517325417196634</v>
      </c>
      <c r="CZ46" s="352">
        <f t="shared" si="29"/>
        <v>0</v>
      </c>
      <c r="DA46" s="352">
        <f t="shared" si="9"/>
        <v>34.322490967616901</v>
      </c>
      <c r="DC46" s="352">
        <f>('HRA Balance Calc'!Q58+'HRA Balance Calc'!X58+IF('HRA Balance Calc'!L58&lt;0,-'HRA Balance Calc'!L58,0))/12</f>
        <v>0.83409163974778966</v>
      </c>
      <c r="DD46" s="352">
        <f>('HRA Balance Calc'!N58+'HRA Balance Calc'!U58)/12</f>
        <v>13.736477477806829</v>
      </c>
      <c r="DE46" s="352">
        <f>('HRA Balance Calc'!O58+'HRA Balance Calc'!V58)/12</f>
        <v>3.9514571608529714</v>
      </c>
      <c r="DF46" s="352">
        <f>('HRA Balance Calc'!P58+'HRA Balance Calc'!W58)/12</f>
        <v>0</v>
      </c>
      <c r="DG46" s="352">
        <f t="shared" si="26"/>
        <v>18.522026278407591</v>
      </c>
      <c r="DI46" s="352">
        <f t="shared" si="27"/>
        <v>22.160962190031224</v>
      </c>
      <c r="DJ46" s="352">
        <f t="shared" si="27"/>
        <v>47.480195693687556</v>
      </c>
      <c r="DK46" s="352">
        <f t="shared" si="27"/>
        <v>6.6614403607938542</v>
      </c>
      <c r="DL46" s="352">
        <f t="shared" si="27"/>
        <v>1.7000814189516649</v>
      </c>
      <c r="DM46" s="352">
        <f t="shared" si="27"/>
        <v>78.002679663464306</v>
      </c>
    </row>
    <row r="47" spans="1:117" x14ac:dyDescent="0.2">
      <c r="A47">
        <v>42</v>
      </c>
      <c r="B47" s="397">
        <v>34308</v>
      </c>
      <c r="C47" s="398">
        <v>397997.79676138877</v>
      </c>
      <c r="D47" s="399">
        <v>1.1731113557892723</v>
      </c>
      <c r="E47" s="399">
        <v>42.431396059327959</v>
      </c>
      <c r="F47" s="399">
        <v>3.9406246862034946</v>
      </c>
      <c r="G47" s="399">
        <v>0</v>
      </c>
      <c r="H47" s="399">
        <v>47.545132101320725</v>
      </c>
      <c r="I47" s="400">
        <v>1.2475531190882223E-3</v>
      </c>
      <c r="J47" s="400">
        <v>1.6960484654004685E-2</v>
      </c>
      <c r="K47" s="400">
        <v>5.0251534462615584E-6</v>
      </c>
      <c r="L47" s="400">
        <v>0.25066226751700493</v>
      </c>
      <c r="M47" s="400">
        <v>0.26392020472162647</v>
      </c>
      <c r="N47" s="400">
        <v>0.16753977168367434</v>
      </c>
      <c r="O47" s="399">
        <f t="shared" si="30"/>
        <v>0.31188827977205558</v>
      </c>
      <c r="P47" s="399">
        <f t="shared" si="30"/>
        <v>0</v>
      </c>
      <c r="Q47" s="399">
        <f t="shared" si="30"/>
        <v>5.0251534462615582E-3</v>
      </c>
      <c r="R47" s="399">
        <f t="shared" si="30"/>
        <v>5.2043667293067557</v>
      </c>
      <c r="S47" s="399">
        <f t="shared" si="30"/>
        <v>7.9176061416487942</v>
      </c>
      <c r="T47" s="399">
        <f t="shared" si="30"/>
        <v>10.05238630102046</v>
      </c>
      <c r="U47" s="399">
        <f t="shared" si="10"/>
        <v>23.491272605194325</v>
      </c>
      <c r="V47" s="400">
        <v>7.573530622125352E-5</v>
      </c>
      <c r="W47" s="400">
        <v>2.5476860387870855E-3</v>
      </c>
      <c r="X47" s="400">
        <v>0</v>
      </c>
      <c r="Y47" s="400">
        <v>3.5844754557838573E-2</v>
      </c>
      <c r="Z47" s="400">
        <v>1.2358560876528726E-2</v>
      </c>
      <c r="AA47" s="400">
        <v>1.0383072553734531E-2</v>
      </c>
      <c r="AB47" s="352">
        <f t="shared" si="31"/>
        <v>1.8933826555313379E-2</v>
      </c>
      <c r="AC47" s="352">
        <f t="shared" si="31"/>
        <v>0</v>
      </c>
      <c r="AD47" s="352">
        <f t="shared" si="31"/>
        <v>0</v>
      </c>
      <c r="AE47" s="352">
        <f t="shared" si="31"/>
        <v>1.2706404755664675</v>
      </c>
      <c r="AF47" s="352">
        <f t="shared" si="31"/>
        <v>0.37075682629586176</v>
      </c>
      <c r="AG47" s="352">
        <f t="shared" si="31"/>
        <v>0.62298435322407186</v>
      </c>
      <c r="AH47" s="400">
        <f t="shared" si="11"/>
        <v>2.2833154816417145</v>
      </c>
      <c r="AJ47" s="352">
        <f>D47*('Assumptions-Output Override'!$D$10/'Winners-Losers HRA'!$H$107)*(1+'Assumptions-Output Override'!$F$41)</f>
        <v>1.4002397862014198</v>
      </c>
      <c r="AK47" s="352">
        <f>E47*('Assumptions-Output Override'!$D$10/'Winners-Losers HRA'!$H$107)*(1+'Assumptions-Output Override'!$F$37)</f>
        <v>69.832687686461341</v>
      </c>
      <c r="AL47" s="352">
        <f>F47*('Assumptions-Output Override'!$D$10/'Winners-Losers HRA'!$H$107)*(1+'Assumptions-Output Override'!$F$38)</f>
        <v>6.6196424558105571</v>
      </c>
      <c r="AM47" s="352">
        <f>G47*('Shoppable Detail'!$X$21/'Shoppable Detail'!$H$21)*('Assumptions-Output Override'!$D$10/'Winners-Losers HRA'!$H$107)*(1+'Assumptions-Output Override'!$F$39)</f>
        <v>0</v>
      </c>
      <c r="AN47" s="352">
        <f t="shared" si="12"/>
        <v>77.852569928473329</v>
      </c>
      <c r="AO47" s="352">
        <v>0</v>
      </c>
      <c r="AP47" s="352">
        <f>U47*'Assumptions-Output Override'!$D$10/'Winners-Losers HRA'!$H$107*(1+'Assumptions-Output Override'!$F$37)</f>
        <v>38.661436001359853</v>
      </c>
      <c r="AQ47" s="352">
        <f>AH47*'Assumptions-Output Override'!$D$10/'Winners-Losers HRA'!$H$107*(1+'Assumptions-Output Override'!$F$38)</f>
        <v>3.8356182853960061</v>
      </c>
      <c r="AR47" s="352">
        <f>AM47*('Shoppable Detail'!$AA$23/'Shoppable Detail'!$Y$23)</f>
        <v>0</v>
      </c>
      <c r="AS47" s="352">
        <f t="shared" si="13"/>
        <v>42.497054286755862</v>
      </c>
      <c r="AT47" s="352">
        <f t="shared" si="14"/>
        <v>1.4002397862014198</v>
      </c>
      <c r="AU47" s="352">
        <f t="shared" si="14"/>
        <v>31.171251685101488</v>
      </c>
      <c r="AV47" s="352">
        <f t="shared" si="14"/>
        <v>2.784024170414551</v>
      </c>
      <c r="AW47" s="352">
        <f t="shared" si="14"/>
        <v>0</v>
      </c>
      <c r="AX47" s="352">
        <f t="shared" si="15"/>
        <v>35.35551564171746</v>
      </c>
      <c r="AY47" s="352">
        <f>AT47*'Assumptions-Output Override'!$D$24</f>
        <v>0.42659134290329781</v>
      </c>
      <c r="AZ47" s="352">
        <f>$AU$107*'Assumptions-Output Override'!$D$21</f>
        <v>46.041131296780591</v>
      </c>
      <c r="BA47" s="352">
        <f>AV47*'Assumptions-Output Override'!$D$22</f>
        <v>0.41760362556218261</v>
      </c>
      <c r="BB47" s="352">
        <f>AW47*'Assumptions-Output Override'!$D$23</f>
        <v>0</v>
      </c>
      <c r="BC47" s="352">
        <f t="shared" si="16"/>
        <v>46.885326265246071</v>
      </c>
      <c r="BD47" s="352">
        <f t="shared" si="17"/>
        <v>0.42659134290329781</v>
      </c>
      <c r="BE47" s="352">
        <f t="shared" si="17"/>
        <v>84.702567298140451</v>
      </c>
      <c r="BF47" s="352">
        <f t="shared" si="17"/>
        <v>4.2532219109581888</v>
      </c>
      <c r="BG47" s="352">
        <f t="shared" si="17"/>
        <v>0</v>
      </c>
      <c r="BH47" s="352">
        <f t="shared" si="18"/>
        <v>89.382380552001933</v>
      </c>
      <c r="BJ47" s="401">
        <f>D47*'Assumptions-Output Override'!$D$10/'Winners-Losers HRA'!$H$107</f>
        <v>1.9819462141715356</v>
      </c>
      <c r="BK47" s="401">
        <f>E47*'Assumptions-Output Override'!$D$10/'Winners-Losers HRA'!$H$107</f>
        <v>71.686924149854093</v>
      </c>
      <c r="BL47" s="401">
        <f>F47*'Assumptions-Output Override'!$D$10/'Winners-Losers HRA'!$H$107</f>
        <v>6.6576000136297822</v>
      </c>
      <c r="BM47" s="401">
        <f>G47*'Assumptions-Output Override'!$D$10/'Winners-Losers HRA'!$H$107</f>
        <v>0</v>
      </c>
      <c r="BN47" s="401">
        <f t="shared" si="2"/>
        <v>80.326470377655397</v>
      </c>
      <c r="BO47" s="401">
        <f>BJ47*(1-'Assumptions-Output Override'!$D$11)</f>
        <v>0.28246654336101407</v>
      </c>
      <c r="BP47" s="401">
        <f>BK47*(1-'Assumptions-Output Override'!$D$11)</f>
        <v>10.216804837590784</v>
      </c>
      <c r="BQ47" s="401">
        <f>BL47*(1-'Assumptions-Output Override'!$D$11)</f>
        <v>0.94883970588289879</v>
      </c>
      <c r="BR47" s="401">
        <f>BM47*(1-'Assumptions-Output Override'!$D$11)</f>
        <v>0</v>
      </c>
      <c r="BS47" s="352">
        <f t="shared" si="3"/>
        <v>11.448111086834697</v>
      </c>
      <c r="BT47" s="352">
        <f t="shared" si="19"/>
        <v>1.6994796708105215</v>
      </c>
      <c r="BU47" s="352">
        <f t="shared" si="19"/>
        <v>61.470119312263307</v>
      </c>
      <c r="BV47" s="352">
        <f t="shared" si="19"/>
        <v>5.7087603077468838</v>
      </c>
      <c r="BW47" s="352">
        <f t="shared" si="19"/>
        <v>0</v>
      </c>
      <c r="BX47" s="352">
        <f t="shared" si="4"/>
        <v>68.878359290820711</v>
      </c>
      <c r="BY47" s="352">
        <f>BT$107*(1-'Assumptions-Output Override'!$D$12)</f>
        <v>22.753074310428271</v>
      </c>
      <c r="BZ47" s="352">
        <f>BU$107*(1-'Assumptions-Output Override'!$D$12)</f>
        <v>51.446038369839215</v>
      </c>
      <c r="CA47" s="352">
        <f>BV$107*(1-'Assumptions-Output Override'!$D$12)</f>
        <v>9.7401900534537411</v>
      </c>
      <c r="CB47" s="352">
        <f>BW$107*(1-'Assumptions-Output Override'!$D$12)</f>
        <v>1.7000814189516649</v>
      </c>
      <c r="CC47" s="352">
        <f t="shared" si="5"/>
        <v>85.639384152672903</v>
      </c>
      <c r="CD47" s="352">
        <f t="shared" si="20"/>
        <v>23.035540853789286</v>
      </c>
      <c r="CE47" s="352">
        <f t="shared" si="20"/>
        <v>61.662843207430001</v>
      </c>
      <c r="CF47" s="352">
        <f t="shared" si="20"/>
        <v>10.689029759336639</v>
      </c>
      <c r="CG47" s="352">
        <f t="shared" si="20"/>
        <v>1.7000814189516649</v>
      </c>
      <c r="CH47" s="352">
        <f t="shared" si="6"/>
        <v>97.087495239507589</v>
      </c>
      <c r="CJ47" s="352">
        <f t="shared" si="21"/>
        <v>97.087495239507589</v>
      </c>
      <c r="CK47" s="352">
        <f t="shared" si="22"/>
        <v>42.497054286755862</v>
      </c>
      <c r="CL47" s="352">
        <f t="shared" si="23"/>
        <v>54.590440952751727</v>
      </c>
      <c r="CN47" s="352">
        <f>('HRA Balance Calc'!U59+'HRA Balance Calc'!V59+'HRA Balance Calc'!W59+'HRA Balance Calc'!X59)/12</f>
        <v>-22.630487691629856</v>
      </c>
      <c r="CO47" s="352">
        <f>('HRA Balance Calc'!Q59+IF('HRA Balance Calc'!L59&lt;0,-'HRA Balance Calc'!L59,0))/12</f>
        <v>0</v>
      </c>
      <c r="CP47" s="352">
        <f>('HRA Balance Calc'!N59)/12</f>
        <v>38.661436001359853</v>
      </c>
      <c r="CQ47" s="352">
        <f>('HRA Balance Calc'!O59)/12</f>
        <v>3.8356182853960061</v>
      </c>
      <c r="CR47" s="352">
        <f>('HRA Balance Calc'!P59)/12</f>
        <v>0</v>
      </c>
      <c r="CS47" s="352">
        <f t="shared" si="7"/>
        <v>42.497054286755862</v>
      </c>
      <c r="CU47" s="577">
        <f t="shared" si="24"/>
        <v>1299.238462131633</v>
      </c>
      <c r="CV47" s="352">
        <f t="shared" si="25"/>
        <v>108.26987184430276</v>
      </c>
      <c r="CW47" s="352">
        <f t="shared" si="29"/>
        <v>0.89064481242825821</v>
      </c>
      <c r="CX47" s="352">
        <f t="shared" si="29"/>
        <v>32.214591221737173</v>
      </c>
      <c r="CY47" s="352">
        <f t="shared" si="29"/>
        <v>2.9917849803205958</v>
      </c>
      <c r="CZ47" s="352">
        <f t="shared" si="29"/>
        <v>0</v>
      </c>
      <c r="DA47" s="352">
        <f t="shared" si="9"/>
        <v>36.097021014486025</v>
      </c>
      <c r="DC47" s="352">
        <f>('HRA Balance Calc'!Q59+'HRA Balance Calc'!X59+IF('HRA Balance Calc'!L59&lt;0,-'HRA Balance Calc'!L59,0))/12</f>
        <v>0.97364844329812195</v>
      </c>
      <c r="DD47" s="352">
        <f>('HRA Balance Calc'!N59+'HRA Balance Calc'!U59)/12</f>
        <v>14.639696240869691</v>
      </c>
      <c r="DE47" s="352">
        <f>('HRA Balance Calc'!O59+'HRA Balance Calc'!V59)/12</f>
        <v>4.2532219109581888</v>
      </c>
      <c r="DF47" s="352">
        <f>('HRA Balance Calc'!P59+'HRA Balance Calc'!W59)/12</f>
        <v>0</v>
      </c>
      <c r="DG47" s="352">
        <f t="shared" si="26"/>
        <v>19.866566595126002</v>
      </c>
      <c r="DI47" s="352">
        <f t="shared" si="27"/>
        <v>22.061892410491165</v>
      </c>
      <c r="DJ47" s="352">
        <f t="shared" si="27"/>
        <v>47.023146966560311</v>
      </c>
      <c r="DK47" s="352">
        <f t="shared" si="27"/>
        <v>6.4358078483784507</v>
      </c>
      <c r="DL47" s="352">
        <f t="shared" si="27"/>
        <v>1.7000814189516649</v>
      </c>
      <c r="DM47" s="352">
        <f t="shared" si="27"/>
        <v>77.220928644381587</v>
      </c>
    </row>
    <row r="48" spans="1:117" x14ac:dyDescent="0.2">
      <c r="A48">
        <v>43</v>
      </c>
      <c r="B48" s="397">
        <v>34308</v>
      </c>
      <c r="C48" s="398">
        <v>397997.79676138877</v>
      </c>
      <c r="D48" s="399">
        <v>1.2819885406943241</v>
      </c>
      <c r="E48" s="399">
        <v>44.667926998522475</v>
      </c>
      <c r="F48" s="399">
        <v>4.0367616607284811</v>
      </c>
      <c r="G48" s="399">
        <v>1.4547371359240882E-3</v>
      </c>
      <c r="H48" s="399">
        <v>49.988131937081199</v>
      </c>
      <c r="I48" s="400">
        <v>1.3997545996169904E-3</v>
      </c>
      <c r="J48" s="400">
        <v>1.7884921515249147E-2</v>
      </c>
      <c r="K48" s="400">
        <v>1.5075460338784675E-5</v>
      </c>
      <c r="L48" s="400">
        <v>0.25516587844376548</v>
      </c>
      <c r="M48" s="400">
        <v>0.27160311157408129</v>
      </c>
      <c r="N48" s="400">
        <v>0.17501041605456866</v>
      </c>
      <c r="O48" s="399">
        <f t="shared" si="30"/>
        <v>0.34993864990424761</v>
      </c>
      <c r="P48" s="399">
        <f t="shared" si="30"/>
        <v>0</v>
      </c>
      <c r="Q48" s="399">
        <f t="shared" si="30"/>
        <v>1.5075460338784675E-2</v>
      </c>
      <c r="R48" s="399">
        <f t="shared" si="30"/>
        <v>5.2978727966584565</v>
      </c>
      <c r="S48" s="399">
        <f t="shared" si="30"/>
        <v>8.1480933472224386</v>
      </c>
      <c r="T48" s="399">
        <f t="shared" si="30"/>
        <v>10.50062496327412</v>
      </c>
      <c r="U48" s="399">
        <f t="shared" si="10"/>
        <v>24.311605217398046</v>
      </c>
      <c r="V48" s="400">
        <v>8.5667805397811287E-5</v>
      </c>
      <c r="W48" s="400">
        <v>2.776133519847917E-3</v>
      </c>
      <c r="X48" s="400">
        <v>0</v>
      </c>
      <c r="Y48" s="400">
        <v>3.724228797692121E-2</v>
      </c>
      <c r="Z48" s="400">
        <v>1.2469817773828931E-2</v>
      </c>
      <c r="AA48" s="400">
        <v>1.0639958397907424E-2</v>
      </c>
      <c r="AB48" s="352">
        <f t="shared" si="31"/>
        <v>2.1416951349452821E-2</v>
      </c>
      <c r="AC48" s="352">
        <f t="shared" si="31"/>
        <v>0</v>
      </c>
      <c r="AD48" s="352">
        <f t="shared" si="31"/>
        <v>0</v>
      </c>
      <c r="AE48" s="352">
        <f t="shared" si="31"/>
        <v>1.3201808490506226</v>
      </c>
      <c r="AF48" s="352">
        <f t="shared" si="31"/>
        <v>0.37409453321486791</v>
      </c>
      <c r="AG48" s="352">
        <f t="shared" si="31"/>
        <v>0.63839750387444538</v>
      </c>
      <c r="AH48" s="400">
        <f t="shared" si="11"/>
        <v>2.354089837489389</v>
      </c>
      <c r="AJ48" s="352">
        <f>D48*('Assumptions-Output Override'!$D$10/'Winners-Losers HRA'!$H$107)*(1+'Assumptions-Output Override'!$F$41)</f>
        <v>1.5301969001286742</v>
      </c>
      <c r="AK48" s="352">
        <f>E48*('Assumptions-Output Override'!$D$10/'Winners-Losers HRA'!$H$107)*(1+'Assumptions-Output Override'!$F$37)</f>
        <v>73.513522659685009</v>
      </c>
      <c r="AL48" s="352">
        <f>F48*('Assumptions-Output Override'!$D$10/'Winners-Losers HRA'!$H$107)*(1+'Assumptions-Output Override'!$F$38)</f>
        <v>6.7811377639952841</v>
      </c>
      <c r="AM48" s="352">
        <f>G48*('Shoppable Detail'!$X$21/'Shoppable Detail'!$H$21)*('Assumptions-Output Override'!$D$10/'Winners-Losers HRA'!$H$107)*(1+'Assumptions-Output Override'!$F$39)</f>
        <v>2.4945714050084236E-3</v>
      </c>
      <c r="AN48" s="352">
        <f t="shared" si="12"/>
        <v>81.82735189521398</v>
      </c>
      <c r="AO48" s="352">
        <v>0</v>
      </c>
      <c r="AP48" s="352">
        <f>U48*'Assumptions-Output Override'!$D$10/'Winners-Losers HRA'!$H$107*(1+'Assumptions-Output Override'!$F$37)</f>
        <v>40.011521938361398</v>
      </c>
      <c r="AQ48" s="352">
        <f>AH48*'Assumptions-Output Override'!$D$10/'Winners-Losers HRA'!$H$107*(1+'Assumptions-Output Override'!$F$38)</f>
        <v>3.9545083010811277</v>
      </c>
      <c r="AR48" s="352">
        <f>AM48*('Shoppable Detail'!$AA$23/'Shoppable Detail'!$Y$23)</f>
        <v>8.3351463766337936E-5</v>
      </c>
      <c r="AS48" s="352">
        <f t="shared" si="13"/>
        <v>43.966113590906289</v>
      </c>
      <c r="AT48" s="352">
        <f t="shared" si="14"/>
        <v>1.5301969001286742</v>
      </c>
      <c r="AU48" s="352">
        <f t="shared" si="14"/>
        <v>33.502000721323611</v>
      </c>
      <c r="AV48" s="352">
        <f t="shared" si="14"/>
        <v>2.8266294629141564</v>
      </c>
      <c r="AW48" s="352">
        <f t="shared" si="14"/>
        <v>2.4112199412420856E-3</v>
      </c>
      <c r="AX48" s="352">
        <f t="shared" si="15"/>
        <v>37.861238304307683</v>
      </c>
      <c r="AY48" s="352">
        <f>AT48*'Assumptions-Output Override'!$D$24</f>
        <v>0.46618354725028222</v>
      </c>
      <c r="AZ48" s="352">
        <f>$AU$107*'Assumptions-Output Override'!$D$21</f>
        <v>46.041131296780591</v>
      </c>
      <c r="BA48" s="352">
        <f>AV48*'Assumptions-Output Override'!$D$22</f>
        <v>0.42399441943712346</v>
      </c>
      <c r="BB48" s="352">
        <f>AW48*'Assumptions-Output Override'!$D$23</f>
        <v>3.6168299118631282E-4</v>
      </c>
      <c r="BC48" s="352">
        <f t="shared" si="16"/>
        <v>46.931670946459178</v>
      </c>
      <c r="BD48" s="352">
        <f t="shared" si="17"/>
        <v>0.46618354725028222</v>
      </c>
      <c r="BE48" s="352">
        <f t="shared" si="17"/>
        <v>86.052653235141989</v>
      </c>
      <c r="BF48" s="352">
        <f t="shared" si="17"/>
        <v>4.3785027205182514</v>
      </c>
      <c r="BG48" s="352">
        <f t="shared" si="17"/>
        <v>4.4503445495265077E-4</v>
      </c>
      <c r="BH48" s="352">
        <f t="shared" si="18"/>
        <v>90.897784537365482</v>
      </c>
      <c r="BJ48" s="401">
        <f>D48*'Assumptions-Output Override'!$D$10/'Winners-Losers HRA'!$H$107</f>
        <v>2.1658918586896885</v>
      </c>
      <c r="BK48" s="401">
        <f>E48*'Assumptions-Output Override'!$D$10/'Winners-Losers HRA'!$H$107</f>
        <v>75.465494705785474</v>
      </c>
      <c r="BL48" s="401">
        <f>F48*'Assumptions-Output Override'!$D$10/'Winners-Losers HRA'!$H$107</f>
        <v>6.8200213487923822</v>
      </c>
      <c r="BM48" s="401">
        <f>G48*'Assumptions-Output Override'!$D$10/'Winners-Losers HRA'!$H$107</f>
        <v>2.4577468668519177E-3</v>
      </c>
      <c r="BN48" s="401">
        <f t="shared" si="2"/>
        <v>84.453865660134397</v>
      </c>
      <c r="BO48" s="401">
        <f>BJ48*(1-'Assumptions-Output Override'!$D$11)</f>
        <v>0.30868243660868999</v>
      </c>
      <c r="BP48" s="401">
        <f>BK48*(1-'Assumptions-Output Override'!$D$11)</f>
        <v>10.755325891365086</v>
      </c>
      <c r="BQ48" s="401">
        <f>BL48*(1-'Assumptions-Output Override'!$D$11)</f>
        <v>0.97198795924286086</v>
      </c>
      <c r="BR48" s="401">
        <f>BM48*(1-'Assumptions-Output Override'!$D$11)</f>
        <v>3.5027754889212074E-4</v>
      </c>
      <c r="BS48" s="352">
        <f t="shared" si="3"/>
        <v>12.036346564765529</v>
      </c>
      <c r="BT48" s="352">
        <f t="shared" si="19"/>
        <v>1.8572094220809985</v>
      </c>
      <c r="BU48" s="352">
        <f t="shared" si="19"/>
        <v>64.710168814420385</v>
      </c>
      <c r="BV48" s="352">
        <f t="shared" si="19"/>
        <v>5.8480333895495216</v>
      </c>
      <c r="BW48" s="352">
        <f t="shared" si="19"/>
        <v>2.1074693179597972E-3</v>
      </c>
      <c r="BX48" s="352">
        <f t="shared" si="4"/>
        <v>72.417519095368874</v>
      </c>
      <c r="BY48" s="352">
        <f>BT$107*(1-'Assumptions-Output Override'!$D$12)</f>
        <v>22.753074310428271</v>
      </c>
      <c r="BZ48" s="352">
        <f>BU$107*(1-'Assumptions-Output Override'!$D$12)</f>
        <v>51.446038369839215</v>
      </c>
      <c r="CA48" s="352">
        <f>BV$107*(1-'Assumptions-Output Override'!$D$12)</f>
        <v>9.7401900534537411</v>
      </c>
      <c r="CB48" s="352">
        <f>BW$107*(1-'Assumptions-Output Override'!$D$12)</f>
        <v>1.7000814189516649</v>
      </c>
      <c r="CC48" s="352">
        <f t="shared" si="5"/>
        <v>85.639384152672903</v>
      </c>
      <c r="CD48" s="352">
        <f t="shared" si="20"/>
        <v>23.061756747036963</v>
      </c>
      <c r="CE48" s="352">
        <f t="shared" si="20"/>
        <v>62.201364261204304</v>
      </c>
      <c r="CF48" s="352">
        <f t="shared" si="20"/>
        <v>10.712178012696603</v>
      </c>
      <c r="CG48" s="352">
        <f t="shared" si="20"/>
        <v>1.700431696500557</v>
      </c>
      <c r="CH48" s="352">
        <f t="shared" si="6"/>
        <v>97.675730717438427</v>
      </c>
      <c r="CJ48" s="352">
        <f t="shared" si="21"/>
        <v>97.675730717438427</v>
      </c>
      <c r="CK48" s="352">
        <f t="shared" si="22"/>
        <v>43.966113590906289</v>
      </c>
      <c r="CL48" s="352">
        <f t="shared" si="23"/>
        <v>53.709617126532137</v>
      </c>
      <c r="CN48" s="352">
        <f>('HRA Balance Calc'!U60+'HRA Balance Calc'!V60+'HRA Balance Calc'!W60+'HRA Balance Calc'!X60)/12</f>
        <v>-22.533370305183464</v>
      </c>
      <c r="CO48" s="352">
        <f>('HRA Balance Calc'!Q60+IF('HRA Balance Calc'!L60&lt;0,-'HRA Balance Calc'!L60,0))/12</f>
        <v>0</v>
      </c>
      <c r="CP48" s="352">
        <f>('HRA Balance Calc'!N60)/12</f>
        <v>40.011521938361398</v>
      </c>
      <c r="CQ48" s="352">
        <f>('HRA Balance Calc'!O60)/12</f>
        <v>3.9545083010811282</v>
      </c>
      <c r="CR48" s="352">
        <f>('HRA Balance Calc'!P60)/12</f>
        <v>8.3351463766337936E-5</v>
      </c>
      <c r="CS48" s="352">
        <f t="shared" si="7"/>
        <v>43.966113590906289</v>
      </c>
      <c r="CU48" s="577">
        <f t="shared" si="24"/>
        <v>1298.0730534942763</v>
      </c>
      <c r="CV48" s="352">
        <f t="shared" si="25"/>
        <v>108.17275445785637</v>
      </c>
      <c r="CW48" s="352">
        <f t="shared" si="29"/>
        <v>0.97330610408563412</v>
      </c>
      <c r="CX48" s="352">
        <f t="shared" si="29"/>
        <v>33.912601107157386</v>
      </c>
      <c r="CY48" s="352">
        <f t="shared" si="29"/>
        <v>3.0647737014856204</v>
      </c>
      <c r="CZ48" s="352">
        <f t="shared" si="29"/>
        <v>1.1044595870319674E-3</v>
      </c>
      <c r="DA48" s="352">
        <f t="shared" si="9"/>
        <v>37.951785372315676</v>
      </c>
      <c r="DC48" s="352">
        <f>('HRA Balance Calc'!Q60+'HRA Balance Calc'!X60+IF('HRA Balance Calc'!L60&lt;0,-'HRA Balance Calc'!L60,0))/12</f>
        <v>1.0640133528783919</v>
      </c>
      <c r="DD48" s="352">
        <f>('HRA Balance Calc'!N60+'HRA Balance Calc'!U60)/12</f>
        <v>15.989782177871234</v>
      </c>
      <c r="DE48" s="352">
        <f>('HRA Balance Calc'!O60+'HRA Balance Calc'!V60)/12</f>
        <v>4.3785027205182514</v>
      </c>
      <c r="DF48" s="352">
        <f>('HRA Balance Calc'!P60+'HRA Balance Calc'!W60)/12</f>
        <v>4.4503445495265082E-4</v>
      </c>
      <c r="DG48" s="352">
        <f t="shared" si="26"/>
        <v>21.432743285722829</v>
      </c>
      <c r="DI48" s="352">
        <f t="shared" si="27"/>
        <v>21.997743394158572</v>
      </c>
      <c r="DJ48" s="352">
        <f t="shared" si="27"/>
        <v>46.21158208333307</v>
      </c>
      <c r="DK48" s="352">
        <f t="shared" si="27"/>
        <v>6.3336752921783512</v>
      </c>
      <c r="DL48" s="352">
        <f t="shared" si="27"/>
        <v>1.6999866620456043</v>
      </c>
      <c r="DM48" s="352">
        <f t="shared" si="27"/>
        <v>76.242987431715591</v>
      </c>
    </row>
    <row r="49" spans="1:117" x14ac:dyDescent="0.2">
      <c r="A49">
        <v>44</v>
      </c>
      <c r="B49" s="397">
        <v>34308</v>
      </c>
      <c r="C49" s="398">
        <v>397997.79676138877</v>
      </c>
      <c r="D49" s="399">
        <v>1.5183561179968863</v>
      </c>
      <c r="E49" s="399">
        <v>46.527815767702748</v>
      </c>
      <c r="F49" s="399">
        <v>4.4907118258969767</v>
      </c>
      <c r="G49" s="399">
        <v>0</v>
      </c>
      <c r="H49" s="399">
        <v>52.536883711596616</v>
      </c>
      <c r="I49" s="400">
        <v>1.6579980952682659E-3</v>
      </c>
      <c r="J49" s="400">
        <v>1.937824259879764E-2</v>
      </c>
      <c r="K49" s="400">
        <v>7.5377301693923375E-6</v>
      </c>
      <c r="L49" s="400">
        <v>0.26995902969006197</v>
      </c>
      <c r="M49" s="400">
        <v>0.27645529923872247</v>
      </c>
      <c r="N49" s="400">
        <v>0.18291221859113913</v>
      </c>
      <c r="O49" s="399">
        <f t="shared" si="30"/>
        <v>0.41449952381706645</v>
      </c>
      <c r="P49" s="399">
        <f t="shared" si="30"/>
        <v>0</v>
      </c>
      <c r="Q49" s="399">
        <f t="shared" si="30"/>
        <v>7.5377301693923373E-3</v>
      </c>
      <c r="R49" s="399">
        <f t="shared" si="30"/>
        <v>5.6050150918689043</v>
      </c>
      <c r="S49" s="399">
        <f t="shared" si="30"/>
        <v>8.2936589771616749</v>
      </c>
      <c r="T49" s="399">
        <f t="shared" si="30"/>
        <v>10.974733115468348</v>
      </c>
      <c r="U49" s="399">
        <f t="shared" si="10"/>
        <v>25.295444438485386</v>
      </c>
      <c r="V49" s="400">
        <v>6.3319682250556242E-5</v>
      </c>
      <c r="W49" s="400">
        <v>2.8493857012750132E-3</v>
      </c>
      <c r="X49" s="400">
        <v>0</v>
      </c>
      <c r="Y49" s="400">
        <v>4.1710659372682993E-2</v>
      </c>
      <c r="Z49" s="400">
        <v>1.3708116086056679E-2</v>
      </c>
      <c r="AA49" s="400">
        <v>1.1231519461601258E-2</v>
      </c>
      <c r="AB49" s="352">
        <f t="shared" si="31"/>
        <v>1.5829920562639061E-2</v>
      </c>
      <c r="AC49" s="352">
        <f t="shared" si="31"/>
        <v>0</v>
      </c>
      <c r="AD49" s="352">
        <f t="shared" si="31"/>
        <v>0</v>
      </c>
      <c r="AE49" s="352">
        <f t="shared" si="31"/>
        <v>1.4785776249626159</v>
      </c>
      <c r="AF49" s="352">
        <f t="shared" si="31"/>
        <v>0.41124348258170035</v>
      </c>
      <c r="AG49" s="352">
        <f t="shared" si="31"/>
        <v>0.67389116769607549</v>
      </c>
      <c r="AH49" s="400">
        <f t="shared" si="11"/>
        <v>2.5795421958030307</v>
      </c>
      <c r="AJ49" s="352">
        <f>D49*('Assumptions-Output Override'!$D$10/'Winners-Losers HRA'!$H$107)*(1+'Assumptions-Output Override'!$F$41)</f>
        <v>1.8123280757189135</v>
      </c>
      <c r="AK49" s="352">
        <f>E49*('Assumptions-Output Override'!$D$10/'Winners-Losers HRA'!$H$107)*(1+'Assumptions-Output Override'!$F$37)</f>
        <v>76.574487973390973</v>
      </c>
      <c r="AL49" s="352">
        <f>F49*('Assumptions-Output Override'!$D$10/'Winners-Losers HRA'!$H$107)*(1+'Assumptions-Output Override'!$F$38)</f>
        <v>7.5437041146280501</v>
      </c>
      <c r="AM49" s="352">
        <f>G49*('Shoppable Detail'!$X$21/'Shoppable Detail'!$H$21)*('Assumptions-Output Override'!$D$10/'Winners-Losers HRA'!$H$107)*(1+'Assumptions-Output Override'!$F$39)</f>
        <v>0</v>
      </c>
      <c r="AN49" s="352">
        <f t="shared" si="12"/>
        <v>85.930520163737938</v>
      </c>
      <c r="AO49" s="352">
        <v>0</v>
      </c>
      <c r="AP49" s="352">
        <f>U49*'Assumptions-Output Override'!$D$10/'Winners-Losers HRA'!$H$107*(1+'Assumptions-Output Override'!$F$37)</f>
        <v>41.630703568959198</v>
      </c>
      <c r="AQ49" s="352">
        <f>AH49*'Assumptions-Output Override'!$D$10/'Winners-Losers HRA'!$H$107*(1+'Assumptions-Output Override'!$F$38)</f>
        <v>4.3332335341845685</v>
      </c>
      <c r="AR49" s="352">
        <f>AM49*('Shoppable Detail'!$AA$23/'Shoppable Detail'!$Y$23)</f>
        <v>0</v>
      </c>
      <c r="AS49" s="352">
        <f t="shared" si="13"/>
        <v>45.963937103143763</v>
      </c>
      <c r="AT49" s="352">
        <f t="shared" si="14"/>
        <v>1.8123280757189135</v>
      </c>
      <c r="AU49" s="352">
        <f t="shared" si="14"/>
        <v>34.943784404431774</v>
      </c>
      <c r="AV49" s="352">
        <f t="shared" si="14"/>
        <v>3.2104705804434817</v>
      </c>
      <c r="AW49" s="352">
        <f t="shared" si="14"/>
        <v>0</v>
      </c>
      <c r="AX49" s="352">
        <f t="shared" si="15"/>
        <v>39.966583060594175</v>
      </c>
      <c r="AY49" s="352">
        <f>AT49*'Assumptions-Output Override'!$D$24</f>
        <v>0.55213648063780252</v>
      </c>
      <c r="AZ49" s="352">
        <f>$AU$107*'Assumptions-Output Override'!$D$21</f>
        <v>46.041131296780591</v>
      </c>
      <c r="BA49" s="352">
        <f>AV49*'Assumptions-Output Override'!$D$22</f>
        <v>0.48157058706652223</v>
      </c>
      <c r="BB49" s="352">
        <f>AW49*'Assumptions-Output Override'!$D$23</f>
        <v>0</v>
      </c>
      <c r="BC49" s="352">
        <f t="shared" si="16"/>
        <v>47.074838364484918</v>
      </c>
      <c r="BD49" s="352">
        <f t="shared" si="17"/>
        <v>0.55213648063780252</v>
      </c>
      <c r="BE49" s="352">
        <f t="shared" si="17"/>
        <v>87.671834865739783</v>
      </c>
      <c r="BF49" s="352">
        <f t="shared" si="17"/>
        <v>4.8148041212510906</v>
      </c>
      <c r="BG49" s="352">
        <f t="shared" si="17"/>
        <v>0</v>
      </c>
      <c r="BH49" s="352">
        <f t="shared" si="18"/>
        <v>93.038775467628668</v>
      </c>
      <c r="BJ49" s="401">
        <f>D49*'Assumptions-Output Override'!$D$10/'Winners-Losers HRA'!$H$107</f>
        <v>2.5652297584345294</v>
      </c>
      <c r="BK49" s="401">
        <f>E49*'Assumptions-Output Override'!$D$10/'Winners-Losers HRA'!$H$107</f>
        <v>78.607736477349363</v>
      </c>
      <c r="BL49" s="401">
        <f>F49*'Assumptions-Output Override'!$D$10/'Winners-Losers HRA'!$H$107</f>
        <v>7.5869603157013845</v>
      </c>
      <c r="BM49" s="401">
        <f>G49*'Assumptions-Output Override'!$D$10/'Winners-Losers HRA'!$H$107</f>
        <v>0</v>
      </c>
      <c r="BN49" s="401">
        <f t="shared" si="2"/>
        <v>88.759926551485279</v>
      </c>
      <c r="BO49" s="401">
        <f>BJ49*(1-'Assumptions-Output Override'!$D$11)</f>
        <v>0.36559598722243525</v>
      </c>
      <c r="BP49" s="401">
        <f>BK49*(1-'Assumptions-Output Override'!$D$11)</f>
        <v>11.203157505195865</v>
      </c>
      <c r="BQ49" s="401">
        <f>BL49*(1-'Assumptions-Output Override'!$D$11)</f>
        <v>1.0812919339938647</v>
      </c>
      <c r="BR49" s="401">
        <f>BM49*(1-'Assumptions-Output Override'!$D$11)</f>
        <v>0</v>
      </c>
      <c r="BS49" s="352">
        <f t="shared" si="3"/>
        <v>12.650045426412163</v>
      </c>
      <c r="BT49" s="352">
        <f t="shared" si="19"/>
        <v>2.1996337712120941</v>
      </c>
      <c r="BU49" s="352">
        <f t="shared" si="19"/>
        <v>67.404578972153502</v>
      </c>
      <c r="BV49" s="352">
        <f t="shared" si="19"/>
        <v>6.5056683817075198</v>
      </c>
      <c r="BW49" s="352">
        <f t="shared" si="19"/>
        <v>0</v>
      </c>
      <c r="BX49" s="352">
        <f t="shared" si="4"/>
        <v>76.109881125073116</v>
      </c>
      <c r="BY49" s="352">
        <f>BT$107*(1-'Assumptions-Output Override'!$D$12)</f>
        <v>22.753074310428271</v>
      </c>
      <c r="BZ49" s="352">
        <f>BU$107*(1-'Assumptions-Output Override'!$D$12)</f>
        <v>51.446038369839215</v>
      </c>
      <c r="CA49" s="352">
        <f>BV$107*(1-'Assumptions-Output Override'!$D$12)</f>
        <v>9.7401900534537411</v>
      </c>
      <c r="CB49" s="352">
        <f>BW$107*(1-'Assumptions-Output Override'!$D$12)</f>
        <v>1.7000814189516649</v>
      </c>
      <c r="CC49" s="352">
        <f t="shared" si="5"/>
        <v>85.639384152672903</v>
      </c>
      <c r="CD49" s="352">
        <f t="shared" si="20"/>
        <v>23.118670297650706</v>
      </c>
      <c r="CE49" s="352">
        <f t="shared" si="20"/>
        <v>62.649195875035076</v>
      </c>
      <c r="CF49" s="352">
        <f t="shared" si="20"/>
        <v>10.821481987447605</v>
      </c>
      <c r="CG49" s="352">
        <f t="shared" si="20"/>
        <v>1.7000814189516649</v>
      </c>
      <c r="CH49" s="352">
        <f t="shared" si="6"/>
        <v>98.289429579085066</v>
      </c>
      <c r="CJ49" s="352">
        <f t="shared" si="21"/>
        <v>98.289429579085066</v>
      </c>
      <c r="CK49" s="352">
        <f t="shared" si="22"/>
        <v>45.963937103143763</v>
      </c>
      <c r="CL49" s="352">
        <f t="shared" si="23"/>
        <v>52.325492475941303</v>
      </c>
      <c r="CN49" s="352">
        <f>('HRA Balance Calc'!U61+'HRA Balance Calc'!V61+'HRA Balance Calc'!W61+'HRA Balance Calc'!X61)/12</f>
        <v>-22.279977578342528</v>
      </c>
      <c r="CO49" s="352">
        <f>('HRA Balance Calc'!Q61+IF('HRA Balance Calc'!L61&lt;0,-'HRA Balance Calc'!L61,0))/12</f>
        <v>0</v>
      </c>
      <c r="CP49" s="352">
        <f>('HRA Balance Calc'!N61)/12</f>
        <v>41.630703568959198</v>
      </c>
      <c r="CQ49" s="352">
        <f>('HRA Balance Calc'!O61)/12</f>
        <v>4.3332335341845685</v>
      </c>
      <c r="CR49" s="352">
        <f>('HRA Balance Calc'!P61)/12</f>
        <v>0</v>
      </c>
      <c r="CS49" s="352">
        <f t="shared" si="7"/>
        <v>45.963937103143763</v>
      </c>
      <c r="CU49" s="577">
        <f t="shared" si="24"/>
        <v>1295.0323407721851</v>
      </c>
      <c r="CV49" s="352">
        <f t="shared" si="25"/>
        <v>107.91936173101543</v>
      </c>
      <c r="CW49" s="352">
        <f t="shared" si="29"/>
        <v>1.1527601307744511</v>
      </c>
      <c r="CX49" s="352">
        <f t="shared" si="29"/>
        <v>35.324658262506887</v>
      </c>
      <c r="CY49" s="352">
        <f t="shared" si="29"/>
        <v>3.409419891903112</v>
      </c>
      <c r="CZ49" s="352">
        <f t="shared" si="29"/>
        <v>0</v>
      </c>
      <c r="DA49" s="352">
        <f t="shared" si="9"/>
        <v>39.886838285184453</v>
      </c>
      <c r="DC49" s="352">
        <f>('HRA Balance Calc'!Q61+'HRA Balance Calc'!X61+IF('HRA Balance Calc'!L61&lt;0,-'HRA Balance Calc'!L61,0))/12</f>
        <v>1.2601915950811109</v>
      </c>
      <c r="DD49" s="352">
        <f>('HRA Balance Calc'!N61+'HRA Balance Calc'!U61)/12</f>
        <v>17.608963808469031</v>
      </c>
      <c r="DE49" s="352">
        <f>('HRA Balance Calc'!O61+'HRA Balance Calc'!V61)/12</f>
        <v>4.8148041212510906</v>
      </c>
      <c r="DF49" s="352">
        <f>('HRA Balance Calc'!P61+'HRA Balance Calc'!W61)/12</f>
        <v>0</v>
      </c>
      <c r="DG49" s="352">
        <f t="shared" si="26"/>
        <v>23.683959524801232</v>
      </c>
      <c r="DI49" s="352">
        <f t="shared" si="27"/>
        <v>21.858478702569595</v>
      </c>
      <c r="DJ49" s="352">
        <f t="shared" si="27"/>
        <v>45.040232066566048</v>
      </c>
      <c r="DK49" s="352">
        <f t="shared" si="27"/>
        <v>6.0066778661965143</v>
      </c>
      <c r="DL49" s="352">
        <f t="shared" si="27"/>
        <v>1.7000814189516649</v>
      </c>
      <c r="DM49" s="352">
        <f t="shared" si="27"/>
        <v>74.605470054283842</v>
      </c>
    </row>
    <row r="50" spans="1:117" x14ac:dyDescent="0.2">
      <c r="A50">
        <v>45</v>
      </c>
      <c r="B50" s="397">
        <v>34308</v>
      </c>
      <c r="C50" s="398">
        <v>397997.79676138877</v>
      </c>
      <c r="D50" s="399">
        <v>1.7734576898084891</v>
      </c>
      <c r="E50" s="399">
        <v>48.804586533041089</v>
      </c>
      <c r="F50" s="399">
        <v>4.6414724351188239</v>
      </c>
      <c r="G50" s="399">
        <v>0</v>
      </c>
      <c r="H50" s="399">
        <v>55.219516657968398</v>
      </c>
      <c r="I50" s="400">
        <v>1.9673912688021578E-3</v>
      </c>
      <c r="J50" s="400">
        <v>1.9577851097851894E-2</v>
      </c>
      <c r="K50" s="400">
        <v>1.0050306892523117E-5</v>
      </c>
      <c r="L50" s="400">
        <v>0.27645778868330001</v>
      </c>
      <c r="M50" s="400">
        <v>0.28572022489912691</v>
      </c>
      <c r="N50" s="400">
        <v>0.18843767631451752</v>
      </c>
      <c r="O50" s="399">
        <f t="shared" si="30"/>
        <v>0.49184781720053944</v>
      </c>
      <c r="P50" s="399">
        <f t="shared" si="30"/>
        <v>0</v>
      </c>
      <c r="Q50" s="399">
        <f t="shared" si="30"/>
        <v>1.0050306892523116E-2</v>
      </c>
      <c r="R50" s="399">
        <f t="shared" si="30"/>
        <v>5.739945352498963</v>
      </c>
      <c r="S50" s="399">
        <f t="shared" si="30"/>
        <v>8.5716067469738064</v>
      </c>
      <c r="T50" s="399">
        <f t="shared" si="30"/>
        <v>11.306260578871051</v>
      </c>
      <c r="U50" s="399">
        <f t="shared" si="10"/>
        <v>26.119710802436884</v>
      </c>
      <c r="V50" s="400">
        <v>7.2010619030044384E-5</v>
      </c>
      <c r="W50" s="400">
        <v>3.0393447480266877E-3</v>
      </c>
      <c r="X50" s="400">
        <v>5.0251534462615584E-6</v>
      </c>
      <c r="Y50" s="400">
        <v>4.1866673323555245E-2</v>
      </c>
      <c r="Z50" s="400">
        <v>1.4269827738279769E-2</v>
      </c>
      <c r="AA50" s="400">
        <v>1.1185388552964602E-2</v>
      </c>
      <c r="AB50" s="352">
        <f t="shared" si="31"/>
        <v>1.8002654757511095E-2</v>
      </c>
      <c r="AC50" s="352">
        <f t="shared" si="31"/>
        <v>0</v>
      </c>
      <c r="AD50" s="352">
        <f t="shared" si="31"/>
        <v>5.0251534462615582E-3</v>
      </c>
      <c r="AE50" s="352">
        <f t="shared" si="31"/>
        <v>1.4841080754616267</v>
      </c>
      <c r="AF50" s="352">
        <f t="shared" si="31"/>
        <v>0.42809483214839306</v>
      </c>
      <c r="AG50" s="352">
        <f t="shared" si="31"/>
        <v>0.6711233131778761</v>
      </c>
      <c r="AH50" s="400">
        <f t="shared" si="11"/>
        <v>2.6063540289916687</v>
      </c>
      <c r="AJ50" s="352">
        <f>D50*('Assumptions-Output Override'!$D$10/'Winners-Losers HRA'!$H$107)*(1+'Assumptions-Output Override'!$F$41)</f>
        <v>2.1168203718767642</v>
      </c>
      <c r="AK50" s="352">
        <f>E50*('Assumptions-Output Override'!$D$10/'Winners-Losers HRA'!$H$107)*(1+'Assumptions-Output Override'!$F$37)</f>
        <v>80.321548795222824</v>
      </c>
      <c r="AL50" s="352">
        <f>F50*('Assumptions-Output Override'!$D$10/'Winners-Losers HRA'!$H$107)*(1+'Assumptions-Output Override'!$F$38)</f>
        <v>7.7969587148346697</v>
      </c>
      <c r="AM50" s="352">
        <f>G50*('Shoppable Detail'!$X$21/'Shoppable Detail'!$H$21)*('Assumptions-Output Override'!$D$10/'Winners-Losers HRA'!$H$107)*(1+'Assumptions-Output Override'!$F$39)</f>
        <v>0</v>
      </c>
      <c r="AN50" s="352">
        <f t="shared" si="12"/>
        <v>90.235327881934268</v>
      </c>
      <c r="AO50" s="352">
        <v>0</v>
      </c>
      <c r="AP50" s="352">
        <f>U50*'Assumptions-Output Override'!$D$10/'Winners-Losers HRA'!$H$107*(1+'Assumptions-Output Override'!$F$37)</f>
        <v>42.987263590783549</v>
      </c>
      <c r="AQ50" s="352">
        <f>AH50*'Assumptions-Output Override'!$D$10/'Winners-Losers HRA'!$H$107*(1+'Assumptions-Output Override'!$F$38)</f>
        <v>4.3782732838250285</v>
      </c>
      <c r="AR50" s="352">
        <f>AM50*('Shoppable Detail'!$AA$23/'Shoppable Detail'!$Y$23)</f>
        <v>0</v>
      </c>
      <c r="AS50" s="352">
        <f t="shared" si="13"/>
        <v>47.36553687460858</v>
      </c>
      <c r="AT50" s="352">
        <f t="shared" si="14"/>
        <v>2.1168203718767642</v>
      </c>
      <c r="AU50" s="352">
        <f t="shared" si="14"/>
        <v>37.334285204439276</v>
      </c>
      <c r="AV50" s="352">
        <f t="shared" si="14"/>
        <v>3.4186854310096413</v>
      </c>
      <c r="AW50" s="352">
        <f t="shared" si="14"/>
        <v>0</v>
      </c>
      <c r="AX50" s="352">
        <f t="shared" si="15"/>
        <v>42.869791007325681</v>
      </c>
      <c r="AY50" s="352">
        <f>AT50*'Assumptions-Output Override'!$D$24</f>
        <v>0.6449018618258795</v>
      </c>
      <c r="AZ50" s="352">
        <f>$AU$107*'Assumptions-Output Override'!$D$21</f>
        <v>46.041131296780591</v>
      </c>
      <c r="BA50" s="352">
        <f>AV50*'Assumptions-Output Override'!$D$22</f>
        <v>0.51280281465144617</v>
      </c>
      <c r="BB50" s="352">
        <f>AW50*'Assumptions-Output Override'!$D$23</f>
        <v>0</v>
      </c>
      <c r="BC50" s="352">
        <f t="shared" si="16"/>
        <v>47.198835973257914</v>
      </c>
      <c r="BD50" s="352">
        <f t="shared" si="17"/>
        <v>0.6449018618258795</v>
      </c>
      <c r="BE50" s="352">
        <f t="shared" si="17"/>
        <v>89.028394887564133</v>
      </c>
      <c r="BF50" s="352">
        <f t="shared" si="17"/>
        <v>4.891076098476475</v>
      </c>
      <c r="BG50" s="352">
        <f t="shared" si="17"/>
        <v>0</v>
      </c>
      <c r="BH50" s="352">
        <f t="shared" si="18"/>
        <v>94.564372847866494</v>
      </c>
      <c r="BJ50" s="401">
        <f>D50*'Assumptions-Output Override'!$D$10/'Winners-Losers HRA'!$H$107</f>
        <v>2.9962183359349552</v>
      </c>
      <c r="BK50" s="401">
        <f>E50*'Assumptions-Output Override'!$D$10/'Winners-Losers HRA'!$H$107</f>
        <v>82.454291347549869</v>
      </c>
      <c r="BL50" s="401">
        <f>F50*'Assumptions-Output Override'!$D$10/'Winners-Losers HRA'!$H$107</f>
        <v>7.841667097984983</v>
      </c>
      <c r="BM50" s="401">
        <f>G50*'Assumptions-Output Override'!$D$10/'Winners-Losers HRA'!$H$107</f>
        <v>0</v>
      </c>
      <c r="BN50" s="401">
        <f t="shared" si="2"/>
        <v>93.292176781469806</v>
      </c>
      <c r="BO50" s="401">
        <f>BJ50*(1-'Assumptions-Output Override'!$D$11)</f>
        <v>0.42702038554573368</v>
      </c>
      <c r="BP50" s="401">
        <f>BK50*(1-'Assumptions-Output Override'!$D$11)</f>
        <v>11.751367668652891</v>
      </c>
      <c r="BQ50" s="401">
        <f>BL50*(1-'Assumptions-Output Override'!$D$11)</f>
        <v>1.1175926892049883</v>
      </c>
      <c r="BR50" s="401">
        <f>BM50*(1-'Assumptions-Output Override'!$D$11)</f>
        <v>0</v>
      </c>
      <c r="BS50" s="352">
        <f t="shared" si="3"/>
        <v>13.295980743403613</v>
      </c>
      <c r="BT50" s="352">
        <f t="shared" si="19"/>
        <v>2.5691979503892215</v>
      </c>
      <c r="BU50" s="352">
        <f t="shared" si="19"/>
        <v>70.70292367889698</v>
      </c>
      <c r="BV50" s="352">
        <f t="shared" si="19"/>
        <v>6.7240744087799946</v>
      </c>
      <c r="BW50" s="352">
        <f t="shared" si="19"/>
        <v>0</v>
      </c>
      <c r="BX50" s="352">
        <f t="shared" si="4"/>
        <v>79.996196038066202</v>
      </c>
      <c r="BY50" s="352">
        <f>BT$107*(1-'Assumptions-Output Override'!$D$12)</f>
        <v>22.753074310428271</v>
      </c>
      <c r="BZ50" s="352">
        <f>BU$107*(1-'Assumptions-Output Override'!$D$12)</f>
        <v>51.446038369839215</v>
      </c>
      <c r="CA50" s="352">
        <f>BV$107*(1-'Assumptions-Output Override'!$D$12)</f>
        <v>9.7401900534537411</v>
      </c>
      <c r="CB50" s="352">
        <f>BW$107*(1-'Assumptions-Output Override'!$D$12)</f>
        <v>1.7000814189516649</v>
      </c>
      <c r="CC50" s="352">
        <f t="shared" si="5"/>
        <v>85.639384152672903</v>
      </c>
      <c r="CD50" s="352">
        <f t="shared" si="20"/>
        <v>23.180094695974006</v>
      </c>
      <c r="CE50" s="352">
        <f t="shared" si="20"/>
        <v>63.197406038492105</v>
      </c>
      <c r="CF50" s="352">
        <f t="shared" si="20"/>
        <v>10.857782742658729</v>
      </c>
      <c r="CG50" s="352">
        <f t="shared" si="20"/>
        <v>1.7000814189516649</v>
      </c>
      <c r="CH50" s="352">
        <f t="shared" si="6"/>
        <v>98.935364896076507</v>
      </c>
      <c r="CJ50" s="352">
        <f t="shared" si="21"/>
        <v>98.935364896076507</v>
      </c>
      <c r="CK50" s="352">
        <f t="shared" si="22"/>
        <v>47.36553687460858</v>
      </c>
      <c r="CL50" s="352">
        <f t="shared" si="23"/>
        <v>51.569828021467927</v>
      </c>
      <c r="CN50" s="352">
        <f>('HRA Balance Calc'!U62+'HRA Balance Calc'!V62+'HRA Balance Calc'!W62+'HRA Balance Calc'!X62)/12</f>
        <v>-22.037018435787832</v>
      </c>
      <c r="CO50" s="352">
        <f>('HRA Balance Calc'!Q62+IF('HRA Balance Calc'!L62&lt;0,-'HRA Balance Calc'!L62,0))/12</f>
        <v>0</v>
      </c>
      <c r="CP50" s="352">
        <f>('HRA Balance Calc'!N62)/12</f>
        <v>42.987263590783549</v>
      </c>
      <c r="CQ50" s="352">
        <f>('HRA Balance Calc'!O62)/12</f>
        <v>4.3782732838250285</v>
      </c>
      <c r="CR50" s="352">
        <f>('HRA Balance Calc'!P62)/12</f>
        <v>0</v>
      </c>
      <c r="CS50" s="352">
        <f t="shared" si="7"/>
        <v>47.36553687460858</v>
      </c>
      <c r="CU50" s="577">
        <f t="shared" si="24"/>
        <v>1292.1168310615287</v>
      </c>
      <c r="CV50" s="352">
        <f t="shared" si="25"/>
        <v>107.67640258846073</v>
      </c>
      <c r="CW50" s="352">
        <f t="shared" si="29"/>
        <v>1.3464373042627553</v>
      </c>
      <c r="CX50" s="352">
        <f t="shared" si="29"/>
        <v>37.053218864388199</v>
      </c>
      <c r="CY50" s="352">
        <f t="shared" si="29"/>
        <v>3.5238797459138356</v>
      </c>
      <c r="CZ50" s="352">
        <f t="shared" si="29"/>
        <v>0</v>
      </c>
      <c r="DA50" s="352">
        <f t="shared" si="9"/>
        <v>41.923535914564795</v>
      </c>
      <c r="DC50" s="352">
        <f>('HRA Balance Calc'!Q62+'HRA Balance Calc'!X62+IF('HRA Balance Calc'!L62&lt;0,-'HRA Balance Calc'!L62,0))/12</f>
        <v>1.4719185100508845</v>
      </c>
      <c r="DD50" s="352">
        <f>('HRA Balance Calc'!N62+'HRA Balance Calc'!U62)/12</f>
        <v>18.965523830293382</v>
      </c>
      <c r="DE50" s="352">
        <f>('HRA Balance Calc'!O62+'HRA Balance Calc'!V62)/12</f>
        <v>4.891076098476475</v>
      </c>
      <c r="DF50" s="352">
        <f>('HRA Balance Calc'!P62+'HRA Balance Calc'!W62)/12</f>
        <v>0</v>
      </c>
      <c r="DG50" s="352">
        <f t="shared" si="26"/>
        <v>25.32851843882074</v>
      </c>
      <c r="DI50" s="352">
        <f t="shared" si="27"/>
        <v>21.708176185923122</v>
      </c>
      <c r="DJ50" s="352">
        <f t="shared" si="27"/>
        <v>44.231882208198726</v>
      </c>
      <c r="DK50" s="352">
        <f t="shared" si="27"/>
        <v>5.9667066441822545</v>
      </c>
      <c r="DL50" s="352">
        <f t="shared" si="27"/>
        <v>1.7000814189516649</v>
      </c>
      <c r="DM50" s="352">
        <f t="shared" si="27"/>
        <v>73.60684645725577</v>
      </c>
    </row>
    <row r="51" spans="1:117" x14ac:dyDescent="0.2">
      <c r="A51">
        <v>46</v>
      </c>
      <c r="B51" s="397">
        <v>34308</v>
      </c>
      <c r="C51" s="398">
        <v>397997.79676138877</v>
      </c>
      <c r="D51" s="399">
        <v>1.9536645764031031</v>
      </c>
      <c r="E51" s="399">
        <v>51.002775868435862</v>
      </c>
      <c r="F51" s="399">
        <v>5.0472980343620897</v>
      </c>
      <c r="G51" s="399">
        <v>3.3898632141216084E-3</v>
      </c>
      <c r="H51" s="399">
        <v>58.007128342415186</v>
      </c>
      <c r="I51" s="400">
        <v>2.0497297746619775E-3</v>
      </c>
      <c r="J51" s="400">
        <v>2.147537939198484E-2</v>
      </c>
      <c r="K51" s="400">
        <v>1.0050306892523117E-5</v>
      </c>
      <c r="L51" s="400">
        <v>0.28455072909275675</v>
      </c>
      <c r="M51" s="400">
        <v>0.29499510036335991</v>
      </c>
      <c r="N51" s="400">
        <v>0.19343247783395762</v>
      </c>
      <c r="O51" s="399">
        <f t="shared" si="30"/>
        <v>0.51243244366549434</v>
      </c>
      <c r="P51" s="399">
        <f t="shared" si="30"/>
        <v>0</v>
      </c>
      <c r="Q51" s="399">
        <f t="shared" si="30"/>
        <v>1.0050306892523116E-2</v>
      </c>
      <c r="R51" s="399">
        <f t="shared" si="30"/>
        <v>5.9079747500882176</v>
      </c>
      <c r="S51" s="399">
        <f t="shared" si="30"/>
        <v>8.849853010900798</v>
      </c>
      <c r="T51" s="399">
        <f t="shared" si="30"/>
        <v>11.605948670037456</v>
      </c>
      <c r="U51" s="399">
        <f t="shared" si="10"/>
        <v>26.886259181584489</v>
      </c>
      <c r="V51" s="400">
        <v>1.3408873888353073E-4</v>
      </c>
      <c r="W51" s="400">
        <v>3.3844990944120715E-3</v>
      </c>
      <c r="X51" s="400">
        <v>2.5125767231307792E-6</v>
      </c>
      <c r="Y51" s="400">
        <v>4.4779299969772556E-2</v>
      </c>
      <c r="Z51" s="400">
        <v>1.5112847480424484E-2</v>
      </c>
      <c r="AA51" s="400">
        <v>1.1861975212969233E-2</v>
      </c>
      <c r="AB51" s="352">
        <f t="shared" si="31"/>
        <v>3.3522184720882683E-2</v>
      </c>
      <c r="AC51" s="352">
        <f t="shared" si="31"/>
        <v>0</v>
      </c>
      <c r="AD51" s="352">
        <f t="shared" si="31"/>
        <v>2.5125767231307791E-3</v>
      </c>
      <c r="AE51" s="352">
        <f t="shared" si="31"/>
        <v>1.5873561337214597</v>
      </c>
      <c r="AF51" s="352">
        <f t="shared" si="31"/>
        <v>0.45338542441273449</v>
      </c>
      <c r="AG51" s="352">
        <f t="shared" si="31"/>
        <v>0.71171851277815401</v>
      </c>
      <c r="AH51" s="400">
        <f t="shared" si="11"/>
        <v>2.7884948323563616</v>
      </c>
      <c r="AJ51" s="352">
        <f>D51*('Assumptions-Output Override'!$D$10/'Winners-Losers HRA'!$H$107)*(1+'Assumptions-Output Override'!$F$41)</f>
        <v>2.3319174733684598</v>
      </c>
      <c r="AK51" s="352">
        <f>E51*('Assumptions-Output Override'!$D$10/'Winners-Losers HRA'!$H$107)*(1+'Assumptions-Output Override'!$F$37)</f>
        <v>83.939281973732918</v>
      </c>
      <c r="AL51" s="352">
        <f>F51*('Assumptions-Output Override'!$D$10/'Winners-Losers HRA'!$H$107)*(1+'Assumptions-Output Override'!$F$38)</f>
        <v>8.4786832078600778</v>
      </c>
      <c r="AM51" s="352">
        <f>G51*('Shoppable Detail'!$X$21/'Shoppable Detail'!$H$21)*('Assumptions-Output Override'!$D$10/'Winners-Losers HRA'!$H$107)*(1+'Assumptions-Output Override'!$F$39)</f>
        <v>5.8129098598050646E-3</v>
      </c>
      <c r="AN51" s="352">
        <f t="shared" si="12"/>
        <v>94.755695564821252</v>
      </c>
      <c r="AO51" s="352">
        <v>0</v>
      </c>
      <c r="AP51" s="352">
        <f>U51*'Assumptions-Output Override'!$D$10/'Winners-Losers HRA'!$H$107*(1+'Assumptions-Output Override'!$F$37)</f>
        <v>44.248832582827355</v>
      </c>
      <c r="AQ51" s="352">
        <f>AH51*'Assumptions-Output Override'!$D$10/'Winners-Losers HRA'!$H$107*(1+'Assumptions-Output Override'!$F$38)</f>
        <v>4.6842417763611639</v>
      </c>
      <c r="AR51" s="352">
        <f>AM51*('Shoppable Detail'!$AA$23/'Shoppable Detail'!$Y$23)</f>
        <v>1.9422757135103706E-4</v>
      </c>
      <c r="AS51" s="352">
        <f t="shared" si="13"/>
        <v>48.933268586759866</v>
      </c>
      <c r="AT51" s="352">
        <f t="shared" si="14"/>
        <v>2.3319174733684598</v>
      </c>
      <c r="AU51" s="352">
        <f t="shared" si="14"/>
        <v>39.690449390905563</v>
      </c>
      <c r="AV51" s="352">
        <f t="shared" si="14"/>
        <v>3.7944414314989139</v>
      </c>
      <c r="AW51" s="352">
        <f t="shared" si="14"/>
        <v>5.6186822884540279E-3</v>
      </c>
      <c r="AX51" s="352">
        <f t="shared" si="15"/>
        <v>45.822426978061387</v>
      </c>
      <c r="AY51" s="352">
        <f>AT51*'Assumptions-Output Override'!$D$24</f>
        <v>0.71043246757225154</v>
      </c>
      <c r="AZ51" s="352">
        <f>$AU$107*'Assumptions-Output Override'!$D$21</f>
        <v>46.041131296780591</v>
      </c>
      <c r="BA51" s="352">
        <f>AV51*'Assumptions-Output Override'!$D$22</f>
        <v>0.56916621472483708</v>
      </c>
      <c r="BB51" s="352">
        <f>AW51*'Assumptions-Output Override'!$D$23</f>
        <v>8.4280234326810418E-4</v>
      </c>
      <c r="BC51" s="352">
        <f t="shared" si="16"/>
        <v>47.321572781420954</v>
      </c>
      <c r="BD51" s="352">
        <f t="shared" si="17"/>
        <v>0.71043246757225154</v>
      </c>
      <c r="BE51" s="352">
        <f t="shared" si="17"/>
        <v>90.289963879607939</v>
      </c>
      <c r="BF51" s="352">
        <f t="shared" si="17"/>
        <v>5.253407991086001</v>
      </c>
      <c r="BG51" s="352">
        <f t="shared" si="17"/>
        <v>1.0370299146191413E-3</v>
      </c>
      <c r="BH51" s="352">
        <f t="shared" si="18"/>
        <v>96.254841368180806</v>
      </c>
      <c r="BJ51" s="401">
        <f>D51*'Assumptions-Output Override'!$D$10/'Winners-Losers HRA'!$H$107</f>
        <v>3.3006739657362165</v>
      </c>
      <c r="BK51" s="401">
        <f>E51*'Assumptions-Output Override'!$D$10/'Winners-Losers HRA'!$H$107</f>
        <v>86.168084594727787</v>
      </c>
      <c r="BL51" s="401">
        <f>F51*'Assumptions-Output Override'!$D$10/'Winners-Losers HRA'!$H$107</f>
        <v>8.5273006536272202</v>
      </c>
      <c r="BM51" s="401">
        <f>G51*'Assumptions-Output Override'!$D$10/'Winners-Losers HRA'!$H$107</f>
        <v>5.7271004416008173E-3</v>
      </c>
      <c r="BN51" s="401">
        <f t="shared" si="2"/>
        <v>98.001786314532836</v>
      </c>
      <c r="BO51" s="401">
        <f>BJ51*(1-'Assumptions-Output Override'!$D$11)</f>
        <v>0.47041133568446419</v>
      </c>
      <c r="BP51" s="401">
        <f>BK51*(1-'Assumptions-Output Override'!$D$11)</f>
        <v>12.28065667447302</v>
      </c>
      <c r="BQ51" s="401">
        <f>BL51*(1-'Assumptions-Output Override'!$D$11)</f>
        <v>1.2153090344265658</v>
      </c>
      <c r="BR51" s="401">
        <f>BM51*(1-'Assumptions-Output Override'!$D$11)</f>
        <v>8.1622510926540625E-4</v>
      </c>
      <c r="BS51" s="352">
        <f t="shared" si="3"/>
        <v>13.967193269693315</v>
      </c>
      <c r="BT51" s="352">
        <f t="shared" si="19"/>
        <v>2.8302626300517524</v>
      </c>
      <c r="BU51" s="352">
        <f t="shared" si="19"/>
        <v>73.887427920254765</v>
      </c>
      <c r="BV51" s="352">
        <f t="shared" si="19"/>
        <v>7.3119916192006542</v>
      </c>
      <c r="BW51" s="352">
        <f t="shared" si="19"/>
        <v>4.9108753323354112E-3</v>
      </c>
      <c r="BX51" s="352">
        <f t="shared" si="4"/>
        <v>84.034593044839511</v>
      </c>
      <c r="BY51" s="352">
        <f>BT$107*(1-'Assumptions-Output Override'!$D$12)</f>
        <v>22.753074310428271</v>
      </c>
      <c r="BZ51" s="352">
        <f>BU$107*(1-'Assumptions-Output Override'!$D$12)</f>
        <v>51.446038369839215</v>
      </c>
      <c r="CA51" s="352">
        <f>BV$107*(1-'Assumptions-Output Override'!$D$12)</f>
        <v>9.7401900534537411</v>
      </c>
      <c r="CB51" s="352">
        <f>BW$107*(1-'Assumptions-Output Override'!$D$12)</f>
        <v>1.7000814189516649</v>
      </c>
      <c r="CC51" s="352">
        <f t="shared" si="5"/>
        <v>85.639384152672903</v>
      </c>
      <c r="CD51" s="352">
        <f t="shared" si="20"/>
        <v>23.223485646112735</v>
      </c>
      <c r="CE51" s="352">
        <f t="shared" si="20"/>
        <v>63.726695044312237</v>
      </c>
      <c r="CF51" s="352">
        <f t="shared" si="20"/>
        <v>10.955499087880307</v>
      </c>
      <c r="CG51" s="352">
        <f t="shared" si="20"/>
        <v>1.7008976440609302</v>
      </c>
      <c r="CH51" s="352">
        <f t="shared" si="6"/>
        <v>99.606577422366215</v>
      </c>
      <c r="CJ51" s="352">
        <f t="shared" si="21"/>
        <v>99.606577422366215</v>
      </c>
      <c r="CK51" s="352">
        <f t="shared" si="22"/>
        <v>48.933268586759866</v>
      </c>
      <c r="CL51" s="352">
        <f t="shared" si="23"/>
        <v>50.673308835606349</v>
      </c>
      <c r="CN51" s="352">
        <f>('HRA Balance Calc'!U63+'HRA Balance Calc'!V63+'HRA Balance Calc'!W63+'HRA Balance Calc'!X63)/12</f>
        <v>-21.830245737625855</v>
      </c>
      <c r="CO51" s="352">
        <f>('HRA Balance Calc'!Q63+IF('HRA Balance Calc'!L63&lt;0,-'HRA Balance Calc'!L63,0))/12</f>
        <v>0</v>
      </c>
      <c r="CP51" s="352">
        <f>('HRA Balance Calc'!N63)/12</f>
        <v>44.248832582827355</v>
      </c>
      <c r="CQ51" s="352">
        <f>('HRA Balance Calc'!O63)/12</f>
        <v>4.6842417763611639</v>
      </c>
      <c r="CR51" s="352">
        <f>('HRA Balance Calc'!P63)/12</f>
        <v>1.9422757135103706E-4</v>
      </c>
      <c r="CS51" s="352">
        <f t="shared" si="7"/>
        <v>48.933268586759866</v>
      </c>
      <c r="CU51" s="577">
        <f t="shared" si="24"/>
        <v>1289.6355586835853</v>
      </c>
      <c r="CV51" s="352">
        <f t="shared" si="25"/>
        <v>107.46962989029876</v>
      </c>
      <c r="CW51" s="352">
        <f t="shared" si="29"/>
        <v>1.483253240718639</v>
      </c>
      <c r="CX51" s="352">
        <f t="shared" si="29"/>
        <v>38.72211919396284</v>
      </c>
      <c r="CY51" s="352">
        <f t="shared" si="29"/>
        <v>3.8319889999355237</v>
      </c>
      <c r="CZ51" s="352">
        <f t="shared" si="29"/>
        <v>2.5736381048562023E-3</v>
      </c>
      <c r="DA51" s="352">
        <f t="shared" si="9"/>
        <v>44.03993507272186</v>
      </c>
      <c r="DC51" s="352">
        <f>('HRA Balance Calc'!Q63+'HRA Balance Calc'!X63+IF('HRA Balance Calc'!L63&lt;0,-'HRA Balance Calc'!L63,0))/12</f>
        <v>1.621485005796208</v>
      </c>
      <c r="DD51" s="352">
        <f>('HRA Balance Calc'!N63+'HRA Balance Calc'!U63)/12</f>
        <v>20.227092822337188</v>
      </c>
      <c r="DE51" s="352">
        <f>('HRA Balance Calc'!O63+'HRA Balance Calc'!V63)/12</f>
        <v>5.253407991086001</v>
      </c>
      <c r="DF51" s="352">
        <f>('HRA Balance Calc'!P63+'HRA Balance Calc'!W63)/12</f>
        <v>1.0370299146191413E-3</v>
      </c>
      <c r="DG51" s="352">
        <f t="shared" si="26"/>
        <v>27.103022849134017</v>
      </c>
      <c r="DI51" s="352">
        <f t="shared" si="27"/>
        <v>21.602000640316525</v>
      </c>
      <c r="DJ51" s="352">
        <f t="shared" si="27"/>
        <v>43.499602221975053</v>
      </c>
      <c r="DK51" s="352">
        <f t="shared" si="27"/>
        <v>5.7020910967943061</v>
      </c>
      <c r="DL51" s="352">
        <f t="shared" si="27"/>
        <v>1.6998606141463111</v>
      </c>
      <c r="DM51" s="352">
        <f t="shared" si="27"/>
        <v>72.503554573232194</v>
      </c>
    </row>
    <row r="52" spans="1:117" x14ac:dyDescent="0.2">
      <c r="A52">
        <v>47</v>
      </c>
      <c r="B52" s="397">
        <v>34308</v>
      </c>
      <c r="C52" s="398">
        <v>397997.79676138877</v>
      </c>
      <c r="D52" s="399">
        <v>2.2408549746713224</v>
      </c>
      <c r="E52" s="399">
        <v>53.291661357857947</v>
      </c>
      <c r="F52" s="399">
        <v>5.368350668516034</v>
      </c>
      <c r="G52" s="399">
        <v>0</v>
      </c>
      <c r="H52" s="399">
        <v>60.900867001045306</v>
      </c>
      <c r="I52" s="400">
        <v>2.1844655115235098E-3</v>
      </c>
      <c r="J52" s="400">
        <v>2.3221953758708041E-2</v>
      </c>
      <c r="K52" s="400">
        <v>1.5075460338784675E-5</v>
      </c>
      <c r="L52" s="400">
        <v>0.29995404698074596</v>
      </c>
      <c r="M52" s="400">
        <v>0.30272278133301839</v>
      </c>
      <c r="N52" s="400">
        <v>0.20081357397043953</v>
      </c>
      <c r="O52" s="399">
        <f t="shared" si="30"/>
        <v>0.54611637788087741</v>
      </c>
      <c r="P52" s="399">
        <f t="shared" si="30"/>
        <v>0</v>
      </c>
      <c r="Q52" s="399">
        <f t="shared" si="30"/>
        <v>1.5075460338784675E-2</v>
      </c>
      <c r="R52" s="399">
        <f t="shared" si="30"/>
        <v>6.2277856092624981</v>
      </c>
      <c r="S52" s="399">
        <f t="shared" si="30"/>
        <v>9.0816834399905524</v>
      </c>
      <c r="T52" s="399">
        <f t="shared" si="30"/>
        <v>12.048814438226373</v>
      </c>
      <c r="U52" s="399">
        <f t="shared" si="10"/>
        <v>27.919475325699086</v>
      </c>
      <c r="V52" s="400">
        <v>2.8059310173775829E-4</v>
      </c>
      <c r="W52" s="400">
        <v>3.6725415705322353E-3</v>
      </c>
      <c r="X52" s="400">
        <v>0</v>
      </c>
      <c r="Y52" s="400">
        <v>4.7126101371628489E-2</v>
      </c>
      <c r="Z52" s="400">
        <v>1.5896168399627736E-2</v>
      </c>
      <c r="AA52" s="400">
        <v>1.272579909038157E-2</v>
      </c>
      <c r="AB52" s="352">
        <f t="shared" si="31"/>
        <v>7.0148275434439578E-2</v>
      </c>
      <c r="AC52" s="352">
        <f t="shared" si="31"/>
        <v>0</v>
      </c>
      <c r="AD52" s="352">
        <f t="shared" si="31"/>
        <v>0</v>
      </c>
      <c r="AE52" s="352">
        <f t="shared" si="31"/>
        <v>1.6705465722137267</v>
      </c>
      <c r="AF52" s="352">
        <f t="shared" si="31"/>
        <v>0.47688505198883208</v>
      </c>
      <c r="AG52" s="352">
        <f t="shared" si="31"/>
        <v>0.76354794542289417</v>
      </c>
      <c r="AH52" s="400">
        <f t="shared" si="11"/>
        <v>2.9811278450598926</v>
      </c>
      <c r="AJ52" s="352">
        <f>D52*('Assumptions-Output Override'!$D$10/'Winners-Losers HRA'!$H$107)*(1+'Assumptions-Output Override'!$F$41)</f>
        <v>2.6747113777030016</v>
      </c>
      <c r="AK52" s="352">
        <f>E52*('Assumptions-Output Override'!$D$10/'Winners-Losers HRA'!$H$107)*(1+'Assumptions-Output Override'!$F$37)</f>
        <v>87.706280950372701</v>
      </c>
      <c r="AL52" s="352">
        <f>F52*('Assumptions-Output Override'!$D$10/'Winners-Losers HRA'!$H$107)*(1+'Assumptions-Output Override'!$F$38)</f>
        <v>9.0180021780314767</v>
      </c>
      <c r="AM52" s="352">
        <f>G52*('Shoppable Detail'!$X$21/'Shoppable Detail'!$H$21)*('Assumptions-Output Override'!$D$10/'Winners-Losers HRA'!$H$107)*(1+'Assumptions-Output Override'!$F$39)</f>
        <v>0</v>
      </c>
      <c r="AN52" s="352">
        <f t="shared" si="12"/>
        <v>99.398994506107186</v>
      </c>
      <c r="AO52" s="352">
        <v>0</v>
      </c>
      <c r="AP52" s="352">
        <f>U52*'Assumptions-Output Override'!$D$10/'Winners-Losers HRA'!$H$107*(1+'Assumptions-Output Override'!$F$37)</f>
        <v>45.949277701429644</v>
      </c>
      <c r="AQ52" s="352">
        <f>AH52*'Assumptions-Output Override'!$D$10/'Winners-Losers HRA'!$H$107*(1+'Assumptions-Output Override'!$F$38)</f>
        <v>5.0078355643581407</v>
      </c>
      <c r="AR52" s="352">
        <f>AM52*('Shoppable Detail'!$AA$23/'Shoppable Detail'!$Y$23)</f>
        <v>0</v>
      </c>
      <c r="AS52" s="352">
        <f t="shared" si="13"/>
        <v>50.957113265787783</v>
      </c>
      <c r="AT52" s="352">
        <f t="shared" si="14"/>
        <v>2.6747113777030016</v>
      </c>
      <c r="AU52" s="352">
        <f t="shared" si="14"/>
        <v>41.757003248943057</v>
      </c>
      <c r="AV52" s="352">
        <f t="shared" si="14"/>
        <v>4.010166613673336</v>
      </c>
      <c r="AW52" s="352">
        <f t="shared" si="14"/>
        <v>0</v>
      </c>
      <c r="AX52" s="352">
        <f t="shared" si="15"/>
        <v>48.44188124031939</v>
      </c>
      <c r="AY52" s="352">
        <f>AT52*'Assumptions-Output Override'!$D$24</f>
        <v>0.814866660508476</v>
      </c>
      <c r="AZ52" s="352">
        <f>$AU$107*'Assumptions-Output Override'!$D$21</f>
        <v>46.041131296780591</v>
      </c>
      <c r="BA52" s="352">
        <f>AV52*'Assumptions-Output Override'!$D$22</f>
        <v>0.60152499205100041</v>
      </c>
      <c r="BB52" s="352">
        <f>AW52*'Assumptions-Output Override'!$D$23</f>
        <v>0</v>
      </c>
      <c r="BC52" s="352">
        <f t="shared" si="16"/>
        <v>47.457522949340067</v>
      </c>
      <c r="BD52" s="352">
        <f t="shared" si="17"/>
        <v>0.814866660508476</v>
      </c>
      <c r="BE52" s="352">
        <f t="shared" si="17"/>
        <v>91.990408998210228</v>
      </c>
      <c r="BF52" s="352">
        <f t="shared" si="17"/>
        <v>5.6093605564091416</v>
      </c>
      <c r="BG52" s="352">
        <f t="shared" si="17"/>
        <v>0</v>
      </c>
      <c r="BH52" s="352">
        <f t="shared" si="18"/>
        <v>98.414636215127842</v>
      </c>
      <c r="BJ52" s="401">
        <f>D52*'Assumptions-Output Override'!$D$10/'Winners-Losers HRA'!$H$107</f>
        <v>3.7858759201671801</v>
      </c>
      <c r="BK52" s="401">
        <f>E52*'Assumptions-Output Override'!$D$10/'Winners-Losers HRA'!$H$107</f>
        <v>90.035107028740569</v>
      </c>
      <c r="BL52" s="401">
        <f>F52*'Assumptions-Output Override'!$D$10/'Winners-Losers HRA'!$H$107</f>
        <v>9.0697121217892516</v>
      </c>
      <c r="BM52" s="401">
        <f>G52*'Assumptions-Output Override'!$D$10/'Winners-Losers HRA'!$H$107</f>
        <v>0</v>
      </c>
      <c r="BN52" s="401">
        <f t="shared" si="2"/>
        <v>102.89069507069701</v>
      </c>
      <c r="BO52" s="401">
        <f>BJ52*(1-'Assumptions-Output Override'!$D$11)</f>
        <v>0.53956221269623594</v>
      </c>
      <c r="BP52" s="401">
        <f>BK52*(1-'Assumptions-Output Override'!$D$11)</f>
        <v>12.83178387067278</v>
      </c>
      <c r="BQ52" s="401">
        <f>BL52*(1-'Assumptions-Output Override'!$D$11)</f>
        <v>1.2926133988919486</v>
      </c>
      <c r="BR52" s="401">
        <f>BM52*(1-'Assumptions-Output Override'!$D$11)</f>
        <v>0</v>
      </c>
      <c r="BS52" s="352">
        <f t="shared" si="3"/>
        <v>14.663959482260964</v>
      </c>
      <c r="BT52" s="352">
        <f t="shared" si="19"/>
        <v>3.2463137074709443</v>
      </c>
      <c r="BU52" s="352">
        <f t="shared" si="19"/>
        <v>77.203323158067789</v>
      </c>
      <c r="BV52" s="352">
        <f t="shared" si="19"/>
        <v>7.7770987228973034</v>
      </c>
      <c r="BW52" s="352">
        <f t="shared" si="19"/>
        <v>0</v>
      </c>
      <c r="BX52" s="352">
        <f t="shared" si="4"/>
        <v>88.226735588436043</v>
      </c>
      <c r="BY52" s="352">
        <f>BT$107*(1-'Assumptions-Output Override'!$D$12)</f>
        <v>22.753074310428271</v>
      </c>
      <c r="BZ52" s="352">
        <f>BU$107*(1-'Assumptions-Output Override'!$D$12)</f>
        <v>51.446038369839215</v>
      </c>
      <c r="CA52" s="352">
        <f>BV$107*(1-'Assumptions-Output Override'!$D$12)</f>
        <v>9.7401900534537411</v>
      </c>
      <c r="CB52" s="352">
        <f>BW$107*(1-'Assumptions-Output Override'!$D$12)</f>
        <v>1.7000814189516649</v>
      </c>
      <c r="CC52" s="352">
        <f t="shared" si="5"/>
        <v>85.639384152672903</v>
      </c>
      <c r="CD52" s="352">
        <f t="shared" si="20"/>
        <v>23.292636523124507</v>
      </c>
      <c r="CE52" s="352">
        <f t="shared" si="20"/>
        <v>64.277822240511995</v>
      </c>
      <c r="CF52" s="352">
        <f t="shared" si="20"/>
        <v>11.032803452345689</v>
      </c>
      <c r="CG52" s="352">
        <f t="shared" si="20"/>
        <v>1.7000814189516649</v>
      </c>
      <c r="CH52" s="352">
        <f t="shared" si="6"/>
        <v>100.30334363493387</v>
      </c>
      <c r="CJ52" s="352">
        <f t="shared" si="21"/>
        <v>100.30334363493387</v>
      </c>
      <c r="CK52" s="352">
        <f t="shared" si="22"/>
        <v>50.957113265787783</v>
      </c>
      <c r="CL52" s="352">
        <f t="shared" si="23"/>
        <v>49.346230369146085</v>
      </c>
      <c r="CN52" s="352">
        <f>('HRA Balance Calc'!U64+'HRA Balance Calc'!V64+'HRA Balance Calc'!W64+'HRA Balance Calc'!X64)/12</f>
        <v>-21.560370051244636</v>
      </c>
      <c r="CO52" s="352">
        <f>('HRA Balance Calc'!Q64+IF('HRA Balance Calc'!L64&lt;0,-'HRA Balance Calc'!L64,0))/12</f>
        <v>0</v>
      </c>
      <c r="CP52" s="352">
        <f>('HRA Balance Calc'!N64)/12</f>
        <v>45.949277701429644</v>
      </c>
      <c r="CQ52" s="352">
        <f>('HRA Balance Calc'!O64)/12</f>
        <v>5.0078355643581407</v>
      </c>
      <c r="CR52" s="352">
        <f>('HRA Balance Calc'!P64)/12</f>
        <v>0</v>
      </c>
      <c r="CS52" s="352">
        <f t="shared" si="7"/>
        <v>50.957113265787783</v>
      </c>
      <c r="CU52" s="577">
        <f t="shared" si="24"/>
        <v>1286.3970504470103</v>
      </c>
      <c r="CV52" s="352">
        <f t="shared" si="25"/>
        <v>107.19975420391754</v>
      </c>
      <c r="CW52" s="352">
        <f t="shared" si="29"/>
        <v>1.7012927619750866</v>
      </c>
      <c r="CX52" s="352">
        <f t="shared" si="29"/>
        <v>40.459877487185167</v>
      </c>
      <c r="CY52" s="352">
        <f t="shared" si="29"/>
        <v>4.075737269624085</v>
      </c>
      <c r="CZ52" s="352">
        <f t="shared" si="29"/>
        <v>0</v>
      </c>
      <c r="DA52" s="352">
        <f t="shared" si="9"/>
        <v>46.236907518784342</v>
      </c>
      <c r="DC52" s="352">
        <f>('HRA Balance Calc'!Q64+'HRA Balance Calc'!X64+IF('HRA Balance Calc'!L64&lt;0,-'HRA Balance Calc'!L64,0))/12</f>
        <v>1.8598447171945256</v>
      </c>
      <c r="DD52" s="352">
        <f>('HRA Balance Calc'!N64+'HRA Balance Calc'!U64)/12</f>
        <v>21.927537940939477</v>
      </c>
      <c r="DE52" s="352">
        <f>('HRA Balance Calc'!O64+'HRA Balance Calc'!V64)/12</f>
        <v>5.6093605564091407</v>
      </c>
      <c r="DF52" s="352">
        <f>('HRA Balance Calc'!P64+'HRA Balance Calc'!W64)/12</f>
        <v>0</v>
      </c>
      <c r="DG52" s="352">
        <f t="shared" si="26"/>
        <v>29.396743214543143</v>
      </c>
      <c r="DI52" s="352">
        <f t="shared" si="27"/>
        <v>21.43279180592998</v>
      </c>
      <c r="DJ52" s="352">
        <f t="shared" si="27"/>
        <v>42.350284299572522</v>
      </c>
      <c r="DK52" s="352">
        <f t="shared" si="27"/>
        <v>5.4234428959365486</v>
      </c>
      <c r="DL52" s="352">
        <f t="shared" si="27"/>
        <v>1.7000814189516649</v>
      </c>
      <c r="DM52" s="352">
        <f t="shared" si="27"/>
        <v>70.906600420390731</v>
      </c>
    </row>
    <row r="53" spans="1:117" x14ac:dyDescent="0.2">
      <c r="A53">
        <v>48</v>
      </c>
      <c r="B53" s="397">
        <v>34308</v>
      </c>
      <c r="C53" s="398">
        <v>397997.79676138877</v>
      </c>
      <c r="D53" s="399">
        <v>2.5666002794941343</v>
      </c>
      <c r="E53" s="399">
        <v>55.787338219563026</v>
      </c>
      <c r="F53" s="399">
        <v>5.5613276683912778</v>
      </c>
      <c r="G53" s="399">
        <v>1.9052713981692344E-3</v>
      </c>
      <c r="H53" s="399">
        <v>63.917171438846609</v>
      </c>
      <c r="I53" s="400">
        <v>2.7446168619941289E-3</v>
      </c>
      <c r="J53" s="400">
        <v>2.398296116135169E-2</v>
      </c>
      <c r="K53" s="400">
        <v>4.5226381016354023E-5</v>
      </c>
      <c r="L53" s="400">
        <v>0.30911042068000244</v>
      </c>
      <c r="M53" s="400">
        <v>0.31344037835167315</v>
      </c>
      <c r="N53" s="400">
        <v>0.20787959298582576</v>
      </c>
      <c r="O53" s="399">
        <f t="shared" si="30"/>
        <v>0.68615421549853228</v>
      </c>
      <c r="P53" s="399">
        <f t="shared" si="30"/>
        <v>0</v>
      </c>
      <c r="Q53" s="399">
        <f t="shared" si="30"/>
        <v>4.5226381016354025E-2</v>
      </c>
      <c r="R53" s="399">
        <f t="shared" si="30"/>
        <v>6.4178945040457034</v>
      </c>
      <c r="S53" s="399">
        <f t="shared" si="30"/>
        <v>9.403211350550194</v>
      </c>
      <c r="T53" s="399">
        <f t="shared" si="30"/>
        <v>12.472775579149545</v>
      </c>
      <c r="U53" s="399">
        <f t="shared" si="10"/>
        <v>29.025262030260329</v>
      </c>
      <c r="V53" s="400">
        <v>1.2663936450111224E-4</v>
      </c>
      <c r="W53" s="400">
        <v>3.6042556386934117E-3</v>
      </c>
      <c r="X53" s="400">
        <v>0</v>
      </c>
      <c r="Y53" s="400">
        <v>4.9609140308048735E-2</v>
      </c>
      <c r="Z53" s="400">
        <v>1.6458784579471156E-2</v>
      </c>
      <c r="AA53" s="400">
        <v>1.2841578625783437E-2</v>
      </c>
      <c r="AB53" s="352">
        <f t="shared" si="31"/>
        <v>3.165984112527806E-2</v>
      </c>
      <c r="AC53" s="352">
        <f t="shared" si="31"/>
        <v>0</v>
      </c>
      <c r="AD53" s="352">
        <f t="shared" si="31"/>
        <v>0</v>
      </c>
      <c r="AE53" s="352">
        <f t="shared" si="31"/>
        <v>1.7585664181839966</v>
      </c>
      <c r="AF53" s="352">
        <f t="shared" si="31"/>
        <v>0.4937635373841347</v>
      </c>
      <c r="AG53" s="352">
        <f t="shared" si="31"/>
        <v>0.77049471754700616</v>
      </c>
      <c r="AH53" s="400">
        <f t="shared" si="11"/>
        <v>3.0544845142404151</v>
      </c>
      <c r="AJ53" s="352">
        <f>D53*('Assumptions-Output Override'!$D$10/'Winners-Losers HRA'!$H$107)*(1+'Assumptions-Output Override'!$F$41)</f>
        <v>3.0635248809823477</v>
      </c>
      <c r="AK53" s="352">
        <f>E53*('Assumptions-Output Override'!$D$10/'Winners-Losers HRA'!$H$107)*(1+'Assumptions-Output Override'!$F$37)</f>
        <v>91.813612762083508</v>
      </c>
      <c r="AL53" s="352">
        <f>F53*('Assumptions-Output Override'!$D$10/'Winners-Losers HRA'!$H$107)*(1+'Assumptions-Output Override'!$F$38)</f>
        <v>9.3421738114888697</v>
      </c>
      <c r="AM53" s="352">
        <f>G53*('Shoppable Detail'!$X$21/'Shoppable Detail'!$H$21)*('Assumptions-Output Override'!$D$10/'Winners-Losers HRA'!$H$107)*(1+'Assumptions-Output Override'!$F$39)</f>
        <v>3.2671438923804349E-3</v>
      </c>
      <c r="AN53" s="352">
        <f t="shared" si="12"/>
        <v>104.2225785984471</v>
      </c>
      <c r="AO53" s="352">
        <v>0</v>
      </c>
      <c r="AP53" s="352">
        <f>U53*'Assumptions-Output Override'!$D$10/'Winners-Losers HRA'!$H$107*(1+'Assumptions-Output Override'!$F$37)</f>
        <v>47.769157902389729</v>
      </c>
      <c r="AQ53" s="352">
        <f>AH53*'Assumptions-Output Override'!$D$10/'Winners-Losers HRA'!$H$107*(1+'Assumptions-Output Override'!$F$38)</f>
        <v>5.1310634686608134</v>
      </c>
      <c r="AR53" s="352">
        <f>AM53*('Shoppable Detail'!$AA$23/'Shoppable Detail'!$Y$23)</f>
        <v>1.0916553649994258E-4</v>
      </c>
      <c r="AS53" s="352">
        <f t="shared" si="13"/>
        <v>52.900330536587042</v>
      </c>
      <c r="AT53" s="352">
        <f t="shared" si="14"/>
        <v>3.0635248809823477</v>
      </c>
      <c r="AU53" s="352">
        <f t="shared" si="14"/>
        <v>44.044454859693779</v>
      </c>
      <c r="AV53" s="352">
        <f t="shared" si="14"/>
        <v>4.2111103428280563</v>
      </c>
      <c r="AW53" s="352">
        <f t="shared" si="14"/>
        <v>3.1579783558804923E-3</v>
      </c>
      <c r="AX53" s="352">
        <f t="shared" si="15"/>
        <v>51.322248061860066</v>
      </c>
      <c r="AY53" s="352">
        <f>AT53*'Assumptions-Output Override'!$D$24</f>
        <v>0.93332099678528635</v>
      </c>
      <c r="AZ53" s="352">
        <f>$AU$107*'Assumptions-Output Override'!$D$21</f>
        <v>46.041131296780591</v>
      </c>
      <c r="BA53" s="352">
        <f>AV53*'Assumptions-Output Override'!$D$22</f>
        <v>0.63166655142420847</v>
      </c>
      <c r="BB53" s="352">
        <f>AW53*'Assumptions-Output Override'!$D$23</f>
        <v>4.7369675338207381E-4</v>
      </c>
      <c r="BC53" s="352">
        <f t="shared" si="16"/>
        <v>47.606592541743467</v>
      </c>
      <c r="BD53" s="352">
        <f t="shared" si="17"/>
        <v>0.93332099678528635</v>
      </c>
      <c r="BE53" s="352">
        <f t="shared" si="17"/>
        <v>93.810289199170313</v>
      </c>
      <c r="BF53" s="352">
        <f t="shared" si="17"/>
        <v>5.762730020085022</v>
      </c>
      <c r="BG53" s="352">
        <f t="shared" si="17"/>
        <v>5.8286228988201636E-4</v>
      </c>
      <c r="BH53" s="352">
        <f t="shared" si="18"/>
        <v>100.5069230783305</v>
      </c>
      <c r="BJ53" s="401">
        <f>D53*'Assumptions-Output Override'!$D$10/'Winners-Losers HRA'!$H$107</f>
        <v>4.3362155537336431</v>
      </c>
      <c r="BK53" s="401">
        <f>E53*'Assumptions-Output Override'!$D$10/'Winners-Losers HRA'!$H$107</f>
        <v>94.251499005036791</v>
      </c>
      <c r="BL53" s="401">
        <f>F53*'Assumptions-Output Override'!$D$10/'Winners-Losers HRA'!$H$107</f>
        <v>9.3957425812485695</v>
      </c>
      <c r="BM53" s="401">
        <f>G53*'Assumptions-Output Override'!$D$10/'Winners-Losers HRA'!$H$107</f>
        <v>3.2189147397948615E-3</v>
      </c>
      <c r="BN53" s="401">
        <f t="shared" si="2"/>
        <v>107.98667605475879</v>
      </c>
      <c r="BO53" s="401">
        <f>BJ53*(1-'Assumptions-Output Override'!$D$11)</f>
        <v>0.61799649757064457</v>
      </c>
      <c r="BP53" s="401">
        <f>BK53*(1-'Assumptions-Output Override'!$D$11)</f>
        <v>13.43270313804924</v>
      </c>
      <c r="BQ53" s="401">
        <f>BL53*(1-'Assumptions-Output Override'!$D$11)</f>
        <v>1.3390791890609173</v>
      </c>
      <c r="BR53" s="401">
        <f>BM53*(1-'Assumptions-Output Override'!$D$11)</f>
        <v>4.5875902858632216E-4</v>
      </c>
      <c r="BS53" s="352">
        <f t="shared" si="3"/>
        <v>15.390237583709387</v>
      </c>
      <c r="BT53" s="352">
        <f t="shared" si="19"/>
        <v>3.7182190561629986</v>
      </c>
      <c r="BU53" s="352">
        <f t="shared" si="19"/>
        <v>80.818795866987557</v>
      </c>
      <c r="BV53" s="352">
        <f t="shared" si="19"/>
        <v>8.0566633921876516</v>
      </c>
      <c r="BW53" s="352">
        <f t="shared" si="19"/>
        <v>2.7601557112085394E-3</v>
      </c>
      <c r="BX53" s="352">
        <f t="shared" si="4"/>
        <v>92.59643847104941</v>
      </c>
      <c r="BY53" s="352">
        <f>BT$107*(1-'Assumptions-Output Override'!$D$12)</f>
        <v>22.753074310428271</v>
      </c>
      <c r="BZ53" s="352">
        <f>BU$107*(1-'Assumptions-Output Override'!$D$12)</f>
        <v>51.446038369839215</v>
      </c>
      <c r="CA53" s="352">
        <f>BV$107*(1-'Assumptions-Output Override'!$D$12)</f>
        <v>9.7401900534537411</v>
      </c>
      <c r="CB53" s="352">
        <f>BW$107*(1-'Assumptions-Output Override'!$D$12)</f>
        <v>1.7000814189516649</v>
      </c>
      <c r="CC53" s="352">
        <f t="shared" si="5"/>
        <v>85.639384152672903</v>
      </c>
      <c r="CD53" s="352">
        <f t="shared" si="20"/>
        <v>23.371070807998915</v>
      </c>
      <c r="CE53" s="352">
        <f t="shared" si="20"/>
        <v>64.878741507888449</v>
      </c>
      <c r="CF53" s="352">
        <f t="shared" si="20"/>
        <v>11.079269242514659</v>
      </c>
      <c r="CG53" s="352">
        <f t="shared" si="20"/>
        <v>1.7005401779802511</v>
      </c>
      <c r="CH53" s="352">
        <f t="shared" si="6"/>
        <v>101.02962173638227</v>
      </c>
      <c r="CJ53" s="352">
        <f t="shared" si="21"/>
        <v>101.02962173638227</v>
      </c>
      <c r="CK53" s="352">
        <f t="shared" si="22"/>
        <v>52.900330536587042</v>
      </c>
      <c r="CL53" s="352">
        <f t="shared" si="23"/>
        <v>48.129291199795226</v>
      </c>
      <c r="CN53" s="352">
        <f>('HRA Balance Calc'!U65+'HRA Balance Calc'!V65+'HRA Balance Calc'!W65+'HRA Balance Calc'!X65)/12</f>
        <v>-21.259395628115509</v>
      </c>
      <c r="CO53" s="352">
        <f>('HRA Balance Calc'!Q65+IF('HRA Balance Calc'!L65&lt;0,-'HRA Balance Calc'!L65,0))/12</f>
        <v>0</v>
      </c>
      <c r="CP53" s="352">
        <f>('HRA Balance Calc'!N65)/12</f>
        <v>47.769157902389729</v>
      </c>
      <c r="CQ53" s="352">
        <f>('HRA Balance Calc'!O65)/12</f>
        <v>5.1310634686608134</v>
      </c>
      <c r="CR53" s="352">
        <f>('HRA Balance Calc'!P65)/12</f>
        <v>1.0916553649994256E-4</v>
      </c>
      <c r="CS53" s="352">
        <f t="shared" si="7"/>
        <v>52.900330536587042</v>
      </c>
      <c r="CU53" s="577">
        <f t="shared" si="24"/>
        <v>1282.7853573694611</v>
      </c>
      <c r="CV53" s="352">
        <f t="shared" si="25"/>
        <v>106.89877978078842</v>
      </c>
      <c r="CW53" s="352">
        <f t="shared" si="29"/>
        <v>1.9486037819234898</v>
      </c>
      <c r="CX53" s="352">
        <f t="shared" si="29"/>
        <v>42.354635081513784</v>
      </c>
      <c r="CY53" s="352">
        <f t="shared" si="29"/>
        <v>4.2222484793303607</v>
      </c>
      <c r="CZ53" s="352">
        <f t="shared" si="29"/>
        <v>1.4465123695829123E-3</v>
      </c>
      <c r="DA53" s="352">
        <f t="shared" si="9"/>
        <v>48.526933855137216</v>
      </c>
      <c r="DC53" s="352">
        <f>('HRA Balance Calc'!Q65+'HRA Balance Calc'!X65+IF('HRA Balance Calc'!L65&lt;0,-'HRA Balance Calc'!L65,0))/12</f>
        <v>2.1302038841970612</v>
      </c>
      <c r="DD53" s="352">
        <f>('HRA Balance Calc'!N65+'HRA Balance Calc'!U65)/12</f>
        <v>23.747418141899562</v>
      </c>
      <c r="DE53" s="352">
        <f>('HRA Balance Calc'!O65+'HRA Balance Calc'!V65)/12</f>
        <v>5.7627300200850229</v>
      </c>
      <c r="DF53" s="352">
        <f>('HRA Balance Calc'!P65+'HRA Balance Calc'!W65)/12</f>
        <v>5.8286228988201647E-4</v>
      </c>
      <c r="DG53" s="352">
        <f t="shared" si="26"/>
        <v>31.640934908471529</v>
      </c>
      <c r="DI53" s="352">
        <f t="shared" si="27"/>
        <v>21.240866923801853</v>
      </c>
      <c r="DJ53" s="352">
        <f t="shared" si="27"/>
        <v>41.131323365988891</v>
      </c>
      <c r="DK53" s="352">
        <f t="shared" si="27"/>
        <v>5.3165392224296362</v>
      </c>
      <c r="DL53" s="352">
        <f t="shared" si="27"/>
        <v>1.6999573156903691</v>
      </c>
      <c r="DM53" s="352">
        <f t="shared" si="27"/>
        <v>69.388686827910732</v>
      </c>
    </row>
    <row r="54" spans="1:117" x14ac:dyDescent="0.2">
      <c r="A54">
        <v>49</v>
      </c>
      <c r="B54" s="397">
        <v>34308</v>
      </c>
      <c r="C54" s="398">
        <v>397997.79676138877</v>
      </c>
      <c r="D54" s="399">
        <v>2.8196348641626687</v>
      </c>
      <c r="E54" s="399">
        <v>58.258825262806447</v>
      </c>
      <c r="F54" s="399">
        <v>6.0102350735015238</v>
      </c>
      <c r="G54" s="399">
        <v>0</v>
      </c>
      <c r="H54" s="399">
        <v>67.088695200470639</v>
      </c>
      <c r="I54" s="400">
        <v>2.9591959984772917E-3</v>
      </c>
      <c r="J54" s="400">
        <v>2.4508181024487846E-2</v>
      </c>
      <c r="K54" s="400">
        <v>2.0100613785046233E-5</v>
      </c>
      <c r="L54" s="400">
        <v>0.32216798681216291</v>
      </c>
      <c r="M54" s="400">
        <v>0.32040855762946369</v>
      </c>
      <c r="N54" s="400">
        <v>0.2136123382888622</v>
      </c>
      <c r="O54" s="399">
        <f t="shared" si="30"/>
        <v>0.73979899961932294</v>
      </c>
      <c r="P54" s="399">
        <f t="shared" si="30"/>
        <v>0</v>
      </c>
      <c r="Q54" s="399">
        <f t="shared" si="30"/>
        <v>2.0100613785046233E-2</v>
      </c>
      <c r="R54" s="399">
        <f t="shared" si="30"/>
        <v>6.6890017728703919</v>
      </c>
      <c r="S54" s="399">
        <f t="shared" si="30"/>
        <v>9.61225672888391</v>
      </c>
      <c r="T54" s="399">
        <f t="shared" si="30"/>
        <v>12.816740297331732</v>
      </c>
      <c r="U54" s="399">
        <f t="shared" si="10"/>
        <v>29.877898412490403</v>
      </c>
      <c r="V54" s="400">
        <v>1.3284717648646087E-4</v>
      </c>
      <c r="W54" s="400">
        <v>3.8227706205776709E-3</v>
      </c>
      <c r="X54" s="400">
        <v>5.0251534462615584E-6</v>
      </c>
      <c r="Y54" s="400">
        <v>5.1683466640775284E-2</v>
      </c>
      <c r="Z54" s="400">
        <v>1.7364216727418461E-2</v>
      </c>
      <c r="AA54" s="400">
        <v>1.4152239147637351E-2</v>
      </c>
      <c r="AB54" s="352">
        <f t="shared" si="31"/>
        <v>3.3211794121615221E-2</v>
      </c>
      <c r="AC54" s="352">
        <f t="shared" si="31"/>
        <v>0</v>
      </c>
      <c r="AD54" s="352">
        <f t="shared" si="31"/>
        <v>5.0251534462615582E-3</v>
      </c>
      <c r="AE54" s="352">
        <f t="shared" si="31"/>
        <v>1.8320980417202308</v>
      </c>
      <c r="AF54" s="352">
        <f t="shared" si="31"/>
        <v>0.52092650182255384</v>
      </c>
      <c r="AG54" s="352">
        <f t="shared" si="31"/>
        <v>0.84913434885824102</v>
      </c>
      <c r="AH54" s="400">
        <f t="shared" si="11"/>
        <v>3.2403958399689028</v>
      </c>
      <c r="AJ54" s="352">
        <f>D54*('Assumptions-Output Override'!$D$10/'Winners-Losers HRA'!$H$107)*(1+'Assumptions-Output Override'!$F$41)</f>
        <v>3.3655499964919096</v>
      </c>
      <c r="AK54" s="352">
        <f>E54*('Assumptions-Output Override'!$D$10/'Winners-Losers HRA'!$H$107)*(1+'Assumptions-Output Override'!$F$37)</f>
        <v>95.881133485904058</v>
      </c>
      <c r="AL54" s="352">
        <f>F54*('Assumptions-Output Override'!$D$10/'Winners-Losers HRA'!$H$107)*(1+'Assumptions-Output Override'!$F$38)</f>
        <v>10.096269102014611</v>
      </c>
      <c r="AM54" s="352">
        <f>G54*('Shoppable Detail'!$X$21/'Shoppable Detail'!$H$21)*('Assumptions-Output Override'!$D$10/'Winners-Losers HRA'!$H$107)*(1+'Assumptions-Output Override'!$F$39)</f>
        <v>0</v>
      </c>
      <c r="AN54" s="352">
        <f t="shared" si="12"/>
        <v>109.34295258441058</v>
      </c>
      <c r="AO54" s="352">
        <v>0</v>
      </c>
      <c r="AP54" s="352">
        <f>U54*'Assumptions-Output Override'!$D$10/'Winners-Losers HRA'!$H$107*(1+'Assumptions-Output Override'!$F$37)</f>
        <v>49.172408695909112</v>
      </c>
      <c r="AQ54" s="352">
        <f>AH54*'Assumptions-Output Override'!$D$10/'Winners-Losers HRA'!$H$107*(1+'Assumptions-Output Override'!$F$38)</f>
        <v>5.443365857953812</v>
      </c>
      <c r="AR54" s="352">
        <f>AM54*('Shoppable Detail'!$AA$23/'Shoppable Detail'!$Y$23)</f>
        <v>0</v>
      </c>
      <c r="AS54" s="352">
        <f t="shared" si="13"/>
        <v>54.615774553862927</v>
      </c>
      <c r="AT54" s="352">
        <f t="shared" si="14"/>
        <v>3.3655499964919096</v>
      </c>
      <c r="AU54" s="352">
        <f t="shared" si="14"/>
        <v>46.708724789994946</v>
      </c>
      <c r="AV54" s="352">
        <f t="shared" si="14"/>
        <v>4.6529032440607994</v>
      </c>
      <c r="AW54" s="352">
        <f t="shared" si="14"/>
        <v>0</v>
      </c>
      <c r="AX54" s="352">
        <f t="shared" si="15"/>
        <v>54.727178030547655</v>
      </c>
      <c r="AY54" s="352">
        <f>AT54*'Assumptions-Output Override'!$D$24</f>
        <v>1.0253347367785408</v>
      </c>
      <c r="AZ54" s="352">
        <f>$AU$107*'Assumptions-Output Override'!$D$21</f>
        <v>46.041131296780591</v>
      </c>
      <c r="BA54" s="352">
        <f>AV54*'Assumptions-Output Override'!$D$22</f>
        <v>0.69793548660911986</v>
      </c>
      <c r="BB54" s="352">
        <f>AW54*'Assumptions-Output Override'!$D$23</f>
        <v>0</v>
      </c>
      <c r="BC54" s="352">
        <f t="shared" si="16"/>
        <v>47.764401520168249</v>
      </c>
      <c r="BD54" s="352">
        <f t="shared" si="17"/>
        <v>1.0253347367785408</v>
      </c>
      <c r="BE54" s="352">
        <f t="shared" si="17"/>
        <v>95.213539992689704</v>
      </c>
      <c r="BF54" s="352">
        <f t="shared" si="17"/>
        <v>6.1413013445629314</v>
      </c>
      <c r="BG54" s="352">
        <f t="shared" si="17"/>
        <v>0</v>
      </c>
      <c r="BH54" s="352">
        <f t="shared" si="18"/>
        <v>102.38017607403118</v>
      </c>
      <c r="BJ54" s="401">
        <f>D54*'Assumptions-Output Override'!$D$10/'Winners-Losers HRA'!$H$107</f>
        <v>4.7637120012476624</v>
      </c>
      <c r="BK54" s="401">
        <f>E54*'Assumptions-Output Override'!$D$10/'Winners-Losers HRA'!$H$107</f>
        <v>98.427022807237719</v>
      </c>
      <c r="BL54" s="401">
        <f>F54*'Assumptions-Output Override'!$D$10/'Winners-Losers HRA'!$H$107</f>
        <v>10.154161914316248</v>
      </c>
      <c r="BM54" s="401">
        <f>G54*'Assumptions-Output Override'!$D$10/'Winners-Losers HRA'!$H$107</f>
        <v>0</v>
      </c>
      <c r="BN54" s="401">
        <f t="shared" si="2"/>
        <v>113.34489672280164</v>
      </c>
      <c r="BO54" s="401">
        <f>BJ54*(1-'Assumptions-Output Override'!$D$11)</f>
        <v>0.67892319828783521</v>
      </c>
      <c r="BP54" s="401">
        <f>BK54*(1-'Assumptions-Output Override'!$D$11)</f>
        <v>14.027797882142661</v>
      </c>
      <c r="BQ54" s="401">
        <f>BL54*(1-'Assumptions-Output Override'!$D$11)</f>
        <v>1.4471689474499165</v>
      </c>
      <c r="BR54" s="401">
        <f>BM54*(1-'Assumptions-Output Override'!$D$11)</f>
        <v>0</v>
      </c>
      <c r="BS54" s="352">
        <f t="shared" si="3"/>
        <v>16.153890027880411</v>
      </c>
      <c r="BT54" s="352">
        <f t="shared" si="19"/>
        <v>4.0847888029598272</v>
      </c>
      <c r="BU54" s="352">
        <f t="shared" si="19"/>
        <v>84.399224925095055</v>
      </c>
      <c r="BV54" s="352">
        <f t="shared" si="19"/>
        <v>8.7069929668663306</v>
      </c>
      <c r="BW54" s="352">
        <f t="shared" si="19"/>
        <v>0</v>
      </c>
      <c r="BX54" s="352">
        <f t="shared" si="4"/>
        <v>97.191006694921214</v>
      </c>
      <c r="BY54" s="352">
        <f>BT$107*(1-'Assumptions-Output Override'!$D$12)</f>
        <v>22.753074310428271</v>
      </c>
      <c r="BZ54" s="352">
        <f>BU$107*(1-'Assumptions-Output Override'!$D$12)</f>
        <v>51.446038369839215</v>
      </c>
      <c r="CA54" s="352">
        <f>BV$107*(1-'Assumptions-Output Override'!$D$12)</f>
        <v>9.7401900534537411</v>
      </c>
      <c r="CB54" s="352">
        <f>BW$107*(1-'Assumptions-Output Override'!$D$12)</f>
        <v>1.7000814189516649</v>
      </c>
      <c r="CC54" s="352">
        <f t="shared" si="5"/>
        <v>85.639384152672903</v>
      </c>
      <c r="CD54" s="352">
        <f t="shared" si="20"/>
        <v>23.431997508716108</v>
      </c>
      <c r="CE54" s="352">
        <f t="shared" si="20"/>
        <v>65.473836251981879</v>
      </c>
      <c r="CF54" s="352">
        <f t="shared" si="20"/>
        <v>11.187359000903658</v>
      </c>
      <c r="CG54" s="352">
        <f t="shared" si="20"/>
        <v>1.7000814189516649</v>
      </c>
      <c r="CH54" s="352">
        <f t="shared" si="6"/>
        <v>101.79327418055331</v>
      </c>
      <c r="CJ54" s="352">
        <f t="shared" si="21"/>
        <v>101.79327418055331</v>
      </c>
      <c r="CK54" s="352">
        <f t="shared" si="22"/>
        <v>54.615774553862934</v>
      </c>
      <c r="CL54" s="352">
        <f t="shared" si="23"/>
        <v>47.177499626690377</v>
      </c>
      <c r="CN54" s="352">
        <f>('HRA Balance Calc'!U66+'HRA Balance Calc'!V66+'HRA Balance Calc'!W66+'HRA Balance Calc'!X66)/12</f>
        <v>-20.983589014167674</v>
      </c>
      <c r="CO54" s="352">
        <f>('HRA Balance Calc'!Q66+IF('HRA Balance Calc'!L66&lt;0,-'HRA Balance Calc'!L66,0))/12</f>
        <v>0</v>
      </c>
      <c r="CP54" s="352">
        <f>('HRA Balance Calc'!N66)/12</f>
        <v>49.17240869590912</v>
      </c>
      <c r="CQ54" s="352">
        <f>('HRA Balance Calc'!O66)/12</f>
        <v>5.443365857953812</v>
      </c>
      <c r="CR54" s="352">
        <f>('HRA Balance Calc'!P66)/12</f>
        <v>0</v>
      </c>
      <c r="CS54" s="352">
        <f t="shared" si="7"/>
        <v>54.615774553862934</v>
      </c>
      <c r="CU54" s="577">
        <f t="shared" si="24"/>
        <v>1279.4756780020871</v>
      </c>
      <c r="CV54" s="352">
        <f t="shared" si="25"/>
        <v>106.62297316684058</v>
      </c>
      <c r="CW54" s="352">
        <f t="shared" si="29"/>
        <v>2.1407116658748335</v>
      </c>
      <c r="CX54" s="352">
        <f t="shared" si="29"/>
        <v>44.231027380663789</v>
      </c>
      <c r="CY54" s="352">
        <f t="shared" si="29"/>
        <v>4.5630661260516074</v>
      </c>
      <c r="CZ54" s="352">
        <f t="shared" si="29"/>
        <v>0</v>
      </c>
      <c r="DA54" s="352">
        <f t="shared" si="9"/>
        <v>50.934805172590231</v>
      </c>
      <c r="DC54" s="352">
        <f>('HRA Balance Calc'!Q66+'HRA Balance Calc'!X66+IF('HRA Balance Calc'!L66&lt;0,-'HRA Balance Calc'!L66,0))/12</f>
        <v>2.3402152597133687</v>
      </c>
      <c r="DD54" s="352">
        <f>('HRA Balance Calc'!N66+'HRA Balance Calc'!U66)/12</f>
        <v>25.150668935418953</v>
      </c>
      <c r="DE54" s="352">
        <f>('HRA Balance Calc'!O66+'HRA Balance Calc'!V66)/12</f>
        <v>6.1413013445629323</v>
      </c>
      <c r="DF54" s="352">
        <f>('HRA Balance Calc'!P66+'HRA Balance Calc'!W66)/12</f>
        <v>0</v>
      </c>
      <c r="DG54" s="352">
        <f t="shared" si="26"/>
        <v>33.63218553969525</v>
      </c>
      <c r="DI54" s="352">
        <f t="shared" si="27"/>
        <v>21.09178224900274</v>
      </c>
      <c r="DJ54" s="352">
        <f t="shared" si="27"/>
        <v>40.32316731656293</v>
      </c>
      <c r="DK54" s="352">
        <f t="shared" si="27"/>
        <v>5.046057656340726</v>
      </c>
      <c r="DL54" s="352">
        <f t="shared" si="27"/>
        <v>1.7000814189516649</v>
      </c>
      <c r="DM54" s="352">
        <f t="shared" si="27"/>
        <v>68.161088640858054</v>
      </c>
    </row>
    <row r="55" spans="1:117" x14ac:dyDescent="0.2">
      <c r="A55">
        <v>50</v>
      </c>
      <c r="B55" s="397">
        <v>34308</v>
      </c>
      <c r="C55" s="398">
        <v>397997.79676138877</v>
      </c>
      <c r="D55" s="399">
        <v>3.0513674881225552</v>
      </c>
      <c r="E55" s="399">
        <v>60.82066827887742</v>
      </c>
      <c r="F55" s="399">
        <v>6.5390998635476931</v>
      </c>
      <c r="G55" s="399">
        <v>8.1584698331861934E-3</v>
      </c>
      <c r="H55" s="399">
        <v>70.419294100380867</v>
      </c>
      <c r="I55" s="400">
        <v>2.8793525988556564E-3</v>
      </c>
      <c r="J55" s="400">
        <v>2.6357054746976371E-2</v>
      </c>
      <c r="K55" s="400">
        <v>2.0100613785046233E-5</v>
      </c>
      <c r="L55" s="400">
        <v>0.32719266068055358</v>
      </c>
      <c r="M55" s="400">
        <v>0.32992057008482822</v>
      </c>
      <c r="N55" s="400">
        <v>0.22214761166886865</v>
      </c>
      <c r="O55" s="399">
        <f t="shared" si="30"/>
        <v>0.71983814971391413</v>
      </c>
      <c r="P55" s="399">
        <f t="shared" si="30"/>
        <v>0</v>
      </c>
      <c r="Q55" s="399">
        <f t="shared" si="30"/>
        <v>2.0100613785046233E-2</v>
      </c>
      <c r="R55" s="399">
        <f t="shared" si="30"/>
        <v>6.7933263916704485</v>
      </c>
      <c r="S55" s="399">
        <f t="shared" si="30"/>
        <v>9.8976171025448458</v>
      </c>
      <c r="T55" s="399">
        <f t="shared" si="30"/>
        <v>13.328856700132119</v>
      </c>
      <c r="U55" s="399">
        <f t="shared" si="10"/>
        <v>30.759738957846373</v>
      </c>
      <c r="V55" s="400">
        <v>2.1603185709013291E-4</v>
      </c>
      <c r="W55" s="400">
        <v>3.7805574990773215E-3</v>
      </c>
      <c r="X55" s="400">
        <v>5.0251534462615584E-6</v>
      </c>
      <c r="Y55" s="400">
        <v>5.4810337796993035E-2</v>
      </c>
      <c r="Z55" s="400">
        <v>1.8271457930606496E-2</v>
      </c>
      <c r="AA55" s="400">
        <v>1.4447115151864004E-2</v>
      </c>
      <c r="AB55" s="352">
        <f t="shared" si="31"/>
        <v>5.4007964272533224E-2</v>
      </c>
      <c r="AC55" s="352">
        <f t="shared" si="31"/>
        <v>0</v>
      </c>
      <c r="AD55" s="352">
        <f t="shared" si="31"/>
        <v>5.0251534462615582E-3</v>
      </c>
      <c r="AE55" s="352">
        <f t="shared" si="31"/>
        <v>1.9429407327075723</v>
      </c>
      <c r="AF55" s="352">
        <f t="shared" si="31"/>
        <v>0.54814373791819493</v>
      </c>
      <c r="AG55" s="352">
        <f t="shared" si="31"/>
        <v>0.86682690911184024</v>
      </c>
      <c r="AH55" s="400">
        <f t="shared" si="11"/>
        <v>3.4169444974564023</v>
      </c>
      <c r="AJ55" s="352">
        <f>D55*('Assumptions-Output Override'!$D$10/'Winners-Losers HRA'!$H$107)*(1+'Assumptions-Output Override'!$F$41)</f>
        <v>3.642148836174246</v>
      </c>
      <c r="AK55" s="352">
        <f>E55*('Assumptions-Output Override'!$D$10/'Winners-Losers HRA'!$H$107)*(1+'Assumptions-Output Override'!$F$37)</f>
        <v>100.09736014488286</v>
      </c>
      <c r="AL55" s="352">
        <f>F55*('Assumptions-Output Override'!$D$10/'Winners-Losers HRA'!$H$107)*(1+'Assumptions-Output Override'!$F$38)</f>
        <v>10.984680482532511</v>
      </c>
      <c r="AM55" s="352">
        <f>G55*('Shoppable Detail'!$X$21/'Shoppable Detail'!$H$21)*('Assumptions-Output Override'!$D$10/'Winners-Losers HRA'!$H$107)*(1+'Assumptions-Output Override'!$F$39)</f>
        <v>1.3990077693013629E-2</v>
      </c>
      <c r="AN55" s="352">
        <f t="shared" si="12"/>
        <v>114.73817954128262</v>
      </c>
      <c r="AO55" s="352">
        <v>0</v>
      </c>
      <c r="AP55" s="352">
        <f>U55*'Assumptions-Output Override'!$D$10/'Winners-Losers HRA'!$H$107*(1+'Assumptions-Output Override'!$F$37)</f>
        <v>50.62372307894281</v>
      </c>
      <c r="AQ55" s="352">
        <f>AH55*'Assumptions-Output Override'!$D$10/'Winners-Losers HRA'!$H$107*(1+'Assumptions-Output Override'!$F$38)</f>
        <v>5.7399404068349327</v>
      </c>
      <c r="AR55" s="352">
        <f>AM55*('Shoppable Detail'!$AA$23/'Shoppable Detail'!$Y$23)</f>
        <v>4.674524255253942E-4</v>
      </c>
      <c r="AS55" s="352">
        <f t="shared" si="13"/>
        <v>56.364130938203267</v>
      </c>
      <c r="AT55" s="352">
        <f t="shared" si="14"/>
        <v>3.642148836174246</v>
      </c>
      <c r="AU55" s="352">
        <f t="shared" si="14"/>
        <v>49.473637065940046</v>
      </c>
      <c r="AV55" s="352">
        <f t="shared" si="14"/>
        <v>5.2447400756975782</v>
      </c>
      <c r="AW55" s="352">
        <f t="shared" si="14"/>
        <v>1.3522625267488235E-2</v>
      </c>
      <c r="AX55" s="352">
        <f t="shared" si="15"/>
        <v>58.374048603079359</v>
      </c>
      <c r="AY55" s="352">
        <f>AT55*'Assumptions-Output Override'!$D$24</f>
        <v>1.1096022112699482</v>
      </c>
      <c r="AZ55" s="352">
        <f>$AU$107*'Assumptions-Output Override'!$D$21</f>
        <v>46.041131296780591</v>
      </c>
      <c r="BA55" s="352">
        <f>AV55*'Assumptions-Output Override'!$D$22</f>
        <v>0.78671101135463672</v>
      </c>
      <c r="BB55" s="352">
        <f>AW55*'Assumptions-Output Override'!$D$23</f>
        <v>2.0283937901232349E-3</v>
      </c>
      <c r="BC55" s="352">
        <f t="shared" si="16"/>
        <v>47.939472913195296</v>
      </c>
      <c r="BD55" s="352">
        <f t="shared" si="17"/>
        <v>1.1096022112699482</v>
      </c>
      <c r="BE55" s="352">
        <f t="shared" si="17"/>
        <v>96.664854375723394</v>
      </c>
      <c r="BF55" s="352">
        <f t="shared" si="17"/>
        <v>6.5266514181895694</v>
      </c>
      <c r="BG55" s="352">
        <f t="shared" si="17"/>
        <v>2.4958462156486291E-3</v>
      </c>
      <c r="BH55" s="352">
        <f t="shared" si="18"/>
        <v>104.30360385139856</v>
      </c>
      <c r="BJ55" s="401">
        <f>D55*'Assumptions-Output Override'!$D$10/'Winners-Losers HRA'!$H$107</f>
        <v>5.1552192477599315</v>
      </c>
      <c r="BK55" s="401">
        <f>E55*'Assumptions-Output Override'!$D$10/'Winners-Losers HRA'!$H$107</f>
        <v>102.75520106750828</v>
      </c>
      <c r="BL55" s="401">
        <f>F55*'Assumptions-Output Override'!$D$10/'Winners-Losers HRA'!$H$107</f>
        <v>11.047667516549048</v>
      </c>
      <c r="BM55" s="401">
        <f>G55*'Assumptions-Output Override'!$D$10/'Winners-Losers HRA'!$H$107</f>
        <v>1.3783557988352331E-2</v>
      </c>
      <c r="BN55" s="401">
        <f t="shared" si="2"/>
        <v>118.97187138980561</v>
      </c>
      <c r="BO55" s="401">
        <f>BJ55*(1-'Assumptions-Output Override'!$D$11)</f>
        <v>0.73472072590607862</v>
      </c>
      <c r="BP55" s="401">
        <f>BK55*(1-'Assumptions-Output Override'!$D$11)</f>
        <v>14.644648906397096</v>
      </c>
      <c r="BQ55" s="401">
        <f>BL55*(1-'Assumptions-Output Override'!$D$11)</f>
        <v>1.5745111715384237</v>
      </c>
      <c r="BR55" s="401">
        <f>BM55*(1-'Assumptions-Output Override'!$D$11)</f>
        <v>1.964429686510658E-3</v>
      </c>
      <c r="BS55" s="352">
        <f t="shared" si="3"/>
        <v>16.955845233528109</v>
      </c>
      <c r="BT55" s="352">
        <f t="shared" si="19"/>
        <v>4.4204985218538528</v>
      </c>
      <c r="BU55" s="352">
        <f t="shared" si="19"/>
        <v>88.110552161111187</v>
      </c>
      <c r="BV55" s="352">
        <f t="shared" si="19"/>
        <v>9.473156345010624</v>
      </c>
      <c r="BW55" s="352">
        <f t="shared" si="19"/>
        <v>1.1819128301841673E-2</v>
      </c>
      <c r="BX55" s="352">
        <f t="shared" si="4"/>
        <v>102.0160261562775</v>
      </c>
      <c r="BY55" s="352">
        <f>BT$107*(1-'Assumptions-Output Override'!$D$12)</f>
        <v>22.753074310428271</v>
      </c>
      <c r="BZ55" s="352">
        <f>BU$107*(1-'Assumptions-Output Override'!$D$12)</f>
        <v>51.446038369839215</v>
      </c>
      <c r="CA55" s="352">
        <f>BV$107*(1-'Assumptions-Output Override'!$D$12)</f>
        <v>9.7401900534537411</v>
      </c>
      <c r="CB55" s="352">
        <f>BW$107*(1-'Assumptions-Output Override'!$D$12)</f>
        <v>1.7000814189516649</v>
      </c>
      <c r="CC55" s="352">
        <f t="shared" si="5"/>
        <v>85.639384152672903</v>
      </c>
      <c r="CD55" s="352">
        <f t="shared" si="20"/>
        <v>23.487795036334351</v>
      </c>
      <c r="CE55" s="352">
        <f t="shared" si="20"/>
        <v>66.090687276236309</v>
      </c>
      <c r="CF55" s="352">
        <f t="shared" si="20"/>
        <v>11.314701224992165</v>
      </c>
      <c r="CG55" s="352">
        <f t="shared" si="20"/>
        <v>1.7020458486381755</v>
      </c>
      <c r="CH55" s="352">
        <f t="shared" si="6"/>
        <v>102.595229386201</v>
      </c>
      <c r="CJ55" s="352">
        <f t="shared" si="21"/>
        <v>102.595229386201</v>
      </c>
      <c r="CK55" s="352">
        <f t="shared" si="22"/>
        <v>56.364130938203267</v>
      </c>
      <c r="CL55" s="352">
        <f t="shared" si="23"/>
        <v>46.231098447997731</v>
      </c>
      <c r="CN55" s="352">
        <f>('HRA Balance Calc'!U67+'HRA Balance Calc'!V67+'HRA Balance Calc'!W67+'HRA Balance Calc'!X67)/12</f>
        <v>-20.700453730441108</v>
      </c>
      <c r="CO55" s="352">
        <f>('HRA Balance Calc'!Q67+IF('HRA Balance Calc'!L67&lt;0,-'HRA Balance Calc'!L67,0))/12</f>
        <v>0</v>
      </c>
      <c r="CP55" s="352">
        <f>('HRA Balance Calc'!N67)/12</f>
        <v>50.62372307894281</v>
      </c>
      <c r="CQ55" s="352">
        <f>('HRA Balance Calc'!O67)/12</f>
        <v>5.7399404068349327</v>
      </c>
      <c r="CR55" s="352">
        <f>('HRA Balance Calc'!P67)/12</f>
        <v>4.674524255253942E-4</v>
      </c>
      <c r="CS55" s="352">
        <f t="shared" si="7"/>
        <v>56.364130938203267</v>
      </c>
      <c r="CU55" s="577">
        <f t="shared" si="24"/>
        <v>1276.0780545973682</v>
      </c>
      <c r="CV55" s="352">
        <f t="shared" si="25"/>
        <v>106.33983788311401</v>
      </c>
      <c r="CW55" s="352">
        <f t="shared" si="29"/>
        <v>2.3166467622164766</v>
      </c>
      <c r="CX55" s="352">
        <f t="shared" si="29"/>
        <v>46.176019372480326</v>
      </c>
      <c r="CY55" s="352">
        <f t="shared" si="29"/>
        <v>4.9645886920092694</v>
      </c>
      <c r="CZ55" s="352">
        <f t="shared" si="29"/>
        <v>6.1940401466755359E-3</v>
      </c>
      <c r="DA55" s="352">
        <f t="shared" si="9"/>
        <v>53.463448866852751</v>
      </c>
      <c r="DC55" s="352">
        <f>('HRA Balance Calc'!Q67+'HRA Balance Calc'!X67+IF('HRA Balance Calc'!L67&lt;0,-'HRA Balance Calc'!L67,0))/12</f>
        <v>2.5325466249042976</v>
      </c>
      <c r="DD55" s="352">
        <f>('HRA Balance Calc'!N67+'HRA Balance Calc'!U67)/12</f>
        <v>26.601983318452643</v>
      </c>
      <c r="DE55" s="352">
        <f>('HRA Balance Calc'!O67+'HRA Balance Calc'!V67)/12</f>
        <v>6.5266514181895694</v>
      </c>
      <c r="DF55" s="352">
        <f>('HRA Balance Calc'!P67+'HRA Balance Calc'!W67)/12</f>
        <v>2.4958462156486299E-3</v>
      </c>
      <c r="DG55" s="352">
        <f t="shared" si="26"/>
        <v>35.663677207762163</v>
      </c>
      <c r="DI55" s="352">
        <f t="shared" si="27"/>
        <v>20.955248411430052</v>
      </c>
      <c r="DJ55" s="352">
        <f t="shared" si="27"/>
        <v>39.48870395778367</v>
      </c>
      <c r="DK55" s="352">
        <f t="shared" si="27"/>
        <v>4.7880498068025954</v>
      </c>
      <c r="DL55" s="352">
        <f t="shared" si="27"/>
        <v>1.699550002422527</v>
      </c>
      <c r="DM55" s="352">
        <f t="shared" si="27"/>
        <v>66.931552178438835</v>
      </c>
    </row>
    <row r="56" spans="1:117" x14ac:dyDescent="0.2">
      <c r="A56">
        <v>51</v>
      </c>
      <c r="B56" s="397">
        <v>34308</v>
      </c>
      <c r="C56" s="398">
        <v>397997.79676138877</v>
      </c>
      <c r="D56" s="399">
        <v>3.7080470815032465</v>
      </c>
      <c r="E56" s="399">
        <v>63.343776767804407</v>
      </c>
      <c r="F56" s="399">
        <v>6.8662961881624067</v>
      </c>
      <c r="G56" s="399">
        <v>0</v>
      </c>
      <c r="H56" s="399">
        <v>73.918120037470061</v>
      </c>
      <c r="I56" s="400">
        <v>3.4669501179461887E-3</v>
      </c>
      <c r="J56" s="400">
        <v>2.929628989554765E-2</v>
      </c>
      <c r="K56" s="400">
        <v>5.7789264632007922E-5</v>
      </c>
      <c r="L56" s="400">
        <v>0.3410250415958091</v>
      </c>
      <c r="M56" s="400">
        <v>0.3348457229775067</v>
      </c>
      <c r="N56" s="400">
        <v>0.2285635768344583</v>
      </c>
      <c r="O56" s="399">
        <f t="shared" si="30"/>
        <v>0.86673752948654714</v>
      </c>
      <c r="P56" s="399">
        <f t="shared" si="30"/>
        <v>0</v>
      </c>
      <c r="Q56" s="399">
        <f t="shared" si="30"/>
        <v>5.7789264632007925E-2</v>
      </c>
      <c r="R56" s="399">
        <f t="shared" si="30"/>
        <v>7.0805207258458935</v>
      </c>
      <c r="S56" s="399">
        <f t="shared" si="30"/>
        <v>10.045371689325201</v>
      </c>
      <c r="T56" s="399">
        <f t="shared" si="30"/>
        <v>13.713814610067498</v>
      </c>
      <c r="U56" s="399">
        <f t="shared" si="10"/>
        <v>31.764233819357148</v>
      </c>
      <c r="V56" s="400">
        <v>2.6941904016413034E-4</v>
      </c>
      <c r="W56" s="400">
        <v>4.3280865161850627E-3</v>
      </c>
      <c r="X56" s="400">
        <v>0</v>
      </c>
      <c r="Y56" s="400">
        <v>5.6251818807870974E-2</v>
      </c>
      <c r="Z56" s="400">
        <v>1.8549147910046863E-2</v>
      </c>
      <c r="AA56" s="400">
        <v>1.508480712419457E-2</v>
      </c>
      <c r="AB56" s="352">
        <f t="shared" si="31"/>
        <v>6.735476004103258E-2</v>
      </c>
      <c r="AC56" s="352">
        <f t="shared" si="31"/>
        <v>0</v>
      </c>
      <c r="AD56" s="352">
        <f t="shared" si="31"/>
        <v>0</v>
      </c>
      <c r="AE56" s="352">
        <f t="shared" si="31"/>
        <v>1.994038979571741</v>
      </c>
      <c r="AF56" s="352">
        <f t="shared" si="31"/>
        <v>0.55647443730140589</v>
      </c>
      <c r="AG56" s="352">
        <f t="shared" si="31"/>
        <v>0.90508842745167417</v>
      </c>
      <c r="AH56" s="400">
        <f t="shared" si="11"/>
        <v>3.5229566043658536</v>
      </c>
      <c r="AJ56" s="352">
        <f>D56*('Assumptions-Output Override'!$D$10/'Winners-Losers HRA'!$H$107)*(1+'Assumptions-Output Override'!$F$41)</f>
        <v>4.4259694759630124</v>
      </c>
      <c r="AK56" s="352">
        <f>E56*('Assumptions-Output Override'!$D$10/'Winners-Losers HRA'!$H$107)*(1+'Assumptions-Output Override'!$F$37)</f>
        <v>104.24983834427887</v>
      </c>
      <c r="AL56" s="352">
        <f>F56*('Assumptions-Output Override'!$D$10/'Winners-Losers HRA'!$H$107)*(1+'Assumptions-Output Override'!$F$38)</f>
        <v>11.534319906298959</v>
      </c>
      <c r="AM56" s="352">
        <f>G56*('Shoppable Detail'!$X$21/'Shoppable Detail'!$H$21)*('Assumptions-Output Override'!$D$10/'Winners-Losers HRA'!$H$107)*(1+'Assumptions-Output Override'!$F$39)</f>
        <v>0</v>
      </c>
      <c r="AN56" s="352">
        <f t="shared" si="12"/>
        <v>120.21012772654085</v>
      </c>
      <c r="AO56" s="352">
        <v>0</v>
      </c>
      <c r="AP56" s="352">
        <f>U56*'Assumptions-Output Override'!$D$10/'Winners-Losers HRA'!$H$107*(1+'Assumptions-Output Override'!$F$37)</f>
        <v>52.276899322506836</v>
      </c>
      <c r="AQ56" s="352">
        <f>AH56*'Assumptions-Output Override'!$D$10/'Winners-Losers HRA'!$H$107*(1+'Assumptions-Output Override'!$F$38)</f>
        <v>5.9180244162521873</v>
      </c>
      <c r="AR56" s="352">
        <f>AM56*('Shoppable Detail'!$AA$23/'Shoppable Detail'!$Y$23)</f>
        <v>0</v>
      </c>
      <c r="AS56" s="352">
        <f t="shared" si="13"/>
        <v>58.194923738759023</v>
      </c>
      <c r="AT56" s="352">
        <f t="shared" si="14"/>
        <v>4.4259694759630124</v>
      </c>
      <c r="AU56" s="352">
        <f t="shared" si="14"/>
        <v>51.972939021772035</v>
      </c>
      <c r="AV56" s="352">
        <f t="shared" si="14"/>
        <v>5.6162954900467721</v>
      </c>
      <c r="AW56" s="352">
        <f t="shared" si="14"/>
        <v>0</v>
      </c>
      <c r="AX56" s="352">
        <f t="shared" si="15"/>
        <v>62.015203987781824</v>
      </c>
      <c r="AY56" s="352">
        <f>AT56*'Assumptions-Output Override'!$D$24</f>
        <v>1.3483978108649977</v>
      </c>
      <c r="AZ56" s="352">
        <f>$AU$107*'Assumptions-Output Override'!$D$21</f>
        <v>46.041131296780591</v>
      </c>
      <c r="BA56" s="352">
        <f>AV56*'Assumptions-Output Override'!$D$22</f>
        <v>0.84244432350701581</v>
      </c>
      <c r="BB56" s="352">
        <f>AW56*'Assumptions-Output Override'!$D$23</f>
        <v>0</v>
      </c>
      <c r="BC56" s="352">
        <f t="shared" si="16"/>
        <v>48.231973431152603</v>
      </c>
      <c r="BD56" s="352">
        <f t="shared" si="17"/>
        <v>1.3483978108649977</v>
      </c>
      <c r="BE56" s="352">
        <f t="shared" si="17"/>
        <v>98.318030619287427</v>
      </c>
      <c r="BF56" s="352">
        <f t="shared" si="17"/>
        <v>6.7604687397592027</v>
      </c>
      <c r="BG56" s="352">
        <f t="shared" si="17"/>
        <v>0</v>
      </c>
      <c r="BH56" s="352">
        <f t="shared" si="18"/>
        <v>106.42689716991163</v>
      </c>
      <c r="BJ56" s="401">
        <f>D56*'Assumptions-Output Override'!$D$10/'Winners-Losers HRA'!$H$107</f>
        <v>6.2646651904674853</v>
      </c>
      <c r="BK56" s="401">
        <f>E56*'Assumptions-Output Override'!$D$10/'Winners-Losers HRA'!$H$107</f>
        <v>107.01793818354994</v>
      </c>
      <c r="BL56" s="401">
        <f>F56*'Assumptions-Output Override'!$D$10/'Winners-Losers HRA'!$H$107</f>
        <v>11.600458616610192</v>
      </c>
      <c r="BM56" s="401">
        <f>G56*'Assumptions-Output Override'!$D$10/'Winners-Losers HRA'!$H$107</f>
        <v>0</v>
      </c>
      <c r="BN56" s="401">
        <f t="shared" si="2"/>
        <v>124.88306199062762</v>
      </c>
      <c r="BO56" s="401">
        <f>BJ56*(1-'Assumptions-Output Override'!$D$11)</f>
        <v>0.89283872035099821</v>
      </c>
      <c r="BP56" s="401">
        <f>BK56*(1-'Assumptions-Output Override'!$D$11)</f>
        <v>15.25217327300979</v>
      </c>
      <c r="BQ56" s="401">
        <f>BL56*(1-'Assumptions-Output Override'!$D$11)</f>
        <v>1.6532948388844486</v>
      </c>
      <c r="BR56" s="401">
        <f>BM56*(1-'Assumptions-Output Override'!$D$11)</f>
        <v>0</v>
      </c>
      <c r="BS56" s="352">
        <f t="shared" si="3"/>
        <v>17.798306832245238</v>
      </c>
      <c r="BT56" s="352">
        <f t="shared" si="19"/>
        <v>5.3718264701164866</v>
      </c>
      <c r="BU56" s="352">
        <f t="shared" si="19"/>
        <v>91.765764910540156</v>
      </c>
      <c r="BV56" s="352">
        <f t="shared" si="19"/>
        <v>9.9471637777257431</v>
      </c>
      <c r="BW56" s="352">
        <f t="shared" si="19"/>
        <v>0</v>
      </c>
      <c r="BX56" s="352">
        <f t="shared" si="4"/>
        <v>107.08475515838239</v>
      </c>
      <c r="BY56" s="352">
        <f>BT$107*(1-'Assumptions-Output Override'!$D$12)</f>
        <v>22.753074310428271</v>
      </c>
      <c r="BZ56" s="352">
        <f>BU$107*(1-'Assumptions-Output Override'!$D$12)</f>
        <v>51.446038369839215</v>
      </c>
      <c r="CA56" s="352">
        <f>BV$107*(1-'Assumptions-Output Override'!$D$12)</f>
        <v>9.7401900534537411</v>
      </c>
      <c r="CB56" s="352">
        <f>BW$107*(1-'Assumptions-Output Override'!$D$12)</f>
        <v>1.7000814189516649</v>
      </c>
      <c r="CC56" s="352">
        <f t="shared" si="5"/>
        <v>85.639384152672903</v>
      </c>
      <c r="CD56" s="352">
        <f t="shared" si="20"/>
        <v>23.645913030779269</v>
      </c>
      <c r="CE56" s="352">
        <f t="shared" si="20"/>
        <v>66.698211642849003</v>
      </c>
      <c r="CF56" s="352">
        <f t="shared" si="20"/>
        <v>11.39348489233819</v>
      </c>
      <c r="CG56" s="352">
        <f t="shared" si="20"/>
        <v>1.7000814189516649</v>
      </c>
      <c r="CH56" s="352">
        <f t="shared" si="6"/>
        <v>103.43769098491813</v>
      </c>
      <c r="CJ56" s="352">
        <f t="shared" si="21"/>
        <v>103.43769098491813</v>
      </c>
      <c r="CK56" s="352">
        <f t="shared" si="22"/>
        <v>58.194923738759023</v>
      </c>
      <c r="CL56" s="352">
        <f t="shared" si="23"/>
        <v>45.242767246159111</v>
      </c>
      <c r="CN56" s="352">
        <f>('HRA Balance Calc'!U68+'HRA Balance Calc'!V68+'HRA Balance Calc'!W68+'HRA Balance Calc'!X68)/12</f>
        <v>-20.101723771885133</v>
      </c>
      <c r="CO56" s="352">
        <f>('HRA Balance Calc'!Q68+IF('HRA Balance Calc'!L68&lt;0,-'HRA Balance Calc'!L68,0))/12</f>
        <v>0</v>
      </c>
      <c r="CP56" s="352">
        <f>('HRA Balance Calc'!N68)/12</f>
        <v>52.276899322506836</v>
      </c>
      <c r="CQ56" s="352">
        <f>('HRA Balance Calc'!O68)/12</f>
        <v>5.9180244162521873</v>
      </c>
      <c r="CR56" s="352">
        <f>('HRA Balance Calc'!P68)/12</f>
        <v>0</v>
      </c>
      <c r="CS56" s="352">
        <f t="shared" si="7"/>
        <v>58.194923738759023</v>
      </c>
      <c r="CU56" s="577">
        <f t="shared" si="24"/>
        <v>1268.8932950946964</v>
      </c>
      <c r="CV56" s="352">
        <f t="shared" si="25"/>
        <v>105.74110792455804</v>
      </c>
      <c r="CW56" s="352">
        <f t="shared" si="29"/>
        <v>2.8152083611522483</v>
      </c>
      <c r="CX56" s="352">
        <f t="shared" si="29"/>
        <v>48.091603494794619</v>
      </c>
      <c r="CY56" s="352">
        <f t="shared" si="29"/>
        <v>5.2130013492779579</v>
      </c>
      <c r="CZ56" s="352">
        <f t="shared" si="29"/>
        <v>0</v>
      </c>
      <c r="DA56" s="352">
        <f t="shared" si="9"/>
        <v>56.11981320522483</v>
      </c>
      <c r="DC56" s="352">
        <f>('HRA Balance Calc'!Q68+'HRA Balance Calc'!X68+IF('HRA Balance Calc'!L68&lt;0,-'HRA Balance Calc'!L68,0))/12</f>
        <v>3.0775716650980147</v>
      </c>
      <c r="DD56" s="352">
        <f>('HRA Balance Calc'!N68+'HRA Balance Calc'!U68)/12</f>
        <v>28.255159562016672</v>
      </c>
      <c r="DE56" s="352">
        <f>('HRA Balance Calc'!O68+'HRA Balance Calc'!V68)/12</f>
        <v>6.7604687397592036</v>
      </c>
      <c r="DF56" s="352">
        <f>('HRA Balance Calc'!P68+'HRA Balance Calc'!W68)/12</f>
        <v>0</v>
      </c>
      <c r="DG56" s="352">
        <f t="shared" si="26"/>
        <v>38.09319996687389</v>
      </c>
      <c r="DI56" s="352">
        <f t="shared" si="27"/>
        <v>20.568341365681256</v>
      </c>
      <c r="DJ56" s="352">
        <f t="shared" si="27"/>
        <v>38.443052080832331</v>
      </c>
      <c r="DK56" s="352">
        <f t="shared" si="27"/>
        <v>4.6330161525789864</v>
      </c>
      <c r="DL56" s="352">
        <f t="shared" si="27"/>
        <v>1.7000814189516649</v>
      </c>
      <c r="DM56" s="352">
        <f t="shared" si="27"/>
        <v>65.344491018044238</v>
      </c>
    </row>
    <row r="57" spans="1:117" x14ac:dyDescent="0.2">
      <c r="A57">
        <v>52</v>
      </c>
      <c r="B57" s="397">
        <v>34308</v>
      </c>
      <c r="C57" s="398">
        <v>397997.79676138877</v>
      </c>
      <c r="D57" s="399">
        <v>4.1635597906402282</v>
      </c>
      <c r="E57" s="399">
        <v>66.26213901573378</v>
      </c>
      <c r="F57" s="399">
        <v>7.163448697530602</v>
      </c>
      <c r="G57" s="399">
        <v>4.4996430926278856E-3</v>
      </c>
      <c r="H57" s="399">
        <v>77.593647146997242</v>
      </c>
      <c r="I57" s="400">
        <v>4.2204722018754593E-3</v>
      </c>
      <c r="J57" s="400">
        <v>3.0069772829382235E-2</v>
      </c>
      <c r="K57" s="400">
        <v>4.7738957739484802E-5</v>
      </c>
      <c r="L57" s="400">
        <v>0.35055913750182732</v>
      </c>
      <c r="M57" s="400">
        <v>0.34387516994742179</v>
      </c>
      <c r="N57" s="400">
        <v>0.23448536841013254</v>
      </c>
      <c r="O57" s="399">
        <f t="shared" si="30"/>
        <v>1.0551180504688649</v>
      </c>
      <c r="P57" s="399">
        <f t="shared" si="30"/>
        <v>0</v>
      </c>
      <c r="Q57" s="399">
        <f t="shared" si="30"/>
        <v>4.7738957739484805E-2</v>
      </c>
      <c r="R57" s="399">
        <f t="shared" si="30"/>
        <v>7.2784720649876533</v>
      </c>
      <c r="S57" s="399">
        <f t="shared" si="30"/>
        <v>10.316255098422653</v>
      </c>
      <c r="T57" s="399">
        <f t="shared" si="30"/>
        <v>14.069122104607953</v>
      </c>
      <c r="U57" s="399">
        <f t="shared" si="10"/>
        <v>32.766706276226614</v>
      </c>
      <c r="V57" s="400">
        <v>1.7506029798683168E-4</v>
      </c>
      <c r="W57" s="400">
        <v>4.5813652451872867E-3</v>
      </c>
      <c r="X57" s="400">
        <v>0</v>
      </c>
      <c r="Y57" s="400">
        <v>5.8883180866599848E-2</v>
      </c>
      <c r="Z57" s="400">
        <v>1.8990557388766552E-2</v>
      </c>
      <c r="AA57" s="400">
        <v>1.6201898735298512E-2</v>
      </c>
      <c r="AB57" s="352">
        <f t="shared" si="31"/>
        <v>4.3765074496707919E-2</v>
      </c>
      <c r="AC57" s="352">
        <f t="shared" si="31"/>
        <v>0</v>
      </c>
      <c r="AD57" s="352">
        <f t="shared" si="31"/>
        <v>0</v>
      </c>
      <c r="AE57" s="352">
        <f t="shared" si="31"/>
        <v>2.0873166481995389</v>
      </c>
      <c r="AF57" s="352">
        <f t="shared" si="31"/>
        <v>0.56971672166299658</v>
      </c>
      <c r="AG57" s="352">
        <f t="shared" si="31"/>
        <v>0.97211392411791075</v>
      </c>
      <c r="AH57" s="400">
        <f t="shared" si="11"/>
        <v>3.6729123684771543</v>
      </c>
      <c r="AJ57" s="352">
        <f>D57*('Assumptions-Output Override'!$D$10/'Winners-Losers HRA'!$H$107)*(1+'Assumptions-Output Override'!$F$41)</f>
        <v>4.9696749096427206</v>
      </c>
      <c r="AK57" s="352">
        <f>E57*('Assumptions-Output Override'!$D$10/'Winners-Losers HRA'!$H$107)*(1+'Assumptions-Output Override'!$F$37)</f>
        <v>109.05281675985258</v>
      </c>
      <c r="AL57" s="352">
        <f>F57*('Assumptions-Output Override'!$D$10/'Winners-Losers HRA'!$H$107)*(1+'Assumptions-Output Override'!$F$38)</f>
        <v>12.033490348424838</v>
      </c>
      <c r="AM57" s="352">
        <f>G57*('Shoppable Detail'!$X$21/'Shoppable Detail'!$H$21)*('Assumptions-Output Override'!$D$10/'Winners-Losers HRA'!$H$107)*(1+'Assumptions-Output Override'!$F$39)</f>
        <v>7.715951366349753E-3</v>
      </c>
      <c r="AN57" s="352">
        <f t="shared" si="12"/>
        <v>126.06369796928648</v>
      </c>
      <c r="AO57" s="352">
        <v>0</v>
      </c>
      <c r="AP57" s="352">
        <f>U57*'Assumptions-Output Override'!$D$10/'Winners-Losers HRA'!$H$107*(1+'Assumptions-Output Override'!$F$37)</f>
        <v>53.926747135597005</v>
      </c>
      <c r="AQ57" s="352">
        <f>AH57*'Assumptions-Output Override'!$D$10/'Winners-Losers HRA'!$H$107*(1+'Assumptions-Output Override'!$F$38)</f>
        <v>6.1699270006520814</v>
      </c>
      <c r="AR57" s="352">
        <f>AM57*('Shoppable Detail'!$AA$23/'Shoppable Detail'!$Y$23)</f>
        <v>2.578141637653204E-4</v>
      </c>
      <c r="AS57" s="352">
        <f t="shared" si="13"/>
        <v>60.096931950412852</v>
      </c>
      <c r="AT57" s="352">
        <f t="shared" si="14"/>
        <v>4.9696749096427206</v>
      </c>
      <c r="AU57" s="352">
        <f t="shared" si="14"/>
        <v>55.126069624255571</v>
      </c>
      <c r="AV57" s="352">
        <f t="shared" si="14"/>
        <v>5.8635633477727565</v>
      </c>
      <c r="AW57" s="352">
        <f t="shared" si="14"/>
        <v>7.4581372025844328E-3</v>
      </c>
      <c r="AX57" s="352">
        <f t="shared" si="15"/>
        <v>65.966766018873642</v>
      </c>
      <c r="AY57" s="352">
        <f>AT57*'Assumptions-Output Override'!$D$24</f>
        <v>1.5140408909880494</v>
      </c>
      <c r="AZ57" s="352">
        <f>$AU$107*'Assumptions-Output Override'!$D$21</f>
        <v>46.041131296780591</v>
      </c>
      <c r="BA57" s="352">
        <f>AV57*'Assumptions-Output Override'!$D$22</f>
        <v>0.87953450216591345</v>
      </c>
      <c r="BB57" s="352">
        <f>AW57*'Assumptions-Output Override'!$D$23</f>
        <v>1.1187205803876649E-3</v>
      </c>
      <c r="BC57" s="352">
        <f t="shared" si="16"/>
        <v>48.435825410514937</v>
      </c>
      <c r="BD57" s="352">
        <f t="shared" si="17"/>
        <v>1.5140408909880494</v>
      </c>
      <c r="BE57" s="352">
        <f t="shared" si="17"/>
        <v>99.967878432377603</v>
      </c>
      <c r="BF57" s="352">
        <f t="shared" si="17"/>
        <v>7.0494615028179952</v>
      </c>
      <c r="BG57" s="352">
        <f t="shared" si="17"/>
        <v>1.3765347441529853E-3</v>
      </c>
      <c r="BH57" s="352">
        <f t="shared" si="18"/>
        <v>108.5327573609278</v>
      </c>
      <c r="BJ57" s="401">
        <f>D57*'Assumptions-Output Override'!$D$10/'Winners-Losers HRA'!$H$107</f>
        <v>7.0342440415507674</v>
      </c>
      <c r="BK57" s="401">
        <f>E57*'Assumptions-Output Override'!$D$10/'Winners-Losers HRA'!$H$107</f>
        <v>111.94844796023968</v>
      </c>
      <c r="BL57" s="401">
        <f>F57*'Assumptions-Output Override'!$D$10/'Winners-Losers HRA'!$H$107</f>
        <v>12.102491341864672</v>
      </c>
      <c r="BM57" s="401">
        <f>G57*'Assumptions-Output Override'!$D$10/'Winners-Losers HRA'!$H$107</f>
        <v>7.6020494973018582E-3</v>
      </c>
      <c r="BN57" s="401">
        <f t="shared" si="2"/>
        <v>131.09278539315241</v>
      </c>
      <c r="BO57" s="401">
        <f>BJ57*(1-'Assumptions-Output Override'!$D$11)</f>
        <v>1.0025189308203331</v>
      </c>
      <c r="BP57" s="401">
        <f>BK57*(1-'Assumptions-Output Override'!$D$11)</f>
        <v>15.954868453974321</v>
      </c>
      <c r="BQ57" s="401">
        <f>BL57*(1-'Assumptions-Output Override'!$D$11)</f>
        <v>1.7248444336932154</v>
      </c>
      <c r="BR57" s="401">
        <f>BM57*(1-'Assumptions-Output Override'!$D$11)</f>
        <v>1.0834424408735954E-3</v>
      </c>
      <c r="BS57" s="352">
        <f t="shared" si="3"/>
        <v>18.68331526092874</v>
      </c>
      <c r="BT57" s="352">
        <f t="shared" si="19"/>
        <v>6.0317251107304344</v>
      </c>
      <c r="BU57" s="352">
        <f t="shared" si="19"/>
        <v>95.993579506265348</v>
      </c>
      <c r="BV57" s="352">
        <f t="shared" si="19"/>
        <v>10.377646908171457</v>
      </c>
      <c r="BW57" s="352">
        <f t="shared" si="19"/>
        <v>6.5186070564282623E-3</v>
      </c>
      <c r="BX57" s="352">
        <f t="shared" si="4"/>
        <v>112.40947013222367</v>
      </c>
      <c r="BY57" s="352">
        <f>BT$107*(1-'Assumptions-Output Override'!$D$12)</f>
        <v>22.753074310428271</v>
      </c>
      <c r="BZ57" s="352">
        <f>BU$107*(1-'Assumptions-Output Override'!$D$12)</f>
        <v>51.446038369839215</v>
      </c>
      <c r="CA57" s="352">
        <f>BV$107*(1-'Assumptions-Output Override'!$D$12)</f>
        <v>9.7401900534537411</v>
      </c>
      <c r="CB57" s="352">
        <f>BW$107*(1-'Assumptions-Output Override'!$D$12)</f>
        <v>1.7000814189516649</v>
      </c>
      <c r="CC57" s="352">
        <f t="shared" si="5"/>
        <v>85.639384152672903</v>
      </c>
      <c r="CD57" s="352">
        <f t="shared" si="20"/>
        <v>23.755593241248604</v>
      </c>
      <c r="CE57" s="352">
        <f t="shared" si="20"/>
        <v>67.400906823813528</v>
      </c>
      <c r="CF57" s="352">
        <f t="shared" si="20"/>
        <v>11.465034487146957</v>
      </c>
      <c r="CG57" s="352">
        <f t="shared" si="20"/>
        <v>1.7011648613925385</v>
      </c>
      <c r="CH57" s="352">
        <f t="shared" si="6"/>
        <v>104.32269941360163</v>
      </c>
      <c r="CJ57" s="352">
        <f t="shared" si="21"/>
        <v>104.32269941360163</v>
      </c>
      <c r="CK57" s="352">
        <f t="shared" si="22"/>
        <v>60.096931950412852</v>
      </c>
      <c r="CL57" s="352">
        <f t="shared" si="23"/>
        <v>44.225767463188774</v>
      </c>
      <c r="CN57" s="352">
        <f>('HRA Balance Calc'!U69+'HRA Balance Calc'!V69+'HRA Balance Calc'!W69+'HRA Balance Calc'!X69)/12</f>
        <v>-19.685452519089189</v>
      </c>
      <c r="CO57" s="352">
        <f>('HRA Balance Calc'!Q69+IF('HRA Balance Calc'!L69&lt;0,-'HRA Balance Calc'!L69,0))/12</f>
        <v>0</v>
      </c>
      <c r="CP57" s="352">
        <f>('HRA Balance Calc'!N69)/12</f>
        <v>53.926747135597005</v>
      </c>
      <c r="CQ57" s="352">
        <f>('HRA Balance Calc'!O69)/12</f>
        <v>6.1699270006520814</v>
      </c>
      <c r="CR57" s="352">
        <f>('HRA Balance Calc'!P69)/12</f>
        <v>2.578141637653204E-4</v>
      </c>
      <c r="CS57" s="352">
        <f t="shared" si="7"/>
        <v>60.096931950412852</v>
      </c>
      <c r="CU57" s="577">
        <f t="shared" si="24"/>
        <v>1263.8980400611449</v>
      </c>
      <c r="CV57" s="352">
        <f t="shared" si="25"/>
        <v>105.32483667176209</v>
      </c>
      <c r="CW57" s="352">
        <f t="shared" si="29"/>
        <v>3.1610408598198951</v>
      </c>
      <c r="CX57" s="352">
        <f t="shared" si="29"/>
        <v>50.307270561759459</v>
      </c>
      <c r="CY57" s="352">
        <f t="shared" si="29"/>
        <v>5.4386042638373864</v>
      </c>
      <c r="CZ57" s="352">
        <f t="shared" si="29"/>
        <v>3.4162006517542902E-3</v>
      </c>
      <c r="DA57" s="352">
        <f t="shared" si="9"/>
        <v>58.910331886068498</v>
      </c>
      <c r="DC57" s="352">
        <f>('HRA Balance Calc'!Q69+'HRA Balance Calc'!X69+IF('HRA Balance Calc'!L69&lt;0,-'HRA Balance Calc'!L69,0))/12</f>
        <v>3.455634018654671</v>
      </c>
      <c r="DD57" s="352">
        <f>('HRA Balance Calc'!N69+'HRA Balance Calc'!U69)/12</f>
        <v>29.905007375106845</v>
      </c>
      <c r="DE57" s="352">
        <f>('HRA Balance Calc'!O69+'HRA Balance Calc'!V69)/12</f>
        <v>7.0494615028179952</v>
      </c>
      <c r="DF57" s="352">
        <f>('HRA Balance Calc'!P69+'HRA Balance Calc'!W69)/12</f>
        <v>1.3765347441529855E-3</v>
      </c>
      <c r="DG57" s="352">
        <f t="shared" si="26"/>
        <v>40.41147943132367</v>
      </c>
      <c r="DI57" s="352">
        <f t="shared" si="27"/>
        <v>20.299959222593934</v>
      </c>
      <c r="DJ57" s="352">
        <f t="shared" si="27"/>
        <v>37.49589944870668</v>
      </c>
      <c r="DK57" s="352">
        <f t="shared" si="27"/>
        <v>4.4155729843289615</v>
      </c>
      <c r="DL57" s="352">
        <f t="shared" si="27"/>
        <v>1.6997883266483855</v>
      </c>
      <c r="DM57" s="352">
        <f t="shared" si="27"/>
        <v>63.911219982277956</v>
      </c>
    </row>
    <row r="58" spans="1:117" x14ac:dyDescent="0.2">
      <c r="A58">
        <v>53</v>
      </c>
      <c r="B58" s="397">
        <v>34308</v>
      </c>
      <c r="C58" s="398">
        <v>397997.79676138877</v>
      </c>
      <c r="D58" s="399">
        <v>4.4195292569131972</v>
      </c>
      <c r="E58" s="399">
        <v>69.087857586320098</v>
      </c>
      <c r="F58" s="399">
        <v>7.9182183327056608</v>
      </c>
      <c r="G58" s="399">
        <v>4.6803996098900916E-3</v>
      </c>
      <c r="H58" s="399">
        <v>81.430285575548851</v>
      </c>
      <c r="I58" s="400">
        <v>4.3439799606652153E-3</v>
      </c>
      <c r="J58" s="400">
        <v>3.1394674241853715E-2</v>
      </c>
      <c r="K58" s="400">
        <v>5.7789264632007922E-5</v>
      </c>
      <c r="L58" s="400">
        <v>0.36519732579150727</v>
      </c>
      <c r="M58" s="400">
        <v>0.35164762503428904</v>
      </c>
      <c r="N58" s="400">
        <v>0.24304219969843122</v>
      </c>
      <c r="O58" s="399">
        <f t="shared" si="30"/>
        <v>1.0859949901663037</v>
      </c>
      <c r="P58" s="399">
        <f t="shared" si="30"/>
        <v>0</v>
      </c>
      <c r="Q58" s="399">
        <f t="shared" si="30"/>
        <v>5.7789264632007925E-2</v>
      </c>
      <c r="R58" s="399">
        <f t="shared" si="30"/>
        <v>7.5823969471280011</v>
      </c>
      <c r="S58" s="399">
        <f t="shared" si="30"/>
        <v>10.549428751028671</v>
      </c>
      <c r="T58" s="399">
        <f t="shared" si="30"/>
        <v>14.582531981905873</v>
      </c>
      <c r="U58" s="399">
        <f t="shared" si="10"/>
        <v>33.858141934860853</v>
      </c>
      <c r="V58" s="400">
        <v>2.6072810338464422E-4</v>
      </c>
      <c r="W58" s="400">
        <v>4.5776405579960695E-3</v>
      </c>
      <c r="X58" s="400">
        <v>0</v>
      </c>
      <c r="Y58" s="400">
        <v>6.3037326981027014E-2</v>
      </c>
      <c r="Z58" s="400">
        <v>2.0409761225059692E-2</v>
      </c>
      <c r="AA58" s="400">
        <v>1.6757278694179315E-2</v>
      </c>
      <c r="AB58" s="352">
        <f t="shared" si="31"/>
        <v>6.5182025846161049E-2</v>
      </c>
      <c r="AC58" s="352">
        <f t="shared" si="31"/>
        <v>0</v>
      </c>
      <c r="AD58" s="352">
        <f t="shared" si="31"/>
        <v>0</v>
      </c>
      <c r="AE58" s="352">
        <f t="shared" si="31"/>
        <v>2.2345746294444973</v>
      </c>
      <c r="AF58" s="352">
        <f t="shared" si="31"/>
        <v>0.6122928367517908</v>
      </c>
      <c r="AG58" s="352">
        <f t="shared" si="31"/>
        <v>1.0054367216507589</v>
      </c>
      <c r="AH58" s="400">
        <f t="shared" si="11"/>
        <v>3.9174862136932083</v>
      </c>
      <c r="AJ58" s="352">
        <f>D58*('Assumptions-Output Override'!$D$10/'Winners-Losers HRA'!$H$107)*(1+'Assumptions-Output Override'!$F$41)</f>
        <v>5.2752031350403934</v>
      </c>
      <c r="AK58" s="352">
        <f>E58*('Assumptions-Output Override'!$D$10/'Winners-Losers HRA'!$H$107)*(1+'Assumptions-Output Override'!$F$37)</f>
        <v>113.7033241849131</v>
      </c>
      <c r="AL58" s="352">
        <f>F58*('Assumptions-Output Override'!$D$10/'Winners-Losers HRA'!$H$107)*(1+'Assumptions-Output Override'!$F$38)</f>
        <v>13.301387070194361</v>
      </c>
      <c r="AM58" s="352">
        <f>G58*('Shoppable Detail'!$X$21/'Shoppable Detail'!$H$21)*('Assumptions-Output Override'!$D$10/'Winners-Losers HRA'!$H$107)*(1+'Assumptions-Output Override'!$F$39)</f>
        <v>8.0259111715243001E-3</v>
      </c>
      <c r="AN58" s="352">
        <f t="shared" si="12"/>
        <v>132.2879403013194</v>
      </c>
      <c r="AO58" s="352">
        <v>0</v>
      </c>
      <c r="AP58" s="352">
        <f>U58*'Assumptions-Output Override'!$D$10/'Winners-Losers HRA'!$H$107*(1+'Assumptions-Output Override'!$F$37)</f>
        <v>55.723008690901558</v>
      </c>
      <c r="AQ58" s="352">
        <f>AH58*'Assumptions-Output Override'!$D$10/'Winners-Losers HRA'!$H$107*(1+'Assumptions-Output Override'!$F$38)</f>
        <v>6.5807733862622806</v>
      </c>
      <c r="AR58" s="352">
        <f>AM58*('Shoppable Detail'!$AA$23/'Shoppable Detail'!$Y$23)</f>
        <v>2.6817089415121214E-4</v>
      </c>
      <c r="AS58" s="352">
        <f t="shared" si="13"/>
        <v>62.30405024805799</v>
      </c>
      <c r="AT58" s="352">
        <f t="shared" si="14"/>
        <v>5.2752031350403934</v>
      </c>
      <c r="AU58" s="352">
        <f t="shared" si="14"/>
        <v>57.980315494011542</v>
      </c>
      <c r="AV58" s="352">
        <f t="shared" si="14"/>
        <v>6.72061368393208</v>
      </c>
      <c r="AW58" s="352">
        <f t="shared" si="14"/>
        <v>7.757740277373088E-3</v>
      </c>
      <c r="AX58" s="352">
        <f t="shared" si="15"/>
        <v>69.983890053261391</v>
      </c>
      <c r="AY58" s="352">
        <f>AT58*'Assumptions-Output Override'!$D$24</f>
        <v>1.6071218741536759</v>
      </c>
      <c r="AZ58" s="352">
        <f>$AU$107*'Assumptions-Output Override'!$D$21</f>
        <v>46.041131296780591</v>
      </c>
      <c r="BA58" s="352">
        <f>AV58*'Assumptions-Output Override'!$D$22</f>
        <v>1.008092052589812</v>
      </c>
      <c r="BB58" s="352">
        <f>AW58*'Assumptions-Output Override'!$D$23</f>
        <v>1.1636610416059631E-3</v>
      </c>
      <c r="BC58" s="352">
        <f t="shared" si="16"/>
        <v>48.657508884565686</v>
      </c>
      <c r="BD58" s="352">
        <f t="shared" si="17"/>
        <v>1.6071218741536759</v>
      </c>
      <c r="BE58" s="352">
        <f t="shared" si="17"/>
        <v>101.76413998768214</v>
      </c>
      <c r="BF58" s="352">
        <f t="shared" si="17"/>
        <v>7.5888654388520926</v>
      </c>
      <c r="BG58" s="352">
        <f t="shared" si="17"/>
        <v>1.4318319357571753E-3</v>
      </c>
      <c r="BH58" s="352">
        <f t="shared" si="18"/>
        <v>110.96155913262368</v>
      </c>
      <c r="BJ58" s="401">
        <f>D58*'Assumptions-Output Override'!$D$10/'Winners-Losers HRA'!$H$107</f>
        <v>7.4666989079363164</v>
      </c>
      <c r="BK58" s="401">
        <f>E58*'Assumptions-Output Override'!$D$10/'Winners-Losers HRA'!$H$107</f>
        <v>116.7224382516556</v>
      </c>
      <c r="BL58" s="401">
        <f>F58*'Assumptions-Output Override'!$D$10/'Winners-Losers HRA'!$H$107</f>
        <v>13.377658284563291</v>
      </c>
      <c r="BM58" s="401">
        <f>G58*'Assumptions-Output Override'!$D$10/'Winners-Losers HRA'!$H$107</f>
        <v>7.9074337162054666E-3</v>
      </c>
      <c r="BN58" s="401">
        <f t="shared" si="2"/>
        <v>137.57470287787143</v>
      </c>
      <c r="BO58" s="401">
        <f>BJ58*(1-'Assumptions-Output Override'!$D$11)</f>
        <v>1.0641523043166143</v>
      </c>
      <c r="BP58" s="401">
        <f>BK58*(1-'Assumptions-Output Override'!$D$11)</f>
        <v>16.63525651194136</v>
      </c>
      <c r="BQ58" s="401">
        <f>BL58*(1-'Assumptions-Output Override'!$D$11)</f>
        <v>1.9065809490117571</v>
      </c>
      <c r="BR58" s="401">
        <f>BM58*(1-'Assumptions-Output Override'!$D$11)</f>
        <v>1.12696573332922E-3</v>
      </c>
      <c r="BS58" s="352">
        <f t="shared" si="3"/>
        <v>19.607116731003064</v>
      </c>
      <c r="BT58" s="352">
        <f t="shared" si="19"/>
        <v>6.4025466036197018</v>
      </c>
      <c r="BU58" s="352">
        <f t="shared" si="19"/>
        <v>100.08718173971424</v>
      </c>
      <c r="BV58" s="352">
        <f t="shared" si="19"/>
        <v>11.471077335551534</v>
      </c>
      <c r="BW58" s="352">
        <f t="shared" si="19"/>
        <v>6.7804679828762466E-3</v>
      </c>
      <c r="BX58" s="352">
        <f t="shared" si="4"/>
        <v>117.96758614686834</v>
      </c>
      <c r="BY58" s="352">
        <f>BT$107*(1-'Assumptions-Output Override'!$D$12)</f>
        <v>22.753074310428271</v>
      </c>
      <c r="BZ58" s="352">
        <f>BU$107*(1-'Assumptions-Output Override'!$D$12)</f>
        <v>51.446038369839215</v>
      </c>
      <c r="CA58" s="352">
        <f>BV$107*(1-'Assumptions-Output Override'!$D$12)</f>
        <v>9.7401900534537411</v>
      </c>
      <c r="CB58" s="352">
        <f>BW$107*(1-'Assumptions-Output Override'!$D$12)</f>
        <v>1.7000814189516649</v>
      </c>
      <c r="CC58" s="352">
        <f t="shared" si="5"/>
        <v>85.639384152672903</v>
      </c>
      <c r="CD58" s="352">
        <f t="shared" si="20"/>
        <v>23.817226614744886</v>
      </c>
      <c r="CE58" s="352">
        <f t="shared" si="20"/>
        <v>68.081294881780579</v>
      </c>
      <c r="CF58" s="352">
        <f t="shared" si="20"/>
        <v>11.646771002465499</v>
      </c>
      <c r="CG58" s="352">
        <f t="shared" si="20"/>
        <v>1.7012083846849941</v>
      </c>
      <c r="CH58" s="352">
        <f t="shared" si="6"/>
        <v>105.24650088367595</v>
      </c>
      <c r="CJ58" s="352">
        <f t="shared" si="21"/>
        <v>105.24650088367595</v>
      </c>
      <c r="CK58" s="352">
        <f t="shared" si="22"/>
        <v>62.30405024805799</v>
      </c>
      <c r="CL58" s="352">
        <f t="shared" si="23"/>
        <v>42.942450635617959</v>
      </c>
      <c r="CN58" s="352">
        <f>('HRA Balance Calc'!U70+'HRA Balance Calc'!V70+'HRA Balance Calc'!W70+'HRA Balance Calc'!X70)/12</f>
        <v>-19.344402785972026</v>
      </c>
      <c r="CO58" s="352">
        <f>('HRA Balance Calc'!Q70+IF('HRA Balance Calc'!L70&lt;0,-'HRA Balance Calc'!L70,0))/12</f>
        <v>0</v>
      </c>
      <c r="CP58" s="352">
        <f>('HRA Balance Calc'!N70)/12</f>
        <v>55.723008690901558</v>
      </c>
      <c r="CQ58" s="352">
        <f>('HRA Balance Calc'!O70)/12</f>
        <v>6.5807733862622806</v>
      </c>
      <c r="CR58" s="352">
        <f>('HRA Balance Calc'!P70)/12</f>
        <v>2.6817089415121214E-4</v>
      </c>
      <c r="CS58" s="352">
        <f t="shared" si="7"/>
        <v>62.30405024805799</v>
      </c>
      <c r="CU58" s="577">
        <f t="shared" si="24"/>
        <v>1259.8054432637391</v>
      </c>
      <c r="CV58" s="352">
        <f t="shared" si="25"/>
        <v>104.98378693864493</v>
      </c>
      <c r="CW58" s="352">
        <f t="shared" si="29"/>
        <v>3.3553769525965826</v>
      </c>
      <c r="CX58" s="352">
        <f t="shared" si="29"/>
        <v>52.452601074378734</v>
      </c>
      <c r="CY58" s="352">
        <f t="shared" si="29"/>
        <v>6.0116373836939037</v>
      </c>
      <c r="CZ58" s="352">
        <f t="shared" si="29"/>
        <v>3.5534338765608716E-3</v>
      </c>
      <c r="DA58" s="352">
        <f t="shared" si="9"/>
        <v>61.823168844545783</v>
      </c>
      <c r="DC58" s="352">
        <f>('HRA Balance Calc'!Q70+'HRA Balance Calc'!X70+IF('HRA Balance Calc'!L70&lt;0,-'HRA Balance Calc'!L70,0))/12</f>
        <v>3.6680812608867175</v>
      </c>
      <c r="DD58" s="352">
        <f>('HRA Balance Calc'!N70+'HRA Balance Calc'!U70)/12</f>
        <v>31.701268930411391</v>
      </c>
      <c r="DE58" s="352">
        <f>('HRA Balance Calc'!O70+'HRA Balance Calc'!V70)/12</f>
        <v>7.5888654388520926</v>
      </c>
      <c r="DF58" s="352">
        <f>('HRA Balance Calc'!P70+'HRA Balance Calc'!W70)/12</f>
        <v>1.4318319357571755E-3</v>
      </c>
      <c r="DG58" s="352">
        <f t="shared" si="26"/>
        <v>42.959647462085961</v>
      </c>
      <c r="DI58" s="352">
        <f t="shared" ref="DI58:DM105" si="32">CD58-DC58</f>
        <v>20.149145353858167</v>
      </c>
      <c r="DJ58" s="352">
        <f t="shared" si="32"/>
        <v>36.380025951369191</v>
      </c>
      <c r="DK58" s="352">
        <f t="shared" si="32"/>
        <v>4.0579055636134065</v>
      </c>
      <c r="DL58" s="352">
        <f t="shared" si="32"/>
        <v>1.699776552749237</v>
      </c>
      <c r="DM58" s="352">
        <f t="shared" si="32"/>
        <v>62.286853421589988</v>
      </c>
    </row>
    <row r="59" spans="1:117" x14ac:dyDescent="0.2">
      <c r="A59">
        <v>54</v>
      </c>
      <c r="B59" s="397">
        <v>34308</v>
      </c>
      <c r="C59" s="398">
        <v>397997.79676138877</v>
      </c>
      <c r="D59" s="399">
        <v>4.7727434504205819</v>
      </c>
      <c r="E59" s="399">
        <v>72.399851946658941</v>
      </c>
      <c r="F59" s="399">
        <v>8.2897842211688069</v>
      </c>
      <c r="G59" s="399">
        <v>0</v>
      </c>
      <c r="H59" s="399">
        <v>85.46237961824832</v>
      </c>
      <c r="I59" s="400">
        <v>4.7906039772987784E-3</v>
      </c>
      <c r="J59" s="400">
        <v>3.2643474914061145E-2</v>
      </c>
      <c r="K59" s="400">
        <v>4.2713804293223245E-5</v>
      </c>
      <c r="L59" s="400">
        <v>0.37076049593414867</v>
      </c>
      <c r="M59" s="400">
        <v>0.36135200036357895</v>
      </c>
      <c r="N59" s="400">
        <v>0.25299697842393815</v>
      </c>
      <c r="O59" s="399">
        <f t="shared" si="30"/>
        <v>1.1976509943246947</v>
      </c>
      <c r="P59" s="399">
        <f t="shared" si="30"/>
        <v>0</v>
      </c>
      <c r="Q59" s="399">
        <f t="shared" si="30"/>
        <v>4.2713804293223245E-2</v>
      </c>
      <c r="R59" s="399">
        <f t="shared" si="30"/>
        <v>7.6979020763468267</v>
      </c>
      <c r="S59" s="399">
        <f t="shared" si="30"/>
        <v>10.840560010907369</v>
      </c>
      <c r="T59" s="399">
        <f t="shared" si="30"/>
        <v>15.179818705436288</v>
      </c>
      <c r="U59" s="399">
        <f t="shared" si="10"/>
        <v>34.958645591308404</v>
      </c>
      <c r="V59" s="400">
        <v>2.9052560091431779E-4</v>
      </c>
      <c r="W59" s="400">
        <v>5.0357770825148135E-3</v>
      </c>
      <c r="X59" s="400">
        <v>2.5125767231307792E-6</v>
      </c>
      <c r="Y59" s="400">
        <v>6.3953634269953902E-2</v>
      </c>
      <c r="Z59" s="400">
        <v>2.0831271096132059E-2</v>
      </c>
      <c r="AA59" s="400">
        <v>1.7102808245144211E-2</v>
      </c>
      <c r="AB59" s="352">
        <f t="shared" si="31"/>
        <v>7.2631400228579446E-2</v>
      </c>
      <c r="AC59" s="352">
        <f t="shared" si="31"/>
        <v>0</v>
      </c>
      <c r="AD59" s="352">
        <f t="shared" si="31"/>
        <v>2.5125767231307791E-3</v>
      </c>
      <c r="AE59" s="352">
        <f t="shared" si="31"/>
        <v>2.2670562894176012</v>
      </c>
      <c r="AF59" s="352">
        <f t="shared" si="31"/>
        <v>0.62493813288396183</v>
      </c>
      <c r="AG59" s="352">
        <f t="shared" si="31"/>
        <v>1.0261684947086527</v>
      </c>
      <c r="AH59" s="400">
        <f t="shared" si="11"/>
        <v>3.9933068939619263</v>
      </c>
      <c r="AJ59" s="352">
        <f>D59*('Assumptions-Output Override'!$D$10/'Winners-Losers HRA'!$H$107)*(1+'Assumptions-Output Override'!$F$41)</f>
        <v>5.6968038333537514</v>
      </c>
      <c r="AK59" s="352">
        <f>E59*('Assumptions-Output Override'!$D$10/'Winners-Losers HRA'!$H$107)*(1+'Assumptions-Output Override'!$F$37)</f>
        <v>119.15413394524901</v>
      </c>
      <c r="AL59" s="352">
        <f>F59*('Assumptions-Output Override'!$D$10/'Winners-Losers HRA'!$H$107)*(1+'Assumptions-Output Override'!$F$38)</f>
        <v>13.925560526502702</v>
      </c>
      <c r="AM59" s="352">
        <f>G59*('Shoppable Detail'!$X$21/'Shoppable Detail'!$H$21)*('Assumptions-Output Override'!$D$10/'Winners-Losers HRA'!$H$107)*(1+'Assumptions-Output Override'!$F$39)</f>
        <v>0</v>
      </c>
      <c r="AN59" s="352">
        <f t="shared" si="12"/>
        <v>138.77649830510546</v>
      </c>
      <c r="AO59" s="352">
        <v>0</v>
      </c>
      <c r="AP59" s="352">
        <f>U59*'Assumptions-Output Override'!$D$10/'Winners-Losers HRA'!$H$107*(1+'Assumptions-Output Override'!$F$37)</f>
        <v>57.534194163824878</v>
      </c>
      <c r="AQ59" s="352">
        <f>AH59*'Assumptions-Output Override'!$D$10/'Winners-Losers HRA'!$H$107*(1+'Assumptions-Output Override'!$F$38)</f>
        <v>6.708140449634862</v>
      </c>
      <c r="AR59" s="352">
        <f>AM59*('Shoppable Detail'!$AA$23/'Shoppable Detail'!$Y$23)</f>
        <v>0</v>
      </c>
      <c r="AS59" s="352">
        <f t="shared" si="13"/>
        <v>64.242334613459747</v>
      </c>
      <c r="AT59" s="352">
        <f t="shared" si="14"/>
        <v>5.6968038333537514</v>
      </c>
      <c r="AU59" s="352">
        <f t="shared" si="14"/>
        <v>61.619939781424137</v>
      </c>
      <c r="AV59" s="352">
        <f t="shared" si="14"/>
        <v>7.2174200768678398</v>
      </c>
      <c r="AW59" s="352">
        <f t="shared" si="14"/>
        <v>0</v>
      </c>
      <c r="AX59" s="352">
        <f t="shared" si="15"/>
        <v>74.53416369164573</v>
      </c>
      <c r="AY59" s="352">
        <f>AT59*'Assumptions-Output Override'!$D$24</f>
        <v>1.7355650235590825</v>
      </c>
      <c r="AZ59" s="352">
        <f>$AU$107*'Assumptions-Output Override'!$D$21</f>
        <v>46.041131296780591</v>
      </c>
      <c r="BA59" s="352">
        <f>AV59*'Assumptions-Output Override'!$D$22</f>
        <v>1.082613011530176</v>
      </c>
      <c r="BB59" s="352">
        <f>AW59*'Assumptions-Output Override'!$D$23</f>
        <v>0</v>
      </c>
      <c r="BC59" s="352">
        <f t="shared" si="16"/>
        <v>48.859309331869852</v>
      </c>
      <c r="BD59" s="352">
        <f t="shared" si="17"/>
        <v>1.7355650235590825</v>
      </c>
      <c r="BE59" s="352">
        <f t="shared" si="17"/>
        <v>103.57532546060547</v>
      </c>
      <c r="BF59" s="352">
        <f t="shared" si="17"/>
        <v>7.7907534611650382</v>
      </c>
      <c r="BG59" s="352">
        <f t="shared" si="17"/>
        <v>0</v>
      </c>
      <c r="BH59" s="352">
        <f t="shared" si="18"/>
        <v>113.10164394532958</v>
      </c>
      <c r="BJ59" s="401">
        <f>D59*'Assumptions-Output Override'!$D$10/'Winners-Losers HRA'!$H$107</f>
        <v>8.0634466336819397</v>
      </c>
      <c r="BK59" s="401">
        <f>E59*'Assumptions-Output Override'!$D$10/'Winners-Losers HRA'!$H$107</f>
        <v>122.3179809522159</v>
      </c>
      <c r="BL59" s="401">
        <f>F59*'Assumptions-Output Override'!$D$10/'Winners-Losers HRA'!$H$107</f>
        <v>14.005410801253703</v>
      </c>
      <c r="BM59" s="401">
        <f>G59*'Assumptions-Output Override'!$D$10/'Winners-Losers HRA'!$H$107</f>
        <v>0</v>
      </c>
      <c r="BN59" s="401">
        <f t="shared" si="2"/>
        <v>144.38683838715156</v>
      </c>
      <c r="BO59" s="401">
        <f>BJ59*(1-'Assumptions-Output Override'!$D$11)</f>
        <v>1.1492006603944165</v>
      </c>
      <c r="BP59" s="401">
        <f>BK59*(1-'Assumptions-Output Override'!$D$11)</f>
        <v>17.432732040568105</v>
      </c>
      <c r="BQ59" s="401">
        <f>BL59*(1-'Assumptions-Output Override'!$D$11)</f>
        <v>1.9960481011513214</v>
      </c>
      <c r="BR59" s="401">
        <f>BM59*(1-'Assumptions-Output Override'!$D$11)</f>
        <v>0</v>
      </c>
      <c r="BS59" s="352">
        <f t="shared" si="3"/>
        <v>20.577980802113842</v>
      </c>
      <c r="BT59" s="352">
        <f t="shared" si="19"/>
        <v>6.9142459732875228</v>
      </c>
      <c r="BU59" s="352">
        <f t="shared" si="19"/>
        <v>104.88524891164781</v>
      </c>
      <c r="BV59" s="352">
        <f t="shared" si="19"/>
        <v>12.009362700102381</v>
      </c>
      <c r="BW59" s="352">
        <f t="shared" si="19"/>
        <v>0</v>
      </c>
      <c r="BX59" s="352">
        <f t="shared" si="4"/>
        <v>123.80885758503771</v>
      </c>
      <c r="BY59" s="352">
        <f>BT$107*(1-'Assumptions-Output Override'!$D$12)</f>
        <v>22.753074310428271</v>
      </c>
      <c r="BZ59" s="352">
        <f>BU$107*(1-'Assumptions-Output Override'!$D$12)</f>
        <v>51.446038369839215</v>
      </c>
      <c r="CA59" s="352">
        <f>BV$107*(1-'Assumptions-Output Override'!$D$12)</f>
        <v>9.7401900534537411</v>
      </c>
      <c r="CB59" s="352">
        <f>BW$107*(1-'Assumptions-Output Override'!$D$12)</f>
        <v>1.7000814189516649</v>
      </c>
      <c r="CC59" s="352">
        <f t="shared" si="5"/>
        <v>85.639384152672903</v>
      </c>
      <c r="CD59" s="352">
        <f t="shared" si="20"/>
        <v>23.902274970822688</v>
      </c>
      <c r="CE59" s="352">
        <f t="shared" si="20"/>
        <v>68.878770410407327</v>
      </c>
      <c r="CF59" s="352">
        <f t="shared" si="20"/>
        <v>11.736238154605063</v>
      </c>
      <c r="CG59" s="352">
        <f t="shared" si="20"/>
        <v>1.7000814189516649</v>
      </c>
      <c r="CH59" s="352">
        <f t="shared" si="6"/>
        <v>106.21736495478675</v>
      </c>
      <c r="CJ59" s="352">
        <f t="shared" si="21"/>
        <v>106.21736495478675</v>
      </c>
      <c r="CK59" s="352">
        <f t="shared" si="22"/>
        <v>64.242334613459747</v>
      </c>
      <c r="CL59" s="352">
        <f t="shared" si="23"/>
        <v>41.975030341326999</v>
      </c>
      <c r="CN59" s="352">
        <f>('HRA Balance Calc'!U71+'HRA Balance Calc'!V71+'HRA Balance Calc'!W71+'HRA Balance Calc'!X71)/12</f>
        <v>-18.977887939165317</v>
      </c>
      <c r="CO59" s="352">
        <f>('HRA Balance Calc'!Q71+IF('HRA Balance Calc'!L71&lt;0,-'HRA Balance Calc'!L71,0))/12</f>
        <v>0</v>
      </c>
      <c r="CP59" s="352">
        <f>('HRA Balance Calc'!N71)/12</f>
        <v>57.534194163824878</v>
      </c>
      <c r="CQ59" s="352">
        <f>('HRA Balance Calc'!O71)/12</f>
        <v>6.708140449634862</v>
      </c>
      <c r="CR59" s="352">
        <f>('HRA Balance Calc'!P71)/12</f>
        <v>0</v>
      </c>
      <c r="CS59" s="352">
        <f t="shared" si="7"/>
        <v>64.242334613459747</v>
      </c>
      <c r="CU59" s="577">
        <f t="shared" si="24"/>
        <v>1255.4072651020585</v>
      </c>
      <c r="CV59" s="352">
        <f t="shared" si="25"/>
        <v>104.61727209183822</v>
      </c>
      <c r="CW59" s="352">
        <f t="shared" si="29"/>
        <v>3.6235427900261654</v>
      </c>
      <c r="CX59" s="352">
        <f t="shared" si="29"/>
        <v>54.967119906090836</v>
      </c>
      <c r="CY59" s="352">
        <f t="shared" si="29"/>
        <v>6.2937361200174857</v>
      </c>
      <c r="CZ59" s="352">
        <f t="shared" si="29"/>
        <v>0</v>
      </c>
      <c r="DA59" s="352">
        <f t="shared" si="9"/>
        <v>64.884398816134492</v>
      </c>
      <c r="DC59" s="352">
        <f>('HRA Balance Calc'!Q71+'HRA Balance Calc'!X71+IF('HRA Balance Calc'!L71&lt;0,-'HRA Balance Calc'!L71,0))/12</f>
        <v>3.9612388097946685</v>
      </c>
      <c r="DD59" s="352">
        <f>('HRA Balance Calc'!N71+'HRA Balance Calc'!U71)/12</f>
        <v>33.512454403334715</v>
      </c>
      <c r="DE59" s="352">
        <f>('HRA Balance Calc'!O71+'HRA Balance Calc'!V71)/12</f>
        <v>7.7907534611650391</v>
      </c>
      <c r="DF59" s="352">
        <f>('HRA Balance Calc'!P71+'HRA Balance Calc'!W71)/12</f>
        <v>0</v>
      </c>
      <c r="DG59" s="352">
        <f t="shared" si="26"/>
        <v>45.264446674294419</v>
      </c>
      <c r="DI59" s="352">
        <f t="shared" si="32"/>
        <v>19.94103616102802</v>
      </c>
      <c r="DJ59" s="352">
        <f t="shared" si="32"/>
        <v>35.366316007072612</v>
      </c>
      <c r="DK59" s="352">
        <f t="shared" si="32"/>
        <v>3.9454846934400241</v>
      </c>
      <c r="DL59" s="352">
        <f t="shared" si="32"/>
        <v>1.7000814189516649</v>
      </c>
      <c r="DM59" s="352">
        <f t="shared" si="32"/>
        <v>60.952918280492327</v>
      </c>
    </row>
    <row r="60" spans="1:117" x14ac:dyDescent="0.2">
      <c r="A60">
        <v>55</v>
      </c>
      <c r="B60" s="397">
        <v>34308</v>
      </c>
      <c r="C60" s="398">
        <v>397997.79676138877</v>
      </c>
      <c r="D60" s="399">
        <v>5.4106293458377035</v>
      </c>
      <c r="E60" s="399">
        <v>75.784847685671778</v>
      </c>
      <c r="F60" s="399">
        <v>8.4725763070058449</v>
      </c>
      <c r="G60" s="399">
        <v>7.8491753480930994E-3</v>
      </c>
      <c r="H60" s="399">
        <v>89.675902513863434</v>
      </c>
      <c r="I60" s="400">
        <v>5.1973062941215366E-3</v>
      </c>
      <c r="J60" s="400">
        <v>3.5184740617643102E-2</v>
      </c>
      <c r="K60" s="400">
        <v>3.517607412383091E-5</v>
      </c>
      <c r="L60" s="400">
        <v>0.38186165473898459</v>
      </c>
      <c r="M60" s="400">
        <v>0.36652755665248216</v>
      </c>
      <c r="N60" s="400">
        <v>0.25576965708945243</v>
      </c>
      <c r="O60" s="399">
        <f t="shared" si="30"/>
        <v>1.2993265735303841</v>
      </c>
      <c r="P60" s="399">
        <f t="shared" si="30"/>
        <v>0</v>
      </c>
      <c r="Q60" s="399">
        <f t="shared" si="30"/>
        <v>3.5176074123830912E-2</v>
      </c>
      <c r="R60" s="399">
        <f t="shared" si="30"/>
        <v>7.9283895051606565</v>
      </c>
      <c r="S60" s="399">
        <f t="shared" si="30"/>
        <v>10.995826699574465</v>
      </c>
      <c r="T60" s="399">
        <f t="shared" si="30"/>
        <v>15.346179425367145</v>
      </c>
      <c r="U60" s="399">
        <f t="shared" si="10"/>
        <v>35.604898277756483</v>
      </c>
      <c r="V60" s="400">
        <v>2.9673341289966469E-4</v>
      </c>
      <c r="W60" s="400">
        <v>5.0556420808679069E-3</v>
      </c>
      <c r="X60" s="400">
        <v>2.5125767231307792E-6</v>
      </c>
      <c r="Y60" s="400">
        <v>6.4367840322622411E-2</v>
      </c>
      <c r="Z60" s="400">
        <v>2.096966382204208E-2</v>
      </c>
      <c r="AA60" s="400">
        <v>1.7670851590709566E-2</v>
      </c>
      <c r="AB60" s="352">
        <f t="shared" si="31"/>
        <v>7.4183353224916176E-2</v>
      </c>
      <c r="AC60" s="352">
        <f t="shared" si="31"/>
        <v>0</v>
      </c>
      <c r="AD60" s="352">
        <f t="shared" si="31"/>
        <v>2.5125767231307791E-3</v>
      </c>
      <c r="AE60" s="352">
        <f t="shared" si="31"/>
        <v>2.2817392460241526</v>
      </c>
      <c r="AF60" s="352">
        <f t="shared" si="31"/>
        <v>0.62908991466126241</v>
      </c>
      <c r="AG60" s="352">
        <f t="shared" si="31"/>
        <v>1.0602510954425739</v>
      </c>
      <c r="AH60" s="400">
        <f t="shared" si="11"/>
        <v>4.0477761860760353</v>
      </c>
      <c r="AJ60" s="352">
        <f>D60*('Assumptions-Output Override'!$D$10/'Winners-Losers HRA'!$H$107)*(1+'Assumptions-Output Override'!$F$41)</f>
        <v>6.4581920898154133</v>
      </c>
      <c r="AK60" s="352">
        <f>E60*('Assumptions-Output Override'!$D$10/'Winners-Losers HRA'!$H$107)*(1+'Assumptions-Output Override'!$F$37)</f>
        <v>124.72508781940326</v>
      </c>
      <c r="AL60" s="352">
        <f>F60*('Assumptions-Output Override'!$D$10/'Winners-Losers HRA'!$H$107)*(1+'Assumptions-Output Override'!$F$38)</f>
        <v>14.232623073268298</v>
      </c>
      <c r="AM60" s="352">
        <f>G60*('Shoppable Detail'!$X$21/'Shoppable Detail'!$H$21)*('Assumptions-Output Override'!$D$10/'Winners-Losers HRA'!$H$107)*(1+'Assumptions-Output Override'!$F$39)</f>
        <v>1.3459702026381649E-2</v>
      </c>
      <c r="AN60" s="352">
        <f t="shared" si="12"/>
        <v>145.42936268451334</v>
      </c>
      <c r="AO60" s="352">
        <v>0</v>
      </c>
      <c r="AP60" s="352">
        <f>U60*'Assumptions-Output Override'!$D$10/'Winners-Losers HRA'!$H$107*(1+'Assumptions-Output Override'!$F$37)</f>
        <v>58.597783067573523</v>
      </c>
      <c r="AQ60" s="352">
        <f>AH60*'Assumptions-Output Override'!$D$10/'Winners-Losers HRA'!$H$107*(1+'Assumptions-Output Override'!$F$38)</f>
        <v>6.7996404698927888</v>
      </c>
      <c r="AR60" s="352">
        <f>AM60*('Shoppable Detail'!$AA$23/'Shoppable Detail'!$Y$23)</f>
        <v>4.4973090908731353E-4</v>
      </c>
      <c r="AS60" s="352">
        <f t="shared" si="13"/>
        <v>65.397873268375392</v>
      </c>
      <c r="AT60" s="352">
        <f t="shared" si="14"/>
        <v>6.4581920898154133</v>
      </c>
      <c r="AU60" s="352">
        <f t="shared" si="14"/>
        <v>66.12730475182974</v>
      </c>
      <c r="AV60" s="352">
        <f t="shared" si="14"/>
        <v>7.4329826033755095</v>
      </c>
      <c r="AW60" s="352">
        <f t="shared" si="14"/>
        <v>1.3009971117294336E-2</v>
      </c>
      <c r="AX60" s="352">
        <f t="shared" si="15"/>
        <v>80.031489416137958</v>
      </c>
      <c r="AY60" s="352">
        <f>AT60*'Assumptions-Output Override'!$D$24</f>
        <v>1.9675264647318869</v>
      </c>
      <c r="AZ60" s="352">
        <f>$AU$107*'Assumptions-Output Override'!$D$21</f>
        <v>46.041131296780591</v>
      </c>
      <c r="BA60" s="352">
        <f>AV60*'Assumptions-Output Override'!$D$22</f>
        <v>1.1149473905063263</v>
      </c>
      <c r="BB60" s="352">
        <f>AW60*'Assumptions-Output Override'!$D$23</f>
        <v>1.9514956675941502E-3</v>
      </c>
      <c r="BC60" s="352">
        <f t="shared" si="16"/>
        <v>49.125556647686402</v>
      </c>
      <c r="BD60" s="352">
        <f t="shared" si="17"/>
        <v>1.9675264647318869</v>
      </c>
      <c r="BE60" s="352">
        <f t="shared" si="17"/>
        <v>104.63891436435412</v>
      </c>
      <c r="BF60" s="352">
        <f t="shared" si="17"/>
        <v>7.9145878603991147</v>
      </c>
      <c r="BG60" s="352">
        <f t="shared" si="17"/>
        <v>2.4012265766814637E-3</v>
      </c>
      <c r="BH60" s="352">
        <f t="shared" si="18"/>
        <v>114.5234299160618</v>
      </c>
      <c r="BJ60" s="401">
        <f>D60*'Assumptions-Output Override'!$D$10/'Winners-Losers HRA'!$H$107</f>
        <v>9.1411410309412613</v>
      </c>
      <c r="BK60" s="401">
        <f>E60*'Assumptions-Output Override'!$D$10/'Winners-Losers HRA'!$H$107</f>
        <v>128.03685790009911</v>
      </c>
      <c r="BL60" s="401">
        <f>F60*'Assumptions-Output Override'!$D$10/'Winners-Losers HRA'!$H$107</f>
        <v>14.314234069153526</v>
      </c>
      <c r="BM60" s="401">
        <f>G60*'Assumptions-Output Override'!$D$10/'Winners-Losers HRA'!$H$107</f>
        <v>1.3261011658228399E-2</v>
      </c>
      <c r="BN60" s="401">
        <f t="shared" si="2"/>
        <v>151.50549401185211</v>
      </c>
      <c r="BO60" s="401">
        <f>BJ60*(1-'Assumptions-Output Override'!$D$11)</f>
        <v>1.302793431488166</v>
      </c>
      <c r="BP60" s="401">
        <f>BK60*(1-'Assumptions-Output Override'!$D$11)</f>
        <v>18.247785139297527</v>
      </c>
      <c r="BQ60" s="401">
        <f>BL60*(1-'Assumptions-Output Override'!$D$11)</f>
        <v>2.0400615261218769</v>
      </c>
      <c r="BR60" s="401">
        <f>BM60*(1-'Assumptions-Output Override'!$D$11)</f>
        <v>1.8899564971977035E-3</v>
      </c>
      <c r="BS60" s="352">
        <f t="shared" si="3"/>
        <v>21.592530053404769</v>
      </c>
      <c r="BT60" s="352">
        <f t="shared" si="19"/>
        <v>7.8383475994530958</v>
      </c>
      <c r="BU60" s="352">
        <f t="shared" si="19"/>
        <v>109.78907276080159</v>
      </c>
      <c r="BV60" s="352">
        <f t="shared" si="19"/>
        <v>12.27417254303165</v>
      </c>
      <c r="BW60" s="352">
        <f t="shared" si="19"/>
        <v>1.1371055161030695E-2</v>
      </c>
      <c r="BX60" s="352">
        <f t="shared" si="4"/>
        <v>129.91296395844736</v>
      </c>
      <c r="BY60" s="352">
        <f>BT$107*(1-'Assumptions-Output Override'!$D$12)</f>
        <v>22.753074310428271</v>
      </c>
      <c r="BZ60" s="352">
        <f>BU$107*(1-'Assumptions-Output Override'!$D$12)</f>
        <v>51.446038369839215</v>
      </c>
      <c r="CA60" s="352">
        <f>BV$107*(1-'Assumptions-Output Override'!$D$12)</f>
        <v>9.7401900534537411</v>
      </c>
      <c r="CB60" s="352">
        <f>BW$107*(1-'Assumptions-Output Override'!$D$12)</f>
        <v>1.7000814189516649</v>
      </c>
      <c r="CC60" s="352">
        <f t="shared" si="5"/>
        <v>85.639384152672903</v>
      </c>
      <c r="CD60" s="352">
        <f t="shared" si="20"/>
        <v>24.055867741916437</v>
      </c>
      <c r="CE60" s="352">
        <f t="shared" si="20"/>
        <v>69.693823509136735</v>
      </c>
      <c r="CF60" s="352">
        <f t="shared" si="20"/>
        <v>11.780251579575618</v>
      </c>
      <c r="CG60" s="352">
        <f t="shared" si="20"/>
        <v>1.7019713754488626</v>
      </c>
      <c r="CH60" s="352">
        <f t="shared" si="6"/>
        <v>107.23191420607766</v>
      </c>
      <c r="CJ60" s="352">
        <f t="shared" si="21"/>
        <v>107.23191420607766</v>
      </c>
      <c r="CK60" s="352">
        <f t="shared" si="22"/>
        <v>65.397873268375392</v>
      </c>
      <c r="CL60" s="352">
        <f t="shared" si="23"/>
        <v>41.83404093770227</v>
      </c>
      <c r="CN60" s="352">
        <f>('HRA Balance Calc'!U72+'HRA Balance Calc'!V72+'HRA Balance Calc'!W72+'HRA Balance Calc'!X72)/12</f>
        <v>-18.414175249232716</v>
      </c>
      <c r="CO60" s="352">
        <f>('HRA Balance Calc'!Q72+IF('HRA Balance Calc'!L72&lt;0,-'HRA Balance Calc'!L72,0))/12</f>
        <v>0</v>
      </c>
      <c r="CP60" s="352">
        <f>('HRA Balance Calc'!N72)/12</f>
        <v>58.597783067573523</v>
      </c>
      <c r="CQ60" s="352">
        <f>('HRA Balance Calc'!O72)/12</f>
        <v>6.7996404698927888</v>
      </c>
      <c r="CR60" s="352">
        <f>('HRA Balance Calc'!P72)/12</f>
        <v>4.4973090908731358E-4</v>
      </c>
      <c r="CS60" s="352">
        <f t="shared" si="7"/>
        <v>65.397873268375392</v>
      </c>
      <c r="CU60" s="577">
        <f t="shared" si="24"/>
        <v>1248.6427128228675</v>
      </c>
      <c r="CV60" s="352">
        <f t="shared" si="25"/>
        <v>104.05355940190562</v>
      </c>
      <c r="CW60" s="352">
        <f t="shared" si="29"/>
        <v>4.107835914349538</v>
      </c>
      <c r="CX60" s="352">
        <f t="shared" si="29"/>
        <v>57.537062546374251</v>
      </c>
      <c r="CY60" s="352">
        <f t="shared" si="29"/>
        <v>6.4325147808839684</v>
      </c>
      <c r="CZ60" s="352">
        <f t="shared" si="29"/>
        <v>5.9592188508953963E-3</v>
      </c>
      <c r="DA60" s="352">
        <f t="shared" si="9"/>
        <v>68.083372460458648</v>
      </c>
      <c r="DC60" s="352">
        <f>('HRA Balance Calc'!Q72+'HRA Balance Calc'!X72+IF('HRA Balance Calc'!L72&lt;0,-'HRA Balance Calc'!L72,0))/12</f>
        <v>4.4906656250835262</v>
      </c>
      <c r="DD60" s="352">
        <f>('HRA Balance Calc'!N72+'HRA Balance Calc'!U72)/12</f>
        <v>34.57604330708336</v>
      </c>
      <c r="DE60" s="352">
        <f>('HRA Balance Calc'!O72+'HRA Balance Calc'!V72)/12</f>
        <v>7.9145878603991155</v>
      </c>
      <c r="DF60" s="352">
        <f>('HRA Balance Calc'!P72+'HRA Balance Calc'!W72)/12</f>
        <v>2.4012265766814645E-3</v>
      </c>
      <c r="DG60" s="352">
        <f t="shared" si="26"/>
        <v>46.983698019142686</v>
      </c>
      <c r="DI60" s="352">
        <f t="shared" si="32"/>
        <v>19.565202116832911</v>
      </c>
      <c r="DJ60" s="352">
        <f t="shared" si="32"/>
        <v>35.117780202053375</v>
      </c>
      <c r="DK60" s="352">
        <f t="shared" si="32"/>
        <v>3.865663719176502</v>
      </c>
      <c r="DL60" s="352">
        <f t="shared" si="32"/>
        <v>1.6995701488721811</v>
      </c>
      <c r="DM60" s="352">
        <f t="shared" si="32"/>
        <v>60.248216186934975</v>
      </c>
    </row>
    <row r="61" spans="1:117" x14ac:dyDescent="0.2">
      <c r="A61">
        <v>56</v>
      </c>
      <c r="B61" s="397">
        <v>34308</v>
      </c>
      <c r="C61" s="398">
        <v>397997.79676138877</v>
      </c>
      <c r="D61" s="399">
        <v>6.0340641898455916</v>
      </c>
      <c r="E61" s="399">
        <v>78.870265060373256</v>
      </c>
      <c r="F61" s="399">
        <v>9.1048570103678763</v>
      </c>
      <c r="G61" s="399">
        <v>2.7032055734708882E-3</v>
      </c>
      <c r="H61" s="399">
        <v>94.011889466160198</v>
      </c>
      <c r="I61" s="400">
        <v>5.9508283780508832E-3</v>
      </c>
      <c r="J61" s="400">
        <v>3.5485400919343574E-2</v>
      </c>
      <c r="K61" s="400">
        <v>5.025153446261558E-5</v>
      </c>
      <c r="L61" s="400">
        <v>0.38717882118799568</v>
      </c>
      <c r="M61" s="400">
        <v>0.37207291398350578</v>
      </c>
      <c r="N61" s="400">
        <v>0.26553538954231126</v>
      </c>
      <c r="O61" s="399">
        <f t="shared" si="30"/>
        <v>1.4877070945127209</v>
      </c>
      <c r="P61" s="399">
        <f t="shared" si="30"/>
        <v>0</v>
      </c>
      <c r="Q61" s="399">
        <f t="shared" si="30"/>
        <v>5.0251534462615578E-2</v>
      </c>
      <c r="R61" s="399">
        <f t="shared" si="30"/>
        <v>8.0387869911306673</v>
      </c>
      <c r="S61" s="399">
        <f t="shared" si="30"/>
        <v>11.162187419505173</v>
      </c>
      <c r="T61" s="399">
        <f t="shared" si="30"/>
        <v>15.932123372538676</v>
      </c>
      <c r="U61" s="399">
        <f t="shared" si="10"/>
        <v>36.671056412149852</v>
      </c>
      <c r="V61" s="400">
        <v>4.1219871582715126E-4</v>
      </c>
      <c r="W61" s="400">
        <v>5.6975298401529453E-3</v>
      </c>
      <c r="X61" s="400">
        <v>0</v>
      </c>
      <c r="Y61" s="400">
        <v>6.7380447740173127E-2</v>
      </c>
      <c r="Z61" s="400">
        <v>2.2254093042906556E-2</v>
      </c>
      <c r="AA61" s="400">
        <v>1.7898792551032067E-2</v>
      </c>
      <c r="AB61" s="352">
        <f t="shared" si="31"/>
        <v>0.10304967895678781</v>
      </c>
      <c r="AC61" s="352">
        <f t="shared" si="31"/>
        <v>0</v>
      </c>
      <c r="AD61" s="352">
        <f t="shared" si="31"/>
        <v>0</v>
      </c>
      <c r="AE61" s="352">
        <f t="shared" si="31"/>
        <v>2.3885314662234847</v>
      </c>
      <c r="AF61" s="352">
        <f t="shared" si="31"/>
        <v>0.6676227912871967</v>
      </c>
      <c r="AG61" s="352">
        <f t="shared" si="31"/>
        <v>1.0739275530619241</v>
      </c>
      <c r="AH61" s="400">
        <f t="shared" si="11"/>
        <v>4.2331314895293932</v>
      </c>
      <c r="AJ61" s="352">
        <f>D61*('Assumptions-Output Override'!$D$10/'Winners-Losers HRA'!$H$107)*(1+'Assumptions-Output Override'!$F$41)</f>
        <v>7.2023313979689805</v>
      </c>
      <c r="AK61" s="352">
        <f>E61*('Assumptions-Output Override'!$D$10/'Winners-Losers HRA'!$H$107)*(1+'Assumptions-Output Override'!$F$37)</f>
        <v>129.80300200371732</v>
      </c>
      <c r="AL61" s="352">
        <f>F61*('Assumptions-Output Override'!$D$10/'Winners-Losers HRA'!$H$107)*(1+'Assumptions-Output Override'!$F$38)</f>
        <v>15.294757257885982</v>
      </c>
      <c r="AM61" s="352">
        <f>G61*('Shoppable Detail'!$X$21/'Shoppable Detail'!$H$21)*('Assumptions-Output Override'!$D$10/'Winners-Losers HRA'!$H$107)*(1+'Assumptions-Output Override'!$F$39)</f>
        <v>4.635434924232084E-3</v>
      </c>
      <c r="AN61" s="352">
        <f t="shared" si="12"/>
        <v>152.30472609449652</v>
      </c>
      <c r="AO61" s="352">
        <v>0</v>
      </c>
      <c r="AP61" s="352">
        <f>U61*'Assumptions-Output Override'!$D$10/'Winners-Losers HRA'!$H$107*(1+'Assumptions-Output Override'!$F$37)</f>
        <v>60.352443411988595</v>
      </c>
      <c r="AQ61" s="352">
        <f>AH61*'Assumptions-Output Override'!$D$10/'Winners-Losers HRA'!$H$107*(1+'Assumptions-Output Override'!$F$38)</f>
        <v>7.1110088274136896</v>
      </c>
      <c r="AR61" s="352">
        <f>AM61*('Shoppable Detail'!$AA$23/'Shoppable Detail'!$Y$23)</f>
        <v>1.5488443640162839E-4</v>
      </c>
      <c r="AS61" s="352">
        <f t="shared" si="13"/>
        <v>67.463607123838685</v>
      </c>
      <c r="AT61" s="352">
        <f t="shared" si="14"/>
        <v>7.2023313979689805</v>
      </c>
      <c r="AU61" s="352">
        <f t="shared" si="14"/>
        <v>69.450558591728736</v>
      </c>
      <c r="AV61" s="352">
        <f t="shared" si="14"/>
        <v>8.1837484304722921</v>
      </c>
      <c r="AW61" s="352">
        <f t="shared" si="14"/>
        <v>4.4805504878304555E-3</v>
      </c>
      <c r="AX61" s="352">
        <f t="shared" si="15"/>
        <v>84.841118970657831</v>
      </c>
      <c r="AY61" s="352">
        <f>AT61*'Assumptions-Output Override'!$D$24</f>
        <v>2.1942329116566124</v>
      </c>
      <c r="AZ61" s="352">
        <f>$AU$107*'Assumptions-Output Override'!$D$21</f>
        <v>46.041131296780591</v>
      </c>
      <c r="BA61" s="352">
        <f>AV61*'Assumptions-Output Override'!$D$22</f>
        <v>1.2275622645708437</v>
      </c>
      <c r="BB61" s="352">
        <f>AW61*'Assumptions-Output Override'!$D$23</f>
        <v>6.7208257317456831E-4</v>
      </c>
      <c r="BC61" s="352">
        <f t="shared" si="16"/>
        <v>49.463598555581221</v>
      </c>
      <c r="BD61" s="352">
        <f t="shared" si="17"/>
        <v>2.1942329116566124</v>
      </c>
      <c r="BE61" s="352">
        <f t="shared" si="17"/>
        <v>106.39357470876919</v>
      </c>
      <c r="BF61" s="352">
        <f t="shared" si="17"/>
        <v>8.3385710919845337</v>
      </c>
      <c r="BG61" s="352">
        <f t="shared" si="17"/>
        <v>8.2696700957619667E-4</v>
      </c>
      <c r="BH61" s="352">
        <f t="shared" si="18"/>
        <v>116.92720567941991</v>
      </c>
      <c r="BJ61" s="401">
        <f>D61*'Assumptions-Output Override'!$D$10/'Winners-Losers HRA'!$H$107</f>
        <v>10.194420690000337</v>
      </c>
      <c r="BK61" s="401">
        <f>E61*'Assumptions-Output Override'!$D$10/'Winners-Losers HRA'!$H$107</f>
        <v>133.24960369336983</v>
      </c>
      <c r="BL61" s="401">
        <f>F61*'Assumptions-Output Override'!$D$10/'Winners-Losers HRA'!$H$107</f>
        <v>15.382458615900815</v>
      </c>
      <c r="BM61" s="401">
        <f>G61*'Assumptions-Output Override'!$D$10/'Winners-Losers HRA'!$H$107</f>
        <v>4.5670072376576805E-3</v>
      </c>
      <c r="BN61" s="401">
        <f t="shared" si="2"/>
        <v>158.83105000650863</v>
      </c>
      <c r="BO61" s="401">
        <f>BJ61*(1-'Assumptions-Output Override'!$D$11)</f>
        <v>1.4529066194039379</v>
      </c>
      <c r="BP61" s="401">
        <f>BK61*(1-'Assumptions-Output Override'!$D$11)</f>
        <v>18.990704535957505</v>
      </c>
      <c r="BQ61" s="401">
        <f>BL61*(1-'Assumptions-Output Override'!$D$11)</f>
        <v>2.1923046561803887</v>
      </c>
      <c r="BR61" s="401">
        <f>BM61*(1-'Assumptions-Output Override'!$D$11)</f>
        <v>6.508888781652112E-4</v>
      </c>
      <c r="BS61" s="352">
        <f t="shared" si="3"/>
        <v>22.636566700419998</v>
      </c>
      <c r="BT61" s="352">
        <f t="shared" si="19"/>
        <v>8.7415140705963985</v>
      </c>
      <c r="BU61" s="352">
        <f t="shared" si="19"/>
        <v>114.25889915741233</v>
      </c>
      <c r="BV61" s="352">
        <f t="shared" si="19"/>
        <v>13.190153959720426</v>
      </c>
      <c r="BW61" s="352">
        <f t="shared" si="19"/>
        <v>3.9161183594924693E-3</v>
      </c>
      <c r="BX61" s="352">
        <f t="shared" si="4"/>
        <v>136.19448330608864</v>
      </c>
      <c r="BY61" s="352">
        <f>BT$107*(1-'Assumptions-Output Override'!$D$12)</f>
        <v>22.753074310428271</v>
      </c>
      <c r="BZ61" s="352">
        <f>BU$107*(1-'Assumptions-Output Override'!$D$12)</f>
        <v>51.446038369839215</v>
      </c>
      <c r="CA61" s="352">
        <f>BV$107*(1-'Assumptions-Output Override'!$D$12)</f>
        <v>9.7401900534537411</v>
      </c>
      <c r="CB61" s="352">
        <f>BW$107*(1-'Assumptions-Output Override'!$D$12)</f>
        <v>1.7000814189516649</v>
      </c>
      <c r="CC61" s="352">
        <f t="shared" si="5"/>
        <v>85.639384152672903</v>
      </c>
      <c r="CD61" s="352">
        <f t="shared" si="20"/>
        <v>24.205980929832208</v>
      </c>
      <c r="CE61" s="352">
        <f t="shared" si="20"/>
        <v>70.43674290579672</v>
      </c>
      <c r="CF61" s="352">
        <f t="shared" si="20"/>
        <v>11.932494709634129</v>
      </c>
      <c r="CG61" s="352">
        <f t="shared" si="20"/>
        <v>1.70073230782983</v>
      </c>
      <c r="CH61" s="352">
        <f t="shared" si="6"/>
        <v>108.27595085309288</v>
      </c>
      <c r="CJ61" s="352">
        <f t="shared" si="21"/>
        <v>108.27595085309288</v>
      </c>
      <c r="CK61" s="352">
        <f t="shared" si="22"/>
        <v>67.463607123838685</v>
      </c>
      <c r="CL61" s="352">
        <f t="shared" si="23"/>
        <v>40.812343729254195</v>
      </c>
      <c r="CN61" s="352">
        <f>('HRA Balance Calc'!U73+'HRA Balance Calc'!V73+'HRA Balance Calc'!W73+'HRA Balance Calc'!X73)/12</f>
        <v>-17.785406927033776</v>
      </c>
      <c r="CO61" s="352">
        <f>('HRA Balance Calc'!Q73+IF('HRA Balance Calc'!L73&lt;0,-'HRA Balance Calc'!L73,0))/12</f>
        <v>0</v>
      </c>
      <c r="CP61" s="352">
        <f>('HRA Balance Calc'!N73)/12</f>
        <v>60.352443411988595</v>
      </c>
      <c r="CQ61" s="352">
        <f>('HRA Balance Calc'!O73)/12</f>
        <v>7.1110088274136887</v>
      </c>
      <c r="CR61" s="352">
        <f>('HRA Balance Calc'!P73)/12</f>
        <v>1.5488443640162839E-4</v>
      </c>
      <c r="CS61" s="352">
        <f t="shared" si="7"/>
        <v>67.463607123838685</v>
      </c>
      <c r="CU61" s="577">
        <f t="shared" si="24"/>
        <v>1241.0974929564802</v>
      </c>
      <c r="CV61" s="352">
        <f t="shared" si="25"/>
        <v>103.42479107970668</v>
      </c>
      <c r="CW61" s="352">
        <f t="shared" si="29"/>
        <v>4.5811575704416541</v>
      </c>
      <c r="CX61" s="352">
        <f t="shared" si="29"/>
        <v>59.879560524415751</v>
      </c>
      <c r="CY61" s="352">
        <f t="shared" si="29"/>
        <v>6.912552354187488</v>
      </c>
      <c r="CZ61" s="352">
        <f t="shared" si="29"/>
        <v>2.052316695305677E-3</v>
      </c>
      <c r="DA61" s="352">
        <f t="shared" si="9"/>
        <v>71.375322765740208</v>
      </c>
      <c r="DC61" s="352">
        <f>('HRA Balance Calc'!Q73+'HRA Balance Calc'!X73+IF('HRA Balance Calc'!L73&lt;0,-'HRA Balance Calc'!L73,0))/12</f>
        <v>5.0080984863123676</v>
      </c>
      <c r="DD61" s="352">
        <f>('HRA Balance Calc'!N73+'HRA Balance Calc'!U73)/12</f>
        <v>36.330703651498432</v>
      </c>
      <c r="DE61" s="352">
        <f>('HRA Balance Calc'!O73+'HRA Balance Calc'!V73)/12</f>
        <v>8.3385710919845319</v>
      </c>
      <c r="DF61" s="352">
        <f>('HRA Balance Calc'!P73+'HRA Balance Calc'!W73)/12</f>
        <v>8.2696700957619678E-4</v>
      </c>
      <c r="DG61" s="352">
        <f t="shared" si="26"/>
        <v>49.678200196804909</v>
      </c>
      <c r="DI61" s="352">
        <f t="shared" si="32"/>
        <v>19.197882443519841</v>
      </c>
      <c r="DJ61" s="352">
        <f t="shared" si="32"/>
        <v>34.106039254298288</v>
      </c>
      <c r="DK61" s="352">
        <f t="shared" si="32"/>
        <v>3.5939236176495974</v>
      </c>
      <c r="DL61" s="352">
        <f t="shared" si="32"/>
        <v>1.6999053408202538</v>
      </c>
      <c r="DM61" s="352">
        <f t="shared" si="32"/>
        <v>58.597750656287971</v>
      </c>
    </row>
    <row r="62" spans="1:117" x14ac:dyDescent="0.2">
      <c r="A62">
        <v>57</v>
      </c>
      <c r="B62" s="397">
        <v>34308</v>
      </c>
      <c r="C62" s="398">
        <v>397997.79676138877</v>
      </c>
      <c r="D62" s="399">
        <v>7.0125483012239211</v>
      </c>
      <c r="E62" s="399">
        <v>82.05161915640312</v>
      </c>
      <c r="F62" s="399">
        <v>9.5273031009990277</v>
      </c>
      <c r="G62" s="399">
        <v>5.7266704417907061E-3</v>
      </c>
      <c r="H62" s="399">
        <v>98.597197229067859</v>
      </c>
      <c r="I62" s="400">
        <v>6.8727701330571688E-3</v>
      </c>
      <c r="J62" s="400">
        <v>3.7837038548824538E-2</v>
      </c>
      <c r="K62" s="400">
        <v>9.7990492202100382E-5</v>
      </c>
      <c r="L62" s="400">
        <v>0.40651045002628489</v>
      </c>
      <c r="M62" s="400">
        <v>0.3848534369949122</v>
      </c>
      <c r="N62" s="400">
        <v>0.27351015730693001</v>
      </c>
      <c r="O62" s="399">
        <f t="shared" si="30"/>
        <v>1.7181925332642922</v>
      </c>
      <c r="P62" s="399">
        <f t="shared" si="30"/>
        <v>0</v>
      </c>
      <c r="Q62" s="399">
        <f t="shared" si="30"/>
        <v>9.7990492202100377E-2</v>
      </c>
      <c r="R62" s="399">
        <f t="shared" si="30"/>
        <v>8.4401592716334513</v>
      </c>
      <c r="S62" s="399">
        <f t="shared" si="30"/>
        <v>11.545603109847367</v>
      </c>
      <c r="T62" s="399">
        <f t="shared" si="30"/>
        <v>16.410609438415801</v>
      </c>
      <c r="U62" s="399">
        <f t="shared" si="10"/>
        <v>38.212554845363016</v>
      </c>
      <c r="V62" s="400">
        <v>4.6434433650407807E-4</v>
      </c>
      <c r="W62" s="400">
        <v>5.605654222769786E-3</v>
      </c>
      <c r="X62" s="400">
        <v>5.0251534462615584E-6</v>
      </c>
      <c r="Y62" s="400">
        <v>6.9367977579103984E-2</v>
      </c>
      <c r="Z62" s="400">
        <v>2.2739824375022248E-2</v>
      </c>
      <c r="AA62" s="400">
        <v>1.8436986485126629E-2</v>
      </c>
      <c r="AB62" s="352">
        <f t="shared" si="31"/>
        <v>0.11608608412601952</v>
      </c>
      <c r="AC62" s="352">
        <f t="shared" si="31"/>
        <v>0</v>
      </c>
      <c r="AD62" s="352">
        <f t="shared" si="31"/>
        <v>5.0251534462615582E-3</v>
      </c>
      <c r="AE62" s="352">
        <f t="shared" si="31"/>
        <v>2.458986289834193</v>
      </c>
      <c r="AF62" s="352">
        <f t="shared" si="31"/>
        <v>0.68219473125066743</v>
      </c>
      <c r="AG62" s="352">
        <f t="shared" si="31"/>
        <v>1.1062191891075976</v>
      </c>
      <c r="AH62" s="400">
        <f t="shared" si="11"/>
        <v>4.3685114477647389</v>
      </c>
      <c r="AJ62" s="352">
        <f>D62*('Assumptions-Output Override'!$D$10/'Winners-Losers HRA'!$H$107)*(1+'Assumptions-Output Override'!$F$41)</f>
        <v>8.370261770611279</v>
      </c>
      <c r="AK62" s="352">
        <f>E62*('Assumptions-Output Override'!$D$10/'Winners-Losers HRA'!$H$107)*(1+'Assumptions-Output Override'!$F$37)</f>
        <v>135.03880680018145</v>
      </c>
      <c r="AL62" s="352">
        <f>F62*('Assumptions-Output Override'!$D$10/'Winners-Losers HRA'!$H$107)*(1+'Assumptions-Output Override'!$F$38)</f>
        <v>16.004401616209112</v>
      </c>
      <c r="AM62" s="352">
        <f>G62*('Shoppable Detail'!$X$21/'Shoppable Detail'!$H$21)*('Assumptions-Output Override'!$D$10/'Winners-Losers HRA'!$H$107)*(1+'Assumptions-Output Override'!$F$39)</f>
        <v>9.8200478816562707E-3</v>
      </c>
      <c r="AN62" s="352">
        <f t="shared" si="12"/>
        <v>159.4232902348835</v>
      </c>
      <c r="AO62" s="352">
        <v>0</v>
      </c>
      <c r="AP62" s="352">
        <f>U62*'Assumptions-Output Override'!$D$10/'Winners-Losers HRA'!$H$107*(1+'Assumptions-Output Override'!$F$37)</f>
        <v>62.889408693668962</v>
      </c>
      <c r="AQ62" s="352">
        <f>AH62*'Assumptions-Output Override'!$D$10/'Winners-Losers HRA'!$H$107*(1+'Assumptions-Output Override'!$F$38)</f>
        <v>7.3384263032108956</v>
      </c>
      <c r="AR62" s="352">
        <f>AM62*('Shoppable Detail'!$AA$23/'Shoppable Detail'!$Y$23)</f>
        <v>3.281186353488295E-4</v>
      </c>
      <c r="AS62" s="352">
        <f t="shared" si="13"/>
        <v>70.228163115515216</v>
      </c>
      <c r="AT62" s="352">
        <f t="shared" si="14"/>
        <v>8.370261770611279</v>
      </c>
      <c r="AU62" s="352">
        <f t="shared" si="14"/>
        <v>72.149398106512479</v>
      </c>
      <c r="AV62" s="352">
        <f t="shared" si="14"/>
        <v>8.6659753129982171</v>
      </c>
      <c r="AW62" s="352">
        <f t="shared" si="14"/>
        <v>9.4919292463074411E-3</v>
      </c>
      <c r="AX62" s="352">
        <f t="shared" si="15"/>
        <v>89.19512711936828</v>
      </c>
      <c r="AY62" s="352">
        <f>AT62*'Assumptions-Output Override'!$D$24</f>
        <v>2.5500498160131344</v>
      </c>
      <c r="AZ62" s="352">
        <f>$AU$107*'Assumptions-Output Override'!$D$21</f>
        <v>46.041131296780591</v>
      </c>
      <c r="BA62" s="352">
        <f>AV62*'Assumptions-Output Override'!$D$22</f>
        <v>1.2998962969497325</v>
      </c>
      <c r="BB62" s="352">
        <f>AW62*'Assumptions-Output Override'!$D$23</f>
        <v>1.4237893869461162E-3</v>
      </c>
      <c r="BC62" s="352">
        <f t="shared" si="16"/>
        <v>49.892501199130407</v>
      </c>
      <c r="BD62" s="352">
        <f t="shared" si="17"/>
        <v>2.5500498160131344</v>
      </c>
      <c r="BE62" s="352">
        <f t="shared" si="17"/>
        <v>108.93053999044955</v>
      </c>
      <c r="BF62" s="352">
        <f t="shared" si="17"/>
        <v>8.6383226001606275</v>
      </c>
      <c r="BG62" s="352">
        <f t="shared" si="17"/>
        <v>1.7519080222949458E-3</v>
      </c>
      <c r="BH62" s="352">
        <f t="shared" si="18"/>
        <v>120.12066431464561</v>
      </c>
      <c r="BJ62" s="401">
        <f>D62*'Assumptions-Output Override'!$D$10/'Winners-Losers HRA'!$H$107</f>
        <v>11.847548392330447</v>
      </c>
      <c r="BK62" s="401">
        <f>E62*'Assumptions-Output Override'!$D$10/'Winners-Losers HRA'!$H$107</f>
        <v>138.62443249836704</v>
      </c>
      <c r="BL62" s="401">
        <f>F62*'Assumptions-Output Override'!$D$10/'Winners-Losers HRA'!$H$107</f>
        <v>16.096172131575262</v>
      </c>
      <c r="BM62" s="401">
        <f>G62*'Assumptions-Output Override'!$D$10/'Winners-Losers HRA'!$H$107</f>
        <v>9.675085613913309E-3</v>
      </c>
      <c r="BN62" s="401">
        <f t="shared" si="2"/>
        <v>166.57782810788666</v>
      </c>
      <c r="BO62" s="401">
        <f>BJ62*(1-'Assumptions-Output Override'!$D$11)</f>
        <v>1.6885100199768999</v>
      </c>
      <c r="BP62" s="401">
        <f>BK62*(1-'Assumptions-Output Override'!$D$11)</f>
        <v>19.756723968194919</v>
      </c>
      <c r="BQ62" s="401">
        <f>BL62*(1-'Assumptions-Output Override'!$D$11)</f>
        <v>2.2940229511982322</v>
      </c>
      <c r="BR62" s="401">
        <f>BM62*(1-'Assumptions-Output Override'!$D$11)</f>
        <v>1.3788910973178599E-3</v>
      </c>
      <c r="BS62" s="352">
        <f t="shared" si="3"/>
        <v>23.740635830467369</v>
      </c>
      <c r="BT62" s="352">
        <f t="shared" si="19"/>
        <v>10.159038372353548</v>
      </c>
      <c r="BU62" s="352">
        <f t="shared" si="19"/>
        <v>118.86770853017212</v>
      </c>
      <c r="BV62" s="352">
        <f t="shared" si="19"/>
        <v>13.802149180377029</v>
      </c>
      <c r="BW62" s="352">
        <f t="shared" si="19"/>
        <v>8.2961945165954485E-3</v>
      </c>
      <c r="BX62" s="352">
        <f t="shared" si="4"/>
        <v>142.83719227741929</v>
      </c>
      <c r="BY62" s="352">
        <f>BT$107*(1-'Assumptions-Output Override'!$D$12)</f>
        <v>22.753074310428271</v>
      </c>
      <c r="BZ62" s="352">
        <f>BU$107*(1-'Assumptions-Output Override'!$D$12)</f>
        <v>51.446038369839215</v>
      </c>
      <c r="CA62" s="352">
        <f>BV$107*(1-'Assumptions-Output Override'!$D$12)</f>
        <v>9.7401900534537411</v>
      </c>
      <c r="CB62" s="352">
        <f>BW$107*(1-'Assumptions-Output Override'!$D$12)</f>
        <v>1.7000814189516649</v>
      </c>
      <c r="CC62" s="352">
        <f t="shared" si="5"/>
        <v>85.639384152672903</v>
      </c>
      <c r="CD62" s="352">
        <f t="shared" si="20"/>
        <v>24.441584330405171</v>
      </c>
      <c r="CE62" s="352">
        <f t="shared" si="20"/>
        <v>71.202762338034134</v>
      </c>
      <c r="CF62" s="352">
        <f t="shared" si="20"/>
        <v>12.034213004651974</v>
      </c>
      <c r="CG62" s="352">
        <f t="shared" si="20"/>
        <v>1.7014603100489827</v>
      </c>
      <c r="CH62" s="352">
        <f t="shared" si="6"/>
        <v>109.38001998314027</v>
      </c>
      <c r="CJ62" s="352">
        <f t="shared" si="21"/>
        <v>109.38001998314027</v>
      </c>
      <c r="CK62" s="352">
        <f t="shared" si="22"/>
        <v>70.228163115515216</v>
      </c>
      <c r="CL62" s="352">
        <f t="shared" si="23"/>
        <v>39.151856867625057</v>
      </c>
      <c r="CN62" s="352">
        <f>('HRA Balance Calc'!U74+'HRA Balance Calc'!V74+'HRA Balance Calc'!W74+'HRA Balance Calc'!X74)/12</f>
        <v>-16.900207719555336</v>
      </c>
      <c r="CO62" s="352">
        <f>('HRA Balance Calc'!Q74+IF('HRA Balance Calc'!L74&lt;0,-'HRA Balance Calc'!L74,0))/12</f>
        <v>0</v>
      </c>
      <c r="CP62" s="352">
        <f>('HRA Balance Calc'!N74)/12</f>
        <v>62.889408693668962</v>
      </c>
      <c r="CQ62" s="352">
        <f>('HRA Balance Calc'!O74)/12</f>
        <v>7.3384263032108956</v>
      </c>
      <c r="CR62" s="352">
        <f>('HRA Balance Calc'!P74)/12</f>
        <v>3.2811863534882945E-4</v>
      </c>
      <c r="CS62" s="352">
        <f t="shared" si="7"/>
        <v>70.228163115515216</v>
      </c>
      <c r="CU62" s="577">
        <f t="shared" si="24"/>
        <v>1230.4751024667389</v>
      </c>
      <c r="CV62" s="352">
        <f t="shared" si="25"/>
        <v>102.53959187222824</v>
      </c>
      <c r="CW62" s="352">
        <f t="shared" si="29"/>
        <v>5.3240382812470211</v>
      </c>
      <c r="CX62" s="352">
        <f t="shared" si="29"/>
        <v>62.294895188208201</v>
      </c>
      <c r="CY62" s="352">
        <f t="shared" si="29"/>
        <v>7.2332801498007955</v>
      </c>
      <c r="CZ62" s="352">
        <f t="shared" si="29"/>
        <v>4.3477793444728465E-3</v>
      </c>
      <c r="DA62" s="352">
        <f t="shared" si="9"/>
        <v>74.856561398600491</v>
      </c>
      <c r="DC62" s="352">
        <f>('HRA Balance Calc'!Q74+'HRA Balance Calc'!X74+IF('HRA Balance Calc'!L74&lt;0,-'HRA Balance Calc'!L74,0))/12</f>
        <v>5.8202119545981441</v>
      </c>
      <c r="DD62" s="352">
        <f>('HRA Balance Calc'!N74+'HRA Balance Calc'!U74)/12</f>
        <v>38.867668933178798</v>
      </c>
      <c r="DE62" s="352">
        <f>('HRA Balance Calc'!O74+'HRA Balance Calc'!V74)/12</f>
        <v>8.6383226001606292</v>
      </c>
      <c r="DF62" s="352">
        <f>('HRA Balance Calc'!P74+'HRA Balance Calc'!W74)/12</f>
        <v>1.751908022294946E-3</v>
      </c>
      <c r="DG62" s="352">
        <f t="shared" si="26"/>
        <v>53.327955395959862</v>
      </c>
      <c r="DI62" s="352">
        <f t="shared" si="32"/>
        <v>18.621372375807027</v>
      </c>
      <c r="DJ62" s="352">
        <f t="shared" si="32"/>
        <v>32.335093404855336</v>
      </c>
      <c r="DK62" s="352">
        <f t="shared" si="32"/>
        <v>3.3958904044913449</v>
      </c>
      <c r="DL62" s="352">
        <f t="shared" si="32"/>
        <v>1.6997084020266877</v>
      </c>
      <c r="DM62" s="352">
        <f t="shared" si="32"/>
        <v>56.052064587180411</v>
      </c>
    </row>
    <row r="63" spans="1:117" x14ac:dyDescent="0.2">
      <c r="A63">
        <v>58</v>
      </c>
      <c r="B63" s="397">
        <v>34308</v>
      </c>
      <c r="C63" s="398">
        <v>397997.79676138877</v>
      </c>
      <c r="D63" s="399">
        <v>7.4978003416499801</v>
      </c>
      <c r="E63" s="399">
        <v>85.660913015624701</v>
      </c>
      <c r="F63" s="399">
        <v>10.272247932457134</v>
      </c>
      <c r="G63" s="399">
        <v>0</v>
      </c>
      <c r="H63" s="399">
        <v>103.43096128973181</v>
      </c>
      <c r="I63" s="400">
        <v>7.6637188105591432E-3</v>
      </c>
      <c r="J63" s="400">
        <v>3.8972311887195021E-2</v>
      </c>
      <c r="K63" s="400">
        <v>7.7889878417054155E-5</v>
      </c>
      <c r="L63" s="400">
        <v>0.42010844946965775</v>
      </c>
      <c r="M63" s="400">
        <v>0.39134734229045209</v>
      </c>
      <c r="N63" s="400">
        <v>0.28470368660847511</v>
      </c>
      <c r="O63" s="399">
        <f t="shared" si="30"/>
        <v>1.9159297026397857</v>
      </c>
      <c r="P63" s="399">
        <f t="shared" si="30"/>
        <v>0</v>
      </c>
      <c r="Q63" s="399">
        <f t="shared" si="30"/>
        <v>7.7889878417054151E-2</v>
      </c>
      <c r="R63" s="399">
        <f t="shared" si="30"/>
        <v>8.7224872685403678</v>
      </c>
      <c r="S63" s="399">
        <f t="shared" si="30"/>
        <v>11.740420268713564</v>
      </c>
      <c r="T63" s="399">
        <f t="shared" si="30"/>
        <v>17.082221196508506</v>
      </c>
      <c r="U63" s="399">
        <f t="shared" si="10"/>
        <v>39.53894831481928</v>
      </c>
      <c r="V63" s="400">
        <v>4.9041714684254403E-4</v>
      </c>
      <c r="W63" s="400">
        <v>6.2785810419815711E-3</v>
      </c>
      <c r="X63" s="400">
        <v>5.0251534462615584E-6</v>
      </c>
      <c r="Y63" s="400">
        <v>7.2579447849528106E-2</v>
      </c>
      <c r="Z63" s="400">
        <v>2.4521743787066549E-2</v>
      </c>
      <c r="AA63" s="400">
        <v>1.95549826238509E-2</v>
      </c>
      <c r="AB63" s="352">
        <f t="shared" si="31"/>
        <v>0.122604286710636</v>
      </c>
      <c r="AC63" s="352">
        <f t="shared" si="31"/>
        <v>0</v>
      </c>
      <c r="AD63" s="352">
        <f t="shared" si="31"/>
        <v>5.0251534462615582E-3</v>
      </c>
      <c r="AE63" s="352">
        <f t="shared" si="31"/>
        <v>2.5728278870780752</v>
      </c>
      <c r="AF63" s="352">
        <f t="shared" si="31"/>
        <v>0.73565231361199646</v>
      </c>
      <c r="AG63" s="352">
        <f t="shared" si="31"/>
        <v>1.1732989574310539</v>
      </c>
      <c r="AH63" s="400">
        <f t="shared" si="11"/>
        <v>4.6094085982780229</v>
      </c>
      <c r="AJ63" s="352">
        <f>D63*('Assumptions-Output Override'!$D$10/'Winners-Losers HRA'!$H$107)*(1+'Assumptions-Output Override'!$F$41)</f>
        <v>8.949464426852586</v>
      </c>
      <c r="AK63" s="352">
        <f>E63*('Assumptions-Output Override'!$D$10/'Winners-Losers HRA'!$H$107)*(1+'Assumptions-Output Override'!$F$37)</f>
        <v>140.97890574218346</v>
      </c>
      <c r="AL63" s="352">
        <f>F63*('Assumptions-Output Override'!$D$10/'Winners-Losers HRA'!$H$107)*(1+'Assumptions-Output Override'!$F$38)</f>
        <v>17.255794181154858</v>
      </c>
      <c r="AM63" s="352">
        <f>G63*('Shoppable Detail'!$X$21/'Shoppable Detail'!$H$21)*('Assumptions-Output Override'!$D$10/'Winners-Losers HRA'!$H$107)*(1+'Assumptions-Output Override'!$F$39)</f>
        <v>0</v>
      </c>
      <c r="AN63" s="352">
        <f t="shared" si="12"/>
        <v>167.18416435019091</v>
      </c>
      <c r="AO63" s="352">
        <v>0</v>
      </c>
      <c r="AP63" s="352">
        <f>U63*'Assumptions-Output Override'!$D$10/'Winners-Losers HRA'!$H$107*(1+'Assumptions-Output Override'!$F$37)</f>
        <v>65.072358808541253</v>
      </c>
      <c r="AQ63" s="352">
        <f>AH63*'Assumptions-Output Override'!$D$10/'Winners-Losers HRA'!$H$107*(1+'Assumptions-Output Override'!$F$38)</f>
        <v>7.7430964080814642</v>
      </c>
      <c r="AR63" s="352">
        <f>AM63*('Shoppable Detail'!$AA$23/'Shoppable Detail'!$Y$23)</f>
        <v>0</v>
      </c>
      <c r="AS63" s="352">
        <f t="shared" si="13"/>
        <v>72.815455216622723</v>
      </c>
      <c r="AT63" s="352">
        <f t="shared" si="14"/>
        <v>8.949464426852586</v>
      </c>
      <c r="AU63" s="352">
        <f t="shared" si="14"/>
        <v>75.906546933642204</v>
      </c>
      <c r="AV63" s="352">
        <f t="shared" si="14"/>
        <v>9.5126977730733948</v>
      </c>
      <c r="AW63" s="352">
        <f t="shared" si="14"/>
        <v>0</v>
      </c>
      <c r="AX63" s="352">
        <f t="shared" si="15"/>
        <v>94.368709133568188</v>
      </c>
      <c r="AY63" s="352">
        <f>AT63*'Assumptions-Output Override'!$D$24</f>
        <v>2.7265073351994906</v>
      </c>
      <c r="AZ63" s="352">
        <f>$AU$107*'Assumptions-Output Override'!$D$21</f>
        <v>46.041131296780591</v>
      </c>
      <c r="BA63" s="352">
        <f>AV63*'Assumptions-Output Override'!$D$22</f>
        <v>1.4269046659610092</v>
      </c>
      <c r="BB63" s="352">
        <f>AW63*'Assumptions-Output Override'!$D$23</f>
        <v>0</v>
      </c>
      <c r="BC63" s="352">
        <f t="shared" si="16"/>
        <v>50.194543297941095</v>
      </c>
      <c r="BD63" s="352">
        <f t="shared" si="17"/>
        <v>2.7265073351994906</v>
      </c>
      <c r="BE63" s="352">
        <f t="shared" si="17"/>
        <v>111.11349010532184</v>
      </c>
      <c r="BF63" s="352">
        <f t="shared" si="17"/>
        <v>9.1700010740424727</v>
      </c>
      <c r="BG63" s="352">
        <f t="shared" si="17"/>
        <v>0</v>
      </c>
      <c r="BH63" s="352">
        <f t="shared" si="18"/>
        <v>123.0099985145638</v>
      </c>
      <c r="BJ63" s="401">
        <f>D63*'Assumptions-Output Override'!$D$10/'Winners-Losers HRA'!$H$107</f>
        <v>12.667371199172493</v>
      </c>
      <c r="BK63" s="401">
        <f>E63*'Assumptions-Output Override'!$D$10/'Winners-Losers HRA'!$H$107</f>
        <v>144.72225625978135</v>
      </c>
      <c r="BL63" s="401">
        <f>F63*'Assumptions-Output Override'!$D$10/'Winners-Losers HRA'!$H$107</f>
        <v>17.354740281298518</v>
      </c>
      <c r="BM63" s="401">
        <f>G63*'Assumptions-Output Override'!$D$10/'Winners-Losers HRA'!$H$107</f>
        <v>0</v>
      </c>
      <c r="BN63" s="401">
        <f t="shared" si="2"/>
        <v>174.74436774025236</v>
      </c>
      <c r="BO63" s="401">
        <f>BJ63*(1-'Assumptions-Output Override'!$D$11)</f>
        <v>1.8053509880926746</v>
      </c>
      <c r="BP63" s="401">
        <f>BK63*(1-'Assumptions-Output Override'!$D$11)</f>
        <v>20.625784484366061</v>
      </c>
      <c r="BQ63" s="401">
        <f>BL63*(1-'Assumptions-Output Override'!$D$11)</f>
        <v>2.4733938101522415</v>
      </c>
      <c r="BR63" s="401">
        <f>BM63*(1-'Assumptions-Output Override'!$D$11)</f>
        <v>0</v>
      </c>
      <c r="BS63" s="352">
        <f t="shared" si="3"/>
        <v>24.904529282610977</v>
      </c>
      <c r="BT63" s="352">
        <f t="shared" si="19"/>
        <v>10.862020211079818</v>
      </c>
      <c r="BU63" s="352">
        <f t="shared" si="19"/>
        <v>124.09647177541528</v>
      </c>
      <c r="BV63" s="352">
        <f t="shared" si="19"/>
        <v>14.881346471146276</v>
      </c>
      <c r="BW63" s="352">
        <f t="shared" si="19"/>
        <v>0</v>
      </c>
      <c r="BX63" s="352">
        <f t="shared" si="4"/>
        <v>149.83983845764138</v>
      </c>
      <c r="BY63" s="352">
        <f>BT$107*(1-'Assumptions-Output Override'!$D$12)</f>
        <v>22.753074310428271</v>
      </c>
      <c r="BZ63" s="352">
        <f>BU$107*(1-'Assumptions-Output Override'!$D$12)</f>
        <v>51.446038369839215</v>
      </c>
      <c r="CA63" s="352">
        <f>BV$107*(1-'Assumptions-Output Override'!$D$12)</f>
        <v>9.7401900534537411</v>
      </c>
      <c r="CB63" s="352">
        <f>BW$107*(1-'Assumptions-Output Override'!$D$12)</f>
        <v>1.7000814189516649</v>
      </c>
      <c r="CC63" s="352">
        <f t="shared" si="5"/>
        <v>85.639384152672903</v>
      </c>
      <c r="CD63" s="352">
        <f t="shared" si="20"/>
        <v>24.558425298520945</v>
      </c>
      <c r="CE63" s="352">
        <f t="shared" si="20"/>
        <v>72.07182285420528</v>
      </c>
      <c r="CF63" s="352">
        <f t="shared" si="20"/>
        <v>12.213583863605983</v>
      </c>
      <c r="CG63" s="352">
        <f t="shared" si="20"/>
        <v>1.7000814189516649</v>
      </c>
      <c r="CH63" s="352">
        <f t="shared" si="6"/>
        <v>110.54391343528388</v>
      </c>
      <c r="CJ63" s="352">
        <f t="shared" si="21"/>
        <v>110.54391343528388</v>
      </c>
      <c r="CK63" s="352">
        <f t="shared" si="22"/>
        <v>72.815455216622723</v>
      </c>
      <c r="CL63" s="352">
        <f t="shared" si="23"/>
        <v>37.72845821866116</v>
      </c>
      <c r="CN63" s="352">
        <f>('HRA Balance Calc'!U75+'HRA Balance Calc'!V75+'HRA Balance Calc'!W75+'HRA Balance Calc'!X75)/12</f>
        <v>-16.371878002876059</v>
      </c>
      <c r="CO63" s="352">
        <f>('HRA Balance Calc'!Q75+IF('HRA Balance Calc'!L75&lt;0,-'HRA Balance Calc'!L75,0))/12</f>
        <v>0</v>
      </c>
      <c r="CP63" s="352">
        <f>('HRA Balance Calc'!N75)/12</f>
        <v>65.072358808541253</v>
      </c>
      <c r="CQ63" s="352">
        <f>('HRA Balance Calc'!O75)/12</f>
        <v>7.7430964080814642</v>
      </c>
      <c r="CR63" s="352">
        <f>('HRA Balance Calc'!P75)/12</f>
        <v>0</v>
      </c>
      <c r="CS63" s="352">
        <f t="shared" si="7"/>
        <v>72.815455216622723</v>
      </c>
      <c r="CU63" s="577">
        <f t="shared" si="24"/>
        <v>1224.1351458665877</v>
      </c>
      <c r="CV63" s="352">
        <f t="shared" si="25"/>
        <v>102.01126215554896</v>
      </c>
      <c r="CW63" s="352">
        <f t="shared" si="29"/>
        <v>5.692449353557306</v>
      </c>
      <c r="CX63" s="352">
        <f t="shared" si="29"/>
        <v>65.035128531258636</v>
      </c>
      <c r="CY63" s="352">
        <f t="shared" si="29"/>
        <v>7.7988541223048919</v>
      </c>
      <c r="CZ63" s="352">
        <f t="shared" si="29"/>
        <v>0</v>
      </c>
      <c r="DA63" s="352">
        <f t="shared" si="9"/>
        <v>78.526432007120832</v>
      </c>
      <c r="DC63" s="352">
        <f>('HRA Balance Calc'!Q75+'HRA Balance Calc'!X75+IF('HRA Balance Calc'!L75&lt;0,-'HRA Balance Calc'!L75,0))/12</f>
        <v>6.2229570916530959</v>
      </c>
      <c r="DD63" s="352">
        <f>('HRA Balance Calc'!N75+'HRA Balance Calc'!U75)/12</f>
        <v>41.05061904805109</v>
      </c>
      <c r="DE63" s="352">
        <f>('HRA Balance Calc'!O75+'HRA Balance Calc'!V75)/12</f>
        <v>9.1700010740424744</v>
      </c>
      <c r="DF63" s="352">
        <f>('HRA Balance Calc'!P75+'HRA Balance Calc'!W75)/12</f>
        <v>0</v>
      </c>
      <c r="DG63" s="352">
        <f t="shared" si="26"/>
        <v>56.443577213746657</v>
      </c>
      <c r="DI63" s="352">
        <f t="shared" si="32"/>
        <v>18.335468206867848</v>
      </c>
      <c r="DJ63" s="352">
        <f t="shared" si="32"/>
        <v>31.02120380615419</v>
      </c>
      <c r="DK63" s="352">
        <f t="shared" si="32"/>
        <v>3.0435827895635086</v>
      </c>
      <c r="DL63" s="352">
        <f t="shared" si="32"/>
        <v>1.7000814189516649</v>
      </c>
      <c r="DM63" s="352">
        <f t="shared" si="32"/>
        <v>54.100336221537226</v>
      </c>
    </row>
    <row r="64" spans="1:117" x14ac:dyDescent="0.2">
      <c r="A64">
        <v>59</v>
      </c>
      <c r="B64" s="397">
        <v>34308</v>
      </c>
      <c r="C64" s="398">
        <v>397997.79676138877</v>
      </c>
      <c r="D64" s="399">
        <v>8.0405253066862823</v>
      </c>
      <c r="E64" s="399">
        <v>89.564928283796505</v>
      </c>
      <c r="F64" s="399">
        <v>10.901631495104713</v>
      </c>
      <c r="G64" s="399">
        <v>1.2823942103062159E-2</v>
      </c>
      <c r="H64" s="399">
        <v>108.51990902769056</v>
      </c>
      <c r="I64" s="400">
        <v>8.0342420869284111E-3</v>
      </c>
      <c r="J64" s="400">
        <v>4.0226102771878158E-2</v>
      </c>
      <c r="K64" s="400">
        <v>1.2562883615653894E-4</v>
      </c>
      <c r="L64" s="400">
        <v>0.43315245634310895</v>
      </c>
      <c r="M64" s="400">
        <v>0.40219926166072034</v>
      </c>
      <c r="N64" s="400">
        <v>0.28970843793175238</v>
      </c>
      <c r="O64" s="399">
        <f t="shared" si="30"/>
        <v>2.008560521732103</v>
      </c>
      <c r="P64" s="399">
        <f t="shared" si="30"/>
        <v>0</v>
      </c>
      <c r="Q64" s="399">
        <f t="shared" si="30"/>
        <v>0.12562883615653894</v>
      </c>
      <c r="R64" s="399">
        <f t="shared" ref="R64:T105" si="33">L64*R$2</f>
        <v>8.9933130137213109</v>
      </c>
      <c r="S64" s="399">
        <f t="shared" si="33"/>
        <v>12.065977849821611</v>
      </c>
      <c r="T64" s="399">
        <f t="shared" si="33"/>
        <v>17.382506275905143</v>
      </c>
      <c r="U64" s="399">
        <f t="shared" si="10"/>
        <v>40.575986497336707</v>
      </c>
      <c r="V64" s="400">
        <v>6.0339932497588888E-4</v>
      </c>
      <c r="W64" s="400">
        <v>6.3207941634819461E-3</v>
      </c>
      <c r="X64" s="400">
        <v>0</v>
      </c>
      <c r="Y64" s="400">
        <v>7.6462217584620309E-2</v>
      </c>
      <c r="Z64" s="400">
        <v>2.4973103069609738E-2</v>
      </c>
      <c r="AA64" s="400">
        <v>2.006694525695598E-2</v>
      </c>
      <c r="AB64" s="352">
        <f t="shared" si="31"/>
        <v>0.15084983124397222</v>
      </c>
      <c r="AC64" s="352">
        <f t="shared" si="31"/>
        <v>0</v>
      </c>
      <c r="AD64" s="352">
        <f t="shared" si="31"/>
        <v>0</v>
      </c>
      <c r="AE64" s="352">
        <f t="shared" ref="AE64:AG105" si="34">Y64*AE$2</f>
        <v>2.7104660002014853</v>
      </c>
      <c r="AF64" s="352">
        <f t="shared" si="34"/>
        <v>0.7491930920882921</v>
      </c>
      <c r="AG64" s="352">
        <f t="shared" si="34"/>
        <v>1.2040167154173589</v>
      </c>
      <c r="AH64" s="400">
        <f t="shared" si="11"/>
        <v>4.8145256389511086</v>
      </c>
      <c r="AJ64" s="352">
        <f>D64*('Assumptions-Output Override'!$D$10/'Winners-Losers HRA'!$H$107)*(1+'Assumptions-Output Override'!$F$41)</f>
        <v>9.5972674553189776</v>
      </c>
      <c r="AK64" s="352">
        <f>E64*('Assumptions-Output Override'!$D$10/'Winners-Losers HRA'!$H$107)*(1+'Assumptions-Output Override'!$F$37)</f>
        <v>147.4040509003637</v>
      </c>
      <c r="AL64" s="352">
        <f>F64*('Assumptions-Output Override'!$D$10/'Winners-Losers HRA'!$H$107)*(1+'Assumptions-Output Override'!$F$38)</f>
        <v>18.31306161565016</v>
      </c>
      <c r="AM64" s="352">
        <f>G64*('Shoppable Detail'!$X$21/'Shoppable Detail'!$H$21)*('Assumptions-Output Override'!$D$10/'Winners-Losers HRA'!$H$107)*(1+'Assumptions-Output Override'!$F$39)</f>
        <v>2.1990391583329855E-2</v>
      </c>
      <c r="AN64" s="352">
        <f t="shared" si="12"/>
        <v>175.33637036291617</v>
      </c>
      <c r="AO64" s="352">
        <v>0</v>
      </c>
      <c r="AP64" s="352">
        <f>U64*'Assumptions-Output Override'!$D$10/'Winners-Losers HRA'!$H$107*(1+'Assumptions-Output Override'!$F$37)</f>
        <v>66.779094156523144</v>
      </c>
      <c r="AQ64" s="352">
        <f>AH64*'Assumptions-Output Override'!$D$10/'Winners-Losers HRA'!$H$107*(1+'Assumptions-Output Override'!$F$38)</f>
        <v>8.0876614400175342</v>
      </c>
      <c r="AR64" s="352">
        <f>AM64*('Shoppable Detail'!$AA$23/'Shoppable Detail'!$Y$23)</f>
        <v>7.3476803413422898E-4</v>
      </c>
      <c r="AS64" s="352">
        <f t="shared" si="13"/>
        <v>74.86749036457482</v>
      </c>
      <c r="AT64" s="352">
        <f t="shared" si="14"/>
        <v>9.5972674553189776</v>
      </c>
      <c r="AU64" s="352">
        <f t="shared" si="14"/>
        <v>80.624956743840556</v>
      </c>
      <c r="AV64" s="352">
        <f t="shared" si="14"/>
        <v>10.225400175632625</v>
      </c>
      <c r="AW64" s="352">
        <f t="shared" si="14"/>
        <v>2.1255623549195624E-2</v>
      </c>
      <c r="AX64" s="352">
        <f t="shared" si="15"/>
        <v>100.46887999834136</v>
      </c>
      <c r="AY64" s="352">
        <f>AT64*'Assumptions-Output Override'!$D$24</f>
        <v>2.9238643640266586</v>
      </c>
      <c r="AZ64" s="352">
        <f>$AU$107*'Assumptions-Output Override'!$D$21</f>
        <v>46.041131296780591</v>
      </c>
      <c r="BA64" s="352">
        <f>AV64*'Assumptions-Output Override'!$D$22</f>
        <v>1.5338100263448937</v>
      </c>
      <c r="BB64" s="352">
        <f>AW64*'Assumptions-Output Override'!$D$23</f>
        <v>3.1883435323793435E-3</v>
      </c>
      <c r="BC64" s="352">
        <f t="shared" si="16"/>
        <v>50.501994030684521</v>
      </c>
      <c r="BD64" s="352">
        <f t="shared" si="17"/>
        <v>2.9238643640266586</v>
      </c>
      <c r="BE64" s="352">
        <f t="shared" si="17"/>
        <v>112.82022545330373</v>
      </c>
      <c r="BF64" s="352">
        <f t="shared" si="17"/>
        <v>9.6214714663624274</v>
      </c>
      <c r="BG64" s="352">
        <f t="shared" si="17"/>
        <v>3.9231115665135721E-3</v>
      </c>
      <c r="BH64" s="352">
        <f t="shared" si="18"/>
        <v>125.36948439525932</v>
      </c>
      <c r="BJ64" s="401">
        <f>D64*'Assumptions-Output Override'!$D$10/'Winners-Losers HRA'!$H$107</f>
        <v>13.584293266699815</v>
      </c>
      <c r="BK64" s="401">
        <f>E64*'Assumptions-Output Override'!$D$10/'Winners-Losers HRA'!$H$107</f>
        <v>151.31800545497615</v>
      </c>
      <c r="BL64" s="401">
        <f>F64*'Assumptions-Output Override'!$D$10/'Winners-Losers HRA'!$H$107</f>
        <v>18.418070171590056</v>
      </c>
      <c r="BM64" s="401">
        <f>G64*'Assumptions-Output Override'!$D$10/'Winners-Losers HRA'!$H$107</f>
        <v>2.1665772287080807E-2</v>
      </c>
      <c r="BN64" s="401">
        <f t="shared" si="2"/>
        <v>183.34203466555309</v>
      </c>
      <c r="BO64" s="401">
        <f>BJ64*(1-'Assumptions-Output Override'!$D$11)</f>
        <v>1.9360305217217646</v>
      </c>
      <c r="BP64" s="401">
        <f>BK64*(1-'Assumptions-Output Override'!$D$11)</f>
        <v>21.565809225058455</v>
      </c>
      <c r="BQ64" s="401">
        <f>BL64*(1-'Assumptions-Output Override'!$D$11)</f>
        <v>2.624939354837291</v>
      </c>
      <c r="BR64" s="401">
        <f>BM64*(1-'Assumptions-Output Override'!$D$11)</f>
        <v>3.0878011539464006E-3</v>
      </c>
      <c r="BS64" s="352">
        <f t="shared" si="3"/>
        <v>26.129866902771457</v>
      </c>
      <c r="BT64" s="352">
        <f t="shared" si="19"/>
        <v>11.64826274497805</v>
      </c>
      <c r="BU64" s="352">
        <f t="shared" si="19"/>
        <v>129.7521962299177</v>
      </c>
      <c r="BV64" s="352">
        <f t="shared" si="19"/>
        <v>15.793130816752765</v>
      </c>
      <c r="BW64" s="352">
        <f t="shared" si="19"/>
        <v>1.8577971133134405E-2</v>
      </c>
      <c r="BX64" s="352">
        <f t="shared" si="4"/>
        <v>157.21216776278163</v>
      </c>
      <c r="BY64" s="352">
        <f>BT$107*(1-'Assumptions-Output Override'!$D$12)</f>
        <v>22.753074310428271</v>
      </c>
      <c r="BZ64" s="352">
        <f>BU$107*(1-'Assumptions-Output Override'!$D$12)</f>
        <v>51.446038369839215</v>
      </c>
      <c r="CA64" s="352">
        <f>BV$107*(1-'Assumptions-Output Override'!$D$12)</f>
        <v>9.7401900534537411</v>
      </c>
      <c r="CB64" s="352">
        <f>BW$107*(1-'Assumptions-Output Override'!$D$12)</f>
        <v>1.7000814189516649</v>
      </c>
      <c r="CC64" s="352">
        <f t="shared" si="5"/>
        <v>85.639384152672903</v>
      </c>
      <c r="CD64" s="352">
        <f t="shared" si="20"/>
        <v>24.689104832150036</v>
      </c>
      <c r="CE64" s="352">
        <f t="shared" si="20"/>
        <v>73.011847594897674</v>
      </c>
      <c r="CF64" s="352">
        <f t="shared" si="20"/>
        <v>12.365129408291033</v>
      </c>
      <c r="CG64" s="352">
        <f t="shared" si="20"/>
        <v>1.7031692201056112</v>
      </c>
      <c r="CH64" s="352">
        <f t="shared" si="6"/>
        <v>111.76925105544434</v>
      </c>
      <c r="CJ64" s="352">
        <f t="shared" si="21"/>
        <v>111.76925105544434</v>
      </c>
      <c r="CK64" s="352">
        <f t="shared" si="22"/>
        <v>74.86749036457482</v>
      </c>
      <c r="CL64" s="352">
        <f t="shared" si="23"/>
        <v>36.901760690869523</v>
      </c>
      <c r="CN64" s="352">
        <f>('HRA Balance Calc'!U76+'HRA Balance Calc'!V76+'HRA Balance Calc'!W76+'HRA Balance Calc'!X76)/12</f>
        <v>-15.811338299320568</v>
      </c>
      <c r="CO64" s="352">
        <f>('HRA Balance Calc'!Q76+IF('HRA Balance Calc'!L76&lt;0,-'HRA Balance Calc'!L76,0))/12</f>
        <v>0</v>
      </c>
      <c r="CP64" s="352">
        <f>('HRA Balance Calc'!N76)/12</f>
        <v>66.779094156523144</v>
      </c>
      <c r="CQ64" s="352">
        <f>('HRA Balance Calc'!O76)/12</f>
        <v>8.0876614400175342</v>
      </c>
      <c r="CR64" s="352">
        <f>('HRA Balance Calc'!P76)/12</f>
        <v>7.3476803413422898E-4</v>
      </c>
      <c r="CS64" s="352">
        <f t="shared" si="7"/>
        <v>74.86749036457482</v>
      </c>
      <c r="CU64" s="577">
        <f t="shared" si="24"/>
        <v>1217.4086694239218</v>
      </c>
      <c r="CV64" s="352">
        <f t="shared" si="25"/>
        <v>101.45072245199347</v>
      </c>
      <c r="CW64" s="352">
        <f t="shared" si="29"/>
        <v>6.1044947849645173</v>
      </c>
      <c r="CX64" s="352">
        <f t="shared" si="29"/>
        <v>67.999119058738046</v>
      </c>
      <c r="CY64" s="352">
        <f t="shared" si="29"/>
        <v>8.2766921402674214</v>
      </c>
      <c r="CZ64" s="352">
        <f t="shared" si="29"/>
        <v>9.736140949115759E-3</v>
      </c>
      <c r="DA64" s="352">
        <f t="shared" si="9"/>
        <v>82.390042124919091</v>
      </c>
      <c r="DC64" s="352">
        <f>('HRA Balance Calc'!Q76+'HRA Balance Calc'!X76+IF('HRA Balance Calc'!L76&lt;0,-'HRA Balance Calc'!L76,0))/12</f>
        <v>6.6734030912923181</v>
      </c>
      <c r="DD64" s="352">
        <f>('HRA Balance Calc'!N76+'HRA Balance Calc'!U76)/12</f>
        <v>42.75735439603298</v>
      </c>
      <c r="DE64" s="352">
        <f>('HRA Balance Calc'!O76+'HRA Balance Calc'!V76)/12</f>
        <v>9.6214714663624274</v>
      </c>
      <c r="DF64" s="352">
        <f>('HRA Balance Calc'!P76+'HRA Balance Calc'!W76)/12</f>
        <v>3.923111566513573E-3</v>
      </c>
      <c r="DG64" s="352">
        <f t="shared" si="26"/>
        <v>59.056152065254238</v>
      </c>
      <c r="DI64" s="352">
        <f t="shared" si="32"/>
        <v>18.015701740857718</v>
      </c>
      <c r="DJ64" s="352">
        <f t="shared" si="32"/>
        <v>30.254493198864694</v>
      </c>
      <c r="DK64" s="352">
        <f t="shared" si="32"/>
        <v>2.7436579419286051</v>
      </c>
      <c r="DL64" s="352">
        <f t="shared" si="32"/>
        <v>1.6992461085390977</v>
      </c>
      <c r="DM64" s="352">
        <f t="shared" si="32"/>
        <v>52.713098990190105</v>
      </c>
    </row>
    <row r="65" spans="1:117" x14ac:dyDescent="0.2">
      <c r="A65">
        <v>60</v>
      </c>
      <c r="B65" s="397">
        <v>34308</v>
      </c>
      <c r="C65" s="398">
        <v>397997.79676138877</v>
      </c>
      <c r="D65" s="399">
        <v>8.8293306322371876</v>
      </c>
      <c r="E65" s="399">
        <v>92.854007251283619</v>
      </c>
      <c r="F65" s="399">
        <v>11.13648305215918</v>
      </c>
      <c r="G65" s="399">
        <v>0.99657907402444723</v>
      </c>
      <c r="H65" s="399">
        <v>113.81640000970444</v>
      </c>
      <c r="I65" s="400">
        <v>8.8127152332394508E-3</v>
      </c>
      <c r="J65" s="400">
        <v>4.418708392498271E-2</v>
      </c>
      <c r="K65" s="400">
        <v>1.6080491028036987E-4</v>
      </c>
      <c r="L65" s="400">
        <v>0.44139261156135301</v>
      </c>
      <c r="M65" s="400">
        <v>0.41044930733112023</v>
      </c>
      <c r="N65" s="400">
        <v>0.30036301952618089</v>
      </c>
      <c r="O65" s="399">
        <f t="shared" ref="O65:Q105" si="35">I65*O$2</f>
        <v>2.2031788083098629</v>
      </c>
      <c r="P65" s="399">
        <f t="shared" si="35"/>
        <v>0</v>
      </c>
      <c r="Q65" s="399">
        <f t="shared" si="35"/>
        <v>0.16080491028036986</v>
      </c>
      <c r="R65" s="399">
        <f t="shared" si="33"/>
        <v>9.1643989537271953</v>
      </c>
      <c r="S65" s="399">
        <f t="shared" si="33"/>
        <v>12.313479219933607</v>
      </c>
      <c r="T65" s="399">
        <f t="shared" si="33"/>
        <v>18.021781171570854</v>
      </c>
      <c r="U65" s="399">
        <f t="shared" si="10"/>
        <v>41.863643063821883</v>
      </c>
      <c r="V65" s="400">
        <v>6.0836557456416744E-4</v>
      </c>
      <c r="W65" s="400">
        <v>6.8410088078541594E-3</v>
      </c>
      <c r="X65" s="400">
        <v>0</v>
      </c>
      <c r="Y65" s="400">
        <v>7.5022933953332441E-2</v>
      </c>
      <c r="Z65" s="400">
        <v>2.5288783209104011E-2</v>
      </c>
      <c r="AA65" s="400">
        <v>2.005880450837311E-2</v>
      </c>
      <c r="AB65" s="352">
        <f t="shared" ref="AB65:AD105" si="36">V65*AB$2</f>
        <v>0.15209139364104185</v>
      </c>
      <c r="AC65" s="352">
        <f t="shared" si="36"/>
        <v>0</v>
      </c>
      <c r="AD65" s="352">
        <f t="shared" si="36"/>
        <v>0</v>
      </c>
      <c r="AE65" s="352">
        <f t="shared" si="34"/>
        <v>2.6594456470063279</v>
      </c>
      <c r="AF65" s="352">
        <f t="shared" si="34"/>
        <v>0.75866349627312035</v>
      </c>
      <c r="AG65" s="352">
        <f t="shared" si="34"/>
        <v>1.2035282705023866</v>
      </c>
      <c r="AH65" s="400">
        <f t="shared" si="11"/>
        <v>4.7737288074228772</v>
      </c>
      <c r="AJ65" s="352">
        <f>D65*('Assumptions-Output Override'!$D$10/'Winners-Losers HRA'!$H$107)*(1+'Assumptions-Output Override'!$F$41)</f>
        <v>10.53879495392615</v>
      </c>
      <c r="AK65" s="352">
        <f>E65*('Assumptions-Output Override'!$D$10/'Winners-Losers HRA'!$H$107)*(1+'Assumptions-Output Override'!$F$37)</f>
        <v>152.8171469953281</v>
      </c>
      <c r="AL65" s="352">
        <f>F65*('Assumptions-Output Override'!$D$10/'Winners-Losers HRA'!$H$107)*(1+'Assumptions-Output Override'!$F$38)</f>
        <v>18.707576054778016</v>
      </c>
      <c r="AM65" s="352">
        <f>G65*('Shoppable Detail'!$X$21/'Shoppable Detail'!$H$21)*('Assumptions-Output Override'!$D$10/'Winners-Losers HRA'!$H$107)*(1+'Assumptions-Output Override'!$F$39)</f>
        <v>1.7089256880157675</v>
      </c>
      <c r="AN65" s="352">
        <f t="shared" si="12"/>
        <v>183.77244369204806</v>
      </c>
      <c r="AO65" s="352">
        <v>0</v>
      </c>
      <c r="AP65" s="352">
        <f>U65*'Assumptions-Output Override'!$D$10/'Winners-Losers HRA'!$H$107*(1+'Assumptions-Output Override'!$F$37)</f>
        <v>68.898291901727021</v>
      </c>
      <c r="AQ65" s="352">
        <f>AH65*'Assumptions-Output Override'!$D$10/'Winners-Losers HRA'!$H$107*(1+'Assumptions-Output Override'!$F$38)</f>
        <v>8.0191290474270041</v>
      </c>
      <c r="AR65" s="352">
        <f>AM65*('Shoppable Detail'!$AA$23/'Shoppable Detail'!$Y$23)</f>
        <v>5.7100573380271462E-2</v>
      </c>
      <c r="AS65" s="352">
        <f t="shared" si="13"/>
        <v>76.974521522534289</v>
      </c>
      <c r="AT65" s="352">
        <f t="shared" si="14"/>
        <v>10.53879495392615</v>
      </c>
      <c r="AU65" s="352">
        <f t="shared" si="14"/>
        <v>83.918855093601081</v>
      </c>
      <c r="AV65" s="352">
        <f t="shared" si="14"/>
        <v>10.688447007351012</v>
      </c>
      <c r="AW65" s="352">
        <f t="shared" si="14"/>
        <v>1.6518251146354961</v>
      </c>
      <c r="AX65" s="352">
        <f t="shared" si="15"/>
        <v>106.79792216951375</v>
      </c>
      <c r="AY65" s="352">
        <f>AT65*'Assumptions-Output Override'!$D$24</f>
        <v>3.2107062920801446</v>
      </c>
      <c r="AZ65" s="352">
        <f>$AU$107*'Assumptions-Output Override'!$D$21</f>
        <v>46.041131296780591</v>
      </c>
      <c r="BA65" s="352">
        <f>AV65*'Assumptions-Output Override'!$D$22</f>
        <v>1.6032670511026519</v>
      </c>
      <c r="BB65" s="352">
        <f>AW65*'Assumptions-Output Override'!$D$23</f>
        <v>0.2477737671953244</v>
      </c>
      <c r="BC65" s="352">
        <f t="shared" si="16"/>
        <v>51.10287840715872</v>
      </c>
      <c r="BD65" s="352">
        <f t="shared" si="17"/>
        <v>3.2107062920801446</v>
      </c>
      <c r="BE65" s="352">
        <f t="shared" si="17"/>
        <v>114.93942319850761</v>
      </c>
      <c r="BF65" s="352">
        <f t="shared" si="17"/>
        <v>9.6223960985296557</v>
      </c>
      <c r="BG65" s="352">
        <f t="shared" si="17"/>
        <v>0.30487434057559587</v>
      </c>
      <c r="BH65" s="352">
        <f t="shared" si="18"/>
        <v>128.077399929693</v>
      </c>
      <c r="BJ65" s="401">
        <f>D65*'Assumptions-Output Override'!$D$10/'Winners-Losers HRA'!$H$107</f>
        <v>14.916962770731786</v>
      </c>
      <c r="BK65" s="401">
        <f>E65*'Assumptions-Output Override'!$D$10/'Winners-Losers HRA'!$H$107</f>
        <v>156.87483309589217</v>
      </c>
      <c r="BL65" s="401">
        <f>F65*'Assumptions-Output Override'!$D$10/'Winners-Losers HRA'!$H$107</f>
        <v>18.814846787978041</v>
      </c>
      <c r="BM65" s="401">
        <f>G65*'Assumptions-Output Override'!$D$10/'Winners-Losers HRA'!$H$107</f>
        <v>1.6836987496011671</v>
      </c>
      <c r="BN65" s="401">
        <f t="shared" si="2"/>
        <v>192.29034140420316</v>
      </c>
      <c r="BO65" s="401">
        <f>BJ65*(1-'Assumptions-Output Override'!$D$11)</f>
        <v>2.1259622895744554</v>
      </c>
      <c r="BP65" s="401">
        <f>BK65*(1-'Assumptions-Output Override'!$D$11)</f>
        <v>22.357767091805407</v>
      </c>
      <c r="BQ65" s="401">
        <f>BL65*(1-'Assumptions-Output Override'!$D$11)</f>
        <v>2.6814878719041086</v>
      </c>
      <c r="BR65" s="401">
        <f>BM65*(1-'Assumptions-Output Override'!$D$11)</f>
        <v>0.23996037958068495</v>
      </c>
      <c r="BS65" s="352">
        <f t="shared" si="3"/>
        <v>27.405177632864653</v>
      </c>
      <c r="BT65" s="352">
        <f t="shared" si="19"/>
        <v>12.791000481157329</v>
      </c>
      <c r="BU65" s="352">
        <f t="shared" si="19"/>
        <v>134.51706600408676</v>
      </c>
      <c r="BV65" s="352">
        <f t="shared" si="19"/>
        <v>16.133358916073931</v>
      </c>
      <c r="BW65" s="352">
        <f t="shared" si="19"/>
        <v>1.443738370020482</v>
      </c>
      <c r="BX65" s="352">
        <f t="shared" si="4"/>
        <v>164.88516377133851</v>
      </c>
      <c r="BY65" s="352">
        <f>BT$107*(1-'Assumptions-Output Override'!$D$12)</f>
        <v>22.753074310428271</v>
      </c>
      <c r="BZ65" s="352">
        <f>BU$107*(1-'Assumptions-Output Override'!$D$12)</f>
        <v>51.446038369839215</v>
      </c>
      <c r="CA65" s="352">
        <f>BV$107*(1-'Assumptions-Output Override'!$D$12)</f>
        <v>9.7401900534537411</v>
      </c>
      <c r="CB65" s="352">
        <f>BW$107*(1-'Assumptions-Output Override'!$D$12)</f>
        <v>1.7000814189516649</v>
      </c>
      <c r="CC65" s="352">
        <f t="shared" si="5"/>
        <v>85.639384152672903</v>
      </c>
      <c r="CD65" s="352">
        <f t="shared" si="20"/>
        <v>24.879036600002728</v>
      </c>
      <c r="CE65" s="352">
        <f t="shared" si="20"/>
        <v>73.803805461644629</v>
      </c>
      <c r="CF65" s="352">
        <f t="shared" si="20"/>
        <v>12.42167792535785</v>
      </c>
      <c r="CG65" s="352">
        <f t="shared" si="20"/>
        <v>1.9400417985323499</v>
      </c>
      <c r="CH65" s="352">
        <f t="shared" si="6"/>
        <v>113.04456178553757</v>
      </c>
      <c r="CJ65" s="352">
        <f t="shared" si="21"/>
        <v>113.04456178553757</v>
      </c>
      <c r="CK65" s="352">
        <f t="shared" si="22"/>
        <v>76.974521522534289</v>
      </c>
      <c r="CL65" s="352">
        <f t="shared" si="23"/>
        <v>36.070040263003278</v>
      </c>
      <c r="CN65" s="352">
        <f>('HRA Balance Calc'!U77+'HRA Balance Calc'!V77+'HRA Balance Calc'!W77+'HRA Balance Calc'!X77)/12</f>
        <v>-14.842610280346179</v>
      </c>
      <c r="CO65" s="352">
        <f>('HRA Balance Calc'!Q77+IF('HRA Balance Calc'!L77&lt;0,-'HRA Balance Calc'!L77,0))/12</f>
        <v>0</v>
      </c>
      <c r="CP65" s="352">
        <f>('HRA Balance Calc'!N77)/12</f>
        <v>68.898291901727021</v>
      </c>
      <c r="CQ65" s="352">
        <f>('HRA Balance Calc'!O77)/12</f>
        <v>8.0191290474270041</v>
      </c>
      <c r="CR65" s="352">
        <f>('HRA Balance Calc'!P77)/12</f>
        <v>5.7100573380271462E-2</v>
      </c>
      <c r="CS65" s="352">
        <f t="shared" si="7"/>
        <v>76.974521522534289</v>
      </c>
      <c r="CU65" s="577">
        <f t="shared" si="24"/>
        <v>1205.7839331962291</v>
      </c>
      <c r="CV65" s="352">
        <f t="shared" si="25"/>
        <v>100.48199443301908</v>
      </c>
      <c r="CW65" s="352">
        <f t="shared" si="29"/>
        <v>6.7033683426627322</v>
      </c>
      <c r="CX65" s="352">
        <f t="shared" si="29"/>
        <v>70.496240159478219</v>
      </c>
      <c r="CY65" s="352">
        <f t="shared" si="29"/>
        <v>8.4549951802550716</v>
      </c>
      <c r="CZ65" s="352">
        <f t="shared" si="29"/>
        <v>0.75661869444376229</v>
      </c>
      <c r="DA65" s="352">
        <f t="shared" si="9"/>
        <v>86.411222376839774</v>
      </c>
      <c r="DC65" s="352">
        <f>('HRA Balance Calc'!Q77+'HRA Balance Calc'!X77+IF('HRA Balance Calc'!L77&lt;0,-'HRA Balance Calc'!L77,0))/12</f>
        <v>7.3280886618460039</v>
      </c>
      <c r="DD65" s="352">
        <f>('HRA Balance Calc'!N77+'HRA Balance Calc'!U77)/12</f>
        <v>44.876552141236857</v>
      </c>
      <c r="DE65" s="352">
        <f>('HRA Balance Calc'!O77+'HRA Balance Calc'!V77)/12</f>
        <v>9.6223960985296557</v>
      </c>
      <c r="DF65" s="352">
        <f>('HRA Balance Calc'!P77+'HRA Balance Calc'!W77)/12</f>
        <v>0.30487434057559587</v>
      </c>
      <c r="DG65" s="352">
        <f t="shared" si="26"/>
        <v>62.13191124218811</v>
      </c>
      <c r="DI65" s="352">
        <f t="shared" si="32"/>
        <v>17.550947938156725</v>
      </c>
      <c r="DJ65" s="352">
        <f t="shared" si="32"/>
        <v>28.927253320407772</v>
      </c>
      <c r="DK65" s="352">
        <f t="shared" si="32"/>
        <v>2.799281826828194</v>
      </c>
      <c r="DL65" s="352">
        <f t="shared" si="32"/>
        <v>1.6351674579567541</v>
      </c>
      <c r="DM65" s="352">
        <f t="shared" si="32"/>
        <v>50.912650543349457</v>
      </c>
    </row>
    <row r="66" spans="1:117" x14ac:dyDescent="0.2">
      <c r="A66">
        <v>61</v>
      </c>
      <c r="B66" s="397">
        <v>34308</v>
      </c>
      <c r="C66" s="398">
        <v>397997.79676138877</v>
      </c>
      <c r="D66" s="399">
        <v>10.189446511767366</v>
      </c>
      <c r="E66" s="399">
        <v>97.196783238585482</v>
      </c>
      <c r="F66" s="399">
        <v>12.001326669307321</v>
      </c>
      <c r="G66" s="399">
        <v>3.4836611906468684E-3</v>
      </c>
      <c r="H66" s="399">
        <v>119.39104008085081</v>
      </c>
      <c r="I66" s="400">
        <v>1.0140111751949434E-2</v>
      </c>
      <c r="J66" s="400">
        <v>4.5860052657679715E-2</v>
      </c>
      <c r="K66" s="400">
        <v>2.3869478869742401E-4</v>
      </c>
      <c r="L66" s="400">
        <v>0.45556397394421427</v>
      </c>
      <c r="M66" s="400">
        <v>0.41804929915171174</v>
      </c>
      <c r="N66" s="400">
        <v>0.3111801145830741</v>
      </c>
      <c r="O66" s="399">
        <f t="shared" si="35"/>
        <v>2.5350279379873584</v>
      </c>
      <c r="P66" s="399">
        <f t="shared" si="35"/>
        <v>0</v>
      </c>
      <c r="Q66" s="399">
        <f t="shared" si="35"/>
        <v>0.238694788697424</v>
      </c>
      <c r="R66" s="399">
        <f t="shared" si="33"/>
        <v>9.4586313789936298</v>
      </c>
      <c r="S66" s="399">
        <f t="shared" si="33"/>
        <v>12.541478974551353</v>
      </c>
      <c r="T66" s="399">
        <f t="shared" si="33"/>
        <v>18.670806874984446</v>
      </c>
      <c r="U66" s="399">
        <f t="shared" si="10"/>
        <v>43.444639955214214</v>
      </c>
      <c r="V66" s="400">
        <v>6.555449456528183E-4</v>
      </c>
      <c r="W66" s="400">
        <v>6.8645984933984952E-3</v>
      </c>
      <c r="X66" s="400">
        <v>0</v>
      </c>
      <c r="Y66" s="400">
        <v>8.0371355874790704E-2</v>
      </c>
      <c r="Z66" s="400">
        <v>2.5786273400283659E-2</v>
      </c>
      <c r="AA66" s="400">
        <v>2.093438724484965E-2</v>
      </c>
      <c r="AB66" s="352">
        <f t="shared" si="36"/>
        <v>0.16388623641320457</v>
      </c>
      <c r="AC66" s="352">
        <f t="shared" si="36"/>
        <v>0</v>
      </c>
      <c r="AD66" s="352">
        <f t="shared" si="36"/>
        <v>0</v>
      </c>
      <c r="AE66" s="352">
        <f t="shared" si="34"/>
        <v>2.8490388373529392</v>
      </c>
      <c r="AF66" s="352">
        <f t="shared" si="34"/>
        <v>0.77358820200850975</v>
      </c>
      <c r="AG66" s="352">
        <f t="shared" si="34"/>
        <v>1.256063234690979</v>
      </c>
      <c r="AH66" s="400">
        <f t="shared" si="11"/>
        <v>5.0425765104656328</v>
      </c>
      <c r="AJ66" s="352">
        <f>D66*('Assumptions-Output Override'!$D$10/'Winners-Losers HRA'!$H$107)*(1+'Assumptions-Output Override'!$F$41)</f>
        <v>12.162245582857407</v>
      </c>
      <c r="AK66" s="352">
        <f>E66*('Assumptions-Output Override'!$D$10/'Winners-Losers HRA'!$H$107)*(1+'Assumptions-Output Override'!$F$37)</f>
        <v>159.96439519780262</v>
      </c>
      <c r="AL66" s="352">
        <f>F66*('Assumptions-Output Override'!$D$10/'Winners-Losers HRA'!$H$107)*(1+'Assumptions-Output Override'!$F$38)</f>
        <v>20.160380110377179</v>
      </c>
      <c r="AM66" s="352">
        <f>G66*('Shoppable Detail'!$X$21/'Shoppable Detail'!$H$21)*('Assumptions-Output Override'!$D$10/'Winners-Losers HRA'!$H$107)*(1+'Assumptions-Output Override'!$F$39)</f>
        <v>5.9737538668145716E-3</v>
      </c>
      <c r="AN66" s="352">
        <f t="shared" si="12"/>
        <v>192.29299464490401</v>
      </c>
      <c r="AO66" s="352">
        <v>0</v>
      </c>
      <c r="AP66" s="352">
        <f>U66*'Assumptions-Output Override'!$D$10/'Winners-Losers HRA'!$H$107*(1+'Assumptions-Output Override'!$F$37)</f>
        <v>71.500262904413276</v>
      </c>
      <c r="AQ66" s="352">
        <f>AH66*'Assumptions-Output Override'!$D$10/'Winners-Losers HRA'!$H$107*(1+'Assumptions-Output Override'!$F$38)</f>
        <v>8.4707517750213857</v>
      </c>
      <c r="AR66" s="352">
        <f>AM66*('Shoppable Detail'!$AA$23/'Shoppable Detail'!$Y$23)</f>
        <v>1.9960187468641912E-4</v>
      </c>
      <c r="AS66" s="352">
        <f t="shared" si="13"/>
        <v>79.971214281309344</v>
      </c>
      <c r="AT66" s="352">
        <f t="shared" si="14"/>
        <v>12.162245582857407</v>
      </c>
      <c r="AU66" s="352">
        <f t="shared" si="14"/>
        <v>88.464132293389341</v>
      </c>
      <c r="AV66" s="352">
        <f t="shared" si="14"/>
        <v>11.689628335355794</v>
      </c>
      <c r="AW66" s="352">
        <f t="shared" si="14"/>
        <v>5.7741519921281521E-3</v>
      </c>
      <c r="AX66" s="352">
        <f t="shared" si="15"/>
        <v>112.32178036359467</v>
      </c>
      <c r="AY66" s="352">
        <f>AT66*'Assumptions-Output Override'!$D$24</f>
        <v>3.7053001400465297</v>
      </c>
      <c r="AZ66" s="352">
        <f>$AU$107*'Assumptions-Output Override'!$D$21</f>
        <v>46.041131296780591</v>
      </c>
      <c r="BA66" s="352">
        <f>AV66*'Assumptions-Output Override'!$D$22</f>
        <v>1.7534442503033689</v>
      </c>
      <c r="BB66" s="352">
        <f>AW66*'Assumptions-Output Override'!$D$23</f>
        <v>8.6612279881922278E-4</v>
      </c>
      <c r="BC66" s="352">
        <f t="shared" si="16"/>
        <v>51.500741809929309</v>
      </c>
      <c r="BD66" s="352">
        <f t="shared" si="17"/>
        <v>3.7053001400465297</v>
      </c>
      <c r="BE66" s="352">
        <f t="shared" si="17"/>
        <v>117.54139420119387</v>
      </c>
      <c r="BF66" s="352">
        <f t="shared" si="17"/>
        <v>10.224196025324755</v>
      </c>
      <c r="BG66" s="352">
        <f t="shared" si="17"/>
        <v>1.065724673505642E-3</v>
      </c>
      <c r="BH66" s="352">
        <f t="shared" si="18"/>
        <v>131.47195609123867</v>
      </c>
      <c r="BJ66" s="401">
        <f>D66*'Assumptions-Output Override'!$D$10/'Winners-Losers HRA'!$H$107</f>
        <v>17.214849075357801</v>
      </c>
      <c r="BK66" s="401">
        <f>E66*'Assumptions-Output Override'!$D$10/'Winners-Losers HRA'!$H$107</f>
        <v>164.21185901807078</v>
      </c>
      <c r="BL66" s="401">
        <f>F66*'Assumptions-Output Override'!$D$10/'Winners-Losers HRA'!$H$107</f>
        <v>20.275981337906543</v>
      </c>
      <c r="BM66" s="401">
        <f>G66*'Assumptions-Output Override'!$D$10/'Winners-Losers HRA'!$H$107</f>
        <v>5.88557009032919E-3</v>
      </c>
      <c r="BN66" s="401">
        <f t="shared" si="2"/>
        <v>201.70857500142543</v>
      </c>
      <c r="BO66" s="401">
        <f>BJ66*(1-'Assumptions-Output Override'!$D$11)</f>
        <v>2.4534565459085722</v>
      </c>
      <c r="BP66" s="401">
        <f>BK66*(1-'Assumptions-Output Override'!$D$11)</f>
        <v>23.403438430396324</v>
      </c>
      <c r="BQ66" s="401">
        <f>BL66*(1-'Assumptions-Output Override'!$D$11)</f>
        <v>2.8897284501562157</v>
      </c>
      <c r="BR66" s="401">
        <f>BM66*(1-'Assumptions-Output Override'!$D$11)</f>
        <v>8.3881016913427283E-4</v>
      </c>
      <c r="BS66" s="352">
        <f t="shared" si="3"/>
        <v>28.747462236630248</v>
      </c>
      <c r="BT66" s="352">
        <f t="shared" si="19"/>
        <v>14.761392529449228</v>
      </c>
      <c r="BU66" s="352">
        <f t="shared" si="19"/>
        <v>140.80842058767445</v>
      </c>
      <c r="BV66" s="352">
        <f t="shared" si="19"/>
        <v>17.386252887750327</v>
      </c>
      <c r="BW66" s="352">
        <f t="shared" si="19"/>
        <v>5.0467599211949168E-3</v>
      </c>
      <c r="BX66" s="352">
        <f t="shared" si="4"/>
        <v>172.96111276479519</v>
      </c>
      <c r="BY66" s="352">
        <f>BT$107*(1-'Assumptions-Output Override'!$D$12)</f>
        <v>22.753074310428271</v>
      </c>
      <c r="BZ66" s="352">
        <f>BU$107*(1-'Assumptions-Output Override'!$D$12)</f>
        <v>51.446038369839215</v>
      </c>
      <c r="CA66" s="352">
        <f>BV$107*(1-'Assumptions-Output Override'!$D$12)</f>
        <v>9.7401900534537411</v>
      </c>
      <c r="CB66" s="352">
        <f>BW$107*(1-'Assumptions-Output Override'!$D$12)</f>
        <v>1.7000814189516649</v>
      </c>
      <c r="CC66" s="352">
        <f t="shared" si="5"/>
        <v>85.639384152672903</v>
      </c>
      <c r="CD66" s="352">
        <f t="shared" si="20"/>
        <v>25.206530856336844</v>
      </c>
      <c r="CE66" s="352">
        <f t="shared" si="20"/>
        <v>74.849476800235536</v>
      </c>
      <c r="CF66" s="352">
        <f t="shared" si="20"/>
        <v>12.629918503609957</v>
      </c>
      <c r="CG66" s="352">
        <f t="shared" si="20"/>
        <v>1.7009202291207992</v>
      </c>
      <c r="CH66" s="352">
        <f t="shared" si="6"/>
        <v>114.38684638930313</v>
      </c>
      <c r="CJ66" s="352">
        <f t="shared" si="21"/>
        <v>114.38684638930313</v>
      </c>
      <c r="CK66" s="352">
        <f t="shared" si="22"/>
        <v>79.971214281309344</v>
      </c>
      <c r="CL66" s="352">
        <f t="shared" si="23"/>
        <v>34.415632107993787</v>
      </c>
      <c r="CN66" s="352">
        <f>('HRA Balance Calc'!U78+'HRA Balance Calc'!V78+'HRA Balance Calc'!W78+'HRA Balance Calc'!X78)/12</f>
        <v>-13.810483944577095</v>
      </c>
      <c r="CO66" s="352">
        <f>('HRA Balance Calc'!Q78+IF('HRA Balance Calc'!L78&lt;0,-'HRA Balance Calc'!L78,0))/12</f>
        <v>0</v>
      </c>
      <c r="CP66" s="352">
        <f>('HRA Balance Calc'!N78)/12</f>
        <v>71.500262904413276</v>
      </c>
      <c r="CQ66" s="352">
        <f>('HRA Balance Calc'!O78)/12</f>
        <v>8.4707517750213857</v>
      </c>
      <c r="CR66" s="352">
        <f>('HRA Balance Calc'!P78)/12</f>
        <v>1.9960187468641912E-4</v>
      </c>
      <c r="CS66" s="352">
        <f t="shared" si="7"/>
        <v>79.971214281309344</v>
      </c>
      <c r="CU66" s="577">
        <f t="shared" si="24"/>
        <v>1193.3984171669999</v>
      </c>
      <c r="CV66" s="352">
        <f t="shared" si="25"/>
        <v>99.449868097250004</v>
      </c>
      <c r="CW66" s="352">
        <f t="shared" si="29"/>
        <v>7.7359899658587938</v>
      </c>
      <c r="CX66" s="352">
        <f t="shared" si="29"/>
        <v>73.793344808189161</v>
      </c>
      <c r="CY66" s="352">
        <f t="shared" si="29"/>
        <v>9.1115982191511051</v>
      </c>
      <c r="CZ66" s="352">
        <f t="shared" si="29"/>
        <v>2.6448510215125957E-3</v>
      </c>
      <c r="DA66" s="352">
        <f t="shared" si="9"/>
        <v>90.643577844220573</v>
      </c>
      <c r="DC66" s="352">
        <f>('HRA Balance Calc'!Q78+'HRA Balance Calc'!X78+IF('HRA Balance Calc'!L78&lt;0,-'HRA Balance Calc'!L78,0))/12</f>
        <v>8.4569454428108752</v>
      </c>
      <c r="DD66" s="352">
        <f>('HRA Balance Calc'!N78+'HRA Balance Calc'!U78)/12</f>
        <v>47.47852314392312</v>
      </c>
      <c r="DE66" s="352">
        <f>('HRA Balance Calc'!O78+'HRA Balance Calc'!V78)/12</f>
        <v>10.224196025324757</v>
      </c>
      <c r="DF66" s="352">
        <f>('HRA Balance Calc'!P78+'HRA Balance Calc'!W78)/12</f>
        <v>1.0657246735056422E-3</v>
      </c>
      <c r="DG66" s="352">
        <f t="shared" si="26"/>
        <v>66.160730336732257</v>
      </c>
      <c r="DI66" s="352">
        <f t="shared" si="32"/>
        <v>16.749585413525971</v>
      </c>
      <c r="DJ66" s="352">
        <f t="shared" si="32"/>
        <v>27.370953656312416</v>
      </c>
      <c r="DK66" s="352">
        <f t="shared" si="32"/>
        <v>2.4057224782852007</v>
      </c>
      <c r="DL66" s="352">
        <f t="shared" si="32"/>
        <v>1.6998545044472935</v>
      </c>
      <c r="DM66" s="352">
        <f t="shared" si="32"/>
        <v>48.226116052570873</v>
      </c>
    </row>
    <row r="67" spans="1:117" x14ac:dyDescent="0.2">
      <c r="A67">
        <v>62</v>
      </c>
      <c r="B67" s="397">
        <v>34308</v>
      </c>
      <c r="C67" s="398">
        <v>397997.79676138877</v>
      </c>
      <c r="D67" s="399">
        <v>11.254302310714003</v>
      </c>
      <c r="E67" s="399">
        <v>101.22129880728521</v>
      </c>
      <c r="F67" s="399">
        <v>12.839938952015817</v>
      </c>
      <c r="G67" s="399">
        <v>0</v>
      </c>
      <c r="H67" s="399">
        <v>125.31554007001503</v>
      </c>
      <c r="I67" s="400">
        <v>1.0625409915274713E-2</v>
      </c>
      <c r="J67" s="400">
        <v>4.8083192315894627E-2</v>
      </c>
      <c r="K67" s="400">
        <v>2.5125767231307789E-4</v>
      </c>
      <c r="L67" s="400">
        <v>0.46643849942499671</v>
      </c>
      <c r="M67" s="400">
        <v>0.43125268882562867</v>
      </c>
      <c r="N67" s="400">
        <v>0.3234316396911926</v>
      </c>
      <c r="O67" s="399">
        <f t="shared" si="35"/>
        <v>2.6563524788186781</v>
      </c>
      <c r="P67" s="399">
        <f t="shared" si="35"/>
        <v>0</v>
      </c>
      <c r="Q67" s="399">
        <f t="shared" si="35"/>
        <v>0.25125767231307788</v>
      </c>
      <c r="R67" s="399">
        <f t="shared" si="33"/>
        <v>9.6844133411924016</v>
      </c>
      <c r="S67" s="399">
        <f t="shared" si="33"/>
        <v>12.937580664768861</v>
      </c>
      <c r="T67" s="399">
        <f t="shared" si="33"/>
        <v>19.405898381471555</v>
      </c>
      <c r="U67" s="399">
        <f t="shared" si="10"/>
        <v>44.935502538564577</v>
      </c>
      <c r="V67" s="400">
        <v>7.7597649816858088E-4</v>
      </c>
      <c r="W67" s="400">
        <v>7.4096443857121002E-3</v>
      </c>
      <c r="X67" s="400">
        <v>5.0251534462615584E-6</v>
      </c>
      <c r="Y67" s="400">
        <v>8.4258520369062562E-2</v>
      </c>
      <c r="Z67" s="400">
        <v>2.6745977205450688E-2</v>
      </c>
      <c r="AA67" s="400">
        <v>2.2788668866520163E-2</v>
      </c>
      <c r="AB67" s="352">
        <f t="shared" si="36"/>
        <v>0.19399412454214521</v>
      </c>
      <c r="AC67" s="352">
        <f t="shared" si="36"/>
        <v>0</v>
      </c>
      <c r="AD67" s="352">
        <f t="shared" si="36"/>
        <v>5.0251534462615582E-3</v>
      </c>
      <c r="AE67" s="352">
        <f t="shared" si="34"/>
        <v>2.9868327378143547</v>
      </c>
      <c r="AF67" s="352">
        <f t="shared" si="34"/>
        <v>0.80237931616352065</v>
      </c>
      <c r="AG67" s="352">
        <f t="shared" si="34"/>
        <v>1.3673201319912098</v>
      </c>
      <c r="AH67" s="400">
        <f t="shared" si="11"/>
        <v>5.3555514639574913</v>
      </c>
      <c r="AJ67" s="352">
        <f>D67*('Assumptions-Output Override'!$D$10/'Winners-Losers HRA'!$H$107)*(1+'Assumptions-Output Override'!$F$41)</f>
        <v>13.433270237843544</v>
      </c>
      <c r="AK67" s="352">
        <f>E67*('Assumptions-Output Override'!$D$10/'Winners-Losers HRA'!$H$107)*(1+'Assumptions-Output Override'!$F$37)</f>
        <v>166.58785718348304</v>
      </c>
      <c r="AL67" s="352">
        <f>F67*('Assumptions-Output Override'!$D$10/'Winners-Losers HRA'!$H$107)*(1+'Assumptions-Output Override'!$F$38)</f>
        <v>21.56911956481369</v>
      </c>
      <c r="AM67" s="352">
        <f>G67*('Shoppable Detail'!$X$21/'Shoppable Detail'!$H$21)*('Assumptions-Output Override'!$D$10/'Winners-Losers HRA'!$H$107)*(1+'Assumptions-Output Override'!$F$39)</f>
        <v>0</v>
      </c>
      <c r="AN67" s="352">
        <f t="shared" si="12"/>
        <v>201.59024698614027</v>
      </c>
      <c r="AO67" s="352">
        <v>0</v>
      </c>
      <c r="AP67" s="352">
        <f>U67*'Assumptions-Output Override'!$D$10/'Winners-Losers HRA'!$H$107*(1+'Assumptions-Output Override'!$F$37)</f>
        <v>73.953892783123081</v>
      </c>
      <c r="AQ67" s="352">
        <f>AH67*'Assumptions-Output Override'!$D$10/'Winners-Losers HRA'!$H$107*(1+'Assumptions-Output Override'!$F$38)</f>
        <v>8.9965014859729386</v>
      </c>
      <c r="AR67" s="352">
        <f>AM67*('Shoppable Detail'!$AA$23/'Shoppable Detail'!$Y$23)</f>
        <v>0</v>
      </c>
      <c r="AS67" s="352">
        <f t="shared" si="13"/>
        <v>82.950394269096023</v>
      </c>
      <c r="AT67" s="352">
        <f t="shared" si="14"/>
        <v>13.433270237843544</v>
      </c>
      <c r="AU67" s="352">
        <f t="shared" si="14"/>
        <v>92.633964400359957</v>
      </c>
      <c r="AV67" s="352">
        <f t="shared" si="14"/>
        <v>12.572618078840751</v>
      </c>
      <c r="AW67" s="352">
        <f t="shared" si="14"/>
        <v>0</v>
      </c>
      <c r="AX67" s="352">
        <f t="shared" si="15"/>
        <v>118.63985271704425</v>
      </c>
      <c r="AY67" s="352">
        <f>AT67*'Assumptions-Output Override'!$D$24</f>
        <v>4.0925253280299696</v>
      </c>
      <c r="AZ67" s="352">
        <f>$AU$107*'Assumptions-Output Override'!$D$21</f>
        <v>46.041131296780591</v>
      </c>
      <c r="BA67" s="352">
        <f>AV67*'Assumptions-Output Override'!$D$22</f>
        <v>1.8858927118261126</v>
      </c>
      <c r="BB67" s="352">
        <f>AW67*'Assumptions-Output Override'!$D$23</f>
        <v>0</v>
      </c>
      <c r="BC67" s="352">
        <f t="shared" si="16"/>
        <v>52.019549336636672</v>
      </c>
      <c r="BD67" s="352">
        <f t="shared" si="17"/>
        <v>4.0925253280299696</v>
      </c>
      <c r="BE67" s="352">
        <f t="shared" si="17"/>
        <v>119.99502407990367</v>
      </c>
      <c r="BF67" s="352">
        <f t="shared" si="17"/>
        <v>10.882394197799051</v>
      </c>
      <c r="BG67" s="352">
        <f t="shared" si="17"/>
        <v>0</v>
      </c>
      <c r="BH67" s="352">
        <f t="shared" si="18"/>
        <v>134.96994360573268</v>
      </c>
      <c r="BJ67" s="401">
        <f>D67*'Assumptions-Output Override'!$D$10/'Winners-Losers HRA'!$H$107</f>
        <v>19.013899872151896</v>
      </c>
      <c r="BK67" s="401">
        <f>E67*'Assumptions-Output Override'!$D$10/'Winners-Losers HRA'!$H$107</f>
        <v>171.01119085975455</v>
      </c>
      <c r="BL67" s="401">
        <f>F67*'Assumptions-Output Override'!$D$10/'Winners-Losers HRA'!$H$107</f>
        <v>21.692798616734773</v>
      </c>
      <c r="BM67" s="401">
        <f>G67*'Assumptions-Output Override'!$D$10/'Winners-Losers HRA'!$H$107</f>
        <v>0</v>
      </c>
      <c r="BN67" s="401">
        <f t="shared" si="2"/>
        <v>211.71788934864122</v>
      </c>
      <c r="BO67" s="401">
        <f>BJ67*(1-'Assumptions-Output Override'!$D$11)</f>
        <v>2.7098568741655753</v>
      </c>
      <c r="BP67" s="401">
        <f>BK67*(1-'Assumptions-Output Override'!$D$11)</f>
        <v>24.37247772558613</v>
      </c>
      <c r="BQ67" s="401">
        <f>BL67*(1-'Assumptions-Output Override'!$D$11)</f>
        <v>3.0916529405703286</v>
      </c>
      <c r="BR67" s="401">
        <f>BM67*(1-'Assumptions-Output Override'!$D$11)</f>
        <v>0</v>
      </c>
      <c r="BS67" s="352">
        <f t="shared" si="3"/>
        <v>30.173987540322031</v>
      </c>
      <c r="BT67" s="352">
        <f t="shared" si="19"/>
        <v>16.304042997986322</v>
      </c>
      <c r="BU67" s="352">
        <f t="shared" si="19"/>
        <v>146.63871313416843</v>
      </c>
      <c r="BV67" s="352">
        <f t="shared" si="19"/>
        <v>18.601145676164446</v>
      </c>
      <c r="BW67" s="352">
        <f t="shared" si="19"/>
        <v>0</v>
      </c>
      <c r="BX67" s="352">
        <f t="shared" si="4"/>
        <v>181.54390180831919</v>
      </c>
      <c r="BY67" s="352">
        <f>BT$107*(1-'Assumptions-Output Override'!$D$12)</f>
        <v>22.753074310428271</v>
      </c>
      <c r="BZ67" s="352">
        <f>BU$107*(1-'Assumptions-Output Override'!$D$12)</f>
        <v>51.446038369839215</v>
      </c>
      <c r="CA67" s="352">
        <f>BV$107*(1-'Assumptions-Output Override'!$D$12)</f>
        <v>9.7401900534537411</v>
      </c>
      <c r="CB67" s="352">
        <f>BW$107*(1-'Assumptions-Output Override'!$D$12)</f>
        <v>1.7000814189516649</v>
      </c>
      <c r="CC67" s="352">
        <f t="shared" si="5"/>
        <v>85.639384152672903</v>
      </c>
      <c r="CD67" s="352">
        <f t="shared" si="20"/>
        <v>25.462931184593845</v>
      </c>
      <c r="CE67" s="352">
        <f t="shared" si="20"/>
        <v>75.818516095425338</v>
      </c>
      <c r="CF67" s="352">
        <f t="shared" si="20"/>
        <v>12.83184299402407</v>
      </c>
      <c r="CG67" s="352">
        <f t="shared" si="20"/>
        <v>1.7000814189516649</v>
      </c>
      <c r="CH67" s="352">
        <f t="shared" si="6"/>
        <v>115.81337169299492</v>
      </c>
      <c r="CJ67" s="352">
        <f t="shared" si="21"/>
        <v>115.81337169299492</v>
      </c>
      <c r="CK67" s="352">
        <f t="shared" si="22"/>
        <v>82.950394269096023</v>
      </c>
      <c r="CL67" s="352">
        <f t="shared" si="23"/>
        <v>32.862977423898897</v>
      </c>
      <c r="CN67" s="352">
        <f>('HRA Balance Calc'!U79+'HRA Balance Calc'!V79+'HRA Balance Calc'!W79+'HRA Balance Calc'!X79)/12</f>
        <v>-12.795102138850476</v>
      </c>
      <c r="CO67" s="352">
        <f>('HRA Balance Calc'!Q79+IF('HRA Balance Calc'!L79&lt;0,-'HRA Balance Calc'!L79,0))/12</f>
        <v>0</v>
      </c>
      <c r="CP67" s="352">
        <f>('HRA Balance Calc'!N79)/12</f>
        <v>73.953892783123081</v>
      </c>
      <c r="CQ67" s="352">
        <f>('HRA Balance Calc'!O79)/12</f>
        <v>8.9965014859729386</v>
      </c>
      <c r="CR67" s="352">
        <f>('HRA Balance Calc'!P79)/12</f>
        <v>0</v>
      </c>
      <c r="CS67" s="352">
        <f t="shared" si="7"/>
        <v>82.950394269096023</v>
      </c>
      <c r="CU67" s="577">
        <f t="shared" si="24"/>
        <v>1181.2138354982806</v>
      </c>
      <c r="CV67" s="352">
        <f t="shared" si="25"/>
        <v>98.434486291523385</v>
      </c>
      <c r="CW67" s="352">
        <f t="shared" si="29"/>
        <v>8.5444454365484273</v>
      </c>
      <c r="CX67" s="352">
        <f t="shared" si="29"/>
        <v>76.848821081699072</v>
      </c>
      <c r="CY67" s="352">
        <f t="shared" si="29"/>
        <v>9.7482860114454883</v>
      </c>
      <c r="CZ67" s="352">
        <f t="shared" si="29"/>
        <v>0</v>
      </c>
      <c r="DA67" s="352">
        <f t="shared" si="9"/>
        <v>95.141552529692987</v>
      </c>
      <c r="DC67" s="352">
        <f>('HRA Balance Calc'!Q79+'HRA Balance Calc'!X79+IF('HRA Balance Calc'!L79&lt;0,-'HRA Balance Calc'!L79,0))/12</f>
        <v>9.3407449098135746</v>
      </c>
      <c r="DD67" s="352">
        <f>('HRA Balance Calc'!N79+'HRA Balance Calc'!U79)/12</f>
        <v>49.932153022632917</v>
      </c>
      <c r="DE67" s="352">
        <f>('HRA Balance Calc'!O79+'HRA Balance Calc'!V79)/12</f>
        <v>10.882394197799051</v>
      </c>
      <c r="DF67" s="352">
        <f>('HRA Balance Calc'!P79+'HRA Balance Calc'!W79)/12</f>
        <v>0</v>
      </c>
      <c r="DG67" s="352">
        <f t="shared" si="26"/>
        <v>70.155292130245542</v>
      </c>
      <c r="DI67" s="352">
        <f t="shared" si="32"/>
        <v>16.122186274780269</v>
      </c>
      <c r="DJ67" s="352">
        <f t="shared" si="32"/>
        <v>25.88636307279242</v>
      </c>
      <c r="DK67" s="352">
        <f t="shared" si="32"/>
        <v>1.9494487962250187</v>
      </c>
      <c r="DL67" s="352">
        <f t="shared" si="32"/>
        <v>1.7000814189516649</v>
      </c>
      <c r="DM67" s="352">
        <f t="shared" si="32"/>
        <v>45.658079562749379</v>
      </c>
    </row>
    <row r="68" spans="1:117" x14ac:dyDescent="0.2">
      <c r="A68">
        <v>63</v>
      </c>
      <c r="B68" s="397">
        <v>34308</v>
      </c>
      <c r="C68" s="398">
        <v>397997.79676138877</v>
      </c>
      <c r="D68" s="399">
        <v>12.408568876956556</v>
      </c>
      <c r="E68" s="399">
        <v>105.64450467358735</v>
      </c>
      <c r="F68" s="399">
        <v>13.55643085704873</v>
      </c>
      <c r="G68" s="399">
        <v>3.808642953063946E-3</v>
      </c>
      <c r="H68" s="399">
        <v>131.61331305054568</v>
      </c>
      <c r="I68" s="400">
        <v>1.1811832931527499E-2</v>
      </c>
      <c r="J68" s="400">
        <v>5.0156625599818913E-2</v>
      </c>
      <c r="K68" s="400">
        <v>2.9397147660630116E-4</v>
      </c>
      <c r="L68" s="400">
        <v>0.48076288772752285</v>
      </c>
      <c r="M68" s="400">
        <v>0.44106651199696822</v>
      </c>
      <c r="N68" s="400">
        <v>0.33234168901523203</v>
      </c>
      <c r="O68" s="399">
        <f t="shared" si="35"/>
        <v>2.9529582328818749</v>
      </c>
      <c r="P68" s="399">
        <f t="shared" si="35"/>
        <v>0</v>
      </c>
      <c r="Q68" s="399">
        <f t="shared" si="35"/>
        <v>0.29397147660630119</v>
      </c>
      <c r="R68" s="399">
        <f t="shared" si="33"/>
        <v>9.9818229618656868</v>
      </c>
      <c r="S68" s="399">
        <f t="shared" si="33"/>
        <v>13.231995359909046</v>
      </c>
      <c r="T68" s="399">
        <f t="shared" si="33"/>
        <v>19.940501340913922</v>
      </c>
      <c r="U68" s="399">
        <f t="shared" si="10"/>
        <v>46.401249372176835</v>
      </c>
      <c r="V68" s="400">
        <v>8.4674555480155581E-4</v>
      </c>
      <c r="W68" s="400">
        <v>8.0018696491143543E-3</v>
      </c>
      <c r="X68" s="400">
        <v>5.0251534462615584E-6</v>
      </c>
      <c r="Y68" s="400">
        <v>8.6964593333843584E-2</v>
      </c>
      <c r="Z68" s="400">
        <v>2.7600755806660032E-2</v>
      </c>
      <c r="AA68" s="400">
        <v>2.3051886404035316E-2</v>
      </c>
      <c r="AB68" s="352">
        <f t="shared" si="36"/>
        <v>0.21168638870038894</v>
      </c>
      <c r="AC68" s="352">
        <f t="shared" si="36"/>
        <v>0</v>
      </c>
      <c r="AD68" s="352">
        <f t="shared" si="36"/>
        <v>5.0251534462615582E-3</v>
      </c>
      <c r="AE68" s="352">
        <f t="shared" si="34"/>
        <v>3.0827587911881809</v>
      </c>
      <c r="AF68" s="352">
        <f t="shared" si="34"/>
        <v>0.82802267419980091</v>
      </c>
      <c r="AG68" s="352">
        <f t="shared" si="34"/>
        <v>1.3831131842421189</v>
      </c>
      <c r="AH68" s="400">
        <f t="shared" si="11"/>
        <v>5.510606191776751</v>
      </c>
      <c r="AJ68" s="352">
        <f>D68*('Assumptions-Output Override'!$D$10/'Winners-Losers HRA'!$H$107)*(1+'Assumptions-Output Override'!$F$41)</f>
        <v>14.811016657191351</v>
      </c>
      <c r="AK68" s="352">
        <f>E68*('Assumptions-Output Override'!$D$10/'Winners-Losers HRA'!$H$107)*(1+'Assumptions-Output Override'!$F$37)</f>
        <v>173.8674751673579</v>
      </c>
      <c r="AL68" s="352">
        <f>F68*('Assumptions-Output Override'!$D$10/'Winners-Losers HRA'!$H$107)*(1+'Assumptions-Output Override'!$F$38)</f>
        <v>22.772715596276893</v>
      </c>
      <c r="AM68" s="352">
        <f>G68*('Shoppable Detail'!$X$21/'Shoppable Detail'!$H$21)*('Assumptions-Output Override'!$D$10/'Winners-Losers HRA'!$H$107)*(1+'Assumptions-Output Override'!$F$39)</f>
        <v>6.5310299489707551E-3</v>
      </c>
      <c r="AN68" s="352">
        <f t="shared" si="12"/>
        <v>211.45773845077511</v>
      </c>
      <c r="AO68" s="352">
        <v>0</v>
      </c>
      <c r="AP68" s="352">
        <f>U68*'Assumptions-Output Override'!$D$10/'Winners-Losers HRA'!$H$107*(1+'Assumptions-Output Override'!$F$37)</f>
        <v>76.36618769597365</v>
      </c>
      <c r="AQ68" s="352">
        <f>AH68*'Assumptions-Output Override'!$D$10/'Winners-Losers HRA'!$H$107*(1+'Assumptions-Output Override'!$F$38)</f>
        <v>9.2569695439537139</v>
      </c>
      <c r="AR68" s="352">
        <f>AM68*('Shoppable Detail'!$AA$23/'Shoppable Detail'!$Y$23)</f>
        <v>2.1822221847630997E-4</v>
      </c>
      <c r="AS68" s="352">
        <f t="shared" si="13"/>
        <v>85.623375462145844</v>
      </c>
      <c r="AT68" s="352">
        <f t="shared" si="14"/>
        <v>14.811016657191351</v>
      </c>
      <c r="AU68" s="352">
        <f t="shared" si="14"/>
        <v>97.501287471384245</v>
      </c>
      <c r="AV68" s="352">
        <f t="shared" si="14"/>
        <v>13.515746052323179</v>
      </c>
      <c r="AW68" s="352">
        <f t="shared" si="14"/>
        <v>6.3128077304944455E-3</v>
      </c>
      <c r="AX68" s="352">
        <f t="shared" si="15"/>
        <v>125.83436298862927</v>
      </c>
      <c r="AY68" s="352">
        <f>AT68*'Assumptions-Output Override'!$D$24</f>
        <v>4.5122639335185353</v>
      </c>
      <c r="AZ68" s="352">
        <f>$AU$107*'Assumptions-Output Override'!$D$21</f>
        <v>46.041131296780591</v>
      </c>
      <c r="BA68" s="352">
        <f>AV68*'Assumptions-Output Override'!$D$22</f>
        <v>2.0273619078484768</v>
      </c>
      <c r="BB68" s="352">
        <f>AW68*'Assumptions-Output Override'!$D$23</f>
        <v>9.469211595741668E-4</v>
      </c>
      <c r="BC68" s="352">
        <f t="shared" si="16"/>
        <v>52.581704059307178</v>
      </c>
      <c r="BD68" s="352">
        <f t="shared" si="17"/>
        <v>4.5122639335185353</v>
      </c>
      <c r="BE68" s="352">
        <f t="shared" si="17"/>
        <v>122.40731899275424</v>
      </c>
      <c r="BF68" s="352">
        <f t="shared" si="17"/>
        <v>11.28433145180219</v>
      </c>
      <c r="BG68" s="352">
        <f t="shared" si="17"/>
        <v>1.1651433780504768E-3</v>
      </c>
      <c r="BH68" s="352">
        <f t="shared" si="18"/>
        <v>138.20507952145303</v>
      </c>
      <c r="BJ68" s="401">
        <f>D68*'Assumptions-Output Override'!$D$10/'Winners-Losers HRA'!$H$107</f>
        <v>20.964008222752632</v>
      </c>
      <c r="BK68" s="401">
        <f>E68*'Assumptions-Output Override'!$D$10/'Winners-Losers HRA'!$H$107</f>
        <v>178.48410131958104</v>
      </c>
      <c r="BL68" s="401">
        <f>F68*'Assumptions-Output Override'!$D$10/'Winners-Losers HRA'!$H$107</f>
        <v>22.903296163840285</v>
      </c>
      <c r="BM68" s="401">
        <f>G68*'Assumptions-Output Override'!$D$10/'Winners-Losers HRA'!$H$107</f>
        <v>6.4346197355472012E-3</v>
      </c>
      <c r="BN68" s="401">
        <f t="shared" si="2"/>
        <v>222.35784032590951</v>
      </c>
      <c r="BO68" s="401">
        <f>BJ68*(1-'Assumptions-Output Override'!$D$11)</f>
        <v>2.9877858921353653</v>
      </c>
      <c r="BP68" s="401">
        <f>BK68*(1-'Assumptions-Output Override'!$D$11)</f>
        <v>25.437515298927089</v>
      </c>
      <c r="BQ68" s="401">
        <f>BL68*(1-'Assumptions-Output Override'!$D$11)</f>
        <v>3.2641727876948412</v>
      </c>
      <c r="BR68" s="401">
        <f>BM68*(1-'Assumptions-Output Override'!$D$11)</f>
        <v>9.1706060514983869E-4</v>
      </c>
      <c r="BS68" s="352">
        <f t="shared" si="3"/>
        <v>31.690391039362442</v>
      </c>
      <c r="BT68" s="352">
        <f t="shared" si="19"/>
        <v>17.976222330617269</v>
      </c>
      <c r="BU68" s="352">
        <f t="shared" si="19"/>
        <v>153.04658602065396</v>
      </c>
      <c r="BV68" s="352">
        <f t="shared" si="19"/>
        <v>19.639123376145442</v>
      </c>
      <c r="BW68" s="352">
        <f t="shared" si="19"/>
        <v>5.5175591303973622E-3</v>
      </c>
      <c r="BX68" s="352">
        <f t="shared" si="4"/>
        <v>190.66744928654708</v>
      </c>
      <c r="BY68" s="352">
        <f>BT$107*(1-'Assumptions-Output Override'!$D$12)</f>
        <v>22.753074310428271</v>
      </c>
      <c r="BZ68" s="352">
        <f>BU$107*(1-'Assumptions-Output Override'!$D$12)</f>
        <v>51.446038369839215</v>
      </c>
      <c r="CA68" s="352">
        <f>BV$107*(1-'Assumptions-Output Override'!$D$12)</f>
        <v>9.7401900534537411</v>
      </c>
      <c r="CB68" s="352">
        <f>BW$107*(1-'Assumptions-Output Override'!$D$12)</f>
        <v>1.7000814189516649</v>
      </c>
      <c r="CC68" s="352">
        <f t="shared" si="5"/>
        <v>85.639384152672903</v>
      </c>
      <c r="CD68" s="352">
        <f t="shared" si="20"/>
        <v>25.740860202563638</v>
      </c>
      <c r="CE68" s="352">
        <f t="shared" si="20"/>
        <v>76.883553668766297</v>
      </c>
      <c r="CF68" s="352">
        <f t="shared" si="20"/>
        <v>13.004362841148582</v>
      </c>
      <c r="CG68" s="352">
        <f t="shared" si="20"/>
        <v>1.7009984795568147</v>
      </c>
      <c r="CH68" s="352">
        <f t="shared" si="6"/>
        <v>117.32977519203533</v>
      </c>
      <c r="CJ68" s="352">
        <f t="shared" si="21"/>
        <v>117.32977519203533</v>
      </c>
      <c r="CK68" s="352">
        <f t="shared" si="22"/>
        <v>85.623375462145844</v>
      </c>
      <c r="CL68" s="352">
        <f t="shared" si="23"/>
        <v>31.706399729889483</v>
      </c>
      <c r="CN68" s="352">
        <f>('HRA Balance Calc'!U80+'HRA Balance Calc'!V80+'HRA Balance Calc'!W80+'HRA Balance Calc'!X80)/12</f>
        <v>-11.694678207809298</v>
      </c>
      <c r="CO68" s="352">
        <f>('HRA Balance Calc'!Q80+IF('HRA Balance Calc'!L80&lt;0,-'HRA Balance Calc'!L80,0))/12</f>
        <v>0</v>
      </c>
      <c r="CP68" s="352">
        <f>('HRA Balance Calc'!N80)/12</f>
        <v>76.36618769597365</v>
      </c>
      <c r="CQ68" s="352">
        <f>('HRA Balance Calc'!O80)/12</f>
        <v>9.2569695439537139</v>
      </c>
      <c r="CR68" s="352">
        <f>('HRA Balance Calc'!P80)/12</f>
        <v>2.1822221847630997E-4</v>
      </c>
      <c r="CS68" s="352">
        <f t="shared" si="7"/>
        <v>85.623375462145844</v>
      </c>
      <c r="CU68" s="577">
        <f t="shared" si="24"/>
        <v>1168.0087483257864</v>
      </c>
      <c r="CV68" s="352">
        <f t="shared" si="25"/>
        <v>97.334062360482207</v>
      </c>
      <c r="CW68" s="352">
        <f t="shared" si="29"/>
        <v>9.4207829848211908</v>
      </c>
      <c r="CX68" s="352">
        <f t="shared" si="29"/>
        <v>80.206989374660253</v>
      </c>
      <c r="CY68" s="352">
        <f t="shared" si="29"/>
        <v>10.292258069353888</v>
      </c>
      <c r="CZ68" s="352">
        <f t="shared" si="29"/>
        <v>2.8915823479141074E-3</v>
      </c>
      <c r="DA68" s="352">
        <f t="shared" si="9"/>
        <v>99.922922011183246</v>
      </c>
      <c r="DC68" s="352">
        <f>('HRA Balance Calc'!Q80+'HRA Balance Calc'!X80+IF('HRA Balance Calc'!L80&lt;0,-'HRA Balance Calc'!L80,0))/12</f>
        <v>10.298752723672814</v>
      </c>
      <c r="DD68" s="352">
        <f>('HRA Balance Calc'!N80+'HRA Balance Calc'!U80)/12</f>
        <v>52.344447935483487</v>
      </c>
      <c r="DE68" s="352">
        <f>('HRA Balance Calc'!O80+'HRA Balance Calc'!V80)/12</f>
        <v>11.28433145180219</v>
      </c>
      <c r="DF68" s="352">
        <f>('HRA Balance Calc'!P80+'HRA Balance Calc'!W80)/12</f>
        <v>1.165143378050477E-3</v>
      </c>
      <c r="DG68" s="352">
        <f t="shared" si="26"/>
        <v>73.928697254336541</v>
      </c>
      <c r="DI68" s="352">
        <f t="shared" si="32"/>
        <v>15.442107478890824</v>
      </c>
      <c r="DJ68" s="352">
        <f t="shared" si="32"/>
        <v>24.53910573328281</v>
      </c>
      <c r="DK68" s="352">
        <f t="shared" si="32"/>
        <v>1.7200313893463921</v>
      </c>
      <c r="DL68" s="352">
        <f t="shared" si="32"/>
        <v>1.6998333361787643</v>
      </c>
      <c r="DM68" s="352">
        <f t="shared" si="32"/>
        <v>43.401077937698787</v>
      </c>
    </row>
    <row r="69" spans="1:117" x14ac:dyDescent="0.2">
      <c r="A69">
        <v>64</v>
      </c>
      <c r="B69" s="397">
        <v>34308</v>
      </c>
      <c r="C69" s="398">
        <v>397997.79676138877</v>
      </c>
      <c r="D69" s="399">
        <v>13.330196861410503</v>
      </c>
      <c r="E69" s="399">
        <v>110.58907811777082</v>
      </c>
      <c r="F69" s="399">
        <v>14.308322301256849</v>
      </c>
      <c r="G69" s="399">
        <v>0</v>
      </c>
      <c r="H69" s="399">
        <v>138.22759728043818</v>
      </c>
      <c r="I69" s="400">
        <v>1.2728784474057279E-2</v>
      </c>
      <c r="J69" s="400">
        <v>5.4304739720786747E-2</v>
      </c>
      <c r="K69" s="400">
        <v>4.0703742914718622E-4</v>
      </c>
      <c r="L69" s="400">
        <v>0.49278607612424119</v>
      </c>
      <c r="M69" s="400">
        <v>0.45134300104611264</v>
      </c>
      <c r="N69" s="400">
        <v>0.33885549391840908</v>
      </c>
      <c r="O69" s="399">
        <f t="shared" si="35"/>
        <v>3.1821961185143199</v>
      </c>
      <c r="P69" s="399">
        <f t="shared" si="35"/>
        <v>0</v>
      </c>
      <c r="Q69" s="399">
        <f t="shared" si="35"/>
        <v>0.40703742914718621</v>
      </c>
      <c r="R69" s="399">
        <f t="shared" si="33"/>
        <v>10.231453998446902</v>
      </c>
      <c r="S69" s="399">
        <f t="shared" si="33"/>
        <v>13.540290031383378</v>
      </c>
      <c r="T69" s="399">
        <f t="shared" si="33"/>
        <v>20.331329635104545</v>
      </c>
      <c r="U69" s="399">
        <f t="shared" si="10"/>
        <v>47.692307212596333</v>
      </c>
      <c r="V69" s="400">
        <v>7.1762306550630451E-4</v>
      </c>
      <c r="W69" s="400">
        <v>8.1496155743656287E-3</v>
      </c>
      <c r="X69" s="400">
        <v>5.0251534462615584E-6</v>
      </c>
      <c r="Y69" s="400">
        <v>8.6275714832456107E-2</v>
      </c>
      <c r="Z69" s="400">
        <v>2.9133930123114431E-2</v>
      </c>
      <c r="AA69" s="400">
        <v>2.3526763404707034E-2</v>
      </c>
      <c r="AB69" s="352">
        <f t="shared" si="36"/>
        <v>0.17940576637657613</v>
      </c>
      <c r="AC69" s="352">
        <f t="shared" si="36"/>
        <v>0</v>
      </c>
      <c r="AD69" s="352">
        <f t="shared" si="36"/>
        <v>5.0251534462615582E-3</v>
      </c>
      <c r="AE69" s="352">
        <f t="shared" si="34"/>
        <v>3.0583391259566026</v>
      </c>
      <c r="AF69" s="352">
        <f t="shared" si="34"/>
        <v>0.87401790369343291</v>
      </c>
      <c r="AG69" s="352">
        <f t="shared" si="34"/>
        <v>1.411605804282422</v>
      </c>
      <c r="AH69" s="400">
        <f t="shared" si="11"/>
        <v>5.528393753755295</v>
      </c>
      <c r="AJ69" s="352">
        <f>D69*('Assumptions-Output Override'!$D$10/'Winners-Losers HRA'!$H$107)*(1+'Assumptions-Output Override'!$F$41)</f>
        <v>15.911082874725137</v>
      </c>
      <c r="AK69" s="352">
        <f>E69*('Assumptions-Output Override'!$D$10/'Winners-Losers HRA'!$H$107)*(1+'Assumptions-Output Override'!$F$37)</f>
        <v>182.00514880382377</v>
      </c>
      <c r="AL69" s="352">
        <f>F69*('Assumptions-Output Override'!$D$10/'Winners-Losers HRA'!$H$107)*(1+'Assumptions-Output Override'!$F$38)</f>
        <v>24.03577740058082</v>
      </c>
      <c r="AM69" s="352">
        <f>G69*('Shoppable Detail'!$X$21/'Shoppable Detail'!$H$21)*('Assumptions-Output Override'!$D$10/'Winners-Losers HRA'!$H$107)*(1+'Assumptions-Output Override'!$F$39)</f>
        <v>0</v>
      </c>
      <c r="AN69" s="352">
        <f t="shared" si="12"/>
        <v>221.95200907912974</v>
      </c>
      <c r="AO69" s="352">
        <v>0</v>
      </c>
      <c r="AP69" s="352">
        <f>U69*'Assumptions-Output Override'!$D$10/'Winners-Losers HRA'!$H$107*(1+'Assumptions-Output Override'!$F$37)</f>
        <v>78.490983185358729</v>
      </c>
      <c r="AQ69" s="352">
        <f>AH69*'Assumptions-Output Override'!$D$10/'Winners-Losers HRA'!$H$107*(1+'Assumptions-Output Override'!$F$38)</f>
        <v>9.2868499080672446</v>
      </c>
      <c r="AR69" s="352">
        <f>AM69*('Shoppable Detail'!$AA$23/'Shoppable Detail'!$Y$23)</f>
        <v>0</v>
      </c>
      <c r="AS69" s="352">
        <f t="shared" si="13"/>
        <v>87.777833093425969</v>
      </c>
      <c r="AT69" s="352">
        <f t="shared" si="14"/>
        <v>15.911082874725137</v>
      </c>
      <c r="AU69" s="352">
        <f t="shared" si="14"/>
        <v>103.51416561846504</v>
      </c>
      <c r="AV69" s="352">
        <f t="shared" si="14"/>
        <v>14.748927492513575</v>
      </c>
      <c r="AW69" s="352">
        <f t="shared" si="14"/>
        <v>0</v>
      </c>
      <c r="AX69" s="352">
        <f t="shared" si="15"/>
        <v>134.17417598570376</v>
      </c>
      <c r="AY69" s="352">
        <f>AT69*'Assumptions-Output Override'!$D$24</f>
        <v>4.8474056211385905</v>
      </c>
      <c r="AZ69" s="352">
        <f>$AU$107*'Assumptions-Output Override'!$D$21</f>
        <v>46.041131296780591</v>
      </c>
      <c r="BA69" s="352">
        <f>AV69*'Assumptions-Output Override'!$D$22</f>
        <v>2.2123391238770362</v>
      </c>
      <c r="BB69" s="352">
        <f>AW69*'Assumptions-Output Override'!$D$23</f>
        <v>0</v>
      </c>
      <c r="BC69" s="352">
        <f t="shared" si="16"/>
        <v>53.100876041796219</v>
      </c>
      <c r="BD69" s="352">
        <f t="shared" si="17"/>
        <v>4.8474056211385905</v>
      </c>
      <c r="BE69" s="352">
        <f t="shared" si="17"/>
        <v>124.53211448213932</v>
      </c>
      <c r="BF69" s="352">
        <f t="shared" si="17"/>
        <v>11.499189031944281</v>
      </c>
      <c r="BG69" s="352">
        <f t="shared" si="17"/>
        <v>0</v>
      </c>
      <c r="BH69" s="352">
        <f t="shared" si="18"/>
        <v>140.87870913522218</v>
      </c>
      <c r="BJ69" s="401">
        <f>D69*'Assumptions-Output Override'!$D$10/'Winners-Losers HRA'!$H$107</f>
        <v>22.521078730721658</v>
      </c>
      <c r="BK69" s="401">
        <f>E69*'Assumptions-Output Override'!$D$10/'Winners-Losers HRA'!$H$107</f>
        <v>186.83785100415309</v>
      </c>
      <c r="BL69" s="401">
        <f>F69*'Assumptions-Output Override'!$D$10/'Winners-Losers HRA'!$H$107</f>
        <v>24.173600465270933</v>
      </c>
      <c r="BM69" s="401">
        <f>G69*'Assumptions-Output Override'!$D$10/'Winners-Losers HRA'!$H$107</f>
        <v>0</v>
      </c>
      <c r="BN69" s="401">
        <f t="shared" si="2"/>
        <v>233.53253020014569</v>
      </c>
      <c r="BO69" s="401">
        <f>BJ69*(1-'Assumptions-Output Override'!$D$11)</f>
        <v>3.2096992422608817</v>
      </c>
      <c r="BP69" s="401">
        <f>BK69*(1-'Assumptions-Output Override'!$D$11)</f>
        <v>26.628089886992072</v>
      </c>
      <c r="BQ69" s="401">
        <f>BL69*(1-'Assumptions-Output Override'!$D$11)</f>
        <v>3.4452162804375197</v>
      </c>
      <c r="BR69" s="401">
        <f>BM69*(1-'Assumptions-Output Override'!$D$11)</f>
        <v>0</v>
      </c>
      <c r="BS69" s="352">
        <f t="shared" si="3"/>
        <v>33.283005409690475</v>
      </c>
      <c r="BT69" s="352">
        <f t="shared" si="19"/>
        <v>19.311379488460776</v>
      </c>
      <c r="BU69" s="352">
        <f t="shared" si="19"/>
        <v>160.20976111716101</v>
      </c>
      <c r="BV69" s="352">
        <f t="shared" si="19"/>
        <v>20.728384184833413</v>
      </c>
      <c r="BW69" s="352">
        <f t="shared" si="19"/>
        <v>0</v>
      </c>
      <c r="BX69" s="352">
        <f t="shared" si="4"/>
        <v>200.24952479045518</v>
      </c>
      <c r="BY69" s="352">
        <f>BT$107*(1-'Assumptions-Output Override'!$D$12)</f>
        <v>22.753074310428271</v>
      </c>
      <c r="BZ69" s="352">
        <f>BU$107*(1-'Assumptions-Output Override'!$D$12)</f>
        <v>51.446038369839215</v>
      </c>
      <c r="CA69" s="352">
        <f>BV$107*(1-'Assumptions-Output Override'!$D$12)</f>
        <v>9.7401900534537411</v>
      </c>
      <c r="CB69" s="352">
        <f>BW$107*(1-'Assumptions-Output Override'!$D$12)</f>
        <v>1.7000814189516649</v>
      </c>
      <c r="CC69" s="352">
        <f t="shared" si="5"/>
        <v>85.639384152672903</v>
      </c>
      <c r="CD69" s="352">
        <f t="shared" si="20"/>
        <v>25.962773552689153</v>
      </c>
      <c r="CE69" s="352">
        <f t="shared" si="20"/>
        <v>78.074128256831287</v>
      </c>
      <c r="CF69" s="352">
        <f t="shared" si="20"/>
        <v>13.185406333891262</v>
      </c>
      <c r="CG69" s="352">
        <f t="shared" si="20"/>
        <v>1.7000814189516649</v>
      </c>
      <c r="CH69" s="352">
        <f t="shared" si="6"/>
        <v>118.92238956236338</v>
      </c>
      <c r="CJ69" s="352">
        <f t="shared" si="21"/>
        <v>118.92238956236338</v>
      </c>
      <c r="CK69" s="352">
        <f t="shared" si="22"/>
        <v>87.777833093425969</v>
      </c>
      <c r="CL69" s="352">
        <f t="shared" si="23"/>
        <v>31.144556468937409</v>
      </c>
      <c r="CN69" s="352">
        <f>('HRA Balance Calc'!U81+'HRA Balance Calc'!V81+'HRA Balance Calc'!W81+'HRA Balance Calc'!X81)/12</f>
        <v>-10.745723383026579</v>
      </c>
      <c r="CO69" s="352">
        <f>('HRA Balance Calc'!Q81+IF('HRA Balance Calc'!L81&lt;0,-'HRA Balance Calc'!L81,0))/12</f>
        <v>0</v>
      </c>
      <c r="CP69" s="352">
        <f>('HRA Balance Calc'!N81)/12</f>
        <v>78.490983185358729</v>
      </c>
      <c r="CQ69" s="352">
        <f>('HRA Balance Calc'!O81)/12</f>
        <v>9.2868499080672446</v>
      </c>
      <c r="CR69" s="352">
        <f>('HRA Balance Calc'!P81)/12</f>
        <v>0</v>
      </c>
      <c r="CS69" s="352">
        <f t="shared" si="7"/>
        <v>87.777833093425969</v>
      </c>
      <c r="CU69" s="577">
        <f t="shared" si="24"/>
        <v>1156.6212904283939</v>
      </c>
      <c r="CV69" s="352">
        <f t="shared" si="25"/>
        <v>96.38510753569949</v>
      </c>
      <c r="CW69" s="352">
        <f t="shared" si="29"/>
        <v>10.120497619149621</v>
      </c>
      <c r="CX69" s="352">
        <f t="shared" si="29"/>
        <v>83.960988230778753</v>
      </c>
      <c r="CY69" s="352">
        <f t="shared" si="29"/>
        <v>10.86310602081933</v>
      </c>
      <c r="CZ69" s="352">
        <f t="shared" si="29"/>
        <v>0</v>
      </c>
      <c r="DA69" s="352">
        <f t="shared" si="9"/>
        <v>104.9445918707477</v>
      </c>
      <c r="DC69" s="352">
        <f>('HRA Balance Calc'!Q81+'HRA Balance Calc'!X81+IF('HRA Balance Calc'!L81&lt;0,-'HRA Balance Calc'!L81,0))/12</f>
        <v>11.063677253586546</v>
      </c>
      <c r="DD69" s="352">
        <f>('HRA Balance Calc'!N81+'HRA Balance Calc'!U81)/12</f>
        <v>54.469243424868559</v>
      </c>
      <c r="DE69" s="352">
        <f>('HRA Balance Calc'!O81+'HRA Balance Calc'!V81)/12</f>
        <v>11.499189031944281</v>
      </c>
      <c r="DF69" s="352">
        <f>('HRA Balance Calc'!P81+'HRA Balance Calc'!W81)/12</f>
        <v>0</v>
      </c>
      <c r="DG69" s="352">
        <f t="shared" si="26"/>
        <v>77.032109710399382</v>
      </c>
      <c r="DI69" s="352">
        <f t="shared" si="32"/>
        <v>14.899096299102608</v>
      </c>
      <c r="DJ69" s="352">
        <f t="shared" si="32"/>
        <v>23.604884831962728</v>
      </c>
      <c r="DK69" s="352">
        <f t="shared" si="32"/>
        <v>1.6862173019469804</v>
      </c>
      <c r="DL69" s="352">
        <f t="shared" si="32"/>
        <v>1.7000814189516649</v>
      </c>
      <c r="DM69" s="352">
        <f t="shared" si="32"/>
        <v>41.890279851963996</v>
      </c>
    </row>
    <row r="70" spans="1:117" x14ac:dyDescent="0.2">
      <c r="A70">
        <v>65</v>
      </c>
      <c r="B70" s="397">
        <v>34308</v>
      </c>
      <c r="C70" s="398">
        <v>397997.79676138877</v>
      </c>
      <c r="D70" s="399">
        <v>14.751782539948534</v>
      </c>
      <c r="E70" s="399">
        <v>115.20567394889517</v>
      </c>
      <c r="F70" s="399">
        <v>15.180343509691941</v>
      </c>
      <c r="G70" s="399">
        <v>8.3321697897144626E-3</v>
      </c>
      <c r="H70" s="399">
        <v>145.14613216832535</v>
      </c>
      <c r="I70" s="400">
        <v>1.3814155687663952E-2</v>
      </c>
      <c r="J70" s="400">
        <v>5.4849920433828199E-2</v>
      </c>
      <c r="K70" s="400">
        <v>4.0201227570092464E-4</v>
      </c>
      <c r="L70" s="400">
        <v>0.50367028678981196</v>
      </c>
      <c r="M70" s="400">
        <v>0.46149180094617487</v>
      </c>
      <c r="N70" s="400">
        <v>0.35381004906528429</v>
      </c>
      <c r="O70" s="399">
        <f t="shared" si="35"/>
        <v>3.453538921915988</v>
      </c>
      <c r="P70" s="399">
        <f t="shared" si="35"/>
        <v>0</v>
      </c>
      <c r="Q70" s="399">
        <f t="shared" si="35"/>
        <v>0.40201227570092463</v>
      </c>
      <c r="R70" s="399">
        <f t="shared" si="33"/>
        <v>10.45743704896255</v>
      </c>
      <c r="S70" s="399">
        <f t="shared" si="33"/>
        <v>13.844754028385246</v>
      </c>
      <c r="T70" s="399">
        <f t="shared" si="33"/>
        <v>21.228602943917057</v>
      </c>
      <c r="U70" s="399">
        <f t="shared" si="10"/>
        <v>49.386345218881772</v>
      </c>
      <c r="V70" s="400">
        <v>8.7530148993416094E-4</v>
      </c>
      <c r="W70" s="400">
        <v>7.6641646771113802E-3</v>
      </c>
      <c r="X70" s="400">
        <v>5.0251534462615584E-6</v>
      </c>
      <c r="Y70" s="400">
        <v>9.2604168050943986E-2</v>
      </c>
      <c r="Z70" s="400">
        <v>3.0382178239165804E-2</v>
      </c>
      <c r="AA70" s="400">
        <v>2.4503653234660232E-2</v>
      </c>
      <c r="AB70" s="352">
        <f t="shared" si="36"/>
        <v>0.21882537248354023</v>
      </c>
      <c r="AC70" s="352">
        <f t="shared" si="36"/>
        <v>0</v>
      </c>
      <c r="AD70" s="352">
        <f t="shared" si="36"/>
        <v>5.0251534462615582E-3</v>
      </c>
      <c r="AE70" s="352">
        <f t="shared" si="34"/>
        <v>3.2826728926773217</v>
      </c>
      <c r="AF70" s="352">
        <f t="shared" si="34"/>
        <v>0.91146534717497418</v>
      </c>
      <c r="AG70" s="352">
        <f t="shared" si="34"/>
        <v>1.4702191940796139</v>
      </c>
      <c r="AH70" s="400">
        <f t="shared" si="11"/>
        <v>5.8882079598617114</v>
      </c>
      <c r="AJ70" s="352">
        <f>D70*('Assumptions-Output Override'!$D$10/'Winners-Losers HRA'!$H$107)*(1+'Assumptions-Output Override'!$F$41)</f>
        <v>17.607904593106543</v>
      </c>
      <c r="AK70" s="352">
        <f>E70*('Assumptions-Output Override'!$D$10/'Winners-Losers HRA'!$H$107)*(1+'Assumptions-Output Override'!$F$37)</f>
        <v>189.60304387187099</v>
      </c>
      <c r="AL70" s="352">
        <f>F70*('Assumptions-Output Override'!$D$10/'Winners-Losers HRA'!$H$107)*(1+'Assumptions-Output Override'!$F$38)</f>
        <v>25.500638703900094</v>
      </c>
      <c r="AM70" s="352">
        <f>G70*('Shoppable Detail'!$X$21/'Shoppable Detail'!$H$21)*('Assumptions-Output Override'!$D$10/'Winners-Losers HRA'!$H$107)*(1+'Assumptions-Output Override'!$F$39)</f>
        <v>1.4287936965253475E-2</v>
      </c>
      <c r="AN70" s="352">
        <f t="shared" si="12"/>
        <v>232.7258751058429</v>
      </c>
      <c r="AO70" s="352">
        <v>0</v>
      </c>
      <c r="AP70" s="352">
        <f>U70*'Assumptions-Output Override'!$D$10/'Winners-Losers HRA'!$H$107*(1+'Assumptions-Output Override'!$F$37)</f>
        <v>81.278994846736069</v>
      </c>
      <c r="AQ70" s="352">
        <f>AH70*'Assumptions-Output Override'!$D$10/'Winners-Losers HRA'!$H$107*(1+'Assumptions-Output Override'!$F$38)</f>
        <v>9.8912823482549292</v>
      </c>
      <c r="AR70" s="352">
        <f>AM70*('Shoppable Detail'!$AA$23/'Shoppable Detail'!$Y$23)</f>
        <v>4.774048391094357E-4</v>
      </c>
      <c r="AS70" s="352">
        <f t="shared" si="13"/>
        <v>91.170754599830104</v>
      </c>
      <c r="AT70" s="352">
        <f t="shared" si="14"/>
        <v>17.607904593106543</v>
      </c>
      <c r="AU70" s="352">
        <f t="shared" si="14"/>
        <v>108.32404902513493</v>
      </c>
      <c r="AV70" s="352">
        <f t="shared" si="14"/>
        <v>15.609356355645165</v>
      </c>
      <c r="AW70" s="352">
        <f t="shared" ref="AW70:AW105" si="37">AM70-AR70</f>
        <v>1.381053212614404E-2</v>
      </c>
      <c r="AX70" s="352">
        <f t="shared" si="15"/>
        <v>141.55512050601277</v>
      </c>
      <c r="AY70" s="352">
        <f>AT70*'Assumptions-Output Override'!$D$24</f>
        <v>5.3643524059999672</v>
      </c>
      <c r="AZ70" s="352">
        <f>$AU$107*'Assumptions-Output Override'!$D$21</f>
        <v>46.041131296780591</v>
      </c>
      <c r="BA70" s="352">
        <f>AV70*'Assumptions-Output Override'!$D$22</f>
        <v>2.3414034533467745</v>
      </c>
      <c r="BB70" s="352">
        <f>AW70*'Assumptions-Output Override'!$D$23</f>
        <v>2.0715798189216059E-3</v>
      </c>
      <c r="BC70" s="352">
        <f t="shared" si="16"/>
        <v>53.748958735946253</v>
      </c>
      <c r="BD70" s="352">
        <f t="shared" si="17"/>
        <v>5.3643524059999672</v>
      </c>
      <c r="BE70" s="352">
        <f t="shared" si="17"/>
        <v>127.32012614351666</v>
      </c>
      <c r="BF70" s="352">
        <f t="shared" si="17"/>
        <v>12.232685801601704</v>
      </c>
      <c r="BG70" s="352">
        <f t="shared" ref="BG70:BG105" si="38">AR70+BB70</f>
        <v>2.5489846580310418E-3</v>
      </c>
      <c r="BH70" s="352">
        <f t="shared" si="18"/>
        <v>144.91971333577638</v>
      </c>
      <c r="BJ70" s="401">
        <f>D70*'Assumptions-Output Override'!$D$10/'Winners-Losers HRA'!$H$107</f>
        <v>24.922816928715065</v>
      </c>
      <c r="BK70" s="401">
        <f>E70*'Assumptions-Output Override'!$D$10/'Winners-Losers HRA'!$H$107</f>
        <v>194.63748961876777</v>
      </c>
      <c r="BL70" s="401">
        <f>F70*'Assumptions-Output Override'!$D$10/'Winners-Losers HRA'!$H$107</f>
        <v>25.646861400139652</v>
      </c>
      <c r="BM70" s="401">
        <f>G70*'Assumptions-Output Override'!$D$10/'Winners-Losers HRA'!$H$107</f>
        <v>1.4077020300812293E-2</v>
      </c>
      <c r="BN70" s="401">
        <f t="shared" ref="BN70:BN101" si="39">SUM(BJ70:BM70)</f>
        <v>245.2212449679233</v>
      </c>
      <c r="BO70" s="401">
        <f>BJ70*(1-'Assumptions-Output Override'!$D$11)</f>
        <v>3.5519944478494385</v>
      </c>
      <c r="BP70" s="401">
        <f>BK70*(1-'Assumptions-Output Override'!$D$11)</f>
        <v>27.739692685888521</v>
      </c>
      <c r="BQ70" s="401">
        <f>BL70*(1-'Assumptions-Output Override'!$D$11)</f>
        <v>3.6551851084337601</v>
      </c>
      <c r="BR70" s="401">
        <f>BM70*(1-'Assumptions-Output Override'!$D$11)</f>
        <v>2.0062538714530052E-3</v>
      </c>
      <c r="BS70" s="352">
        <f t="shared" ref="BS70:BS101" si="40">SUM(BO70:BR70)</f>
        <v>34.948878496043172</v>
      </c>
      <c r="BT70" s="352">
        <f t="shared" si="19"/>
        <v>21.370822480865627</v>
      </c>
      <c r="BU70" s="352">
        <f t="shared" si="19"/>
        <v>166.89779693287926</v>
      </c>
      <c r="BV70" s="352">
        <f t="shared" si="19"/>
        <v>21.991676291705893</v>
      </c>
      <c r="BW70" s="352">
        <f t="shared" ref="BW70:BW105" si="41">BM70-BR70</f>
        <v>1.2070766429359288E-2</v>
      </c>
      <c r="BX70" s="352">
        <f t="shared" ref="BX70:BX101" si="42">SUM(BT70:BW70)</f>
        <v>210.27236647188013</v>
      </c>
      <c r="BY70" s="352">
        <f>BT$107*(1-'Assumptions-Output Override'!$D$12)</f>
        <v>22.753074310428271</v>
      </c>
      <c r="BZ70" s="352">
        <f>BU$107*(1-'Assumptions-Output Override'!$D$12)</f>
        <v>51.446038369839215</v>
      </c>
      <c r="CA70" s="352">
        <f>BV$107*(1-'Assumptions-Output Override'!$D$12)</f>
        <v>9.7401900534537411</v>
      </c>
      <c r="CB70" s="352">
        <f>BW$107*(1-'Assumptions-Output Override'!$D$12)</f>
        <v>1.7000814189516649</v>
      </c>
      <c r="CC70" s="352">
        <f t="shared" ref="CC70:CC101" si="43">SUM(BY70:CB70)</f>
        <v>85.639384152672903</v>
      </c>
      <c r="CD70" s="352">
        <f t="shared" si="20"/>
        <v>26.305068758277709</v>
      </c>
      <c r="CE70" s="352">
        <f t="shared" si="20"/>
        <v>79.185731055727729</v>
      </c>
      <c r="CF70" s="352">
        <f t="shared" si="20"/>
        <v>13.3953751618875</v>
      </c>
      <c r="CG70" s="352">
        <f t="shared" ref="CG70:CG105" si="44">BR70+CB70</f>
        <v>1.7020876728231178</v>
      </c>
      <c r="CH70" s="352">
        <f t="shared" ref="CH70:CH101" si="45">SUM(CD70:CG70)</f>
        <v>120.58826264871605</v>
      </c>
      <c r="CJ70" s="352">
        <f t="shared" si="21"/>
        <v>120.58826264871605</v>
      </c>
      <c r="CK70" s="352">
        <f t="shared" si="22"/>
        <v>91.170754599830104</v>
      </c>
      <c r="CL70" s="352">
        <f t="shared" si="23"/>
        <v>29.417508048885949</v>
      </c>
      <c r="CN70" s="352">
        <f>('HRA Balance Calc'!U82+'HRA Balance Calc'!V82+'HRA Balance Calc'!W82+'HRA Balance Calc'!X82)/12</f>
        <v>-9.4347125402178893</v>
      </c>
      <c r="CO70" s="352">
        <f>('HRA Balance Calc'!Q82+IF('HRA Balance Calc'!L82&lt;0,-'HRA Balance Calc'!L82,0))/12</f>
        <v>0</v>
      </c>
      <c r="CP70" s="352">
        <f>('HRA Balance Calc'!N82)/12</f>
        <v>81.278994846736069</v>
      </c>
      <c r="CQ70" s="352">
        <f>('HRA Balance Calc'!O82)/12</f>
        <v>9.8912823482549292</v>
      </c>
      <c r="CR70" s="352">
        <f>('HRA Balance Calc'!P82)/12</f>
        <v>4.774048391094357E-4</v>
      </c>
      <c r="CS70" s="352">
        <f>SUM(CO70:CR70)</f>
        <v>91.170754599830104</v>
      </c>
      <c r="CU70" s="577">
        <f t="shared" si="24"/>
        <v>1140.8891603146894</v>
      </c>
      <c r="CV70" s="352">
        <f t="shared" si="25"/>
        <v>95.074096692890791</v>
      </c>
      <c r="CW70" s="352">
        <f t="shared" si="29"/>
        <v>11.199788092099096</v>
      </c>
      <c r="CX70" s="352">
        <f t="shared" si="29"/>
        <v>87.465981263006654</v>
      </c>
      <c r="CY70" s="352">
        <f t="shared" si="29"/>
        <v>11.525158401258182</v>
      </c>
      <c r="CZ70" s="352">
        <f t="shared" si="29"/>
        <v>6.3259159182614579E-3</v>
      </c>
      <c r="DA70" s="352">
        <f t="shared" ref="DA70:DA105" si="46">SUM(CW70:CZ70)</f>
        <v>110.1972536722822</v>
      </c>
      <c r="DC70" s="352">
        <f>('HRA Balance Calc'!Q82+'HRA Balance Calc'!X82+IF('HRA Balance Calc'!L82&lt;0,-'HRA Balance Calc'!L82,0))/12</f>
        <v>12.243552187106575</v>
      </c>
      <c r="DD70" s="352">
        <f>('HRA Balance Calc'!N82+'HRA Balance Calc'!U82)/12</f>
        <v>57.257255086245912</v>
      </c>
      <c r="DE70" s="352">
        <f>('HRA Balance Calc'!O82+'HRA Balance Calc'!V82)/12</f>
        <v>12.232685801601704</v>
      </c>
      <c r="DF70" s="352">
        <f>('HRA Balance Calc'!P82+'HRA Balance Calc'!W82)/12</f>
        <v>2.5489846580310422E-3</v>
      </c>
      <c r="DG70" s="352">
        <f t="shared" si="26"/>
        <v>81.736042059612231</v>
      </c>
      <c r="DI70" s="352">
        <f t="shared" si="32"/>
        <v>14.061516571171135</v>
      </c>
      <c r="DJ70" s="352">
        <f t="shared" si="32"/>
        <v>21.928475969481816</v>
      </c>
      <c r="DK70" s="352">
        <f t="shared" si="32"/>
        <v>1.1626893602857962</v>
      </c>
      <c r="DL70" s="352">
        <f t="shared" si="32"/>
        <v>1.6995386881650867</v>
      </c>
      <c r="DM70" s="352">
        <f t="shared" si="32"/>
        <v>38.852220589103823</v>
      </c>
    </row>
    <row r="71" spans="1:117" x14ac:dyDescent="0.2">
      <c r="A71">
        <v>66</v>
      </c>
      <c r="B71" s="397">
        <v>34308</v>
      </c>
      <c r="C71" s="398">
        <v>397997.79676138877</v>
      </c>
      <c r="D71" s="399">
        <v>15.821542634035856</v>
      </c>
      <c r="E71" s="399">
        <v>120.5764702589429</v>
      </c>
      <c r="F71" s="399">
        <v>16.057730101434569</v>
      </c>
      <c r="G71" s="399">
        <v>4.4782020042439313E-3</v>
      </c>
      <c r="H71" s="399">
        <v>152.46022119641756</v>
      </c>
      <c r="I71" s="400">
        <v>1.4141014604865124E-2</v>
      </c>
      <c r="J71" s="400">
        <v>5.866244276576088E-2</v>
      </c>
      <c r="K71" s="400">
        <v>5.3517884202685599E-4</v>
      </c>
      <c r="L71" s="400">
        <v>0.50961699025008755</v>
      </c>
      <c r="M71" s="400">
        <v>0.47203195979664209</v>
      </c>
      <c r="N71" s="400">
        <v>0.36636338488938525</v>
      </c>
      <c r="O71" s="399">
        <f t="shared" si="35"/>
        <v>3.5352536512162809</v>
      </c>
      <c r="P71" s="399">
        <f t="shared" si="35"/>
        <v>0</v>
      </c>
      <c r="Q71" s="399">
        <f t="shared" si="35"/>
        <v>0.53517884202685595</v>
      </c>
      <c r="R71" s="399">
        <f t="shared" si="33"/>
        <v>10.580905275530046</v>
      </c>
      <c r="S71" s="399">
        <f t="shared" si="33"/>
        <v>14.160958793899262</v>
      </c>
      <c r="T71" s="399">
        <f t="shared" si="33"/>
        <v>21.981803093363116</v>
      </c>
      <c r="U71" s="399">
        <f t="shared" ref="U71:U105" si="47">SUM(O71:T71)</f>
        <v>50.794099656035556</v>
      </c>
      <c r="V71" s="400">
        <v>1.0516033503180607E-3</v>
      </c>
      <c r="W71" s="400">
        <v>8.4388996128828969E-3</v>
      </c>
      <c r="X71" s="400">
        <v>7.5377301693923375E-6</v>
      </c>
      <c r="Y71" s="400">
        <v>9.451369091443898E-2</v>
      </c>
      <c r="Z71" s="400">
        <v>3.0934844615185648E-2</v>
      </c>
      <c r="AA71" s="400">
        <v>2.5698534221112432E-2</v>
      </c>
      <c r="AB71" s="352">
        <f t="shared" si="36"/>
        <v>0.26290083757951516</v>
      </c>
      <c r="AC71" s="352">
        <f t="shared" si="36"/>
        <v>0</v>
      </c>
      <c r="AD71" s="352">
        <f t="shared" si="36"/>
        <v>7.5377301693923373E-3</v>
      </c>
      <c r="AE71" s="352">
        <f t="shared" si="34"/>
        <v>3.3503624910385339</v>
      </c>
      <c r="AF71" s="352">
        <f t="shared" si="34"/>
        <v>0.92804533845556947</v>
      </c>
      <c r="AG71" s="352">
        <f t="shared" si="34"/>
        <v>1.5419120532667459</v>
      </c>
      <c r="AH71" s="400">
        <f t="shared" ref="AH71:AH105" si="48">SUM(AB71:AG71)</f>
        <v>6.0907584505097567</v>
      </c>
      <c r="AJ71" s="352">
        <f>D71*('Assumptions-Output Override'!$D$10/'Winners-Losers HRA'!$H$107)*(1+'Assumptions-Output Override'!$F$41)</f>
        <v>18.88478307360155</v>
      </c>
      <c r="AK71" s="352">
        <f>E71*('Assumptions-Output Override'!$D$10/'Winners-Losers HRA'!$H$107)*(1+'Assumptions-Output Override'!$F$37)</f>
        <v>198.44218602082961</v>
      </c>
      <c r="AL71" s="352">
        <f>F71*('Assumptions-Output Override'!$D$10/'Winners-Losers HRA'!$H$107)*(1+'Assumptions-Output Override'!$F$38)</f>
        <v>26.974513024688047</v>
      </c>
      <c r="AM71" s="352">
        <f>G71*('Shoppable Detail'!$X$21/'Shoppable Detail'!$H$21)*('Assumptions-Output Override'!$D$10/'Winners-Losers HRA'!$H$107)*(1+'Assumptions-Output Override'!$F$39)</f>
        <v>7.6791843624326528E-3</v>
      </c>
      <c r="AN71" s="352">
        <f t="shared" ref="AN71:AN105" si="49">SUM(AJ71:AM71)</f>
        <v>244.30916130348163</v>
      </c>
      <c r="AO71" s="352">
        <v>0</v>
      </c>
      <c r="AP71" s="352">
        <f>U71*'Assumptions-Output Override'!$D$10/'Winners-Losers HRA'!$H$107*(1+'Assumptions-Output Override'!$F$37)</f>
        <v>83.595847108950963</v>
      </c>
      <c r="AQ71" s="352">
        <f>AH71*'Assumptions-Output Override'!$D$10/'Winners-Losers HRA'!$H$107*(1+'Assumptions-Output Override'!$F$38)</f>
        <v>10.231535971502373</v>
      </c>
      <c r="AR71" s="352">
        <f>AM71*('Shoppable Detail'!$AA$23/'Shoppable Detail'!$Y$23)</f>
        <v>2.5658566271354044E-4</v>
      </c>
      <c r="AS71" s="352">
        <f t="shared" ref="AS71:AS105" si="50">SUM(AO71:AR71)</f>
        <v>93.827639666116042</v>
      </c>
      <c r="AT71" s="352">
        <f t="shared" ref="AT71:AV105" si="51">AJ71-AO71</f>
        <v>18.88478307360155</v>
      </c>
      <c r="AU71" s="352">
        <f t="shared" si="51"/>
        <v>114.84633891187865</v>
      </c>
      <c r="AV71" s="352">
        <f t="shared" si="51"/>
        <v>16.742977053185676</v>
      </c>
      <c r="AW71" s="352">
        <f t="shared" si="37"/>
        <v>7.4225986997191124E-3</v>
      </c>
      <c r="AX71" s="352">
        <f t="shared" ref="AX71:AX105" si="52">SUM(AT71:AW71)</f>
        <v>150.4815216373656</v>
      </c>
      <c r="AY71" s="352">
        <f>AT71*'Assumptions-Output Override'!$D$24</f>
        <v>5.753360996590275</v>
      </c>
      <c r="AZ71" s="352">
        <f>$AU$107*'Assumptions-Output Override'!$D$21</f>
        <v>46.041131296780591</v>
      </c>
      <c r="BA71" s="352">
        <f>AV71*'Assumptions-Output Override'!$D$22</f>
        <v>2.5114465579778513</v>
      </c>
      <c r="BB71" s="352">
        <f>AW71*'Assumptions-Output Override'!$D$23</f>
        <v>1.1133898049578669E-3</v>
      </c>
      <c r="BC71" s="352">
        <f t="shared" ref="BC71:BC107" si="53">SUM(AY71:BB71)</f>
        <v>54.30705224115367</v>
      </c>
      <c r="BD71" s="352">
        <f t="shared" ref="BD71:BF105" si="54">AO71+AY71</f>
        <v>5.753360996590275</v>
      </c>
      <c r="BE71" s="352">
        <f t="shared" si="54"/>
        <v>129.63697840573155</v>
      </c>
      <c r="BF71" s="352">
        <f t="shared" si="54"/>
        <v>12.742982529480225</v>
      </c>
      <c r="BG71" s="352">
        <f t="shared" si="38"/>
        <v>1.3699754676714073E-3</v>
      </c>
      <c r="BH71" s="352">
        <f t="shared" ref="BH71:BH105" si="55">SUM(BD71:BG71)</f>
        <v>148.13469190726974</v>
      </c>
      <c r="BJ71" s="401">
        <f>D71*'Assumptions-Output Override'!$D$10/'Winners-Losers HRA'!$H$107</f>
        <v>26.730153425872803</v>
      </c>
      <c r="BK71" s="401">
        <f>E71*'Assumptions-Output Override'!$D$10/'Winners-Losers HRA'!$H$107</f>
        <v>203.71133359892755</v>
      </c>
      <c r="BL71" s="401">
        <f>F71*'Assumptions-Output Override'!$D$10/'Winners-Losers HRA'!$H$107</f>
        <v>27.129187033838093</v>
      </c>
      <c r="BM71" s="401">
        <f>G71*'Assumptions-Output Override'!$D$10/'Winners-Losers HRA'!$H$107</f>
        <v>7.5658252431075879E-3</v>
      </c>
      <c r="BN71" s="401">
        <f t="shared" si="39"/>
        <v>257.57823988388157</v>
      </c>
      <c r="BO71" s="401">
        <f>BJ71*(1-'Assumptions-Output Override'!$D$11)</f>
        <v>3.8095756523200888</v>
      </c>
      <c r="BP71" s="401">
        <f>BK71*(1-'Assumptions-Output Override'!$D$11)</f>
        <v>29.032894956336737</v>
      </c>
      <c r="BQ71" s="401">
        <f>BL71*(1-'Assumptions-Output Override'!$D$11)</f>
        <v>3.8664458353355973</v>
      </c>
      <c r="BR71" s="401">
        <f>BM71*(1-'Assumptions-Output Override'!$D$11)</f>
        <v>1.0782797680447755E-3</v>
      </c>
      <c r="BS71" s="352">
        <f t="shared" si="40"/>
        <v>36.709994723760467</v>
      </c>
      <c r="BT71" s="352">
        <f t="shared" ref="BT71:BV105" si="56">BJ71-BO71</f>
        <v>22.920577773552715</v>
      </c>
      <c r="BU71" s="352">
        <f t="shared" si="56"/>
        <v>174.67843864259081</v>
      </c>
      <c r="BV71" s="352">
        <f t="shared" si="56"/>
        <v>23.262741198502496</v>
      </c>
      <c r="BW71" s="352">
        <f t="shared" si="41"/>
        <v>6.4875454750628128E-3</v>
      </c>
      <c r="BX71" s="352">
        <f t="shared" si="42"/>
        <v>220.86824516012109</v>
      </c>
      <c r="BY71" s="352">
        <f>BT$107*(1-'Assumptions-Output Override'!$D$12)</f>
        <v>22.753074310428271</v>
      </c>
      <c r="BZ71" s="352">
        <f>BU$107*(1-'Assumptions-Output Override'!$D$12)</f>
        <v>51.446038369839215</v>
      </c>
      <c r="CA71" s="352">
        <f>BV$107*(1-'Assumptions-Output Override'!$D$12)</f>
        <v>9.7401900534537411</v>
      </c>
      <c r="CB71" s="352">
        <f>BW$107*(1-'Assumptions-Output Override'!$D$12)</f>
        <v>1.7000814189516649</v>
      </c>
      <c r="CC71" s="352">
        <f t="shared" si="43"/>
        <v>85.639384152672903</v>
      </c>
      <c r="CD71" s="352">
        <f t="shared" ref="CD71:CF105" si="57">BO71+BY71</f>
        <v>26.56264996274836</v>
      </c>
      <c r="CE71" s="352">
        <f t="shared" si="57"/>
        <v>80.478933326175948</v>
      </c>
      <c r="CF71" s="352">
        <f t="shared" si="57"/>
        <v>13.606635888789338</v>
      </c>
      <c r="CG71" s="352">
        <f t="shared" si="44"/>
        <v>1.7011596987197097</v>
      </c>
      <c r="CH71" s="352">
        <f t="shared" si="45"/>
        <v>122.34937887643335</v>
      </c>
      <c r="CJ71" s="352">
        <f t="shared" ref="CJ71:CJ105" si="58">CH71</f>
        <v>122.34937887643335</v>
      </c>
      <c r="CK71" s="352">
        <f t="shared" ref="CK71:CK105" si="59">MIN(CS71,$CK$110)</f>
        <v>93.827639666116042</v>
      </c>
      <c r="CL71" s="352">
        <f t="shared" ref="CL71:CL105" si="60">CJ71-CK71</f>
        <v>28.521739210317307</v>
      </c>
      <c r="CN71" s="352">
        <f>('HRA Balance Calc'!U83+'HRA Balance Calc'!V83+'HRA Balance Calc'!W83+'HRA Balance Calc'!X83)/12</f>
        <v>-8.3777577356960808</v>
      </c>
      <c r="CO71" s="352">
        <f>('HRA Balance Calc'!Q83+IF('HRA Balance Calc'!L83&lt;0,-'HRA Balance Calc'!L83,0))/12</f>
        <v>0</v>
      </c>
      <c r="CP71" s="352">
        <f>('HRA Balance Calc'!N83)/12</f>
        <v>83.595847108950963</v>
      </c>
      <c r="CQ71" s="352">
        <f>('HRA Balance Calc'!O83)/12</f>
        <v>10.231535971502373</v>
      </c>
      <c r="CR71" s="352">
        <f>('HRA Balance Calc'!P83)/12</f>
        <v>2.5658566271354044E-4</v>
      </c>
      <c r="CS71" s="352">
        <f>SUM(CO71:CR71)</f>
        <v>93.827639666116042</v>
      </c>
      <c r="CU71" s="577">
        <f t="shared" ref="CU71:CU105" si="61">CV71*12</f>
        <v>1128.2057026604277</v>
      </c>
      <c r="CV71" s="352">
        <f t="shared" ref="CV71:CV105" si="62">CC71-CN71</f>
        <v>94.017141888368982</v>
      </c>
      <c r="CW71" s="352">
        <f t="shared" si="29"/>
        <v>12.011966981715767</v>
      </c>
      <c r="CX71" s="352">
        <f t="shared" si="29"/>
        <v>91.543575302606172</v>
      </c>
      <c r="CY71" s="352">
        <f t="shared" si="29"/>
        <v>12.191284266098972</v>
      </c>
      <c r="CZ71" s="352">
        <f t="shared" si="29"/>
        <v>3.3999222361991558E-3</v>
      </c>
      <c r="DA71" s="352">
        <f t="shared" si="46"/>
        <v>115.75022647265712</v>
      </c>
      <c r="DC71" s="352">
        <f>('HRA Balance Calc'!Q83+'HRA Balance Calc'!X83+IF('HRA Balance Calc'!L83&lt;0,-'HRA Balance Calc'!L83,0))/12</f>
        <v>13.131422077011273</v>
      </c>
      <c r="DD71" s="352">
        <f>('HRA Balance Calc'!N83+'HRA Balance Calc'!U83)/12</f>
        <v>59.574107348460792</v>
      </c>
      <c r="DE71" s="352">
        <f>('HRA Balance Calc'!O83+'HRA Balance Calc'!V83)/12</f>
        <v>12.742982529480225</v>
      </c>
      <c r="DF71" s="352">
        <f>('HRA Balance Calc'!P83+'HRA Balance Calc'!W83)/12</f>
        <v>1.3699754676714075E-3</v>
      </c>
      <c r="DG71" s="352">
        <f t="shared" ref="DG71:DG105" si="63">SUM(DC71:DF71)</f>
        <v>85.449881930419963</v>
      </c>
      <c r="DI71" s="352">
        <f t="shared" si="32"/>
        <v>13.431227885737087</v>
      </c>
      <c r="DJ71" s="352">
        <f t="shared" si="32"/>
        <v>20.904825977715156</v>
      </c>
      <c r="DK71" s="352">
        <f t="shared" si="32"/>
        <v>0.86365335930911336</v>
      </c>
      <c r="DL71" s="352">
        <f t="shared" si="32"/>
        <v>1.6997897232520383</v>
      </c>
      <c r="DM71" s="352">
        <f t="shared" si="32"/>
        <v>36.899496946013386</v>
      </c>
    </row>
    <row r="72" spans="1:117" x14ac:dyDescent="0.2">
      <c r="A72">
        <v>67</v>
      </c>
      <c r="B72" s="397">
        <v>34308</v>
      </c>
      <c r="C72" s="398">
        <v>397997.79676138877</v>
      </c>
      <c r="D72" s="399">
        <v>16.706126902148025</v>
      </c>
      <c r="E72" s="399">
        <v>126.49489190717053</v>
      </c>
      <c r="F72" s="399">
        <v>17.056424641129844</v>
      </c>
      <c r="G72" s="399">
        <v>0</v>
      </c>
      <c r="H72" s="399">
        <v>160.25744345044839</v>
      </c>
      <c r="I72" s="400">
        <v>1.416846077348502E-2</v>
      </c>
      <c r="J72" s="400">
        <v>6.1946002575200963E-2</v>
      </c>
      <c r="K72" s="400">
        <v>5.1759080496494047E-4</v>
      </c>
      <c r="L72" s="400">
        <v>0.53785705205705137</v>
      </c>
      <c r="M72" s="400">
        <v>0.48554213508844823</v>
      </c>
      <c r="N72" s="400">
        <v>0.37479252702861993</v>
      </c>
      <c r="O72" s="399">
        <f t="shared" si="35"/>
        <v>3.5421151933712549</v>
      </c>
      <c r="P72" s="399">
        <f t="shared" si="35"/>
        <v>0</v>
      </c>
      <c r="Q72" s="399">
        <f t="shared" si="35"/>
        <v>0.51759080496494048</v>
      </c>
      <c r="R72" s="399">
        <f t="shared" si="33"/>
        <v>11.16723858990397</v>
      </c>
      <c r="S72" s="399">
        <f t="shared" si="33"/>
        <v>14.566264052653446</v>
      </c>
      <c r="T72" s="399">
        <f t="shared" si="33"/>
        <v>22.487551621717195</v>
      </c>
      <c r="U72" s="399">
        <f t="shared" si="47"/>
        <v>52.280760262610805</v>
      </c>
      <c r="V72" s="400">
        <v>1.0044239792294123E-3</v>
      </c>
      <c r="W72" s="400">
        <v>8.9678051940346015E-3</v>
      </c>
      <c r="X72" s="400">
        <v>5.0251534462615584E-6</v>
      </c>
      <c r="Y72" s="400">
        <v>9.5996922137522145E-2</v>
      </c>
      <c r="Z72" s="400">
        <v>3.1577963753238208E-2</v>
      </c>
      <c r="AA72" s="400">
        <v>2.6681755744407971E-2</v>
      </c>
      <c r="AB72" s="352">
        <f t="shared" si="36"/>
        <v>0.25110599480735307</v>
      </c>
      <c r="AC72" s="352">
        <f t="shared" si="36"/>
        <v>0</v>
      </c>
      <c r="AD72" s="352">
        <f t="shared" si="36"/>
        <v>5.0251534462615582E-3</v>
      </c>
      <c r="AE72" s="352">
        <f t="shared" si="34"/>
        <v>3.4029407176137045</v>
      </c>
      <c r="AF72" s="352">
        <f t="shared" si="34"/>
        <v>0.94733891259714631</v>
      </c>
      <c r="AG72" s="352">
        <f t="shared" si="34"/>
        <v>1.6009053446644783</v>
      </c>
      <c r="AH72" s="400">
        <f t="shared" si="48"/>
        <v>6.207316123128944</v>
      </c>
      <c r="AJ72" s="352">
        <f>D72*('Assumptions-Output Override'!$D$10/'Winners-Losers HRA'!$H$107)*(1+'Assumptions-Output Override'!$F$41)</f>
        <v>19.94063346695587</v>
      </c>
      <c r="AK72" s="352">
        <f>E72*('Assumptions-Output Override'!$D$10/'Winners-Losers HRA'!$H$107)*(1+'Assumptions-Output Override'!$F$37)</f>
        <v>208.18259828488976</v>
      </c>
      <c r="AL72" s="352">
        <f>F72*('Assumptions-Output Override'!$D$10/'Winners-Losers HRA'!$H$107)*(1+'Assumptions-Output Override'!$F$38)</f>
        <v>28.652166011662114</v>
      </c>
      <c r="AM72" s="352">
        <f>G72*('Shoppable Detail'!$X$21/'Shoppable Detail'!$H$21)*('Assumptions-Output Override'!$D$10/'Winners-Losers HRA'!$H$107)*(1+'Assumptions-Output Override'!$F$39)</f>
        <v>0</v>
      </c>
      <c r="AN72" s="352">
        <f t="shared" si="49"/>
        <v>256.77539776350773</v>
      </c>
      <c r="AO72" s="352">
        <v>0</v>
      </c>
      <c r="AP72" s="352">
        <f>U72*'Assumptions-Output Override'!$D$10/'Winners-Losers HRA'!$H$107*(1+'Assumptions-Output Override'!$F$37)</f>
        <v>86.042561463802173</v>
      </c>
      <c r="AQ72" s="352">
        <f>AH72*'Assumptions-Output Override'!$D$10/'Winners-Losers HRA'!$H$107*(1+'Assumptions-Output Override'!$F$38)</f>
        <v>10.42733490686452</v>
      </c>
      <c r="AR72" s="352">
        <f>AM72*('Shoppable Detail'!$AA$23/'Shoppable Detail'!$Y$23)</f>
        <v>0</v>
      </c>
      <c r="AS72" s="352">
        <f t="shared" si="50"/>
        <v>96.469896370666689</v>
      </c>
      <c r="AT72" s="352">
        <f t="shared" si="51"/>
        <v>19.94063346695587</v>
      </c>
      <c r="AU72" s="352">
        <f t="shared" si="51"/>
        <v>122.14003682108759</v>
      </c>
      <c r="AV72" s="352">
        <f t="shared" si="51"/>
        <v>18.224831104797595</v>
      </c>
      <c r="AW72" s="352">
        <f t="shared" si="37"/>
        <v>0</v>
      </c>
      <c r="AX72" s="352">
        <f t="shared" si="52"/>
        <v>160.30550139284105</v>
      </c>
      <c r="AY72" s="352">
        <f>AT72*'Assumptions-Output Override'!$D$24</f>
        <v>6.0750320715337223</v>
      </c>
      <c r="AZ72" s="352">
        <f>$AU$107*'Assumptions-Output Override'!$D$21</f>
        <v>46.041131296780591</v>
      </c>
      <c r="BA72" s="352">
        <f>AV72*'Assumptions-Output Override'!$D$22</f>
        <v>2.733724665719639</v>
      </c>
      <c r="BB72" s="352">
        <f>AW72*'Assumptions-Output Override'!$D$23</f>
        <v>0</v>
      </c>
      <c r="BC72" s="352">
        <f t="shared" si="53"/>
        <v>54.849888034033953</v>
      </c>
      <c r="BD72" s="352">
        <f t="shared" si="54"/>
        <v>6.0750320715337223</v>
      </c>
      <c r="BE72" s="352">
        <f t="shared" si="54"/>
        <v>132.08369276058278</v>
      </c>
      <c r="BF72" s="352">
        <f t="shared" si="54"/>
        <v>13.161059572584158</v>
      </c>
      <c r="BG72" s="352">
        <f t="shared" si="38"/>
        <v>0</v>
      </c>
      <c r="BH72" s="352">
        <f t="shared" si="55"/>
        <v>151.31978440470064</v>
      </c>
      <c r="BJ72" s="401">
        <f>D72*'Assumptions-Output Override'!$D$10/'Winners-Losers HRA'!$H$107</f>
        <v>28.224639377823252</v>
      </c>
      <c r="BK72" s="401">
        <f>E72*'Assumptions-Output Override'!$D$10/'Winners-Losers HRA'!$H$107</f>
        <v>213.71037872084921</v>
      </c>
      <c r="BL72" s="401">
        <f>F72*'Assumptions-Output Override'!$D$10/'Winners-Losers HRA'!$H$107</f>
        <v>28.816459816847782</v>
      </c>
      <c r="BM72" s="401">
        <f>G72*'Assumptions-Output Override'!$D$10/'Winners-Losers HRA'!$H$107</f>
        <v>0</v>
      </c>
      <c r="BN72" s="401">
        <f t="shared" si="39"/>
        <v>270.75147791552024</v>
      </c>
      <c r="BO72" s="401">
        <f>BJ72*(1-'Assumptions-Output Override'!$D$11)</f>
        <v>4.0225694651342758</v>
      </c>
      <c r="BP72" s="401">
        <f>BK72*(1-'Assumptions-Output Override'!$D$11)</f>
        <v>30.457956692273214</v>
      </c>
      <c r="BQ72" s="401">
        <f>BL72*(1-'Assumptions-Output Override'!$D$11)</f>
        <v>4.1069155853802961</v>
      </c>
      <c r="BR72" s="401">
        <f>BM72*(1-'Assumptions-Output Override'!$D$11)</f>
        <v>0</v>
      </c>
      <c r="BS72" s="352">
        <f t="shared" si="40"/>
        <v>38.587441742787789</v>
      </c>
      <c r="BT72" s="352">
        <f t="shared" si="56"/>
        <v>24.202069912688977</v>
      </c>
      <c r="BU72" s="352">
        <f t="shared" si="56"/>
        <v>183.25242202857601</v>
      </c>
      <c r="BV72" s="352">
        <f t="shared" si="56"/>
        <v>24.709544231467486</v>
      </c>
      <c r="BW72" s="352">
        <f t="shared" si="41"/>
        <v>0</v>
      </c>
      <c r="BX72" s="352">
        <f t="shared" si="42"/>
        <v>232.16403617273247</v>
      </c>
      <c r="BY72" s="352">
        <f>BT$107*(1-'Assumptions-Output Override'!$D$12)</f>
        <v>22.753074310428271</v>
      </c>
      <c r="BZ72" s="352">
        <f>BU$107*(1-'Assumptions-Output Override'!$D$12)</f>
        <v>51.446038369839215</v>
      </c>
      <c r="CA72" s="352">
        <f>BV$107*(1-'Assumptions-Output Override'!$D$12)</f>
        <v>9.7401900534537411</v>
      </c>
      <c r="CB72" s="352">
        <f>BW$107*(1-'Assumptions-Output Override'!$D$12)</f>
        <v>1.7000814189516649</v>
      </c>
      <c r="CC72" s="352">
        <f t="shared" si="43"/>
        <v>85.639384152672903</v>
      </c>
      <c r="CD72" s="352">
        <f t="shared" si="57"/>
        <v>26.775643775562546</v>
      </c>
      <c r="CE72" s="352">
        <f t="shared" si="57"/>
        <v>81.903995062112429</v>
      </c>
      <c r="CF72" s="352">
        <f t="shared" si="57"/>
        <v>13.847105638834037</v>
      </c>
      <c r="CG72" s="352">
        <f t="shared" si="44"/>
        <v>1.7000814189516649</v>
      </c>
      <c r="CH72" s="352">
        <f t="shared" si="45"/>
        <v>124.22682589546068</v>
      </c>
      <c r="CJ72" s="352">
        <f t="shared" si="58"/>
        <v>124.22682589546068</v>
      </c>
      <c r="CK72" s="352">
        <f t="shared" si="59"/>
        <v>96.469896370666703</v>
      </c>
      <c r="CL72" s="352">
        <f t="shared" si="60"/>
        <v>27.756929524793975</v>
      </c>
      <c r="CN72" s="352">
        <f>('HRA Balance Calc'!U84+'HRA Balance Calc'!V84+'HRA Balance Calc'!W84+'HRA Balance Calc'!X84)/12</f>
        <v>-7.4224136993483798</v>
      </c>
      <c r="CO72" s="352">
        <f>('HRA Balance Calc'!Q84+IF('HRA Balance Calc'!L84&lt;0,-'HRA Balance Calc'!L84,0))/12</f>
        <v>0</v>
      </c>
      <c r="CP72" s="352">
        <f>('HRA Balance Calc'!N84)/12</f>
        <v>86.042561463802187</v>
      </c>
      <c r="CQ72" s="352">
        <f>('HRA Balance Calc'!O84)/12</f>
        <v>10.42733490686452</v>
      </c>
      <c r="CR72" s="352">
        <f>('HRA Balance Calc'!P84)/12</f>
        <v>0</v>
      </c>
      <c r="CS72" s="352">
        <f>SUM(CO72:CR72)</f>
        <v>96.469896370666703</v>
      </c>
      <c r="CU72" s="577">
        <f t="shared" si="61"/>
        <v>1116.7415742242554</v>
      </c>
      <c r="CV72" s="352">
        <f t="shared" si="62"/>
        <v>93.061797852021286</v>
      </c>
      <c r="CW72" s="352">
        <f t="shared" si="29"/>
        <v>12.68355743701375</v>
      </c>
      <c r="CX72" s="352">
        <f t="shared" si="29"/>
        <v>96.036935214897312</v>
      </c>
      <c r="CY72" s="352">
        <f t="shared" si="29"/>
        <v>12.949509055749548</v>
      </c>
      <c r="CZ72" s="352">
        <f t="shared" si="29"/>
        <v>0</v>
      </c>
      <c r="DA72" s="352">
        <f t="shared" si="46"/>
        <v>121.6700017076606</v>
      </c>
      <c r="DC72" s="352">
        <f>('HRA Balance Calc'!Q84+'HRA Balance Calc'!X84+IF('HRA Balance Calc'!L84&lt;0,-'HRA Balance Calc'!L84,0))/12</f>
        <v>13.865601395422145</v>
      </c>
      <c r="DD72" s="352">
        <f>('HRA Balance Calc'!N84+'HRA Balance Calc'!U84)/12</f>
        <v>62.020821703312016</v>
      </c>
      <c r="DE72" s="352">
        <f>('HRA Balance Calc'!O84+'HRA Balance Calc'!V84)/12</f>
        <v>13.161059572584159</v>
      </c>
      <c r="DF72" s="352">
        <f>('HRA Balance Calc'!P84+'HRA Balance Calc'!W84)/12</f>
        <v>0</v>
      </c>
      <c r="DG72" s="352">
        <f t="shared" si="63"/>
        <v>89.047482671318321</v>
      </c>
      <c r="DI72" s="352">
        <f t="shared" si="32"/>
        <v>12.910042380140402</v>
      </c>
      <c r="DJ72" s="352">
        <f t="shared" si="32"/>
        <v>19.883173358800413</v>
      </c>
      <c r="DK72" s="352">
        <f t="shared" si="32"/>
        <v>0.68604606624987774</v>
      </c>
      <c r="DL72" s="352">
        <f t="shared" si="32"/>
        <v>1.7000814189516649</v>
      </c>
      <c r="DM72" s="352">
        <f t="shared" si="32"/>
        <v>35.179343224142357</v>
      </c>
    </row>
    <row r="73" spans="1:117" x14ac:dyDescent="0.2">
      <c r="A73">
        <v>68</v>
      </c>
      <c r="B73" s="397">
        <v>34308</v>
      </c>
      <c r="C73" s="398">
        <v>397997.79676138877</v>
      </c>
      <c r="D73" s="399">
        <v>18.280989068977057</v>
      </c>
      <c r="E73" s="399">
        <v>131.58114950555552</v>
      </c>
      <c r="F73" s="399">
        <v>18.611949456828</v>
      </c>
      <c r="G73" s="399">
        <v>0</v>
      </c>
      <c r="H73" s="399">
        <v>168.47408803136057</v>
      </c>
      <c r="I73" s="400">
        <v>1.600984917725919E-2</v>
      </c>
      <c r="J73" s="400">
        <v>6.3062562616784876E-2</v>
      </c>
      <c r="K73" s="400">
        <v>6.9849632903035662E-4</v>
      </c>
      <c r="L73" s="400">
        <v>0.54763134054582974</v>
      </c>
      <c r="M73" s="400">
        <v>0.49938562880835247</v>
      </c>
      <c r="N73" s="400">
        <v>0.38923632557920457</v>
      </c>
      <c r="O73" s="399">
        <f t="shared" si="35"/>
        <v>4.0024622943147978</v>
      </c>
      <c r="P73" s="399">
        <f t="shared" si="35"/>
        <v>0</v>
      </c>
      <c r="Q73" s="399">
        <f t="shared" si="35"/>
        <v>0.69849632903035663</v>
      </c>
      <c r="R73" s="399">
        <f t="shared" si="33"/>
        <v>11.370176919304479</v>
      </c>
      <c r="S73" s="399">
        <f t="shared" si="33"/>
        <v>14.981568864250574</v>
      </c>
      <c r="T73" s="399">
        <f t="shared" si="33"/>
        <v>23.354179534752273</v>
      </c>
      <c r="U73" s="399">
        <f t="shared" si="47"/>
        <v>54.406883941652481</v>
      </c>
      <c r="V73" s="400">
        <v>1.6972157967943167E-3</v>
      </c>
      <c r="W73" s="400">
        <v>1.0468854132091908E-2</v>
      </c>
      <c r="X73" s="400">
        <v>7.5377301693923375E-6</v>
      </c>
      <c r="Y73" s="400">
        <v>0.10486554616176431</v>
      </c>
      <c r="Z73" s="400">
        <v>3.3115660707793988E-2</v>
      </c>
      <c r="AA73" s="400">
        <v>2.8431112162120291E-2</v>
      </c>
      <c r="AB73" s="352">
        <f t="shared" si="36"/>
        <v>0.42430394919857917</v>
      </c>
      <c r="AC73" s="352">
        <f t="shared" si="36"/>
        <v>0</v>
      </c>
      <c r="AD73" s="352">
        <f t="shared" si="36"/>
        <v>7.5377301693923373E-3</v>
      </c>
      <c r="AE73" s="352">
        <f t="shared" si="34"/>
        <v>3.7173195656987166</v>
      </c>
      <c r="AF73" s="352">
        <f t="shared" si="34"/>
        <v>0.99346982123381966</v>
      </c>
      <c r="AG73" s="352">
        <f t="shared" si="34"/>
        <v>1.7058667297272174</v>
      </c>
      <c r="AH73" s="400">
        <f t="shared" si="48"/>
        <v>6.8484977960277256</v>
      </c>
      <c r="AJ73" s="352">
        <f>D73*('Assumptions-Output Override'!$D$10/'Winners-Losers HRA'!$H$107)*(1+'Assumptions-Output Override'!$F$41)</f>
        <v>21.820407840373075</v>
      </c>
      <c r="AK73" s="352">
        <f>E73*('Assumptions-Output Override'!$D$10/'Winners-Losers HRA'!$H$107)*(1+'Assumptions-Output Override'!$F$37)</f>
        <v>216.55345268393626</v>
      </c>
      <c r="AL73" s="352">
        <f>F73*('Assumptions-Output Override'!$D$10/'Winners-Losers HRA'!$H$107)*(1+'Assumptions-Output Override'!$F$38)</f>
        <v>31.265208087735296</v>
      </c>
      <c r="AM73" s="352">
        <f>G73*('Shoppable Detail'!$X$21/'Shoppable Detail'!$H$21)*('Assumptions-Output Override'!$D$10/'Winners-Losers HRA'!$H$107)*(1+'Assumptions-Output Override'!$F$39)</f>
        <v>0</v>
      </c>
      <c r="AN73" s="352">
        <f t="shared" si="49"/>
        <v>269.63906861204464</v>
      </c>
      <c r="AO73" s="352">
        <v>0</v>
      </c>
      <c r="AP73" s="352">
        <f>U73*'Assumptions-Output Override'!$D$10/'Winners-Losers HRA'!$H$107*(1+'Assumptions-Output Override'!$F$37)</f>
        <v>89.541690520355274</v>
      </c>
      <c r="AQ73" s="352">
        <f>AH73*'Assumptions-Output Override'!$D$10/'Winners-Losers HRA'!$H$107*(1+'Assumptions-Output Override'!$F$38)</f>
        <v>11.504421349191404</v>
      </c>
      <c r="AR73" s="352">
        <f>AM73*('Shoppable Detail'!$AA$23/'Shoppable Detail'!$Y$23)</f>
        <v>0</v>
      </c>
      <c r="AS73" s="352">
        <f t="shared" si="50"/>
        <v>101.04611186954668</v>
      </c>
      <c r="AT73" s="352">
        <f t="shared" si="51"/>
        <v>21.820407840373075</v>
      </c>
      <c r="AU73" s="352">
        <f t="shared" si="51"/>
        <v>127.01176216358098</v>
      </c>
      <c r="AV73" s="352">
        <f t="shared" si="51"/>
        <v>19.760786738543892</v>
      </c>
      <c r="AW73" s="352">
        <f t="shared" si="37"/>
        <v>0</v>
      </c>
      <c r="AX73" s="352">
        <f t="shared" si="52"/>
        <v>168.59295674249793</v>
      </c>
      <c r="AY73" s="352">
        <f>AT73*'Assumptions-Output Override'!$D$24</f>
        <v>6.6477164661734713</v>
      </c>
      <c r="AZ73" s="352">
        <f>$AU$107*'Assumptions-Output Override'!$D$21</f>
        <v>46.041131296780591</v>
      </c>
      <c r="BA73" s="352">
        <f>AV73*'Assumptions-Output Override'!$D$22</f>
        <v>2.9641180107815837</v>
      </c>
      <c r="BB73" s="352">
        <f>AW73*'Assumptions-Output Override'!$D$23</f>
        <v>0</v>
      </c>
      <c r="BC73" s="352">
        <f t="shared" si="53"/>
        <v>55.652965773735644</v>
      </c>
      <c r="BD73" s="352">
        <f t="shared" si="54"/>
        <v>6.6477164661734713</v>
      </c>
      <c r="BE73" s="352">
        <f t="shared" si="54"/>
        <v>135.58282181713588</v>
      </c>
      <c r="BF73" s="352">
        <f t="shared" si="54"/>
        <v>14.468539359972986</v>
      </c>
      <c r="BG73" s="352">
        <f t="shared" si="38"/>
        <v>0</v>
      </c>
      <c r="BH73" s="352">
        <f t="shared" si="55"/>
        <v>156.69907764328235</v>
      </c>
      <c r="BJ73" s="401">
        <f>D73*'Assumptions-Output Override'!$D$10/'Winners-Losers HRA'!$H$107</f>
        <v>30.885334881268253</v>
      </c>
      <c r="BK73" s="401">
        <f>E73*'Assumptions-Output Override'!$D$10/'Winners-Losers HRA'!$H$107</f>
        <v>222.30350071363566</v>
      </c>
      <c r="BL73" s="401">
        <f>F73*'Assumptions-Output Override'!$D$10/'Winners-Losers HRA'!$H$107</f>
        <v>31.444485284599399</v>
      </c>
      <c r="BM73" s="401">
        <f>G73*'Assumptions-Output Override'!$D$10/'Winners-Losers HRA'!$H$107</f>
        <v>0</v>
      </c>
      <c r="BN73" s="401">
        <f t="shared" si="39"/>
        <v>284.63332087950329</v>
      </c>
      <c r="BO73" s="401">
        <f>BJ73*(1-'Assumptions-Output Override'!$D$11)</f>
        <v>4.4017712095713506</v>
      </c>
      <c r="BP73" s="401">
        <f>BK73*(1-'Assumptions-Output Override'!$D$11)</f>
        <v>31.682646569640301</v>
      </c>
      <c r="BQ73" s="401">
        <f>BL73*(1-'Assumptions-Output Override'!$D$11)</f>
        <v>4.4814612034362371</v>
      </c>
      <c r="BR73" s="401">
        <f>BM73*(1-'Assumptions-Output Override'!$D$11)</f>
        <v>0</v>
      </c>
      <c r="BS73" s="352">
        <f t="shared" si="40"/>
        <v>40.565878982647888</v>
      </c>
      <c r="BT73" s="352">
        <f t="shared" si="56"/>
        <v>26.483563671696903</v>
      </c>
      <c r="BU73" s="352">
        <f t="shared" si="56"/>
        <v>190.62085414399536</v>
      </c>
      <c r="BV73" s="352">
        <f t="shared" si="56"/>
        <v>26.963024081163162</v>
      </c>
      <c r="BW73" s="352">
        <f t="shared" si="41"/>
        <v>0</v>
      </c>
      <c r="BX73" s="352">
        <f t="shared" si="42"/>
        <v>244.06744189685543</v>
      </c>
      <c r="BY73" s="352">
        <f>BT$107*(1-'Assumptions-Output Override'!$D$12)</f>
        <v>22.753074310428271</v>
      </c>
      <c r="BZ73" s="352">
        <f>BU$107*(1-'Assumptions-Output Override'!$D$12)</f>
        <v>51.446038369839215</v>
      </c>
      <c r="CA73" s="352">
        <f>BV$107*(1-'Assumptions-Output Override'!$D$12)</f>
        <v>9.7401900534537411</v>
      </c>
      <c r="CB73" s="352">
        <f>BW$107*(1-'Assumptions-Output Override'!$D$12)</f>
        <v>1.7000814189516649</v>
      </c>
      <c r="CC73" s="352">
        <f t="shared" si="43"/>
        <v>85.639384152672903</v>
      </c>
      <c r="CD73" s="352">
        <f t="shared" si="57"/>
        <v>27.154845519999622</v>
      </c>
      <c r="CE73" s="352">
        <f t="shared" si="57"/>
        <v>83.128684939479513</v>
      </c>
      <c r="CF73" s="352">
        <f t="shared" si="57"/>
        <v>14.221651256889977</v>
      </c>
      <c r="CG73" s="352">
        <f t="shared" si="44"/>
        <v>1.7000814189516649</v>
      </c>
      <c r="CH73" s="352">
        <f t="shared" si="45"/>
        <v>126.20526313532079</v>
      </c>
      <c r="CJ73" s="352">
        <f t="shared" si="58"/>
        <v>126.20526313532079</v>
      </c>
      <c r="CK73" s="352">
        <f t="shared" si="59"/>
        <v>101.04611186954669</v>
      </c>
      <c r="CL73" s="352">
        <f t="shared" si="60"/>
        <v>25.159151265774099</v>
      </c>
      <c r="CN73" s="352">
        <f>('HRA Balance Calc'!U85+'HRA Balance Calc'!V85+'HRA Balance Calc'!W85+'HRA Balance Calc'!X85)/12</f>
        <v>-5.8849303755089766</v>
      </c>
      <c r="CO73" s="352">
        <f>('HRA Balance Calc'!Q85+IF('HRA Balance Calc'!L85&lt;0,-'HRA Balance Calc'!L85,0))/12</f>
        <v>0</v>
      </c>
      <c r="CP73" s="352">
        <f>('HRA Balance Calc'!N85)/12</f>
        <v>89.541690520355289</v>
      </c>
      <c r="CQ73" s="352">
        <f>('HRA Balance Calc'!O85)/12</f>
        <v>11.504421349191404</v>
      </c>
      <c r="CR73" s="352">
        <f>('HRA Balance Calc'!P85)/12</f>
        <v>0</v>
      </c>
      <c r="CS73" s="352">
        <f>SUM(CO73:CR73)</f>
        <v>101.04611186954669</v>
      </c>
      <c r="CU73" s="577">
        <f t="shared" si="61"/>
        <v>1098.2917743381824</v>
      </c>
      <c r="CV73" s="352">
        <f t="shared" si="62"/>
        <v>91.524314528181876</v>
      </c>
      <c r="CW73" s="352">
        <f t="shared" si="29"/>
        <v>13.879217859405706</v>
      </c>
      <c r="CX73" s="352">
        <f t="shared" si="29"/>
        <v>99.898502935915218</v>
      </c>
      <c r="CY73" s="352">
        <f t="shared" si="29"/>
        <v>14.130488253391764</v>
      </c>
      <c r="CZ73" s="352">
        <f t="shared" si="29"/>
        <v>0</v>
      </c>
      <c r="DA73" s="352">
        <f t="shared" si="46"/>
        <v>127.90820904871269</v>
      </c>
      <c r="DC73" s="352">
        <f>('HRA Balance Calc'!Q85+'HRA Balance Calc'!X85+IF('HRA Balance Calc'!L85&lt;0,-'HRA Balance Calc'!L85,0))/12</f>
        <v>15.172691374199601</v>
      </c>
      <c r="DD73" s="352">
        <f>('HRA Balance Calc'!N85+'HRA Balance Calc'!U85)/12</f>
        <v>65.519950759865125</v>
      </c>
      <c r="DE73" s="352">
        <f>('HRA Balance Calc'!O85+'HRA Balance Calc'!V85)/12</f>
        <v>14.468539359972988</v>
      </c>
      <c r="DF73" s="352">
        <f>('HRA Balance Calc'!P85+'HRA Balance Calc'!W85)/12</f>
        <v>0</v>
      </c>
      <c r="DG73" s="352">
        <f t="shared" si="63"/>
        <v>95.16118149403772</v>
      </c>
      <c r="DI73" s="352">
        <f t="shared" si="32"/>
        <v>11.98215414580002</v>
      </c>
      <c r="DJ73" s="352">
        <f t="shared" si="32"/>
        <v>17.608734179614387</v>
      </c>
      <c r="DK73" s="352">
        <f t="shared" si="32"/>
        <v>-0.24688810308301079</v>
      </c>
      <c r="DL73" s="352">
        <f t="shared" si="32"/>
        <v>1.7000814189516649</v>
      </c>
      <c r="DM73" s="352">
        <f t="shared" si="32"/>
        <v>31.044081641283071</v>
      </c>
    </row>
    <row r="74" spans="1:117" x14ac:dyDescent="0.2">
      <c r="A74">
        <v>69</v>
      </c>
      <c r="B74" s="397">
        <v>34308</v>
      </c>
      <c r="C74" s="398">
        <v>397997.79676138877</v>
      </c>
      <c r="D74" s="399">
        <v>20.240077054191129</v>
      </c>
      <c r="E74" s="399">
        <v>137.76706304250416</v>
      </c>
      <c r="F74" s="399">
        <v>19.186539054116178</v>
      </c>
      <c r="G74" s="399">
        <v>5.2722822117600961E-3</v>
      </c>
      <c r="H74" s="399">
        <v>177.19895143302321</v>
      </c>
      <c r="I74" s="400">
        <v>1.7206252618464708E-2</v>
      </c>
      <c r="J74" s="400">
        <v>6.6021758615261716E-2</v>
      </c>
      <c r="K74" s="400">
        <v>8.6181381603385725E-4</v>
      </c>
      <c r="L74" s="400">
        <v>0.56566128054851805</v>
      </c>
      <c r="M74" s="400">
        <v>0.50675345853972165</v>
      </c>
      <c r="N74" s="400">
        <v>0.4017034297701802</v>
      </c>
      <c r="O74" s="399">
        <f t="shared" si="35"/>
        <v>4.3015631546161774</v>
      </c>
      <c r="P74" s="399">
        <f t="shared" si="35"/>
        <v>0</v>
      </c>
      <c r="Q74" s="399">
        <f t="shared" si="35"/>
        <v>0.86181381603385721</v>
      </c>
      <c r="R74" s="399">
        <f t="shared" si="33"/>
        <v>11.744522930017967</v>
      </c>
      <c r="S74" s="399">
        <f t="shared" si="33"/>
        <v>15.20260375619165</v>
      </c>
      <c r="T74" s="399">
        <f t="shared" si="33"/>
        <v>24.102205786210813</v>
      </c>
      <c r="U74" s="399">
        <f t="shared" si="47"/>
        <v>56.212709443070466</v>
      </c>
      <c r="V74" s="400">
        <v>1.4551111293657206E-3</v>
      </c>
      <c r="W74" s="400">
        <v>1.0378220077105803E-2</v>
      </c>
      <c r="X74" s="400">
        <v>5.0251534462615584E-6</v>
      </c>
      <c r="Y74" s="400">
        <v>0.10419204931750486</v>
      </c>
      <c r="Z74" s="400">
        <v>3.3946921590874826E-2</v>
      </c>
      <c r="AA74" s="400">
        <v>2.8559555084206736E-2</v>
      </c>
      <c r="AB74" s="352">
        <f t="shared" si="36"/>
        <v>0.36377778234143016</v>
      </c>
      <c r="AC74" s="352">
        <f t="shared" si="36"/>
        <v>0</v>
      </c>
      <c r="AD74" s="352">
        <f t="shared" si="36"/>
        <v>5.0251534462615582E-3</v>
      </c>
      <c r="AE74" s="352">
        <f t="shared" si="34"/>
        <v>3.6934451561501316</v>
      </c>
      <c r="AF74" s="352">
        <f t="shared" si="34"/>
        <v>1.0184076477262447</v>
      </c>
      <c r="AG74" s="352">
        <f t="shared" si="34"/>
        <v>1.7135733050524042</v>
      </c>
      <c r="AH74" s="400">
        <f t="shared" si="48"/>
        <v>6.7942290447164719</v>
      </c>
      <c r="AJ74" s="352">
        <f>D74*('Assumptions-Output Override'!$D$10/'Winners-Losers HRA'!$H$107)*(1+'Assumptions-Output Override'!$F$41)</f>
        <v>24.158798759554227</v>
      </c>
      <c r="AK74" s="352">
        <f>E74*('Assumptions-Output Override'!$D$10/'Winners-Losers HRA'!$H$107)*(1+'Assumptions-Output Override'!$F$37)</f>
        <v>226.73409739987235</v>
      </c>
      <c r="AL74" s="352">
        <f>F74*('Assumptions-Output Override'!$D$10/'Winners-Losers HRA'!$H$107)*(1+'Assumptions-Output Override'!$F$38)</f>
        <v>32.230430100933511</v>
      </c>
      <c r="AM74" s="352">
        <f>G74*('Shoppable Detail'!$X$21/'Shoppable Detail'!$H$21)*('Assumptions-Output Override'!$D$10/'Winners-Losers HRA'!$H$107)*(1+'Assumptions-Output Override'!$F$39)</f>
        <v>9.0408666416814509E-3</v>
      </c>
      <c r="AN74" s="352">
        <f t="shared" si="49"/>
        <v>283.13236712700177</v>
      </c>
      <c r="AO74" s="352">
        <v>0</v>
      </c>
      <c r="AP74" s="352">
        <f>U74*'Assumptions-Output Override'!$D$10/'Winners-Losers HRA'!$H$107*(1+'Assumptions-Output Override'!$F$37)</f>
        <v>92.513679659728567</v>
      </c>
      <c r="AQ74" s="352">
        <f>AH74*'Assumptions-Output Override'!$D$10/'Winners-Losers HRA'!$H$107*(1+'Assumptions-Output Override'!$F$38)</f>
        <v>11.413258206590807</v>
      </c>
      <c r="AR74" s="352">
        <f>AM74*('Shoppable Detail'!$AA$23/'Shoppable Detail'!$Y$23)</f>
        <v>3.0208374343882935E-4</v>
      </c>
      <c r="AS74" s="352">
        <f t="shared" si="50"/>
        <v>103.92723995006281</v>
      </c>
      <c r="AT74" s="352">
        <f t="shared" si="51"/>
        <v>24.158798759554227</v>
      </c>
      <c r="AU74" s="352">
        <f t="shared" si="51"/>
        <v>134.22041774014377</v>
      </c>
      <c r="AV74" s="352">
        <f t="shared" si="51"/>
        <v>20.817171894342703</v>
      </c>
      <c r="AW74" s="352">
        <f t="shared" si="37"/>
        <v>8.7387828982426214E-3</v>
      </c>
      <c r="AX74" s="352">
        <f t="shared" si="52"/>
        <v>179.20512717693893</v>
      </c>
      <c r="AY74" s="352">
        <f>AT74*'Assumptions-Output Override'!$D$24</f>
        <v>7.3601211073474593</v>
      </c>
      <c r="AZ74" s="352">
        <f>$AU$107*'Assumptions-Output Override'!$D$21</f>
        <v>46.041131296780591</v>
      </c>
      <c r="BA74" s="352">
        <f>AV74*'Assumptions-Output Override'!$D$22</f>
        <v>3.1225757841514055</v>
      </c>
      <c r="BB74" s="352">
        <f>AW74*'Assumptions-Output Override'!$D$23</f>
        <v>1.3108174347363931E-3</v>
      </c>
      <c r="BC74" s="352">
        <f t="shared" si="53"/>
        <v>56.525139005714195</v>
      </c>
      <c r="BD74" s="352">
        <f t="shared" si="54"/>
        <v>7.3601211073474593</v>
      </c>
      <c r="BE74" s="352">
        <f t="shared" si="54"/>
        <v>138.55481095650916</v>
      </c>
      <c r="BF74" s="352">
        <f t="shared" si="54"/>
        <v>14.535833990742212</v>
      </c>
      <c r="BG74" s="352">
        <f t="shared" si="38"/>
        <v>1.6129011781752223E-3</v>
      </c>
      <c r="BH74" s="352">
        <f t="shared" si="55"/>
        <v>160.45237895577699</v>
      </c>
      <c r="BJ74" s="401">
        <f>D74*'Assumptions-Output Override'!$D$10/'Winners-Losers HRA'!$H$107</f>
        <v>34.195171578664819</v>
      </c>
      <c r="BK74" s="401">
        <f>E74*'Assumptions-Output Override'!$D$10/'Winners-Losers HRA'!$H$107</f>
        <v>232.75446758497682</v>
      </c>
      <c r="BL74" s="401">
        <f>F74*'Assumptions-Output Override'!$D$10/'Winners-Losers HRA'!$H$107</f>
        <v>32.415241957806664</v>
      </c>
      <c r="BM74" s="401">
        <f>G74*'Assumptions-Output Override'!$D$10/'Winners-Losers HRA'!$H$107</f>
        <v>8.9074065459126706E-3</v>
      </c>
      <c r="BN74" s="401">
        <f t="shared" si="39"/>
        <v>299.37378852799418</v>
      </c>
      <c r="BO74" s="401">
        <f>BJ74*(1-'Assumptions-Output Override'!$D$11)</f>
        <v>4.8734884157791099</v>
      </c>
      <c r="BP74" s="401">
        <f>BK74*(1-'Assumptions-Output Override'!$D$11)</f>
        <v>33.172116095008924</v>
      </c>
      <c r="BQ74" s="401">
        <f>BL74*(1-'Assumptions-Output Override'!$D$11)</f>
        <v>4.6198132333575508</v>
      </c>
      <c r="BR74" s="401">
        <f>BM74*(1-'Assumptions-Output Override'!$D$11)</f>
        <v>1.2694816435202517E-3</v>
      </c>
      <c r="BS74" s="352">
        <f t="shared" si="40"/>
        <v>42.666687225789104</v>
      </c>
      <c r="BT74" s="352">
        <f t="shared" si="56"/>
        <v>29.321683162885709</v>
      </c>
      <c r="BU74" s="352">
        <f t="shared" si="56"/>
        <v>199.58235148996789</v>
      </c>
      <c r="BV74" s="352">
        <f t="shared" si="56"/>
        <v>27.795428724449113</v>
      </c>
      <c r="BW74" s="352">
        <f t="shared" si="41"/>
        <v>7.6379249023924185E-3</v>
      </c>
      <c r="BX74" s="352">
        <f t="shared" si="42"/>
        <v>256.7071013022051</v>
      </c>
      <c r="BY74" s="352">
        <f>BT$107*(1-'Assumptions-Output Override'!$D$12)</f>
        <v>22.753074310428271</v>
      </c>
      <c r="BZ74" s="352">
        <f>BU$107*(1-'Assumptions-Output Override'!$D$12)</f>
        <v>51.446038369839215</v>
      </c>
      <c r="CA74" s="352">
        <f>BV$107*(1-'Assumptions-Output Override'!$D$12)</f>
        <v>9.7401900534537411</v>
      </c>
      <c r="CB74" s="352">
        <f>BW$107*(1-'Assumptions-Output Override'!$D$12)</f>
        <v>1.7000814189516649</v>
      </c>
      <c r="CC74" s="352">
        <f t="shared" si="43"/>
        <v>85.639384152672903</v>
      </c>
      <c r="CD74" s="352">
        <f t="shared" si="57"/>
        <v>27.626562726207382</v>
      </c>
      <c r="CE74" s="352">
        <f t="shared" si="57"/>
        <v>84.618154464848146</v>
      </c>
      <c r="CF74" s="352">
        <f t="shared" si="57"/>
        <v>14.360003286811292</v>
      </c>
      <c r="CG74" s="352">
        <f t="shared" si="44"/>
        <v>1.701350900595185</v>
      </c>
      <c r="CH74" s="352">
        <f t="shared" si="45"/>
        <v>128.30607137846201</v>
      </c>
      <c r="CJ74" s="352">
        <f t="shared" si="58"/>
        <v>128.30607137846201</v>
      </c>
      <c r="CK74" s="352">
        <f t="shared" si="59"/>
        <v>103.92723995006281</v>
      </c>
      <c r="CL74" s="352">
        <f t="shared" si="60"/>
        <v>24.378831428399195</v>
      </c>
      <c r="CN74" s="352">
        <f>('HRA Balance Calc'!U86+'HRA Balance Calc'!V86+'HRA Balance Calc'!W86+'HRA Balance Calc'!X86)/12</f>
        <v>-4.0991755066972546</v>
      </c>
      <c r="CO74" s="352">
        <f>('HRA Balance Calc'!Q86+IF('HRA Balance Calc'!L86&lt;0,-'HRA Balance Calc'!L86,0))/12</f>
        <v>0</v>
      </c>
      <c r="CP74" s="352">
        <f>('HRA Balance Calc'!N86)/12</f>
        <v>92.513679659728567</v>
      </c>
      <c r="CQ74" s="352">
        <f>('HRA Balance Calc'!O86)/12</f>
        <v>11.413258206590806</v>
      </c>
      <c r="CR74" s="352">
        <f>('HRA Balance Calc'!P86)/12</f>
        <v>3.0208374343882935E-4</v>
      </c>
      <c r="CS74" s="352">
        <f t="shared" ref="CS74:CS105" si="64">SUM(CO74:CR74)</f>
        <v>103.92723995006281</v>
      </c>
      <c r="CU74" s="577">
        <f t="shared" si="61"/>
        <v>1076.8627159124419</v>
      </c>
      <c r="CV74" s="352">
        <f t="shared" si="62"/>
        <v>89.738559659370154</v>
      </c>
      <c r="CW74" s="352">
        <f t="shared" si="29"/>
        <v>15.366588638412018</v>
      </c>
      <c r="CX74" s="352">
        <f t="shared" si="29"/>
        <v>104.59494694749523</v>
      </c>
      <c r="CY74" s="352">
        <f t="shared" si="29"/>
        <v>14.566725820758627</v>
      </c>
      <c r="CZ74" s="352">
        <f t="shared" si="29"/>
        <v>4.0028005682398449E-3</v>
      </c>
      <c r="DA74" s="352">
        <f t="shared" si="46"/>
        <v>134.53226420723411</v>
      </c>
      <c r="DC74" s="352">
        <f>('HRA Balance Calc'!Q86+'HRA Balance Calc'!X86+IF('HRA Balance Calc'!L86&lt;0,-'HRA Balance Calc'!L86,0))/12</f>
        <v>16.798677652206766</v>
      </c>
      <c r="DD74" s="352">
        <f>('HRA Balance Calc'!N86+'HRA Balance Calc'!U86)/12</f>
        <v>68.491939899238403</v>
      </c>
      <c r="DE74" s="352">
        <f>('HRA Balance Calc'!O86+'HRA Balance Calc'!V86)/12</f>
        <v>14.535833990742212</v>
      </c>
      <c r="DF74" s="352">
        <f>('HRA Balance Calc'!P86+'HRA Balance Calc'!W86)/12</f>
        <v>1.612901178175223E-3</v>
      </c>
      <c r="DG74" s="352">
        <f t="shared" si="63"/>
        <v>99.828064443365562</v>
      </c>
      <c r="DI74" s="352">
        <f t="shared" si="32"/>
        <v>10.827885074000616</v>
      </c>
      <c r="DJ74" s="352">
        <f t="shared" si="32"/>
        <v>16.126214565609743</v>
      </c>
      <c r="DK74" s="352">
        <f t="shared" si="32"/>
        <v>-0.17583070393092015</v>
      </c>
      <c r="DL74" s="352">
        <f t="shared" si="32"/>
        <v>1.6997379994170099</v>
      </c>
      <c r="DM74" s="352">
        <f t="shared" si="32"/>
        <v>28.478006935096445</v>
      </c>
    </row>
    <row r="75" spans="1:117" x14ac:dyDescent="0.2">
      <c r="A75">
        <v>70</v>
      </c>
      <c r="B75" s="397">
        <v>34308</v>
      </c>
      <c r="C75" s="398">
        <v>397997.79676138877</v>
      </c>
      <c r="D75" s="399">
        <v>21.860659038953823</v>
      </c>
      <c r="E75" s="399">
        <v>144.19098446310718</v>
      </c>
      <c r="F75" s="399">
        <v>20.442013611950607</v>
      </c>
      <c r="G75" s="399">
        <v>1.6327795913655435E-2</v>
      </c>
      <c r="H75" s="399">
        <v>186.50998490992529</v>
      </c>
      <c r="I75" s="400">
        <v>1.7881178855891557E-2</v>
      </c>
      <c r="J75" s="400">
        <v>7.1055635450782847E-2</v>
      </c>
      <c r="K75" s="400">
        <v>1.0351816099298809E-3</v>
      </c>
      <c r="L75" s="400">
        <v>0.57885637630467746</v>
      </c>
      <c r="M75" s="400">
        <v>0.5189436265242664</v>
      </c>
      <c r="N75" s="400">
        <v>0.41422525788217318</v>
      </c>
      <c r="O75" s="399">
        <f t="shared" si="35"/>
        <v>4.4702947139728888</v>
      </c>
      <c r="P75" s="399">
        <f t="shared" si="35"/>
        <v>0</v>
      </c>
      <c r="Q75" s="399">
        <f t="shared" si="35"/>
        <v>1.035181609929881</v>
      </c>
      <c r="R75" s="399">
        <f t="shared" si="33"/>
        <v>12.018485652942406</v>
      </c>
      <c r="S75" s="399">
        <f t="shared" si="33"/>
        <v>15.568308795727992</v>
      </c>
      <c r="T75" s="399">
        <f t="shared" si="33"/>
        <v>24.85351547293039</v>
      </c>
      <c r="U75" s="399">
        <f t="shared" si="47"/>
        <v>57.945786245503555</v>
      </c>
      <c r="V75" s="400">
        <v>1.4315214438213992E-3</v>
      </c>
      <c r="W75" s="400">
        <v>1.0272687273354879E-2</v>
      </c>
      <c r="X75" s="400">
        <v>7.5377301693923375E-6</v>
      </c>
      <c r="Y75" s="400">
        <v>0.11096217583353338</v>
      </c>
      <c r="Z75" s="400">
        <v>3.5604920718934369E-2</v>
      </c>
      <c r="AA75" s="400">
        <v>2.9334735254827042E-2</v>
      </c>
      <c r="AB75" s="352">
        <f t="shared" si="36"/>
        <v>0.35788036095534981</v>
      </c>
      <c r="AC75" s="352">
        <f t="shared" si="36"/>
        <v>0</v>
      </c>
      <c r="AD75" s="352">
        <f t="shared" si="36"/>
        <v>7.5377301693923373E-3</v>
      </c>
      <c r="AE75" s="352">
        <f t="shared" si="34"/>
        <v>3.9334355503399125</v>
      </c>
      <c r="AF75" s="352">
        <f t="shared" si="34"/>
        <v>1.068147621568031</v>
      </c>
      <c r="AG75" s="352">
        <f t="shared" si="34"/>
        <v>1.7600841152896225</v>
      </c>
      <c r="AH75" s="400">
        <f t="shared" si="48"/>
        <v>7.1270853783223078</v>
      </c>
      <c r="AJ75" s="352">
        <f>D75*('Assumptions-Output Override'!$D$10/'Winners-Losers HRA'!$H$107)*(1+'Assumptions-Output Override'!$F$41)</f>
        <v>26.093144856084223</v>
      </c>
      <c r="AK75" s="352">
        <f>E75*('Assumptions-Output Override'!$D$10/'Winners-Losers HRA'!$H$107)*(1+'Assumptions-Output Override'!$F$37)</f>
        <v>237.30645042026563</v>
      </c>
      <c r="AL75" s="352">
        <f>F75*('Assumptions-Output Override'!$D$10/'Winners-Losers HRA'!$H$107)*(1+'Assumptions-Output Override'!$F$38)</f>
        <v>34.339433963779832</v>
      </c>
      <c r="AM75" s="352">
        <f>G75*('Shoppable Detail'!$X$21/'Shoppable Detail'!$H$21)*('Assumptions-Output Override'!$D$10/'Winners-Losers HRA'!$H$107)*(1+'Assumptions-Output Override'!$F$39)</f>
        <v>2.7998771590542305E-2</v>
      </c>
      <c r="AN75" s="352">
        <f t="shared" si="49"/>
        <v>297.76702801172019</v>
      </c>
      <c r="AO75" s="352">
        <v>0</v>
      </c>
      <c r="AP75" s="352">
        <f>U75*'Assumptions-Output Override'!$D$10/'Winners-Losers HRA'!$H$107*(1+'Assumptions-Output Override'!$F$37)</f>
        <v>95.365940540132854</v>
      </c>
      <c r="AQ75" s="352">
        <f>AH75*'Assumptions-Output Override'!$D$10/'Winners-Losers HRA'!$H$107*(1+'Assumptions-Output Override'!$F$38)</f>
        <v>11.972405573589981</v>
      </c>
      <c r="AR75" s="352">
        <f>AM75*('Shoppable Detail'!$AA$23/'Shoppable Detail'!$Y$23)</f>
        <v>9.3552687689979291E-4</v>
      </c>
      <c r="AS75" s="352">
        <f t="shared" si="50"/>
        <v>107.33928164059974</v>
      </c>
      <c r="AT75" s="352">
        <f t="shared" si="51"/>
        <v>26.093144856084223</v>
      </c>
      <c r="AU75" s="352">
        <f t="shared" si="51"/>
        <v>141.94050988013277</v>
      </c>
      <c r="AV75" s="352">
        <f t="shared" si="51"/>
        <v>22.367028390189851</v>
      </c>
      <c r="AW75" s="352">
        <f t="shared" si="37"/>
        <v>2.7063244713642513E-2</v>
      </c>
      <c r="AX75" s="352">
        <f t="shared" si="52"/>
        <v>190.42774637112049</v>
      </c>
      <c r="AY75" s="352">
        <f>AT75*'Assumptions-Output Override'!$D$24</f>
        <v>7.9494311006001324</v>
      </c>
      <c r="AZ75" s="352">
        <f>$AU$107*'Assumptions-Output Override'!$D$21</f>
        <v>46.041131296780591</v>
      </c>
      <c r="BA75" s="352">
        <f>AV75*'Assumptions-Output Override'!$D$22</f>
        <v>3.3550542585284777</v>
      </c>
      <c r="BB75" s="352">
        <f>AW75*'Assumptions-Output Override'!$D$23</f>
        <v>4.0594867070463765E-3</v>
      </c>
      <c r="BC75" s="352">
        <f t="shared" si="53"/>
        <v>57.349676142616246</v>
      </c>
      <c r="BD75" s="352">
        <f t="shared" si="54"/>
        <v>7.9494311006001324</v>
      </c>
      <c r="BE75" s="352">
        <f t="shared" si="54"/>
        <v>141.40707183691345</v>
      </c>
      <c r="BF75" s="352">
        <f t="shared" si="54"/>
        <v>15.327459832118459</v>
      </c>
      <c r="BG75" s="352">
        <f t="shared" si="38"/>
        <v>4.9950135839461696E-3</v>
      </c>
      <c r="BH75" s="352">
        <f t="shared" si="55"/>
        <v>164.68895778321595</v>
      </c>
      <c r="BJ75" s="401">
        <f>D75*'Assumptions-Output Override'!$D$10/'Winners-Losers HRA'!$H$107</f>
        <v>36.933109723755948</v>
      </c>
      <c r="BK75" s="401">
        <f>E75*'Assumptions-Output Override'!$D$10/'Winners-Losers HRA'!$H$107</f>
        <v>243.60754361809865</v>
      </c>
      <c r="BL75" s="401">
        <f>F75*'Assumptions-Output Override'!$D$10/'Winners-Losers HRA'!$H$107</f>
        <v>34.536339017015081</v>
      </c>
      <c r="BM75" s="401">
        <f>G75*'Assumptions-Output Override'!$D$10/'Winners-Losers HRA'!$H$107</f>
        <v>2.7585457371233458E-2</v>
      </c>
      <c r="BN75" s="401">
        <f t="shared" si="39"/>
        <v>315.10457781624092</v>
      </c>
      <c r="BO75" s="401">
        <f>BJ75*(1-'Assumptions-Output Override'!$D$11)</f>
        <v>5.2636987647029496</v>
      </c>
      <c r="BP75" s="401">
        <f>BK75*(1-'Assumptions-Output Override'!$D$11)</f>
        <v>34.718894130653865</v>
      </c>
      <c r="BQ75" s="401">
        <f>BL75*(1-'Assumptions-Output Override'!$D$11)</f>
        <v>4.9221115248872511</v>
      </c>
      <c r="BR75" s="401">
        <f>BM75*(1-'Assumptions-Output Override'!$D$11)</f>
        <v>3.9314733845802197E-3</v>
      </c>
      <c r="BS75" s="352">
        <f t="shared" si="40"/>
        <v>44.908635893628649</v>
      </c>
      <c r="BT75" s="352">
        <f t="shared" si="56"/>
        <v>31.669410959052996</v>
      </c>
      <c r="BU75" s="352">
        <f t="shared" si="56"/>
        <v>208.88864948744478</v>
      </c>
      <c r="BV75" s="352">
        <f t="shared" si="56"/>
        <v>29.614227492127831</v>
      </c>
      <c r="BW75" s="352">
        <f t="shared" si="41"/>
        <v>2.3653983986653238E-2</v>
      </c>
      <c r="BX75" s="352">
        <f t="shared" si="42"/>
        <v>270.19594192261229</v>
      </c>
      <c r="BY75" s="352">
        <f>BT$107*(1-'Assumptions-Output Override'!$D$12)</f>
        <v>22.753074310428271</v>
      </c>
      <c r="BZ75" s="352">
        <f>BU$107*(1-'Assumptions-Output Override'!$D$12)</f>
        <v>51.446038369839215</v>
      </c>
      <c r="CA75" s="352">
        <f>BV$107*(1-'Assumptions-Output Override'!$D$12)</f>
        <v>9.7401900534537411</v>
      </c>
      <c r="CB75" s="352">
        <f>BW$107*(1-'Assumptions-Output Override'!$D$12)</f>
        <v>1.7000814189516649</v>
      </c>
      <c r="CC75" s="352">
        <f t="shared" si="43"/>
        <v>85.639384152672903</v>
      </c>
      <c r="CD75" s="352">
        <f t="shared" si="57"/>
        <v>28.016773075131219</v>
      </c>
      <c r="CE75" s="352">
        <f t="shared" si="57"/>
        <v>86.16493250049308</v>
      </c>
      <c r="CF75" s="352">
        <f t="shared" si="57"/>
        <v>14.662301578340992</v>
      </c>
      <c r="CG75" s="352">
        <f t="shared" si="44"/>
        <v>1.704012892336245</v>
      </c>
      <c r="CH75" s="352">
        <f t="shared" si="45"/>
        <v>130.54802004630153</v>
      </c>
      <c r="CJ75" s="352">
        <f t="shared" si="58"/>
        <v>130.54802004630153</v>
      </c>
      <c r="CK75" s="352">
        <f t="shared" si="59"/>
        <v>107.33928164059974</v>
      </c>
      <c r="CL75" s="352">
        <f t="shared" si="60"/>
        <v>23.208738405701794</v>
      </c>
      <c r="CN75" s="352">
        <f>('HRA Balance Calc'!U87+'HRA Balance Calc'!V87+'HRA Balance Calc'!W87+'HRA Balance Calc'!X87)/12</f>
        <v>-2.5189122597705498</v>
      </c>
      <c r="CO75" s="352">
        <f>('HRA Balance Calc'!Q87+IF('HRA Balance Calc'!L87&lt;0,-'HRA Balance Calc'!L87,0))/12</f>
        <v>0</v>
      </c>
      <c r="CP75" s="352">
        <f>('HRA Balance Calc'!N87)/12</f>
        <v>95.365940540132854</v>
      </c>
      <c r="CQ75" s="352">
        <f>('HRA Balance Calc'!O87)/12</f>
        <v>11.972405573589981</v>
      </c>
      <c r="CR75" s="352">
        <f>('HRA Balance Calc'!P87)/12</f>
        <v>9.355268768997928E-4</v>
      </c>
      <c r="CS75" s="352">
        <f t="shared" si="64"/>
        <v>107.33928164059974</v>
      </c>
      <c r="CU75" s="577">
        <f t="shared" si="61"/>
        <v>1057.8995569493213</v>
      </c>
      <c r="CV75" s="352">
        <f t="shared" si="62"/>
        <v>88.158296412443448</v>
      </c>
      <c r="CW75" s="352">
        <f t="shared" si="29"/>
        <v>16.596960274250876</v>
      </c>
      <c r="CX75" s="352">
        <f t="shared" si="29"/>
        <v>109.47209033245332</v>
      </c>
      <c r="CY75" s="352">
        <f t="shared" si="29"/>
        <v>15.519902087063356</v>
      </c>
      <c r="CZ75" s="352">
        <f t="shared" si="29"/>
        <v>1.2396322529075215E-2</v>
      </c>
      <c r="DA75" s="352">
        <f t="shared" si="46"/>
        <v>141.60134901629661</v>
      </c>
      <c r="DC75" s="352">
        <f>('HRA Balance Calc'!Q87+'HRA Balance Calc'!X87+IF('HRA Balance Calc'!L87&lt;0,-'HRA Balance Calc'!L87,0))/12</f>
        <v>18.143713755484089</v>
      </c>
      <c r="DD75" s="352">
        <f>('HRA Balance Calc'!N87+'HRA Balance Calc'!U87)/12</f>
        <v>71.344200779642691</v>
      </c>
      <c r="DE75" s="352">
        <f>('HRA Balance Calc'!O87+'HRA Balance Calc'!V87)/12</f>
        <v>15.327459832118459</v>
      </c>
      <c r="DF75" s="352">
        <f>('HRA Balance Calc'!P87+'HRA Balance Calc'!W87)/12</f>
        <v>4.9950135839461696E-3</v>
      </c>
      <c r="DG75" s="352">
        <f t="shared" si="63"/>
        <v>104.82036938082919</v>
      </c>
      <c r="DI75" s="352">
        <f t="shared" si="32"/>
        <v>9.8730593196471297</v>
      </c>
      <c r="DJ75" s="352">
        <f t="shared" si="32"/>
        <v>14.820731720850389</v>
      </c>
      <c r="DK75" s="352">
        <f t="shared" si="32"/>
        <v>-0.66515825377746651</v>
      </c>
      <c r="DL75" s="352">
        <f t="shared" si="32"/>
        <v>1.6990178787522987</v>
      </c>
      <c r="DM75" s="352">
        <f t="shared" si="32"/>
        <v>25.727650665472339</v>
      </c>
    </row>
    <row r="76" spans="1:117" x14ac:dyDescent="0.2">
      <c r="A76">
        <v>71</v>
      </c>
      <c r="B76" s="397">
        <v>34308</v>
      </c>
      <c r="C76" s="398">
        <v>397997.79676138877</v>
      </c>
      <c r="D76" s="399">
        <v>23.965166421917225</v>
      </c>
      <c r="E76" s="399">
        <v>150.81783016607534</v>
      </c>
      <c r="F76" s="399">
        <v>21.656846214449615</v>
      </c>
      <c r="G76" s="399">
        <v>1.1526620552741781E-2</v>
      </c>
      <c r="H76" s="399">
        <v>196.4513694229949</v>
      </c>
      <c r="I76" s="400">
        <v>1.9353291536415521E-2</v>
      </c>
      <c r="J76" s="400">
        <v>7.41645378235503E-2</v>
      </c>
      <c r="K76" s="400">
        <v>1.1206092185163275E-3</v>
      </c>
      <c r="L76" s="400">
        <v>0.59625677929609644</v>
      </c>
      <c r="M76" s="400">
        <v>0.53084856679919867</v>
      </c>
      <c r="N76" s="400">
        <v>0.42901232466468187</v>
      </c>
      <c r="O76" s="399">
        <f t="shared" si="35"/>
        <v>4.8383228841038806</v>
      </c>
      <c r="P76" s="399">
        <f t="shared" si="35"/>
        <v>0</v>
      </c>
      <c r="Q76" s="399">
        <f t="shared" si="35"/>
        <v>1.1206092185163274</v>
      </c>
      <c r="R76" s="399">
        <f t="shared" si="33"/>
        <v>12.379760923058308</v>
      </c>
      <c r="S76" s="399">
        <f t="shared" si="33"/>
        <v>15.925457003975961</v>
      </c>
      <c r="T76" s="399">
        <f t="shared" si="33"/>
        <v>25.740739479880911</v>
      </c>
      <c r="U76" s="399">
        <f t="shared" si="47"/>
        <v>60.004889509535388</v>
      </c>
      <c r="V76" s="400">
        <v>1.6860417352206863E-3</v>
      </c>
      <c r="W76" s="400">
        <v>1.1397542805100053E-2</v>
      </c>
      <c r="X76" s="400">
        <v>1.5075460338784675E-5</v>
      </c>
      <c r="Y76" s="400">
        <v>0.11276073102774481</v>
      </c>
      <c r="Z76" s="400">
        <v>3.5888942391717318E-2</v>
      </c>
      <c r="AA76" s="400">
        <v>2.9969713644296653E-2</v>
      </c>
      <c r="AB76" s="352">
        <f t="shared" si="36"/>
        <v>0.42151043380517156</v>
      </c>
      <c r="AC76" s="352">
        <f t="shared" si="36"/>
        <v>0</v>
      </c>
      <c r="AD76" s="352">
        <f t="shared" si="36"/>
        <v>1.5075460338784675E-2</v>
      </c>
      <c r="AE76" s="352">
        <f t="shared" si="34"/>
        <v>3.9971915184165749</v>
      </c>
      <c r="AF76" s="352">
        <f t="shared" si="34"/>
        <v>1.0766682717515195</v>
      </c>
      <c r="AG76" s="352">
        <f t="shared" si="34"/>
        <v>1.7981828186577991</v>
      </c>
      <c r="AH76" s="400">
        <f t="shared" si="48"/>
        <v>7.3086285029698494</v>
      </c>
      <c r="AJ76" s="352">
        <f>D76*('Assumptions-Output Override'!$D$10/'Winners-Losers HRA'!$H$107)*(1+'Assumptions-Output Override'!$F$41)</f>
        <v>28.605110112781748</v>
      </c>
      <c r="AK76" s="352">
        <f>E76*('Assumptions-Output Override'!$D$10/'Winners-Losers HRA'!$H$107)*(1+'Assumptions-Output Override'!$F$37)</f>
        <v>248.21277190152668</v>
      </c>
      <c r="AL76" s="352">
        <f>F76*('Assumptions-Output Override'!$D$10/'Winners-Losers HRA'!$H$107)*(1+'Assumptions-Output Override'!$F$38)</f>
        <v>36.380165602182302</v>
      </c>
      <c r="AM76" s="352">
        <f>G76*('Shoppable Detail'!$X$21/'Shoppable Detail'!$H$21)*('Assumptions-Output Override'!$D$10/'Winners-Losers HRA'!$H$107)*(1+'Assumptions-Output Override'!$F$39)</f>
        <v>1.9765755143788734E-2</v>
      </c>
      <c r="AN76" s="352">
        <f t="shared" si="49"/>
        <v>313.21781337163452</v>
      </c>
      <c r="AO76" s="352">
        <v>0</v>
      </c>
      <c r="AP76" s="352">
        <f>U76*'Assumptions-Output Override'!$D$10/'Winners-Losers HRA'!$H$107*(1+'Assumptions-Output Override'!$F$37)</f>
        <v>98.754768825449133</v>
      </c>
      <c r="AQ76" s="352">
        <f>AH76*'Assumptions-Output Override'!$D$10/'Winners-Losers HRA'!$H$107*(1+'Assumptions-Output Override'!$F$38)</f>
        <v>12.277370057948215</v>
      </c>
      <c r="AR76" s="352">
        <f>AM76*('Shoppable Detail'!$AA$23/'Shoppable Detail'!$Y$23)</f>
        <v>6.6043594517842675E-4</v>
      </c>
      <c r="AS76" s="352">
        <f t="shared" si="50"/>
        <v>111.03279931934253</v>
      </c>
      <c r="AT76" s="352">
        <f t="shared" si="51"/>
        <v>28.605110112781748</v>
      </c>
      <c r="AU76" s="352">
        <f t="shared" si="51"/>
        <v>149.45800307607755</v>
      </c>
      <c r="AV76" s="352">
        <f t="shared" si="51"/>
        <v>24.102795544234088</v>
      </c>
      <c r="AW76" s="352">
        <f t="shared" si="37"/>
        <v>1.9105319198610308E-2</v>
      </c>
      <c r="AX76" s="352">
        <f t="shared" si="52"/>
        <v>202.18501405229199</v>
      </c>
      <c r="AY76" s="352">
        <f>AT76*'Assumptions-Output Override'!$D$24</f>
        <v>8.7147161915830278</v>
      </c>
      <c r="AZ76" s="352">
        <f>$AU$107*'Assumptions-Output Override'!$D$21</f>
        <v>46.041131296780591</v>
      </c>
      <c r="BA76" s="352">
        <f>AV76*'Assumptions-Output Override'!$D$22</f>
        <v>3.6154193316351129</v>
      </c>
      <c r="BB76" s="352">
        <f>AW76*'Assumptions-Output Override'!$D$23</f>
        <v>2.8657978797915463E-3</v>
      </c>
      <c r="BC76" s="352">
        <f t="shared" si="53"/>
        <v>58.374132617878523</v>
      </c>
      <c r="BD76" s="352">
        <f t="shared" si="54"/>
        <v>8.7147161915830278</v>
      </c>
      <c r="BE76" s="352">
        <f t="shared" si="54"/>
        <v>144.79590012222974</v>
      </c>
      <c r="BF76" s="352">
        <f t="shared" si="54"/>
        <v>15.892789389583328</v>
      </c>
      <c r="BG76" s="352">
        <f t="shared" si="38"/>
        <v>3.5262338249699731E-3</v>
      </c>
      <c r="BH76" s="352">
        <f t="shared" si="55"/>
        <v>169.40693193722106</v>
      </c>
      <c r="BJ76" s="401">
        <f>D76*'Assumptions-Output Override'!$D$10/'Winners-Losers HRA'!$H$107</f>
        <v>40.488629342397843</v>
      </c>
      <c r="BK76" s="401">
        <f>E76*'Assumptions-Output Override'!$D$10/'Winners-Losers HRA'!$H$107</f>
        <v>254.80345582888791</v>
      </c>
      <c r="BL76" s="401">
        <f>F76*'Assumptions-Output Override'!$D$10/'Winners-Losers HRA'!$H$107</f>
        <v>36.588772373399337</v>
      </c>
      <c r="BM76" s="401">
        <f>G76*'Assumptions-Output Override'!$D$10/'Winners-Losers HRA'!$H$107</f>
        <v>1.9473975640895674E-2</v>
      </c>
      <c r="BN76" s="401">
        <f t="shared" si="39"/>
        <v>331.90033152032601</v>
      </c>
      <c r="BO76" s="401">
        <f>BJ76*(1-'Assumptions-Output Override'!$D$11)</f>
        <v>5.7704306474093912</v>
      </c>
      <c r="BP76" s="401">
        <f>BK76*(1-'Assumptions-Output Override'!$D$11)</f>
        <v>36.314533103771481</v>
      </c>
      <c r="BQ76" s="401">
        <f>BL76*(1-'Assumptions-Output Override'!$D$11)</f>
        <v>5.2146238804251341</v>
      </c>
      <c r="BR76" s="401">
        <f>BM76*(1-'Assumptions-Output Override'!$D$11)</f>
        <v>2.7754267726582738E-3</v>
      </c>
      <c r="BS76" s="352">
        <f t="shared" si="40"/>
        <v>47.302363058378667</v>
      </c>
      <c r="BT76" s="352">
        <f t="shared" si="56"/>
        <v>34.718198694988452</v>
      </c>
      <c r="BU76" s="352">
        <f t="shared" si="56"/>
        <v>218.48892272511642</v>
      </c>
      <c r="BV76" s="352">
        <f t="shared" si="56"/>
        <v>31.374148492974204</v>
      </c>
      <c r="BW76" s="352">
        <f t="shared" si="41"/>
        <v>1.6698548868237399E-2</v>
      </c>
      <c r="BX76" s="352">
        <f t="shared" si="42"/>
        <v>284.59796846194735</v>
      </c>
      <c r="BY76" s="352">
        <f>BT$107*(1-'Assumptions-Output Override'!$D$12)</f>
        <v>22.753074310428271</v>
      </c>
      <c r="BZ76" s="352">
        <f>BU$107*(1-'Assumptions-Output Override'!$D$12)</f>
        <v>51.446038369839215</v>
      </c>
      <c r="CA76" s="352">
        <f>BV$107*(1-'Assumptions-Output Override'!$D$12)</f>
        <v>9.7401900534537411</v>
      </c>
      <c r="CB76" s="352">
        <f>BW$107*(1-'Assumptions-Output Override'!$D$12)</f>
        <v>1.7000814189516649</v>
      </c>
      <c r="CC76" s="352">
        <f t="shared" si="43"/>
        <v>85.639384152672903</v>
      </c>
      <c r="CD76" s="352">
        <f t="shared" si="57"/>
        <v>28.523504957837662</v>
      </c>
      <c r="CE76" s="352">
        <f t="shared" si="57"/>
        <v>87.760571473610696</v>
      </c>
      <c r="CF76" s="352">
        <f t="shared" si="57"/>
        <v>14.954813933878874</v>
      </c>
      <c r="CG76" s="352">
        <f t="shared" si="44"/>
        <v>1.7028568457243232</v>
      </c>
      <c r="CH76" s="352">
        <f t="shared" si="45"/>
        <v>132.94174721105153</v>
      </c>
      <c r="CJ76" s="352">
        <f t="shared" si="58"/>
        <v>132.94174721105153</v>
      </c>
      <c r="CK76" s="352">
        <f t="shared" si="59"/>
        <v>111.03279931934254</v>
      </c>
      <c r="CL76" s="352">
        <f t="shared" si="60"/>
        <v>21.908947891708991</v>
      </c>
      <c r="CN76" s="352">
        <f>('HRA Balance Calc'!U88+'HRA Balance Calc'!V88+'HRA Balance Calc'!W88+'HRA Balance Calc'!X88)/12</f>
        <v>-0.51306070977653684</v>
      </c>
      <c r="CO76" s="352">
        <f>('HRA Balance Calc'!Q88+IF('HRA Balance Calc'!L88&lt;0,-'HRA Balance Calc'!L88,0))/12</f>
        <v>0</v>
      </c>
      <c r="CP76" s="352">
        <f>('HRA Balance Calc'!N88)/12</f>
        <v>98.754768825449148</v>
      </c>
      <c r="CQ76" s="352">
        <f>('HRA Balance Calc'!O88)/12</f>
        <v>12.277370057948213</v>
      </c>
      <c r="CR76" s="352">
        <f>('HRA Balance Calc'!P88)/12</f>
        <v>6.6043594517842675E-4</v>
      </c>
      <c r="CS76" s="352">
        <f t="shared" si="64"/>
        <v>111.03279931934254</v>
      </c>
      <c r="CU76" s="577">
        <f t="shared" si="61"/>
        <v>1033.8293383493933</v>
      </c>
      <c r="CV76" s="352">
        <f t="shared" si="62"/>
        <v>86.152444862449443</v>
      </c>
      <c r="CW76" s="352">
        <f t="shared" si="29"/>
        <v>18.194735774507834</v>
      </c>
      <c r="CX76" s="352">
        <f t="shared" si="29"/>
        <v>114.50329706230386</v>
      </c>
      <c r="CY76" s="352">
        <f t="shared" si="29"/>
        <v>16.442222334024482</v>
      </c>
      <c r="CZ76" s="352">
        <f t="shared" si="29"/>
        <v>8.7511937800835073E-3</v>
      </c>
      <c r="DA76" s="352">
        <f t="shared" si="46"/>
        <v>149.14900636461627</v>
      </c>
      <c r="DC76" s="352">
        <f>('HRA Balance Calc'!Q88+'HRA Balance Calc'!X88+IF('HRA Balance Calc'!L88&lt;0,-'HRA Balance Calc'!L88,0))/12</f>
        <v>19.890393921198719</v>
      </c>
      <c r="DD76" s="352">
        <f>('HRA Balance Calc'!N88+'HRA Balance Calc'!U88)/12</f>
        <v>74.733029064958984</v>
      </c>
      <c r="DE76" s="352">
        <f>('HRA Balance Calc'!O88+'HRA Balance Calc'!V88)/12</f>
        <v>15.892789389583328</v>
      </c>
      <c r="DF76" s="352">
        <f>('HRA Balance Calc'!P88+'HRA Balance Calc'!W88)/12</f>
        <v>3.5262338249699731E-3</v>
      </c>
      <c r="DG76" s="352">
        <f t="shared" si="63"/>
        <v>110.51973860956601</v>
      </c>
      <c r="DI76" s="352">
        <f t="shared" si="32"/>
        <v>8.6331110366389439</v>
      </c>
      <c r="DJ76" s="352">
        <f t="shared" si="32"/>
        <v>13.027542408651712</v>
      </c>
      <c r="DK76" s="352">
        <f t="shared" si="32"/>
        <v>-0.93797545570445351</v>
      </c>
      <c r="DL76" s="352">
        <f t="shared" si="32"/>
        <v>1.6993306118993532</v>
      </c>
      <c r="DM76" s="352">
        <f t="shared" si="32"/>
        <v>22.42200860148553</v>
      </c>
    </row>
    <row r="77" spans="1:117" x14ac:dyDescent="0.2">
      <c r="A77">
        <v>72</v>
      </c>
      <c r="B77" s="397">
        <v>34308</v>
      </c>
      <c r="C77" s="398">
        <v>397997.79676138877</v>
      </c>
      <c r="D77" s="399">
        <v>26.029633046888605</v>
      </c>
      <c r="E77" s="399">
        <v>157.76869683174851</v>
      </c>
      <c r="F77" s="399">
        <v>23.281233717809254</v>
      </c>
      <c r="G77" s="399">
        <v>0</v>
      </c>
      <c r="H77" s="399">
        <v>207.07956359644635</v>
      </c>
      <c r="I77" s="400">
        <v>1.9920928205600739E-2</v>
      </c>
      <c r="J77" s="400">
        <v>7.7504237523348868E-2</v>
      </c>
      <c r="K77" s="400">
        <v>1.3266405098130514E-3</v>
      </c>
      <c r="L77" s="400">
        <v>0.60914388617597692</v>
      </c>
      <c r="M77" s="400">
        <v>0.54051480121382156</v>
      </c>
      <c r="N77" s="400">
        <v>0.44053253919176594</v>
      </c>
      <c r="O77" s="399">
        <f t="shared" si="35"/>
        <v>4.9802320514001845</v>
      </c>
      <c r="P77" s="399">
        <f t="shared" si="35"/>
        <v>0</v>
      </c>
      <c r="Q77" s="399">
        <f t="shared" si="35"/>
        <v>1.3266405098130514</v>
      </c>
      <c r="R77" s="399">
        <f t="shared" si="33"/>
        <v>12.64732903750585</v>
      </c>
      <c r="S77" s="399">
        <f t="shared" si="33"/>
        <v>16.215444036414645</v>
      </c>
      <c r="T77" s="399">
        <f t="shared" si="33"/>
        <v>26.431952351505956</v>
      </c>
      <c r="U77" s="399">
        <f t="shared" si="47"/>
        <v>61.601597986639689</v>
      </c>
      <c r="V77" s="400">
        <v>1.7866082893833325E-3</v>
      </c>
      <c r="W77" s="400">
        <v>1.1993492755693551E-2</v>
      </c>
      <c r="X77" s="400">
        <v>2.2613190508177012E-5</v>
      </c>
      <c r="Y77" s="400">
        <v>0.11807179749617773</v>
      </c>
      <c r="Z77" s="400">
        <v>3.6914676713167983E-2</v>
      </c>
      <c r="AA77" s="400">
        <v>3.226721379992744E-2</v>
      </c>
      <c r="AB77" s="352">
        <f t="shared" si="36"/>
        <v>0.4466520723458331</v>
      </c>
      <c r="AC77" s="352">
        <f t="shared" si="36"/>
        <v>0</v>
      </c>
      <c r="AD77" s="352">
        <f t="shared" si="36"/>
        <v>2.2613190508177013E-2</v>
      </c>
      <c r="AE77" s="352">
        <f t="shared" si="34"/>
        <v>4.1854605163901981</v>
      </c>
      <c r="AF77" s="352">
        <f t="shared" si="34"/>
        <v>1.1074403013950396</v>
      </c>
      <c r="AG77" s="352">
        <f t="shared" si="34"/>
        <v>1.9360328279956465</v>
      </c>
      <c r="AH77" s="400">
        <f t="shared" si="48"/>
        <v>7.6981989086348932</v>
      </c>
      <c r="AJ77" s="352">
        <f>D77*('Assumptions-Output Override'!$D$10/'Winners-Losers HRA'!$H$107)*(1+'Assumptions-Output Override'!$F$41)</f>
        <v>31.069282240435381</v>
      </c>
      <c r="AK77" s="352">
        <f>E77*('Assumptions-Output Override'!$D$10/'Winners-Losers HRA'!$H$107)*(1+'Assumptions-Output Override'!$F$37)</f>
        <v>259.65236018034506</v>
      </c>
      <c r="AL77" s="352">
        <f>F77*('Assumptions-Output Override'!$D$10/'Winners-Losers HRA'!$H$107)*(1+'Assumptions-Output Override'!$F$38)</f>
        <v>39.108886385862718</v>
      </c>
      <c r="AM77" s="352">
        <f>G77*('Shoppable Detail'!$X$21/'Shoppable Detail'!$H$21)*('Assumptions-Output Override'!$D$10/'Winners-Losers HRA'!$H$107)*(1+'Assumptions-Output Override'!$F$39)</f>
        <v>0</v>
      </c>
      <c r="AN77" s="352">
        <f t="shared" si="49"/>
        <v>329.83052880664314</v>
      </c>
      <c r="AO77" s="352">
        <v>0</v>
      </c>
      <c r="AP77" s="352">
        <f>U77*'Assumptions-Output Override'!$D$10/'Winners-Losers HRA'!$H$107*(1+'Assumptions-Output Override'!$F$37)</f>
        <v>101.38259762118437</v>
      </c>
      <c r="AQ77" s="352">
        <f>AH77*'Assumptions-Output Override'!$D$10/'Winners-Losers HRA'!$H$107*(1+'Assumptions-Output Override'!$F$38)</f>
        <v>12.931788329725364</v>
      </c>
      <c r="AR77" s="352">
        <f>AM77*('Shoppable Detail'!$AA$23/'Shoppable Detail'!$Y$23)</f>
        <v>0</v>
      </c>
      <c r="AS77" s="352">
        <f t="shared" si="50"/>
        <v>114.31438595090974</v>
      </c>
      <c r="AT77" s="352">
        <f t="shared" si="51"/>
        <v>31.069282240435381</v>
      </c>
      <c r="AU77" s="352">
        <f t="shared" si="51"/>
        <v>158.26976255916068</v>
      </c>
      <c r="AV77" s="352">
        <f t="shared" si="51"/>
        <v>26.177098056137353</v>
      </c>
      <c r="AW77" s="352">
        <f t="shared" si="37"/>
        <v>0</v>
      </c>
      <c r="AX77" s="352">
        <f t="shared" si="52"/>
        <v>215.51614285573339</v>
      </c>
      <c r="AY77" s="352">
        <f>AT77*'Assumptions-Output Override'!$D$24</f>
        <v>9.4654408227780387</v>
      </c>
      <c r="AZ77" s="352">
        <f>$AU$107*'Assumptions-Output Override'!$D$21</f>
        <v>46.041131296780591</v>
      </c>
      <c r="BA77" s="352">
        <f>AV77*'Assumptions-Output Override'!$D$22</f>
        <v>3.926564708420603</v>
      </c>
      <c r="BB77" s="352">
        <f>AW77*'Assumptions-Output Override'!$D$23</f>
        <v>0</v>
      </c>
      <c r="BC77" s="352">
        <f t="shared" si="53"/>
        <v>59.433136827979226</v>
      </c>
      <c r="BD77" s="352">
        <f t="shared" si="54"/>
        <v>9.4654408227780387</v>
      </c>
      <c r="BE77" s="352">
        <f t="shared" si="54"/>
        <v>147.42372891796498</v>
      </c>
      <c r="BF77" s="352">
        <f t="shared" si="54"/>
        <v>16.858353038145967</v>
      </c>
      <c r="BG77" s="352">
        <f t="shared" si="38"/>
        <v>0</v>
      </c>
      <c r="BH77" s="352">
        <f t="shared" si="55"/>
        <v>173.74752277888899</v>
      </c>
      <c r="BJ77" s="401">
        <f>D77*'Assumptions-Output Override'!$D$10/'Winners-Losers HRA'!$H$107</f>
        <v>43.976500968099259</v>
      </c>
      <c r="BK77" s="401">
        <f>E77*'Assumptions-Output Override'!$D$10/'Winners-Losers HRA'!$H$107</f>
        <v>266.54679443460225</v>
      </c>
      <c r="BL77" s="401">
        <f>F77*'Assumptions-Output Override'!$D$10/'Winners-Losers HRA'!$H$107</f>
        <v>39.33313985969405</v>
      </c>
      <c r="BM77" s="401">
        <f>G77*'Assumptions-Output Override'!$D$10/'Winners-Losers HRA'!$H$107</f>
        <v>0</v>
      </c>
      <c r="BN77" s="401">
        <f t="shared" si="39"/>
        <v>349.85643526239551</v>
      </c>
      <c r="BO77" s="401">
        <f>BJ77*(1-'Assumptions-Output Override'!$D$11)</f>
        <v>6.2675213528757157</v>
      </c>
      <c r="BP77" s="401">
        <f>BK77*(1-'Assumptions-Output Override'!$D$11)</f>
        <v>37.988191167625978</v>
      </c>
      <c r="BQ77" s="401">
        <f>BL77*(1-'Assumptions-Output Override'!$D$11)</f>
        <v>5.6057505376588965</v>
      </c>
      <c r="BR77" s="401">
        <f>BM77*(1-'Assumptions-Output Override'!$D$11)</f>
        <v>0</v>
      </c>
      <c r="BS77" s="352">
        <f t="shared" si="40"/>
        <v>49.861463058160595</v>
      </c>
      <c r="BT77" s="352">
        <f t="shared" si="56"/>
        <v>37.708979615223541</v>
      </c>
      <c r="BU77" s="352">
        <f t="shared" si="56"/>
        <v>228.55860326697626</v>
      </c>
      <c r="BV77" s="352">
        <f t="shared" si="56"/>
        <v>33.727389322035151</v>
      </c>
      <c r="BW77" s="352">
        <f t="shared" si="41"/>
        <v>0</v>
      </c>
      <c r="BX77" s="352">
        <f t="shared" si="42"/>
        <v>299.99497220423495</v>
      </c>
      <c r="BY77" s="352">
        <f>BT$107*(1-'Assumptions-Output Override'!$D$12)</f>
        <v>22.753074310428271</v>
      </c>
      <c r="BZ77" s="352">
        <f>BU$107*(1-'Assumptions-Output Override'!$D$12)</f>
        <v>51.446038369839215</v>
      </c>
      <c r="CA77" s="352">
        <f>BV$107*(1-'Assumptions-Output Override'!$D$12)</f>
        <v>9.7401900534537411</v>
      </c>
      <c r="CB77" s="352">
        <f>BW$107*(1-'Assumptions-Output Override'!$D$12)</f>
        <v>1.7000814189516649</v>
      </c>
      <c r="CC77" s="352">
        <f t="shared" si="43"/>
        <v>85.639384152672903</v>
      </c>
      <c r="CD77" s="352">
        <f t="shared" si="57"/>
        <v>29.020595663303986</v>
      </c>
      <c r="CE77" s="352">
        <f t="shared" si="57"/>
        <v>89.4342295374652</v>
      </c>
      <c r="CF77" s="352">
        <f t="shared" si="57"/>
        <v>15.345940591112637</v>
      </c>
      <c r="CG77" s="352">
        <f t="shared" si="44"/>
        <v>1.7000814189516649</v>
      </c>
      <c r="CH77" s="352">
        <f t="shared" si="45"/>
        <v>135.50084721083348</v>
      </c>
      <c r="CJ77" s="352">
        <f t="shared" si="58"/>
        <v>135.50084721083348</v>
      </c>
      <c r="CK77" s="352">
        <f t="shared" si="59"/>
        <v>114.31438595090975</v>
      </c>
      <c r="CL77" s="352">
        <f t="shared" si="60"/>
        <v>21.186461259923732</v>
      </c>
      <c r="CN77" s="352">
        <f>('HRA Balance Calc'!U89+'HRA Balance Calc'!V89+'HRA Balance Calc'!W89+'HRA Balance Calc'!X89)/12</f>
        <v>1.508666365587781</v>
      </c>
      <c r="CO77" s="352">
        <f>('HRA Balance Calc'!Q89+IF('HRA Balance Calc'!L89&lt;0,-'HRA Balance Calc'!L89,0))/12</f>
        <v>0</v>
      </c>
      <c r="CP77" s="352">
        <f>('HRA Balance Calc'!N89)/12</f>
        <v>101.38259762118439</v>
      </c>
      <c r="CQ77" s="352">
        <f>('HRA Balance Calc'!O89)/12</f>
        <v>12.931788329725364</v>
      </c>
      <c r="CR77" s="352">
        <f>('HRA Balance Calc'!P89)/12</f>
        <v>0</v>
      </c>
      <c r="CS77" s="352">
        <f t="shared" si="64"/>
        <v>114.31438595090975</v>
      </c>
      <c r="CU77" s="577">
        <f t="shared" si="61"/>
        <v>1009.5686134450214</v>
      </c>
      <c r="CV77" s="352">
        <f t="shared" si="62"/>
        <v>84.130717787085118</v>
      </c>
      <c r="CW77" s="352">
        <f t="shared" si="29"/>
        <v>19.762111694012891</v>
      </c>
      <c r="CX77" s="352">
        <f t="shared" si="29"/>
        <v>119.78050566412253</v>
      </c>
      <c r="CY77" s="352">
        <f t="shared" si="29"/>
        <v>17.675483180150358</v>
      </c>
      <c r="CZ77" s="352">
        <f t="shared" si="29"/>
        <v>0</v>
      </c>
      <c r="DA77" s="352">
        <f t="shared" si="46"/>
        <v>157.2181005382858</v>
      </c>
      <c r="DC77" s="352">
        <f>('HRA Balance Calc'!Q89+'HRA Balance Calc'!X89+IF('HRA Balance Calc'!L89&lt;0,-'HRA Balance Calc'!L89,0))/12</f>
        <v>21.603841417657339</v>
      </c>
      <c r="DD77" s="352">
        <f>('HRA Balance Calc'!N89+'HRA Balance Calc'!U89)/12</f>
        <v>77.360857860694225</v>
      </c>
      <c r="DE77" s="352">
        <f>('HRA Balance Calc'!O89+'HRA Balance Calc'!V89)/12</f>
        <v>16.858353038145967</v>
      </c>
      <c r="DF77" s="352">
        <f>('HRA Balance Calc'!P89+'HRA Balance Calc'!W89)/12</f>
        <v>0</v>
      </c>
      <c r="DG77" s="352">
        <f t="shared" si="63"/>
        <v>115.82305231649752</v>
      </c>
      <c r="DI77" s="352">
        <f t="shared" si="32"/>
        <v>7.4167542456466471</v>
      </c>
      <c r="DJ77" s="352">
        <f t="shared" si="32"/>
        <v>12.073371676770975</v>
      </c>
      <c r="DK77" s="352">
        <f t="shared" si="32"/>
        <v>-1.5124124470333307</v>
      </c>
      <c r="DL77" s="352">
        <f t="shared" si="32"/>
        <v>1.7000814189516649</v>
      </c>
      <c r="DM77" s="352">
        <f t="shared" si="32"/>
        <v>19.67779489433596</v>
      </c>
    </row>
    <row r="78" spans="1:117" x14ac:dyDescent="0.2">
      <c r="A78">
        <v>73</v>
      </c>
      <c r="B78" s="397">
        <v>34308</v>
      </c>
      <c r="C78" s="398">
        <v>397997.79676138877</v>
      </c>
      <c r="D78" s="399">
        <v>27.816555038778873</v>
      </c>
      <c r="E78" s="399">
        <v>165.82937289455839</v>
      </c>
      <c r="F78" s="399">
        <v>24.701125531559828</v>
      </c>
      <c r="G78" s="399">
        <v>1.2503682808213181E-2</v>
      </c>
      <c r="H78" s="399">
        <v>218.35955714770529</v>
      </c>
      <c r="I78" s="400">
        <v>2.1160996005974306E-2</v>
      </c>
      <c r="J78" s="400">
        <v>8.1052278594035243E-2</v>
      </c>
      <c r="K78" s="400">
        <v>1.7160899018983222E-3</v>
      </c>
      <c r="L78" s="400">
        <v>0.62464792998576824</v>
      </c>
      <c r="M78" s="400">
        <v>0.55505146460010057</v>
      </c>
      <c r="N78" s="400">
        <v>0.46163275650035007</v>
      </c>
      <c r="O78" s="399">
        <f t="shared" si="35"/>
        <v>5.2902490014935761</v>
      </c>
      <c r="P78" s="399">
        <f t="shared" si="35"/>
        <v>0</v>
      </c>
      <c r="Q78" s="399">
        <f t="shared" si="35"/>
        <v>1.7160899018983222</v>
      </c>
      <c r="R78" s="399">
        <f t="shared" si="33"/>
        <v>12.969231215175723</v>
      </c>
      <c r="S78" s="399">
        <f t="shared" si="33"/>
        <v>16.651543938003016</v>
      </c>
      <c r="T78" s="399">
        <f t="shared" si="33"/>
        <v>27.697965390021004</v>
      </c>
      <c r="U78" s="399">
        <f t="shared" si="47"/>
        <v>64.325079446591644</v>
      </c>
      <c r="V78" s="400">
        <v>1.7468782926771018E-3</v>
      </c>
      <c r="W78" s="400">
        <v>1.2212007737577834E-2</v>
      </c>
      <c r="X78" s="400">
        <v>1.2562883615653895E-5</v>
      </c>
      <c r="Y78" s="400">
        <v>0.12129425466454974</v>
      </c>
      <c r="Z78" s="400">
        <v>3.8403529176226352E-2</v>
      </c>
      <c r="AA78" s="400">
        <v>3.3010735503836298E-2</v>
      </c>
      <c r="AB78" s="352">
        <f t="shared" si="36"/>
        <v>0.43671957316927545</v>
      </c>
      <c r="AC78" s="352">
        <f t="shared" si="36"/>
        <v>0</v>
      </c>
      <c r="AD78" s="352">
        <f t="shared" si="36"/>
        <v>1.2562883615653895E-2</v>
      </c>
      <c r="AE78" s="352">
        <f t="shared" si="34"/>
        <v>4.2996915819790509</v>
      </c>
      <c r="AF78" s="352">
        <f t="shared" si="34"/>
        <v>1.1521058752867905</v>
      </c>
      <c r="AG78" s="352">
        <f t="shared" si="34"/>
        <v>1.9806441302301778</v>
      </c>
      <c r="AH78" s="400">
        <f t="shared" si="48"/>
        <v>7.881724044280948</v>
      </c>
      <c r="AJ78" s="352">
        <f>D78*('Assumptions-Output Override'!$D$10/'Winners-Losers HRA'!$H$107)*(1+'Assumptions-Output Override'!$F$41)</f>
        <v>33.202173764786551</v>
      </c>
      <c r="AK78" s="352">
        <f>E78*('Assumptions-Output Override'!$D$10/'Winners-Losers HRA'!$H$107)*(1+'Assumptions-Output Override'!$F$37)</f>
        <v>272.91844912186582</v>
      </c>
      <c r="AL78" s="352">
        <f>F78*('Assumptions-Output Override'!$D$10/'Winners-Losers HRA'!$H$107)*(1+'Assumptions-Output Override'!$F$38)</f>
        <v>41.494085911681189</v>
      </c>
      <c r="AM78" s="352">
        <f>G78*('Shoppable Detail'!$X$21/'Shoppable Detail'!$H$21)*('Assumptions-Output Override'!$D$10/'Winners-Losers HRA'!$H$107)*(1+'Assumptions-Output Override'!$F$39)</f>
        <v>2.1441213550137669E-2</v>
      </c>
      <c r="AN78" s="352">
        <f t="shared" si="49"/>
        <v>347.63615001188367</v>
      </c>
      <c r="AO78" s="352">
        <v>0</v>
      </c>
      <c r="AP78" s="352">
        <f>U78*'Assumptions-Output Override'!$D$10/'Winners-Losers HRA'!$H$107*(1+'Assumptions-Output Override'!$F$37)</f>
        <v>105.86484538759703</v>
      </c>
      <c r="AQ78" s="352">
        <f>AH78*'Assumptions-Output Override'!$D$10/'Winners-Losers HRA'!$H$107*(1+'Assumptions-Output Override'!$F$38)</f>
        <v>13.240082287250523</v>
      </c>
      <c r="AR78" s="352">
        <f>AM78*('Shoppable Detail'!$AA$23/'Shoppable Detail'!$Y$23)</f>
        <v>7.164182715886535E-4</v>
      </c>
      <c r="AS78" s="352">
        <f t="shared" si="50"/>
        <v>119.10564409311914</v>
      </c>
      <c r="AT78" s="352">
        <f t="shared" si="51"/>
        <v>33.202173764786551</v>
      </c>
      <c r="AU78" s="352">
        <f t="shared" si="51"/>
        <v>167.05360373426879</v>
      </c>
      <c r="AV78" s="352">
        <f t="shared" si="51"/>
        <v>28.254003624430666</v>
      </c>
      <c r="AW78" s="352">
        <f t="shared" si="37"/>
        <v>2.0724795278549014E-2</v>
      </c>
      <c r="AX78" s="352">
        <f t="shared" si="52"/>
        <v>228.53050591876453</v>
      </c>
      <c r="AY78" s="352">
        <f>AT78*'Assumptions-Output Override'!$D$24</f>
        <v>10.115238856376511</v>
      </c>
      <c r="AZ78" s="352">
        <f>$AU$107*'Assumptions-Output Override'!$D$21</f>
        <v>46.041131296780591</v>
      </c>
      <c r="BA78" s="352">
        <f>AV78*'Assumptions-Output Override'!$D$22</f>
        <v>4.2381005436645998</v>
      </c>
      <c r="BB78" s="352">
        <f>AW78*'Assumptions-Output Override'!$D$23</f>
        <v>3.108719291782352E-3</v>
      </c>
      <c r="BC78" s="352">
        <f t="shared" si="53"/>
        <v>60.39757941611348</v>
      </c>
      <c r="BD78" s="352">
        <f t="shared" si="54"/>
        <v>10.115238856376511</v>
      </c>
      <c r="BE78" s="352">
        <f t="shared" si="54"/>
        <v>151.90597668437761</v>
      </c>
      <c r="BF78" s="352">
        <f t="shared" si="54"/>
        <v>17.478182830915124</v>
      </c>
      <c r="BG78" s="352">
        <f t="shared" si="38"/>
        <v>3.8251375633710054E-3</v>
      </c>
      <c r="BH78" s="352">
        <f t="shared" si="55"/>
        <v>179.50322350923264</v>
      </c>
      <c r="BJ78" s="401">
        <f>D78*'Assumptions-Output Override'!$D$10/'Winners-Losers HRA'!$H$107</f>
        <v>46.995466950628668</v>
      </c>
      <c r="BK78" s="401">
        <f>E78*'Assumptions-Output Override'!$D$10/'Winners-Losers HRA'!$H$107</f>
        <v>280.16513196710406</v>
      </c>
      <c r="BL78" s="401">
        <f>F78*'Assumptions-Output Override'!$D$10/'Winners-Losers HRA'!$H$107</f>
        <v>41.732016309835259</v>
      </c>
      <c r="BM78" s="401">
        <f>G78*'Assumptions-Output Override'!$D$10/'Winners-Losers HRA'!$H$107</f>
        <v>2.1124701148482774E-2</v>
      </c>
      <c r="BN78" s="401">
        <f t="shared" si="39"/>
        <v>368.9137399287165</v>
      </c>
      <c r="BO78" s="401">
        <f>BJ78*(1-'Assumptions-Output Override'!$D$11)</f>
        <v>6.6977837280663701</v>
      </c>
      <c r="BP78" s="401">
        <f>BK78*(1-'Assumptions-Output Override'!$D$11)</f>
        <v>39.929073670705051</v>
      </c>
      <c r="BQ78" s="401">
        <f>BL78*(1-'Assumptions-Output Override'!$D$11)</f>
        <v>5.9476378875660023</v>
      </c>
      <c r="BR78" s="401">
        <f>BM78*(1-'Assumptions-Output Override'!$D$11)</f>
        <v>3.0106878129589508E-3</v>
      </c>
      <c r="BS78" s="352">
        <f t="shared" si="40"/>
        <v>52.577505974150384</v>
      </c>
      <c r="BT78" s="352">
        <f t="shared" si="56"/>
        <v>40.297683222562299</v>
      </c>
      <c r="BU78" s="352">
        <f t="shared" si="56"/>
        <v>240.23605829639899</v>
      </c>
      <c r="BV78" s="352">
        <f t="shared" si="56"/>
        <v>35.784378422269256</v>
      </c>
      <c r="BW78" s="352">
        <f t="shared" si="41"/>
        <v>1.8114013335523822E-2</v>
      </c>
      <c r="BX78" s="352">
        <f t="shared" si="42"/>
        <v>316.33623395456607</v>
      </c>
      <c r="BY78" s="352">
        <f>BT$107*(1-'Assumptions-Output Override'!$D$12)</f>
        <v>22.753074310428271</v>
      </c>
      <c r="BZ78" s="352">
        <f>BU$107*(1-'Assumptions-Output Override'!$D$12)</f>
        <v>51.446038369839215</v>
      </c>
      <c r="CA78" s="352">
        <f>BV$107*(1-'Assumptions-Output Override'!$D$12)</f>
        <v>9.7401900534537411</v>
      </c>
      <c r="CB78" s="352">
        <f>BW$107*(1-'Assumptions-Output Override'!$D$12)</f>
        <v>1.7000814189516649</v>
      </c>
      <c r="CC78" s="352">
        <f t="shared" si="43"/>
        <v>85.639384152672903</v>
      </c>
      <c r="CD78" s="352">
        <f t="shared" si="57"/>
        <v>29.450858038494641</v>
      </c>
      <c r="CE78" s="352">
        <f t="shared" si="57"/>
        <v>91.375112040544266</v>
      </c>
      <c r="CF78" s="352">
        <f t="shared" si="57"/>
        <v>15.687827941019744</v>
      </c>
      <c r="CG78" s="352">
        <f t="shared" si="44"/>
        <v>1.7030921067646239</v>
      </c>
      <c r="CH78" s="352">
        <f t="shared" si="45"/>
        <v>138.21689012682327</v>
      </c>
      <c r="CJ78" s="352">
        <f t="shared" si="58"/>
        <v>138.21689012682327</v>
      </c>
      <c r="CK78" s="352">
        <f t="shared" si="59"/>
        <v>119.10564409311914</v>
      </c>
      <c r="CL78" s="352">
        <f t="shared" si="60"/>
        <v>19.111246033704134</v>
      </c>
      <c r="CN78" s="352">
        <f>('HRA Balance Calc'!U90+'HRA Balance Calc'!V90+'HRA Balance Calc'!W90+'HRA Balance Calc'!X90)/12</f>
        <v>3.3064044108762594</v>
      </c>
      <c r="CO78" s="352">
        <f>('HRA Balance Calc'!Q90+IF('HRA Balance Calc'!L90&lt;0,-'HRA Balance Calc'!L90,0))/12</f>
        <v>0</v>
      </c>
      <c r="CP78" s="352">
        <f>('HRA Balance Calc'!N90)/12</f>
        <v>105.86484538759703</v>
      </c>
      <c r="CQ78" s="352">
        <f>('HRA Balance Calc'!O90)/12</f>
        <v>13.240082287250523</v>
      </c>
      <c r="CR78" s="352">
        <f>('HRA Balance Calc'!P90)/12</f>
        <v>7.164182715886535E-4</v>
      </c>
      <c r="CS78" s="352">
        <f t="shared" si="64"/>
        <v>119.10564409311914</v>
      </c>
      <c r="CU78" s="577">
        <f t="shared" si="61"/>
        <v>987.99575690155984</v>
      </c>
      <c r="CV78" s="352">
        <f t="shared" si="62"/>
        <v>82.332979741796649</v>
      </c>
      <c r="CW78" s="352">
        <f t="shared" si="29"/>
        <v>21.118771310712503</v>
      </c>
      <c r="CX78" s="352">
        <f t="shared" si="29"/>
        <v>125.90029922385334</v>
      </c>
      <c r="CY78" s="352">
        <f t="shared" si="29"/>
        <v>18.753487643993825</v>
      </c>
      <c r="CZ78" s="352">
        <f t="shared" si="29"/>
        <v>9.4929949952542309E-3</v>
      </c>
      <c r="DA78" s="352">
        <f t="shared" si="46"/>
        <v>165.78205117355492</v>
      </c>
      <c r="DC78" s="352">
        <f>('HRA Balance Calc'!Q90+'HRA Balance Calc'!X90+IF('HRA Balance Calc'!L90&lt;0,-'HRA Balance Calc'!L90,0))/12</f>
        <v>23.08693490841004</v>
      </c>
      <c r="DD78" s="352">
        <f>('HRA Balance Calc'!N90+'HRA Balance Calc'!U90)/12</f>
        <v>81.843105627106866</v>
      </c>
      <c r="DE78" s="352">
        <f>('HRA Balance Calc'!O90+'HRA Balance Calc'!V90)/12</f>
        <v>17.478182830915124</v>
      </c>
      <c r="DF78" s="352">
        <f>('HRA Balance Calc'!P90+'HRA Balance Calc'!W90)/12</f>
        <v>3.8251375633710067E-3</v>
      </c>
      <c r="DG78" s="352">
        <f t="shared" si="63"/>
        <v>122.41204850399539</v>
      </c>
      <c r="DI78" s="352">
        <f t="shared" si="32"/>
        <v>6.3639231300846006</v>
      </c>
      <c r="DJ78" s="352">
        <f t="shared" si="32"/>
        <v>9.5320064134374007</v>
      </c>
      <c r="DK78" s="352">
        <f t="shared" si="32"/>
        <v>-1.7903548898953794</v>
      </c>
      <c r="DL78" s="352">
        <f t="shared" si="32"/>
        <v>1.6992669692012528</v>
      </c>
      <c r="DM78" s="352">
        <f t="shared" si="32"/>
        <v>15.80484162282788</v>
      </c>
    </row>
    <row r="79" spans="1:117" x14ac:dyDescent="0.2">
      <c r="A79">
        <v>74</v>
      </c>
      <c r="B79" s="397">
        <v>34308</v>
      </c>
      <c r="C79" s="398">
        <v>397997.79676138877</v>
      </c>
      <c r="D79" s="399">
        <v>30.273661832520986</v>
      </c>
      <c r="E79" s="399">
        <v>173.78699701730139</v>
      </c>
      <c r="F79" s="399">
        <v>26.523450353683725</v>
      </c>
      <c r="G79" s="399">
        <v>3.984785565230866E-2</v>
      </c>
      <c r="H79" s="399">
        <v>230.62395705915841</v>
      </c>
      <c r="I79" s="400">
        <v>2.2714199639238989E-2</v>
      </c>
      <c r="J79" s="400">
        <v>8.7429770138815935E-2</v>
      </c>
      <c r="K79" s="400">
        <v>1.7211150553445836E-3</v>
      </c>
      <c r="L79" s="400">
        <v>0.64518052173786355</v>
      </c>
      <c r="M79" s="400">
        <v>0.57048195202986363</v>
      </c>
      <c r="N79" s="400">
        <v>0.47245814306041956</v>
      </c>
      <c r="O79" s="399">
        <f t="shared" si="35"/>
        <v>5.6785499098097469</v>
      </c>
      <c r="P79" s="399">
        <f t="shared" si="35"/>
        <v>0</v>
      </c>
      <c r="Q79" s="399">
        <f t="shared" si="35"/>
        <v>1.7211150553445835</v>
      </c>
      <c r="R79" s="399">
        <f t="shared" si="33"/>
        <v>13.395538446972363</v>
      </c>
      <c r="S79" s="399">
        <f t="shared" si="33"/>
        <v>17.114458560895908</v>
      </c>
      <c r="T79" s="399">
        <f t="shared" si="33"/>
        <v>28.347488583625172</v>
      </c>
      <c r="U79" s="399">
        <f t="shared" si="47"/>
        <v>66.257150556647773</v>
      </c>
      <c r="V79" s="400">
        <v>2.283233248211218E-3</v>
      </c>
      <c r="W79" s="400">
        <v>1.2778160190641638E-2</v>
      </c>
      <c r="X79" s="400">
        <v>1.0050306892523117E-5</v>
      </c>
      <c r="Y79" s="400">
        <v>0.12740296992406236</v>
      </c>
      <c r="Z79" s="400">
        <v>4.0016301923269534E-2</v>
      </c>
      <c r="AA79" s="400">
        <v>3.5906128416503279E-2</v>
      </c>
      <c r="AB79" s="352">
        <f t="shared" si="36"/>
        <v>0.57080831205280447</v>
      </c>
      <c r="AC79" s="352">
        <f t="shared" si="36"/>
        <v>0</v>
      </c>
      <c r="AD79" s="352">
        <f t="shared" si="36"/>
        <v>1.0050306892523116E-2</v>
      </c>
      <c r="AE79" s="352">
        <f t="shared" si="34"/>
        <v>4.5162359817997446</v>
      </c>
      <c r="AF79" s="352">
        <f t="shared" si="34"/>
        <v>1.200489057698086</v>
      </c>
      <c r="AG79" s="352">
        <f t="shared" si="34"/>
        <v>2.1543677049901966</v>
      </c>
      <c r="AH79" s="400">
        <f t="shared" si="48"/>
        <v>8.4519513634333538</v>
      </c>
      <c r="AJ79" s="352">
        <f>D79*('Assumptions-Output Override'!$D$10/'Winners-Losers HRA'!$H$107)*(1+'Assumptions-Output Override'!$F$41)</f>
        <v>36.135005907757929</v>
      </c>
      <c r="AK79" s="352">
        <f>E79*('Assumptions-Output Override'!$D$10/'Winners-Losers HRA'!$H$107)*(1+'Assumptions-Output Override'!$F$37)</f>
        <v>286.01493737581757</v>
      </c>
      <c r="AL79" s="352">
        <f>F79*('Assumptions-Output Override'!$D$10/'Winners-Losers HRA'!$H$107)*(1+'Assumptions-Output Override'!$F$38)</f>
        <v>44.555310900461009</v>
      </c>
      <c r="AM79" s="352">
        <f>G79*('Shoppable Detail'!$X$21/'Shoppable Detail'!$H$21)*('Assumptions-Output Override'!$D$10/'Winners-Losers HRA'!$H$107)*(1+'Assumptions-Output Override'!$F$39)</f>
        <v>6.8330778672264267E-2</v>
      </c>
      <c r="AN79" s="352">
        <f t="shared" si="49"/>
        <v>366.77358496270875</v>
      </c>
      <c r="AO79" s="352">
        <v>0</v>
      </c>
      <c r="AP79" s="352">
        <f>U79*'Assumptions-Output Override'!$D$10/'Winners-Losers HRA'!$H$107*(1+'Assumptions-Output Override'!$F$37)</f>
        <v>109.04460686016172</v>
      </c>
      <c r="AQ79" s="352">
        <f>AH79*'Assumptions-Output Override'!$D$10/'Winners-Losers HRA'!$H$107*(1+'Assumptions-Output Override'!$F$38)</f>
        <v>14.19797634514949</v>
      </c>
      <c r="AR79" s="352">
        <f>AM79*('Shoppable Detail'!$AA$23/'Shoppable Detail'!$Y$23)</f>
        <v>2.2831458787637548E-3</v>
      </c>
      <c r="AS79" s="352">
        <f t="shared" si="50"/>
        <v>123.24486635118997</v>
      </c>
      <c r="AT79" s="352">
        <f t="shared" si="51"/>
        <v>36.135005907757929</v>
      </c>
      <c r="AU79" s="352">
        <f t="shared" si="51"/>
        <v>176.97033051565586</v>
      </c>
      <c r="AV79" s="352">
        <f t="shared" si="51"/>
        <v>30.357334555311517</v>
      </c>
      <c r="AW79" s="352">
        <f t="shared" si="37"/>
        <v>6.604763279350051E-2</v>
      </c>
      <c r="AX79" s="352">
        <f t="shared" si="52"/>
        <v>243.52871861151883</v>
      </c>
      <c r="AY79" s="352">
        <f>AT79*'Assumptions-Output Override'!$D$24</f>
        <v>11.008743536581438</v>
      </c>
      <c r="AZ79" s="352">
        <f>$AU$107*'Assumptions-Output Override'!$D$21</f>
        <v>46.041131296780591</v>
      </c>
      <c r="BA79" s="352">
        <f>AV79*'Assumptions-Output Override'!$D$22</f>
        <v>4.5536001832967274</v>
      </c>
      <c r="BB79" s="352">
        <f>AW79*'Assumptions-Output Override'!$D$23</f>
        <v>9.9071449190250762E-3</v>
      </c>
      <c r="BC79" s="352">
        <f t="shared" si="53"/>
        <v>61.613382161577782</v>
      </c>
      <c r="BD79" s="352">
        <f t="shared" si="54"/>
        <v>11.008743536581438</v>
      </c>
      <c r="BE79" s="352">
        <f t="shared" si="54"/>
        <v>155.08573815694231</v>
      </c>
      <c r="BF79" s="352">
        <f t="shared" si="54"/>
        <v>18.751576528446218</v>
      </c>
      <c r="BG79" s="352">
        <f t="shared" si="38"/>
        <v>1.2190290797788831E-2</v>
      </c>
      <c r="BH79" s="352">
        <f t="shared" si="55"/>
        <v>184.85824851276774</v>
      </c>
      <c r="BJ79" s="401">
        <f>D79*'Assumptions-Output Override'!$D$10/'Winners-Losers HRA'!$H$107</f>
        <v>51.146695632918508</v>
      </c>
      <c r="BK79" s="401">
        <f>E79*'Assumptions-Output Override'!$D$10/'Winners-Losers HRA'!$H$107</f>
        <v>293.60936548000825</v>
      </c>
      <c r="BL79" s="401">
        <f>F79*'Assumptions-Output Override'!$D$10/'Winners-Losers HRA'!$H$107</f>
        <v>44.810794606861698</v>
      </c>
      <c r="BM79" s="401">
        <f>G79*'Assumptions-Output Override'!$D$10/'Winners-Losers HRA'!$H$107</f>
        <v>6.7322088617760859E-2</v>
      </c>
      <c r="BN79" s="401">
        <f t="shared" si="39"/>
        <v>389.63417780840621</v>
      </c>
      <c r="BO79" s="401">
        <f>BJ79*(1-'Assumptions-Output Override'!$D$11)</f>
        <v>7.2894159369543665</v>
      </c>
      <c r="BP79" s="401">
        <f>BK79*(1-'Assumptions-Output Override'!$D$11)</f>
        <v>41.845142906779529</v>
      </c>
      <c r="BQ79" s="401">
        <f>BL79*(1-'Assumptions-Output Override'!$D$11)</f>
        <v>6.38642470080931</v>
      </c>
      <c r="BR79" s="401">
        <f>BM79*(1-'Assumptions-Output Override'!$D$11)</f>
        <v>9.5947294269293128E-3</v>
      </c>
      <c r="BS79" s="352">
        <f t="shared" si="40"/>
        <v>55.530578273970136</v>
      </c>
      <c r="BT79" s="352">
        <f t="shared" si="56"/>
        <v>43.857279695964138</v>
      </c>
      <c r="BU79" s="352">
        <f t="shared" si="56"/>
        <v>251.76422257322872</v>
      </c>
      <c r="BV79" s="352">
        <f t="shared" si="56"/>
        <v>38.424369906052391</v>
      </c>
      <c r="BW79" s="352">
        <f t="shared" si="41"/>
        <v>5.7727359190831544E-2</v>
      </c>
      <c r="BX79" s="352">
        <f t="shared" si="42"/>
        <v>334.10359953443611</v>
      </c>
      <c r="BY79" s="352">
        <f>BT$107*(1-'Assumptions-Output Override'!$D$12)</f>
        <v>22.753074310428271</v>
      </c>
      <c r="BZ79" s="352">
        <f>BU$107*(1-'Assumptions-Output Override'!$D$12)</f>
        <v>51.446038369839215</v>
      </c>
      <c r="CA79" s="352">
        <f>BV$107*(1-'Assumptions-Output Override'!$D$12)</f>
        <v>9.7401900534537411</v>
      </c>
      <c r="CB79" s="352">
        <f>BW$107*(1-'Assumptions-Output Override'!$D$12)</f>
        <v>1.7000814189516649</v>
      </c>
      <c r="CC79" s="352">
        <f t="shared" si="43"/>
        <v>85.639384152672903</v>
      </c>
      <c r="CD79" s="352">
        <f t="shared" si="57"/>
        <v>30.042490247382638</v>
      </c>
      <c r="CE79" s="352">
        <f t="shared" si="57"/>
        <v>93.291181276618744</v>
      </c>
      <c r="CF79" s="352">
        <f t="shared" si="57"/>
        <v>16.126614754263052</v>
      </c>
      <c r="CG79" s="352">
        <f t="shared" si="44"/>
        <v>1.7096761483785943</v>
      </c>
      <c r="CH79" s="352">
        <f t="shared" si="45"/>
        <v>141.16996242664302</v>
      </c>
      <c r="CJ79" s="352">
        <f t="shared" si="58"/>
        <v>141.16996242664302</v>
      </c>
      <c r="CK79" s="352">
        <f t="shared" si="59"/>
        <v>123.24486635118997</v>
      </c>
      <c r="CL79" s="352">
        <f t="shared" si="60"/>
        <v>17.925096075453055</v>
      </c>
      <c r="CN79" s="352">
        <f>('HRA Balance Calc'!U91+'HRA Balance Calc'!V91+'HRA Balance Calc'!W91+'HRA Balance Calc'!X91)/12</f>
        <v>5.6680299389020803</v>
      </c>
      <c r="CO79" s="352">
        <f>('HRA Balance Calc'!Q91+IF('HRA Balance Calc'!L91&lt;0,-'HRA Balance Calc'!L91,0))/12</f>
        <v>0</v>
      </c>
      <c r="CP79" s="352">
        <f>('HRA Balance Calc'!N91)/12</f>
        <v>109.04460686016172</v>
      </c>
      <c r="CQ79" s="352">
        <f>('HRA Balance Calc'!O91)/12</f>
        <v>14.19797634514949</v>
      </c>
      <c r="CR79" s="352">
        <f>('HRA Balance Calc'!P91)/12</f>
        <v>2.2831458787637548E-3</v>
      </c>
      <c r="CS79" s="352">
        <f t="shared" si="64"/>
        <v>123.24486635118997</v>
      </c>
      <c r="CU79" s="577">
        <f t="shared" si="61"/>
        <v>959.65625056524982</v>
      </c>
      <c r="CV79" s="352">
        <f t="shared" si="62"/>
        <v>79.971354213770823</v>
      </c>
      <c r="CW79" s="352">
        <f t="shared" si="29"/>
        <v>22.98424589556662</v>
      </c>
      <c r="CX79" s="352">
        <f t="shared" si="29"/>
        <v>131.94185411052186</v>
      </c>
      <c r="CY79" s="352">
        <f t="shared" si="29"/>
        <v>20.137025652874414</v>
      </c>
      <c r="CZ79" s="352">
        <f t="shared" si="29"/>
        <v>3.0253126225379345E-2</v>
      </c>
      <c r="DA79" s="352">
        <f t="shared" si="46"/>
        <v>175.09337878518829</v>
      </c>
      <c r="DC79" s="352">
        <f>('HRA Balance Calc'!Q91+'HRA Balance Calc'!X91+IF('HRA Balance Calc'!L91&lt;0,-'HRA Balance Calc'!L91,0))/12</f>
        <v>25.126262371176491</v>
      </c>
      <c r="DD79" s="352">
        <f>('HRA Balance Calc'!N91+'HRA Balance Calc'!U91)/12</f>
        <v>85.022867099671558</v>
      </c>
      <c r="DE79" s="352">
        <f>('HRA Balance Calc'!O91+'HRA Balance Calc'!V91)/12</f>
        <v>18.751576528446218</v>
      </c>
      <c r="DF79" s="352">
        <f>('HRA Balance Calc'!P91+'HRA Balance Calc'!W91)/12</f>
        <v>1.2190290797788833E-2</v>
      </c>
      <c r="DG79" s="352">
        <f t="shared" si="63"/>
        <v>128.91289629009205</v>
      </c>
      <c r="DI79" s="352">
        <f t="shared" si="32"/>
        <v>4.9162278762061469</v>
      </c>
      <c r="DJ79" s="352">
        <f t="shared" si="32"/>
        <v>8.268314176947186</v>
      </c>
      <c r="DK79" s="352">
        <f t="shared" si="32"/>
        <v>-2.6249617741831663</v>
      </c>
      <c r="DL79" s="352">
        <f t="shared" si="32"/>
        <v>1.6974858575808054</v>
      </c>
      <c r="DM79" s="352">
        <f t="shared" si="32"/>
        <v>12.257066136550975</v>
      </c>
    </row>
    <row r="80" spans="1:117" x14ac:dyDescent="0.2">
      <c r="A80">
        <v>75</v>
      </c>
      <c r="B80" s="397">
        <v>34308</v>
      </c>
      <c r="C80" s="398">
        <v>397997.79676138877</v>
      </c>
      <c r="D80" s="399">
        <v>32.916004459316213</v>
      </c>
      <c r="E80" s="399">
        <v>183.12481181818032</v>
      </c>
      <c r="F80" s="399">
        <v>27.85312969144568</v>
      </c>
      <c r="G80" s="399">
        <v>7.2001074636597962E-3</v>
      </c>
      <c r="H80" s="399">
        <v>243.90114607640587</v>
      </c>
      <c r="I80" s="400">
        <v>2.3074742490655352E-2</v>
      </c>
      <c r="J80" s="400">
        <v>9.3563988825374617E-2</v>
      </c>
      <c r="K80" s="400">
        <v>2.115589600876116E-3</v>
      </c>
      <c r="L80" s="400">
        <v>0.65661097682551428</v>
      </c>
      <c r="M80" s="400">
        <v>0.58041185624581182</v>
      </c>
      <c r="N80" s="400">
        <v>0.49826461757756796</v>
      </c>
      <c r="O80" s="399">
        <f t="shared" si="35"/>
        <v>5.7686856226638383</v>
      </c>
      <c r="P80" s="399">
        <f t="shared" si="35"/>
        <v>0</v>
      </c>
      <c r="Q80" s="399">
        <f t="shared" si="35"/>
        <v>2.1155896008761159</v>
      </c>
      <c r="R80" s="399">
        <f t="shared" si="33"/>
        <v>13.632862878560251</v>
      </c>
      <c r="S80" s="399">
        <f t="shared" si="33"/>
        <v>17.412355687374355</v>
      </c>
      <c r="T80" s="399">
        <f t="shared" si="33"/>
        <v>29.895877054654079</v>
      </c>
      <c r="U80" s="399">
        <f t="shared" si="47"/>
        <v>68.825370844128642</v>
      </c>
      <c r="V80" s="400">
        <v>2.3242048073145172E-3</v>
      </c>
      <c r="W80" s="400">
        <v>1.4993107507014075E-2</v>
      </c>
      <c r="X80" s="400">
        <v>1.5075460338784675E-5</v>
      </c>
      <c r="Y80" s="400">
        <v>0.13012881930515108</v>
      </c>
      <c r="Z80" s="400">
        <v>4.1440028397664364E-2</v>
      </c>
      <c r="AA80" s="400">
        <v>3.6328542815196034E-2</v>
      </c>
      <c r="AB80" s="352">
        <f t="shared" si="36"/>
        <v>0.58105120182862935</v>
      </c>
      <c r="AC80" s="352">
        <f t="shared" si="36"/>
        <v>0</v>
      </c>
      <c r="AD80" s="352">
        <f t="shared" si="36"/>
        <v>1.5075460338784675E-2</v>
      </c>
      <c r="AE80" s="352">
        <f t="shared" si="34"/>
        <v>4.6128630781945708</v>
      </c>
      <c r="AF80" s="352">
        <f t="shared" si="34"/>
        <v>1.2432008519299309</v>
      </c>
      <c r="AG80" s="352">
        <f t="shared" si="34"/>
        <v>2.179712568911762</v>
      </c>
      <c r="AH80" s="400">
        <f t="shared" si="48"/>
        <v>8.6319031612036774</v>
      </c>
      <c r="AJ80" s="352">
        <f>D80*('Assumptions-Output Override'!$D$10/'Winners-Losers HRA'!$H$107)*(1+'Assumptions-Output Override'!$F$41)</f>
        <v>39.288937763038057</v>
      </c>
      <c r="AK80" s="352">
        <f>E80*('Assumptions-Output Override'!$D$10/'Winners-Losers HRA'!$H$107)*(1+'Assumptions-Output Override'!$F$37)</f>
        <v>301.38291404460415</v>
      </c>
      <c r="AL80" s="352">
        <f>F80*('Assumptions-Output Override'!$D$10/'Winners-Losers HRA'!$H$107)*(1+'Assumptions-Output Override'!$F$38)</f>
        <v>46.788967363021314</v>
      </c>
      <c r="AM80" s="352">
        <f>G80*('Shoppable Detail'!$X$21/'Shoppable Detail'!$H$21)*('Assumptions-Output Override'!$D$10/'Winners-Losers HRA'!$H$107)*(1+'Assumptions-Output Override'!$F$39)</f>
        <v>1.2346685698941774E-2</v>
      </c>
      <c r="AN80" s="352">
        <f t="shared" si="49"/>
        <v>387.47316585636247</v>
      </c>
      <c r="AO80" s="352">
        <v>0</v>
      </c>
      <c r="AP80" s="352">
        <f>U80*'Assumptions-Output Override'!$D$10/'Winners-Losers HRA'!$H$107*(1+'Assumptions-Output Override'!$F$37)</f>
        <v>113.2713290965671</v>
      </c>
      <c r="AQ80" s="352">
        <f>AH80*'Assumptions-Output Override'!$D$10/'Winners-Losers HRA'!$H$107*(1+'Assumptions-Output Override'!$F$38)</f>
        <v>14.500267645483275</v>
      </c>
      <c r="AR80" s="352">
        <f>AM80*('Shoppable Detail'!$AA$23/'Shoppable Detail'!$Y$23)</f>
        <v>4.125415386400747E-4</v>
      </c>
      <c r="AS80" s="352">
        <f t="shared" si="50"/>
        <v>127.77200928358901</v>
      </c>
      <c r="AT80" s="352">
        <f t="shared" si="51"/>
        <v>39.288937763038057</v>
      </c>
      <c r="AU80" s="352">
        <f t="shared" si="51"/>
        <v>188.11158494803703</v>
      </c>
      <c r="AV80" s="352">
        <f t="shared" si="51"/>
        <v>32.288699717538037</v>
      </c>
      <c r="AW80" s="352">
        <f t="shared" si="37"/>
        <v>1.19341441603017E-2</v>
      </c>
      <c r="AX80" s="352">
        <f t="shared" si="52"/>
        <v>259.70115657277341</v>
      </c>
      <c r="AY80" s="352">
        <f>AT80*'Assumptions-Output Override'!$D$24</f>
        <v>11.969607553464831</v>
      </c>
      <c r="AZ80" s="352">
        <f>$AU$107*'Assumptions-Output Override'!$D$21</f>
        <v>46.041131296780591</v>
      </c>
      <c r="BA80" s="352">
        <f>AV80*'Assumptions-Output Override'!$D$22</f>
        <v>4.8433049576307052</v>
      </c>
      <c r="BB80" s="352">
        <f>AW80*'Assumptions-Output Override'!$D$23</f>
        <v>1.7901216240452549E-3</v>
      </c>
      <c r="BC80" s="352">
        <f t="shared" si="53"/>
        <v>62.855833929500179</v>
      </c>
      <c r="BD80" s="352">
        <f t="shared" si="54"/>
        <v>11.969607553464831</v>
      </c>
      <c r="BE80" s="352">
        <f t="shared" si="54"/>
        <v>159.31246039334769</v>
      </c>
      <c r="BF80" s="352">
        <f t="shared" si="54"/>
        <v>19.34357260311398</v>
      </c>
      <c r="BG80" s="352">
        <f t="shared" si="38"/>
        <v>2.2026631626853297E-3</v>
      </c>
      <c r="BH80" s="352">
        <f t="shared" si="55"/>
        <v>190.62784321308919</v>
      </c>
      <c r="BJ80" s="401">
        <f>D80*'Assumptions-Output Override'!$D$10/'Winners-Losers HRA'!$H$107</f>
        <v>55.610876241073491</v>
      </c>
      <c r="BK80" s="401">
        <f>E80*'Assumptions-Output Override'!$D$10/'Winners-Losers HRA'!$H$107</f>
        <v>309.38540123476002</v>
      </c>
      <c r="BL80" s="401">
        <f>F80*'Assumptions-Output Override'!$D$10/'Winners-Losers HRA'!$H$107</f>
        <v>47.057259033733054</v>
      </c>
      <c r="BM80" s="401">
        <f>G80*'Assumptions-Output Override'!$D$10/'Winners-Losers HRA'!$H$107</f>
        <v>1.2164425532841004E-2</v>
      </c>
      <c r="BN80" s="401">
        <f t="shared" si="39"/>
        <v>412.06570093509936</v>
      </c>
      <c r="BO80" s="401">
        <f>BJ80*(1-'Assumptions-Output Override'!$D$11)</f>
        <v>7.9256499862481338</v>
      </c>
      <c r="BP80" s="401">
        <f>BK80*(1-'Assumptions-Output Override'!$D$11)</f>
        <v>44.09354009118406</v>
      </c>
      <c r="BQ80" s="401">
        <f>BL80*(1-'Assumptions-Output Override'!$D$11)</f>
        <v>6.7065903223103351</v>
      </c>
      <c r="BR80" s="401">
        <f>BM80*(1-'Assumptions-Output Override'!$D$11)</f>
        <v>1.7336712811201816E-3</v>
      </c>
      <c r="BS80" s="352">
        <f t="shared" si="40"/>
        <v>58.727514071023649</v>
      </c>
      <c r="BT80" s="352">
        <f t="shared" si="56"/>
        <v>47.685226254825359</v>
      </c>
      <c r="BU80" s="352">
        <f t="shared" si="56"/>
        <v>265.29186114357594</v>
      </c>
      <c r="BV80" s="352">
        <f t="shared" si="56"/>
        <v>40.35066871142272</v>
      </c>
      <c r="BW80" s="352">
        <f t="shared" si="41"/>
        <v>1.0430754251720822E-2</v>
      </c>
      <c r="BX80" s="352">
        <f t="shared" si="42"/>
        <v>353.33818686407574</v>
      </c>
      <c r="BY80" s="352">
        <f>BT$107*(1-'Assumptions-Output Override'!$D$12)</f>
        <v>22.753074310428271</v>
      </c>
      <c r="BZ80" s="352">
        <f>BU$107*(1-'Assumptions-Output Override'!$D$12)</f>
        <v>51.446038369839215</v>
      </c>
      <c r="CA80" s="352">
        <f>BV$107*(1-'Assumptions-Output Override'!$D$12)</f>
        <v>9.7401900534537411</v>
      </c>
      <c r="CB80" s="352">
        <f>BW$107*(1-'Assumptions-Output Override'!$D$12)</f>
        <v>1.7000814189516649</v>
      </c>
      <c r="CC80" s="352">
        <f t="shared" si="43"/>
        <v>85.639384152672903</v>
      </c>
      <c r="CD80" s="352">
        <f t="shared" si="57"/>
        <v>30.678724296676407</v>
      </c>
      <c r="CE80" s="352">
        <f t="shared" si="57"/>
        <v>95.539578461023268</v>
      </c>
      <c r="CF80" s="352">
        <f t="shared" si="57"/>
        <v>16.446780375764078</v>
      </c>
      <c r="CG80" s="352">
        <f t="shared" si="44"/>
        <v>1.7018150902327851</v>
      </c>
      <c r="CH80" s="352">
        <f t="shared" si="45"/>
        <v>144.36689822369655</v>
      </c>
      <c r="CJ80" s="352">
        <f t="shared" si="58"/>
        <v>144.36689822369655</v>
      </c>
      <c r="CK80" s="352">
        <f t="shared" si="59"/>
        <v>127.77200928358901</v>
      </c>
      <c r="CL80" s="352">
        <f t="shared" si="60"/>
        <v>16.594888940107538</v>
      </c>
      <c r="CN80" s="352">
        <f>('HRA Balance Calc'!U92+'HRA Balance Calc'!V92+'HRA Balance Calc'!W92+'HRA Balance Calc'!X92)/12</f>
        <v>8.1426855283378128</v>
      </c>
      <c r="CO80" s="352">
        <f>('HRA Balance Calc'!Q92+IF('HRA Balance Calc'!L92&lt;0,-'HRA Balance Calc'!L92,0))/12</f>
        <v>0</v>
      </c>
      <c r="CP80" s="352">
        <f>('HRA Balance Calc'!N92)/12</f>
        <v>113.2713290965671</v>
      </c>
      <c r="CQ80" s="352">
        <f>('HRA Balance Calc'!O92)/12</f>
        <v>14.500267645483275</v>
      </c>
      <c r="CR80" s="352">
        <f>('HRA Balance Calc'!P92)/12</f>
        <v>4.1254153864007476E-4</v>
      </c>
      <c r="CS80" s="352">
        <f t="shared" si="64"/>
        <v>127.77200928358901</v>
      </c>
      <c r="CU80" s="577">
        <f t="shared" si="61"/>
        <v>929.96038349202115</v>
      </c>
      <c r="CV80" s="352">
        <f t="shared" si="62"/>
        <v>77.496698624335096</v>
      </c>
      <c r="CW80" s="352">
        <f t="shared" si="29"/>
        <v>24.990354473068081</v>
      </c>
      <c r="CX80" s="352">
        <f t="shared" si="29"/>
        <v>139.03127172699627</v>
      </c>
      <c r="CY80" s="352">
        <f t="shared" si="29"/>
        <v>21.146539369135347</v>
      </c>
      <c r="CZ80" s="352">
        <f t="shared" si="29"/>
        <v>5.4664361825396144E-3</v>
      </c>
      <c r="DA80" s="352">
        <f t="shared" si="46"/>
        <v>185.17363200538225</v>
      </c>
      <c r="DC80" s="352">
        <f>('HRA Balance Calc'!Q92+'HRA Balance Calc'!X92+IF('HRA Balance Calc'!L92&lt;0,-'HRA Balance Calc'!L92,0))/12</f>
        <v>27.319330209573224</v>
      </c>
      <c r="DD80" s="352">
        <f>('HRA Balance Calc'!N92+'HRA Balance Calc'!U92)/12</f>
        <v>89.249589336076937</v>
      </c>
      <c r="DE80" s="352">
        <f>('HRA Balance Calc'!O92+'HRA Balance Calc'!V92)/12</f>
        <v>19.34357260311398</v>
      </c>
      <c r="DF80" s="352">
        <f>('HRA Balance Calc'!P92+'HRA Balance Calc'!W92)/12</f>
        <v>2.2026631626853302E-3</v>
      </c>
      <c r="DG80" s="352">
        <f t="shared" si="63"/>
        <v>135.91469481192681</v>
      </c>
      <c r="DI80" s="352">
        <f t="shared" si="32"/>
        <v>3.3593940871031833</v>
      </c>
      <c r="DJ80" s="352">
        <f t="shared" si="32"/>
        <v>6.2899891249463309</v>
      </c>
      <c r="DK80" s="352">
        <f t="shared" si="32"/>
        <v>-2.896792227349902</v>
      </c>
      <c r="DL80" s="352">
        <f t="shared" si="32"/>
        <v>1.6996124270700999</v>
      </c>
      <c r="DM80" s="352">
        <f t="shared" si="32"/>
        <v>8.4522034117697444</v>
      </c>
    </row>
    <row r="81" spans="1:117" x14ac:dyDescent="0.2">
      <c r="A81">
        <v>76</v>
      </c>
      <c r="B81" s="397">
        <v>34308</v>
      </c>
      <c r="C81" s="398">
        <v>397997.79676138877</v>
      </c>
      <c r="D81" s="399">
        <v>35.902709876759921</v>
      </c>
      <c r="E81" s="399">
        <v>192.01924903939869</v>
      </c>
      <c r="F81" s="399">
        <v>30.210614526936922</v>
      </c>
      <c r="G81" s="399">
        <v>3.7479945276173814E-2</v>
      </c>
      <c r="H81" s="399">
        <v>258.17005338837174</v>
      </c>
      <c r="I81" s="400">
        <v>2.3836997446418217E-2</v>
      </c>
      <c r="J81" s="400">
        <v>9.6226267181509714E-2</v>
      </c>
      <c r="K81" s="400">
        <v>2.5000138395151251E-3</v>
      </c>
      <c r="L81" s="400">
        <v>0.68104863508442692</v>
      </c>
      <c r="M81" s="400">
        <v>0.59804125032058741</v>
      </c>
      <c r="N81" s="400">
        <v>0.50896397328920273</v>
      </c>
      <c r="O81" s="399">
        <f t="shared" si="35"/>
        <v>5.9592493616045541</v>
      </c>
      <c r="P81" s="399">
        <f t="shared" si="35"/>
        <v>0</v>
      </c>
      <c r="Q81" s="399">
        <f t="shared" si="35"/>
        <v>2.500013839515125</v>
      </c>
      <c r="R81" s="399">
        <f t="shared" si="33"/>
        <v>14.140248919725085</v>
      </c>
      <c r="S81" s="399">
        <f t="shared" si="33"/>
        <v>17.941237509617622</v>
      </c>
      <c r="T81" s="399">
        <f t="shared" si="33"/>
        <v>30.537838397352164</v>
      </c>
      <c r="U81" s="399">
        <f t="shared" si="47"/>
        <v>71.078588027814547</v>
      </c>
      <c r="V81" s="400">
        <v>2.4396701102420014E-3</v>
      </c>
      <c r="W81" s="400">
        <v>1.5164443117809661E-2</v>
      </c>
      <c r="X81" s="400">
        <v>2.512576723130779E-5</v>
      </c>
      <c r="Y81" s="400">
        <v>0.1382415447505175</v>
      </c>
      <c r="Z81" s="400">
        <v>4.4151802203405706E-2</v>
      </c>
      <c r="AA81" s="400">
        <v>3.7665434638039452E-2</v>
      </c>
      <c r="AB81" s="352">
        <f t="shared" si="36"/>
        <v>0.60991752756050033</v>
      </c>
      <c r="AC81" s="352">
        <f t="shared" si="36"/>
        <v>0</v>
      </c>
      <c r="AD81" s="352">
        <f t="shared" si="36"/>
        <v>2.5125767231307789E-2</v>
      </c>
      <c r="AE81" s="352">
        <f t="shared" si="34"/>
        <v>4.9004465041434679</v>
      </c>
      <c r="AF81" s="352">
        <f t="shared" si="34"/>
        <v>1.3245540661021711</v>
      </c>
      <c r="AG81" s="352">
        <f t="shared" si="34"/>
        <v>2.2599260782823674</v>
      </c>
      <c r="AH81" s="400">
        <f t="shared" si="48"/>
        <v>9.1199699433198145</v>
      </c>
      <c r="AJ81" s="352">
        <f>D81*('Assumptions-Output Override'!$D$10/'Winners-Losers HRA'!$H$107)*(1+'Assumptions-Output Override'!$F$41)</f>
        <v>42.853905176003103</v>
      </c>
      <c r="AK81" s="352">
        <f>E81*('Assumptions-Output Override'!$D$10/'Winners-Losers HRA'!$H$107)*(1+'Assumptions-Output Override'!$F$37)</f>
        <v>316.02118933839182</v>
      </c>
      <c r="AL81" s="352">
        <f>F81*('Assumptions-Output Override'!$D$10/'Winners-Losers HRA'!$H$107)*(1+'Assumptions-Output Override'!$F$38)</f>
        <v>50.749178737777321</v>
      </c>
      <c r="AM81" s="352">
        <f>G81*('Shoppable Detail'!$X$21/'Shoppable Detail'!$H$21)*('Assumptions-Output Override'!$D$10/'Winners-Losers HRA'!$H$107)*(1+'Assumptions-Output Override'!$F$39)</f>
        <v>6.427030522447777E-2</v>
      </c>
      <c r="AN81" s="352">
        <f t="shared" si="49"/>
        <v>409.68854355739666</v>
      </c>
      <c r="AO81" s="352">
        <v>0</v>
      </c>
      <c r="AP81" s="352">
        <f>U81*'Assumptions-Output Override'!$D$10/'Winners-Losers HRA'!$H$107*(1+'Assumptions-Output Override'!$F$37)</f>
        <v>116.97962593549505</v>
      </c>
      <c r="AQ81" s="352">
        <f>AH81*'Assumptions-Output Override'!$D$10/'Winners-Losers HRA'!$H$107*(1+'Assumptions-Output Override'!$F$38)</f>
        <v>15.320144657236831</v>
      </c>
      <c r="AR81" s="352">
        <f>AM81*('Shoppable Detail'!$AA$23/'Shoppable Detail'!$Y$23)</f>
        <v>2.147472710708575E-3</v>
      </c>
      <c r="AS81" s="352">
        <f t="shared" si="50"/>
        <v>132.30191806544258</v>
      </c>
      <c r="AT81" s="352">
        <f t="shared" si="51"/>
        <v>42.853905176003103</v>
      </c>
      <c r="AU81" s="352">
        <f t="shared" si="51"/>
        <v>199.04156340289677</v>
      </c>
      <c r="AV81" s="352">
        <f t="shared" si="51"/>
        <v>35.42903408054049</v>
      </c>
      <c r="AW81" s="352">
        <f t="shared" si="37"/>
        <v>6.2122832513769197E-2</v>
      </c>
      <c r="AX81" s="352">
        <f t="shared" si="52"/>
        <v>277.38662549195413</v>
      </c>
      <c r="AY81" s="352">
        <f>AT81*'Assumptions-Output Override'!$D$24</f>
        <v>13.055695987095794</v>
      </c>
      <c r="AZ81" s="352">
        <f>$AU$107*'Assumptions-Output Override'!$D$21</f>
        <v>46.041131296780591</v>
      </c>
      <c r="BA81" s="352">
        <f>AV81*'Assumptions-Output Override'!$D$22</f>
        <v>5.3143551120810733</v>
      </c>
      <c r="BB81" s="352">
        <f>AW81*'Assumptions-Output Override'!$D$23</f>
        <v>9.3184248770653792E-3</v>
      </c>
      <c r="BC81" s="352">
        <f t="shared" si="53"/>
        <v>64.420500820834519</v>
      </c>
      <c r="BD81" s="352">
        <f t="shared" si="54"/>
        <v>13.055695987095794</v>
      </c>
      <c r="BE81" s="352">
        <f t="shared" si="54"/>
        <v>163.02075723227563</v>
      </c>
      <c r="BF81" s="352">
        <f t="shared" si="54"/>
        <v>20.634499769317905</v>
      </c>
      <c r="BG81" s="352">
        <f t="shared" si="38"/>
        <v>1.1465897587773954E-2</v>
      </c>
      <c r="BH81" s="352">
        <f t="shared" si="55"/>
        <v>196.7224188862771</v>
      </c>
      <c r="BJ81" s="401">
        <f>D81*'Assumptions-Output Override'!$D$10/'Winners-Losers HRA'!$H$107</f>
        <v>60.656850321654723</v>
      </c>
      <c r="BK81" s="401">
        <f>E81*'Assumptions-Output Override'!$D$10/'Winners-Losers HRA'!$H$107</f>
        <v>324.41236017670957</v>
      </c>
      <c r="BL81" s="401">
        <f>F81*'Assumptions-Output Override'!$D$10/'Winners-Losers HRA'!$H$107</f>
        <v>51.040178576375325</v>
      </c>
      <c r="BM81" s="401">
        <f>G81*'Assumptions-Output Override'!$D$10/'Winners-Losers HRA'!$H$107</f>
        <v>6.3321555350123654E-2</v>
      </c>
      <c r="BN81" s="401">
        <f t="shared" si="39"/>
        <v>436.17271063008974</v>
      </c>
      <c r="BO81" s="401">
        <f>BJ81*(1-'Assumptions-Output Override'!$D$11)</f>
        <v>8.6448011146892458</v>
      </c>
      <c r="BP81" s="401">
        <f>BK81*(1-'Assumptions-Output Override'!$D$11)</f>
        <v>46.235179011155779</v>
      </c>
      <c r="BQ81" s="401">
        <f>BL81*(1-'Assumptions-Output Override'!$D$11)</f>
        <v>7.2742351492237978</v>
      </c>
      <c r="BR81" s="401">
        <f>BM81*(1-'Assumptions-Output Override'!$D$11)</f>
        <v>9.0245742957606404E-3</v>
      </c>
      <c r="BS81" s="352">
        <f t="shared" si="40"/>
        <v>62.163239849364579</v>
      </c>
      <c r="BT81" s="352">
        <f t="shared" si="56"/>
        <v>52.012049206965479</v>
      </c>
      <c r="BU81" s="352">
        <f t="shared" si="56"/>
        <v>278.1771811655538</v>
      </c>
      <c r="BV81" s="352">
        <f t="shared" si="56"/>
        <v>43.765943427151527</v>
      </c>
      <c r="BW81" s="352">
        <f t="shared" si="41"/>
        <v>5.4296981054363015E-2</v>
      </c>
      <c r="BX81" s="352">
        <f t="shared" si="42"/>
        <v>374.00947078072511</v>
      </c>
      <c r="BY81" s="352">
        <f>BT$107*(1-'Assumptions-Output Override'!$D$12)</f>
        <v>22.753074310428271</v>
      </c>
      <c r="BZ81" s="352">
        <f>BU$107*(1-'Assumptions-Output Override'!$D$12)</f>
        <v>51.446038369839215</v>
      </c>
      <c r="CA81" s="352">
        <f>BV$107*(1-'Assumptions-Output Override'!$D$12)</f>
        <v>9.7401900534537411</v>
      </c>
      <c r="CB81" s="352">
        <f>BW$107*(1-'Assumptions-Output Override'!$D$12)</f>
        <v>1.7000814189516649</v>
      </c>
      <c r="CC81" s="352">
        <f t="shared" si="43"/>
        <v>85.639384152672903</v>
      </c>
      <c r="CD81" s="352">
        <f t="shared" si="57"/>
        <v>31.397875425117519</v>
      </c>
      <c r="CE81" s="352">
        <f t="shared" si="57"/>
        <v>97.681217380994994</v>
      </c>
      <c r="CF81" s="352">
        <f t="shared" si="57"/>
        <v>17.01442520267754</v>
      </c>
      <c r="CG81" s="352">
        <f t="shared" si="44"/>
        <v>1.7091059932474255</v>
      </c>
      <c r="CH81" s="352">
        <f t="shared" si="45"/>
        <v>147.80262400203745</v>
      </c>
      <c r="CJ81" s="352">
        <f t="shared" si="58"/>
        <v>147.80262400203745</v>
      </c>
      <c r="CK81" s="352">
        <f t="shared" si="59"/>
        <v>132.30191806544258</v>
      </c>
      <c r="CL81" s="352">
        <f t="shared" si="60"/>
        <v>15.500705936594869</v>
      </c>
      <c r="CN81" s="352">
        <f>('HRA Balance Calc'!U93+'HRA Balance Calc'!V93+'HRA Balance Calc'!W93+'HRA Balance Calc'!X93)/12</f>
        <v>11.100142965375278</v>
      </c>
      <c r="CO81" s="352">
        <f>('HRA Balance Calc'!Q93+IF('HRA Balance Calc'!L93&lt;0,-'HRA Balance Calc'!L93,0))/12</f>
        <v>0</v>
      </c>
      <c r="CP81" s="352">
        <f>('HRA Balance Calc'!N93)/12</f>
        <v>116.97962593549505</v>
      </c>
      <c r="CQ81" s="352">
        <f>('HRA Balance Calc'!O93)/12</f>
        <v>15.320144657236831</v>
      </c>
      <c r="CR81" s="352">
        <f>('HRA Balance Calc'!P93)/12</f>
        <v>2.147472710708575E-3</v>
      </c>
      <c r="CS81" s="352">
        <f t="shared" si="64"/>
        <v>132.30191806544258</v>
      </c>
      <c r="CU81" s="577">
        <f t="shared" si="61"/>
        <v>894.47089424757144</v>
      </c>
      <c r="CV81" s="352">
        <f t="shared" si="62"/>
        <v>74.53924118729762</v>
      </c>
      <c r="CW81" s="352">
        <f t="shared" si="29"/>
        <v>27.257908762070677</v>
      </c>
      <c r="CX81" s="352">
        <f t="shared" si="29"/>
        <v>145.78407002824292</v>
      </c>
      <c r="CY81" s="352">
        <f t="shared" si="29"/>
        <v>22.936379377713124</v>
      </c>
      <c r="CZ81" s="352">
        <f t="shared" si="29"/>
        <v>2.8455370980413175E-2</v>
      </c>
      <c r="DA81" s="352">
        <f t="shared" si="46"/>
        <v>196.00681353900714</v>
      </c>
      <c r="DC81" s="352">
        <f>('HRA Balance Calc'!Q93+'HRA Balance Calc'!X93+IF('HRA Balance Calc'!L93&lt;0,-'HRA Balance Calc'!L93,0))/12</f>
        <v>29.798209188907304</v>
      </c>
      <c r="DD81" s="352">
        <f>('HRA Balance Calc'!N93+'HRA Balance Calc'!U93)/12</f>
        <v>92.957886175004887</v>
      </c>
      <c r="DE81" s="352">
        <f>('HRA Balance Calc'!O93+'HRA Balance Calc'!V93)/12</f>
        <v>20.634499769317905</v>
      </c>
      <c r="DF81" s="352">
        <f>('HRA Balance Calc'!P93+'HRA Balance Calc'!W93)/12</f>
        <v>1.1465897587773955E-2</v>
      </c>
      <c r="DG81" s="352">
        <f t="shared" si="63"/>
        <v>143.40206103081789</v>
      </c>
      <c r="DI81" s="352">
        <f t="shared" si="32"/>
        <v>1.599666236210215</v>
      </c>
      <c r="DJ81" s="352">
        <f t="shared" si="32"/>
        <v>4.7233312059901067</v>
      </c>
      <c r="DK81" s="352">
        <f t="shared" si="32"/>
        <v>-3.6200745666403655</v>
      </c>
      <c r="DL81" s="352">
        <f t="shared" si="32"/>
        <v>1.6976400956596516</v>
      </c>
      <c r="DM81" s="352">
        <f t="shared" si="32"/>
        <v>4.4005629712195571</v>
      </c>
    </row>
    <row r="82" spans="1:117" x14ac:dyDescent="0.2">
      <c r="A82">
        <v>77</v>
      </c>
      <c r="B82" s="397">
        <v>34308</v>
      </c>
      <c r="C82" s="398">
        <v>397997.79676138877</v>
      </c>
      <c r="D82" s="399">
        <v>38.601968471944993</v>
      </c>
      <c r="E82" s="399">
        <v>202.55725817905983</v>
      </c>
      <c r="F82" s="399">
        <v>32.388770956146587</v>
      </c>
      <c r="G82" s="399">
        <v>1.5942399135108368E-2</v>
      </c>
      <c r="H82" s="399">
        <v>273.56394000628649</v>
      </c>
      <c r="I82" s="400">
        <v>2.5376477995372702E-2</v>
      </c>
      <c r="J82" s="400">
        <v>0.10216462002837123</v>
      </c>
      <c r="K82" s="400">
        <v>2.7286583213200263E-3</v>
      </c>
      <c r="L82" s="400">
        <v>0.69584953447856279</v>
      </c>
      <c r="M82" s="400">
        <v>0.61550315603099925</v>
      </c>
      <c r="N82" s="400">
        <v>0.52360676791627436</v>
      </c>
      <c r="O82" s="399">
        <f t="shared" si="35"/>
        <v>6.3441194988431757</v>
      </c>
      <c r="P82" s="399">
        <f t="shared" si="35"/>
        <v>0</v>
      </c>
      <c r="Q82" s="399">
        <f t="shared" si="35"/>
        <v>2.7286583213200264</v>
      </c>
      <c r="R82" s="399">
        <f t="shared" si="33"/>
        <v>14.447552085589216</v>
      </c>
      <c r="S82" s="399">
        <f t="shared" si="33"/>
        <v>18.465094680929976</v>
      </c>
      <c r="T82" s="399">
        <f t="shared" si="33"/>
        <v>31.416406074976461</v>
      </c>
      <c r="U82" s="399">
        <f t="shared" si="47"/>
        <v>73.401830661658863</v>
      </c>
      <c r="V82" s="400">
        <v>2.5625847875519058E-3</v>
      </c>
      <c r="W82" s="400">
        <v>1.5854751810580454E-2</v>
      </c>
      <c r="X82" s="400">
        <v>1.5075460338784675E-5</v>
      </c>
      <c r="Y82" s="400">
        <v>0.14189468831848073</v>
      </c>
      <c r="Z82" s="400">
        <v>4.5608091672132547E-2</v>
      </c>
      <c r="AA82" s="400">
        <v>4.0060623776665569E-2</v>
      </c>
      <c r="AB82" s="352">
        <f t="shared" si="36"/>
        <v>0.64064619688797642</v>
      </c>
      <c r="AC82" s="352">
        <f t="shared" si="36"/>
        <v>0</v>
      </c>
      <c r="AD82" s="352">
        <f t="shared" si="36"/>
        <v>1.5075460338784675E-2</v>
      </c>
      <c r="AE82" s="352">
        <f t="shared" si="34"/>
        <v>5.0299447288563579</v>
      </c>
      <c r="AF82" s="352">
        <f t="shared" si="34"/>
        <v>1.3682427501639765</v>
      </c>
      <c r="AG82" s="352">
        <f t="shared" si="34"/>
        <v>2.4036374265999343</v>
      </c>
      <c r="AH82" s="400">
        <f t="shared" si="48"/>
        <v>9.4575465628470301</v>
      </c>
      <c r="AJ82" s="352">
        <f>D82*('Assumptions-Output Override'!$D$10/'Winners-Losers HRA'!$H$107)*(1+'Assumptions-Output Override'!$F$41)</f>
        <v>46.075772613882741</v>
      </c>
      <c r="AK82" s="352">
        <f>E82*('Assumptions-Output Override'!$D$10/'Winners-Losers HRA'!$H$107)*(1+'Assumptions-Output Override'!$F$37)</f>
        <v>333.36442028130239</v>
      </c>
      <c r="AL82" s="352">
        <f>F82*('Assumptions-Output Override'!$D$10/'Winners-Losers HRA'!$H$107)*(1+'Assumptions-Output Override'!$F$38)</f>
        <v>54.408146013872901</v>
      </c>
      <c r="AM82" s="352">
        <f>G82*('Shoppable Detail'!$X$21/'Shoppable Detail'!$H$21)*('Assumptions-Output Override'!$D$10/'Winners-Losers HRA'!$H$107)*(1+'Assumptions-Output Override'!$F$39)</f>
        <v>2.7337896330260198E-2</v>
      </c>
      <c r="AN82" s="352">
        <f t="shared" si="49"/>
        <v>433.87567680538831</v>
      </c>
      <c r="AO82" s="352">
        <v>0</v>
      </c>
      <c r="AP82" s="352">
        <f>U82*'Assumptions-Output Override'!$D$10/'Winners-Losers HRA'!$H$107*(1+'Assumptions-Output Override'!$F$37)</f>
        <v>120.80316916848882</v>
      </c>
      <c r="AQ82" s="352">
        <f>AH82*'Assumptions-Output Override'!$D$10/'Winners-Losers HRA'!$H$107*(1+'Assumptions-Output Override'!$F$38)</f>
        <v>15.887221377467265</v>
      </c>
      <c r="AR82" s="352">
        <f>AM82*('Shoppable Detail'!$AA$23/'Shoppable Detail'!$Y$23)</f>
        <v>9.1344495926020254E-4</v>
      </c>
      <c r="AS82" s="352">
        <f t="shared" si="50"/>
        <v>136.69130399091534</v>
      </c>
      <c r="AT82" s="352">
        <f t="shared" si="51"/>
        <v>46.075772613882741</v>
      </c>
      <c r="AU82" s="352">
        <f t="shared" si="51"/>
        <v>212.56125111281358</v>
      </c>
      <c r="AV82" s="352">
        <f t="shared" si="51"/>
        <v>38.520924636405638</v>
      </c>
      <c r="AW82" s="352">
        <f t="shared" si="37"/>
        <v>2.6424451370999996E-2</v>
      </c>
      <c r="AX82" s="352">
        <f t="shared" si="52"/>
        <v>297.18437281447297</v>
      </c>
      <c r="AY82" s="352">
        <f>AT82*'Assumptions-Output Override'!$D$24</f>
        <v>14.03725698152377</v>
      </c>
      <c r="AZ82" s="352">
        <f>$AU$107*'Assumptions-Output Override'!$D$21</f>
        <v>46.041131296780591</v>
      </c>
      <c r="BA82" s="352">
        <f>AV82*'Assumptions-Output Override'!$D$22</f>
        <v>5.7781386954608456</v>
      </c>
      <c r="BB82" s="352">
        <f>AW82*'Assumptions-Output Override'!$D$23</f>
        <v>3.9636677056499991E-3</v>
      </c>
      <c r="BC82" s="352">
        <f t="shared" si="53"/>
        <v>65.860490641470847</v>
      </c>
      <c r="BD82" s="352">
        <f t="shared" si="54"/>
        <v>14.03725698152377</v>
      </c>
      <c r="BE82" s="352">
        <f t="shared" si="54"/>
        <v>166.84430046526941</v>
      </c>
      <c r="BF82" s="352">
        <f t="shared" si="54"/>
        <v>21.66536007292811</v>
      </c>
      <c r="BG82" s="352">
        <f t="shared" si="38"/>
        <v>4.8771126649102018E-3</v>
      </c>
      <c r="BH82" s="352">
        <f t="shared" si="55"/>
        <v>202.55179463238619</v>
      </c>
      <c r="BJ82" s="401">
        <f>D82*'Assumptions-Output Override'!$D$10/'Winners-Losers HRA'!$H$107</f>
        <v>65.217189225029912</v>
      </c>
      <c r="BK82" s="401">
        <f>E82*'Assumptions-Output Override'!$D$10/'Winners-Losers HRA'!$H$107</f>
        <v>342.21609825850868</v>
      </c>
      <c r="BL82" s="401">
        <f>F82*'Assumptions-Output Override'!$D$10/'Winners-Losers HRA'!$H$107</f>
        <v>54.72012666266847</v>
      </c>
      <c r="BM82" s="401">
        <f>G82*'Assumptions-Output Override'!$D$10/'Winners-Losers HRA'!$H$107</f>
        <v>2.6934337865462964E-2</v>
      </c>
      <c r="BN82" s="401">
        <f t="shared" si="39"/>
        <v>462.18034848407251</v>
      </c>
      <c r="BO82" s="401">
        <f>BJ82*(1-'Assumptions-Output Override'!$D$11)</f>
        <v>9.2947396233029114</v>
      </c>
      <c r="BP82" s="401">
        <f>BK82*(1-'Assumptions-Output Override'!$D$11)</f>
        <v>48.772563890176215</v>
      </c>
      <c r="BQ82" s="401">
        <f>BL82*(1-'Assumptions-Output Override'!$D$11)</f>
        <v>7.7987005500761128</v>
      </c>
      <c r="BR82" s="401">
        <f>BM82*(1-'Assumptions-Output Override'!$D$11)</f>
        <v>3.8386759742393933E-3</v>
      </c>
      <c r="BS82" s="352">
        <f t="shared" si="40"/>
        <v>65.869842739529474</v>
      </c>
      <c r="BT82" s="352">
        <f t="shared" si="56"/>
        <v>55.922449601727003</v>
      </c>
      <c r="BU82" s="352">
        <f t="shared" si="56"/>
        <v>293.44353436833245</v>
      </c>
      <c r="BV82" s="352">
        <f t="shared" si="56"/>
        <v>46.921426112592357</v>
      </c>
      <c r="BW82" s="352">
        <f t="shared" si="41"/>
        <v>2.3095661891223571E-2</v>
      </c>
      <c r="BX82" s="352">
        <f t="shared" si="42"/>
        <v>396.31050574454304</v>
      </c>
      <c r="BY82" s="352">
        <f>BT$107*(1-'Assumptions-Output Override'!$D$12)</f>
        <v>22.753074310428271</v>
      </c>
      <c r="BZ82" s="352">
        <f>BU$107*(1-'Assumptions-Output Override'!$D$12)</f>
        <v>51.446038369839215</v>
      </c>
      <c r="CA82" s="352">
        <f>BV$107*(1-'Assumptions-Output Override'!$D$12)</f>
        <v>9.7401900534537411</v>
      </c>
      <c r="CB82" s="352">
        <f>BW$107*(1-'Assumptions-Output Override'!$D$12)</f>
        <v>1.7000814189516649</v>
      </c>
      <c r="CC82" s="352">
        <f t="shared" si="43"/>
        <v>85.639384152672903</v>
      </c>
      <c r="CD82" s="352">
        <f t="shared" si="57"/>
        <v>32.047813933731184</v>
      </c>
      <c r="CE82" s="352">
        <f t="shared" si="57"/>
        <v>100.21860226001543</v>
      </c>
      <c r="CF82" s="352">
        <f t="shared" si="57"/>
        <v>17.538890603529854</v>
      </c>
      <c r="CG82" s="352">
        <f t="shared" si="44"/>
        <v>1.7039200949259043</v>
      </c>
      <c r="CH82" s="352">
        <f t="shared" si="45"/>
        <v>151.50922689220238</v>
      </c>
      <c r="CJ82" s="352">
        <f t="shared" si="58"/>
        <v>151.50922689220238</v>
      </c>
      <c r="CK82" s="352">
        <f t="shared" si="59"/>
        <v>136.69130399091534</v>
      </c>
      <c r="CL82" s="352">
        <f t="shared" si="60"/>
        <v>14.817922901287034</v>
      </c>
      <c r="CN82" s="352">
        <f>('HRA Balance Calc'!U94+'HRA Balance Calc'!V94+'HRA Balance Calc'!W94+'HRA Balance Calc'!X94)/12</f>
        <v>13.798878235035298</v>
      </c>
      <c r="CO82" s="352">
        <f>('HRA Balance Calc'!Q94+IF('HRA Balance Calc'!L94&lt;0,-'HRA Balance Calc'!L94,0))/12</f>
        <v>0</v>
      </c>
      <c r="CP82" s="352">
        <f>('HRA Balance Calc'!N94)/12</f>
        <v>120.80316916848882</v>
      </c>
      <c r="CQ82" s="352">
        <f>('HRA Balance Calc'!O94)/12</f>
        <v>15.887221377467265</v>
      </c>
      <c r="CR82" s="352">
        <f>('HRA Balance Calc'!P94)/12</f>
        <v>9.1344495926020243E-4</v>
      </c>
      <c r="CS82" s="352">
        <f t="shared" si="64"/>
        <v>136.69130399091534</v>
      </c>
      <c r="CU82" s="577">
        <f t="shared" si="61"/>
        <v>862.08607101165126</v>
      </c>
      <c r="CV82" s="352">
        <f t="shared" si="62"/>
        <v>71.8405059176376</v>
      </c>
      <c r="CW82" s="352">
        <f t="shared" si="29"/>
        <v>29.307228848642083</v>
      </c>
      <c r="CX82" s="352">
        <f t="shared" si="29"/>
        <v>153.7846942888836</v>
      </c>
      <c r="CY82" s="352">
        <f t="shared" si="29"/>
        <v>24.590070406070474</v>
      </c>
      <c r="CZ82" s="352">
        <f t="shared" ref="CZ82:CZ105" si="65">G82-BR82</f>
        <v>1.2103723160868975E-2</v>
      </c>
      <c r="DA82" s="352">
        <f t="shared" si="46"/>
        <v>207.69409726675701</v>
      </c>
      <c r="DC82" s="352">
        <f>('HRA Balance Calc'!Q94+'HRA Balance Calc'!X94+IF('HRA Balance Calc'!L94&lt;0,-'HRA Balance Calc'!L94,0))/12</f>
        <v>32.038515632358965</v>
      </c>
      <c r="DD82" s="352">
        <f>('HRA Balance Calc'!N94+'HRA Balance Calc'!U94)/12</f>
        <v>96.781429407998658</v>
      </c>
      <c r="DE82" s="352">
        <f>('HRA Balance Calc'!O94+'HRA Balance Calc'!V94)/12</f>
        <v>21.66536007292811</v>
      </c>
      <c r="DF82" s="352">
        <f>('HRA Balance Calc'!P94+'HRA Balance Calc'!W94)/12</f>
        <v>4.8771126649102027E-3</v>
      </c>
      <c r="DG82" s="352">
        <f t="shared" si="63"/>
        <v>150.49018222595063</v>
      </c>
      <c r="DI82" s="352">
        <f t="shared" si="32"/>
        <v>9.2983013722189867E-3</v>
      </c>
      <c r="DJ82" s="352">
        <f t="shared" si="32"/>
        <v>3.4371728520167721</v>
      </c>
      <c r="DK82" s="352">
        <f t="shared" si="32"/>
        <v>-4.1264694693982555</v>
      </c>
      <c r="DL82" s="352">
        <f t="shared" si="32"/>
        <v>1.699042982260994</v>
      </c>
      <c r="DM82" s="352">
        <f t="shared" si="32"/>
        <v>1.0190446662517445</v>
      </c>
    </row>
    <row r="83" spans="1:117" x14ac:dyDescent="0.2">
      <c r="A83">
        <v>78</v>
      </c>
      <c r="B83" s="397">
        <v>34308</v>
      </c>
      <c r="C83" s="398">
        <v>397997.79676138877</v>
      </c>
      <c r="D83" s="399">
        <v>42.154628935850788</v>
      </c>
      <c r="E83" s="399">
        <v>213.85908195936869</v>
      </c>
      <c r="F83" s="399">
        <v>34.177521731433707</v>
      </c>
      <c r="G83" s="399">
        <v>2.5460505378019374E-2</v>
      </c>
      <c r="H83" s="399">
        <v>290.21669313203125</v>
      </c>
      <c r="I83" s="400">
        <v>2.7343869264174731E-2</v>
      </c>
      <c r="J83" s="400">
        <v>0.10995434170395908</v>
      </c>
      <c r="K83" s="400">
        <v>3.2789126236856666E-3</v>
      </c>
      <c r="L83" s="400">
        <v>0.72210800747775505</v>
      </c>
      <c r="M83" s="400">
        <v>0.62921398569991716</v>
      </c>
      <c r="N83" s="400">
        <v>0.5479904204866306</v>
      </c>
      <c r="O83" s="399">
        <f t="shared" si="35"/>
        <v>6.8359673160436829</v>
      </c>
      <c r="P83" s="399">
        <f t="shared" si="35"/>
        <v>0</v>
      </c>
      <c r="Q83" s="399">
        <f t="shared" si="35"/>
        <v>3.2789126236856667</v>
      </c>
      <c r="R83" s="399">
        <f t="shared" si="33"/>
        <v>14.992742730328457</v>
      </c>
      <c r="S83" s="399">
        <f t="shared" si="33"/>
        <v>18.876419570997516</v>
      </c>
      <c r="T83" s="399">
        <f t="shared" si="33"/>
        <v>32.879425229197835</v>
      </c>
      <c r="U83" s="399">
        <f t="shared" si="47"/>
        <v>76.863467470253156</v>
      </c>
      <c r="V83" s="400">
        <v>2.7922738310097932E-3</v>
      </c>
      <c r="W83" s="400">
        <v>1.759418072887509E-2</v>
      </c>
      <c r="X83" s="400">
        <v>4.2713804293223245E-5</v>
      </c>
      <c r="Y83" s="400">
        <v>0.14854286026727781</v>
      </c>
      <c r="Z83" s="400">
        <v>4.6048596623231845E-2</v>
      </c>
      <c r="AA83" s="400">
        <v>4.0889171076885167E-2</v>
      </c>
      <c r="AB83" s="352">
        <f t="shared" si="36"/>
        <v>0.6980684577524483</v>
      </c>
      <c r="AC83" s="352">
        <f t="shared" si="36"/>
        <v>0</v>
      </c>
      <c r="AD83" s="352">
        <f t="shared" si="36"/>
        <v>4.2713804293223245E-2</v>
      </c>
      <c r="AE83" s="352">
        <f t="shared" si="34"/>
        <v>5.2656120244166198</v>
      </c>
      <c r="AF83" s="352">
        <f t="shared" si="34"/>
        <v>1.3814578986969555</v>
      </c>
      <c r="AG83" s="352">
        <f t="shared" si="34"/>
        <v>2.45335026461311</v>
      </c>
      <c r="AH83" s="400">
        <f t="shared" si="48"/>
        <v>9.8412024497723571</v>
      </c>
      <c r="AJ83" s="352">
        <f>D83*('Assumptions-Output Override'!$D$10/'Winners-Losers HRA'!$H$107)*(1+'Assumptions-Output Override'!$F$41)</f>
        <v>50.316270759157945</v>
      </c>
      <c r="AK83" s="352">
        <f>E83*('Assumptions-Output Override'!$D$10/'Winners-Losers HRA'!$H$107)*(1+'Assumptions-Output Override'!$F$37)</f>
        <v>351.96472108767261</v>
      </c>
      <c r="AL83" s="352">
        <f>F83*('Assumptions-Output Override'!$D$10/'Winners-Losers HRA'!$H$107)*(1+'Assumptions-Output Override'!$F$38)</f>
        <v>57.412971775740239</v>
      </c>
      <c r="AM83" s="352">
        <f>G83*('Shoppable Detail'!$X$21/'Shoppable Detail'!$H$21)*('Assumptions-Output Override'!$D$10/'Winners-Losers HRA'!$H$107)*(1+'Assumptions-Output Override'!$F$39)</f>
        <v>4.365946747673085E-2</v>
      </c>
      <c r="AN83" s="352">
        <f t="shared" si="49"/>
        <v>459.73762309004752</v>
      </c>
      <c r="AO83" s="352">
        <v>0</v>
      </c>
      <c r="AP83" s="352">
        <f>U83*'Assumptions-Output Override'!$D$10/'Winners-Losers HRA'!$H$107*(1+'Assumptions-Output Override'!$F$37)</f>
        <v>126.50025728221782</v>
      </c>
      <c r="AQ83" s="352">
        <f>AH83*'Assumptions-Output Override'!$D$10/'Winners-Losers HRA'!$H$107*(1+'Assumptions-Output Override'!$F$38)</f>
        <v>16.531704168838942</v>
      </c>
      <c r="AR83" s="352">
        <f>AM83*('Shoppable Detail'!$AA$23/'Shoppable Detail'!$Y$23)</f>
        <v>1.458799902114669E-3</v>
      </c>
      <c r="AS83" s="352">
        <f t="shared" si="50"/>
        <v>143.03342025095887</v>
      </c>
      <c r="AT83" s="352">
        <f t="shared" si="51"/>
        <v>50.316270759157945</v>
      </c>
      <c r="AU83" s="352">
        <f t="shared" si="51"/>
        <v>225.46446380545478</v>
      </c>
      <c r="AV83" s="352">
        <f t="shared" si="51"/>
        <v>40.881267606901297</v>
      </c>
      <c r="AW83" s="352">
        <f t="shared" si="37"/>
        <v>4.2200667574616178E-2</v>
      </c>
      <c r="AX83" s="352">
        <f t="shared" si="52"/>
        <v>316.70420283908862</v>
      </c>
      <c r="AY83" s="352">
        <f>AT83*'Assumptions-Output Override'!$D$24</f>
        <v>15.329149853157745</v>
      </c>
      <c r="AZ83" s="352">
        <f>$AU$107*'Assumptions-Output Override'!$D$21</f>
        <v>46.041131296780591</v>
      </c>
      <c r="BA83" s="352">
        <f>AV83*'Assumptions-Output Override'!$D$22</f>
        <v>6.1321901410351947</v>
      </c>
      <c r="BB83" s="352">
        <f>AW83*'Assumptions-Output Override'!$D$23</f>
        <v>6.3301001361924262E-3</v>
      </c>
      <c r="BC83" s="352">
        <f t="shared" si="53"/>
        <v>67.508801391109728</v>
      </c>
      <c r="BD83" s="352">
        <f t="shared" si="54"/>
        <v>15.329149853157745</v>
      </c>
      <c r="BE83" s="352">
        <f t="shared" si="54"/>
        <v>172.54138857899841</v>
      </c>
      <c r="BF83" s="352">
        <f t="shared" si="54"/>
        <v>22.663894309874138</v>
      </c>
      <c r="BG83" s="352">
        <f t="shared" si="38"/>
        <v>7.788900038307095E-3</v>
      </c>
      <c r="BH83" s="352">
        <f t="shared" si="55"/>
        <v>210.5422216420686</v>
      </c>
      <c r="BJ83" s="401">
        <f>D83*'Assumptions-Output Override'!$D$10/'Winners-Losers HRA'!$H$107</f>
        <v>71.219332092309259</v>
      </c>
      <c r="BK83" s="401">
        <f>E83*'Assumptions-Output Override'!$D$10/'Winners-Losers HRA'!$H$107</f>
        <v>361.31028462374633</v>
      </c>
      <c r="BL83" s="401">
        <f>F83*'Assumptions-Output Override'!$D$10/'Winners-Losers HRA'!$H$107</f>
        <v>57.742182335116958</v>
      </c>
      <c r="BM83" s="401">
        <f>G83*'Assumptions-Output Override'!$D$10/'Winners-Losers HRA'!$H$107</f>
        <v>4.3014972104595303E-2</v>
      </c>
      <c r="BN83" s="401">
        <f t="shared" si="39"/>
        <v>490.31481402327711</v>
      </c>
      <c r="BO83" s="401">
        <f>BJ83*(1-'Assumptions-Output Override'!$D$11)</f>
        <v>10.150163719252989</v>
      </c>
      <c r="BP83" s="401">
        <f>BK83*(1-'Assumptions-Output Override'!$D$11)</f>
        <v>51.493863177873678</v>
      </c>
      <c r="BQ83" s="401">
        <f>BL83*(1-'Assumptions-Output Override'!$D$11)</f>
        <v>8.2294032672020112</v>
      </c>
      <c r="BR83" s="401">
        <f>BM83*(1-'Assumptions-Output Override'!$D$11)</f>
        <v>6.1304844683862259E-3</v>
      </c>
      <c r="BS83" s="352">
        <f t="shared" si="40"/>
        <v>69.879560648797067</v>
      </c>
      <c r="BT83" s="352">
        <f t="shared" si="56"/>
        <v>61.069168373056272</v>
      </c>
      <c r="BU83" s="352">
        <f t="shared" si="56"/>
        <v>309.81642144587266</v>
      </c>
      <c r="BV83" s="352">
        <f t="shared" si="56"/>
        <v>49.512779067914948</v>
      </c>
      <c r="BW83" s="352">
        <f t="shared" si="41"/>
        <v>3.6884487636209079E-2</v>
      </c>
      <c r="BX83" s="352">
        <f t="shared" si="42"/>
        <v>420.43525337448006</v>
      </c>
      <c r="BY83" s="352">
        <f>BT$107*(1-'Assumptions-Output Override'!$D$12)</f>
        <v>22.753074310428271</v>
      </c>
      <c r="BZ83" s="352">
        <f>BU$107*(1-'Assumptions-Output Override'!$D$12)</f>
        <v>51.446038369839215</v>
      </c>
      <c r="CA83" s="352">
        <f>BV$107*(1-'Assumptions-Output Override'!$D$12)</f>
        <v>9.7401900534537411</v>
      </c>
      <c r="CB83" s="352">
        <f>BW$107*(1-'Assumptions-Output Override'!$D$12)</f>
        <v>1.7000814189516649</v>
      </c>
      <c r="CC83" s="352">
        <f t="shared" si="43"/>
        <v>85.639384152672903</v>
      </c>
      <c r="CD83" s="352">
        <f t="shared" si="57"/>
        <v>32.903238029681262</v>
      </c>
      <c r="CE83" s="352">
        <f t="shared" si="57"/>
        <v>102.93990154771289</v>
      </c>
      <c r="CF83" s="352">
        <f t="shared" si="57"/>
        <v>17.969593320655754</v>
      </c>
      <c r="CG83" s="352">
        <f t="shared" si="44"/>
        <v>1.7062119034200511</v>
      </c>
      <c r="CH83" s="352">
        <f t="shared" si="45"/>
        <v>155.51894480146993</v>
      </c>
      <c r="CJ83" s="352">
        <f t="shared" si="58"/>
        <v>155.51894480146993</v>
      </c>
      <c r="CK83" s="352">
        <f t="shared" si="59"/>
        <v>143.03342025095887</v>
      </c>
      <c r="CL83" s="352">
        <f t="shared" si="60"/>
        <v>12.485524550511059</v>
      </c>
      <c r="CN83" s="352">
        <f>('HRA Balance Calc'!U95+'HRA Balance Calc'!V95+'HRA Balance Calc'!W95+'HRA Balance Calc'!X95)/12</f>
        <v>17.103901386681425</v>
      </c>
      <c r="CO83" s="352">
        <f>('HRA Balance Calc'!Q95+IF('HRA Balance Calc'!L95&lt;0,-'HRA Balance Calc'!L95,0))/12</f>
        <v>0</v>
      </c>
      <c r="CP83" s="352">
        <f>('HRA Balance Calc'!N95)/12</f>
        <v>126.50025728221782</v>
      </c>
      <c r="CQ83" s="352">
        <f>('HRA Balance Calc'!O95)/12</f>
        <v>16.531704168838942</v>
      </c>
      <c r="CR83" s="352">
        <f>('HRA Balance Calc'!P95)/12</f>
        <v>1.458799902114669E-3</v>
      </c>
      <c r="CS83" s="352">
        <f t="shared" si="64"/>
        <v>143.03342025095887</v>
      </c>
      <c r="CU83" s="577">
        <f t="shared" si="61"/>
        <v>822.4257931918977</v>
      </c>
      <c r="CV83" s="352">
        <f t="shared" si="62"/>
        <v>68.535482765991475</v>
      </c>
      <c r="CW83" s="352">
        <f t="shared" ref="CW83:CY105" si="66">D83-BO83</f>
        <v>32.004465216597801</v>
      </c>
      <c r="CX83" s="352">
        <f t="shared" si="66"/>
        <v>162.365218781495</v>
      </c>
      <c r="CY83" s="352">
        <f t="shared" si="66"/>
        <v>25.948118464231698</v>
      </c>
      <c r="CZ83" s="352">
        <f t="shared" si="65"/>
        <v>1.933002090963315E-2</v>
      </c>
      <c r="DA83" s="352">
        <f t="shared" si="46"/>
        <v>220.33713248323411</v>
      </c>
      <c r="DC83" s="352">
        <f>('HRA Balance Calc'!Q95+'HRA Balance Calc'!X95+IF('HRA Balance Calc'!L95&lt;0,-'HRA Balance Calc'!L95,0))/12</f>
        <v>34.9871209060002</v>
      </c>
      <c r="DD83" s="352">
        <f>('HRA Balance Calc'!N95+'HRA Balance Calc'!U95)/12</f>
        <v>102.47851752172765</v>
      </c>
      <c r="DE83" s="352">
        <f>('HRA Balance Calc'!O95+'HRA Balance Calc'!V95)/12</f>
        <v>22.663894309874138</v>
      </c>
      <c r="DF83" s="352">
        <f>('HRA Balance Calc'!P95+'HRA Balance Calc'!W95)/12</f>
        <v>7.7889000383070959E-3</v>
      </c>
      <c r="DG83" s="352">
        <f t="shared" si="63"/>
        <v>160.13732163764033</v>
      </c>
      <c r="DI83" s="352">
        <f t="shared" si="32"/>
        <v>-2.0838828763189383</v>
      </c>
      <c r="DJ83" s="352">
        <f t="shared" si="32"/>
        <v>0.46138402598523953</v>
      </c>
      <c r="DK83" s="352">
        <f t="shared" si="32"/>
        <v>-4.6943009892183838</v>
      </c>
      <c r="DL83" s="352">
        <f t="shared" si="32"/>
        <v>1.698423003381744</v>
      </c>
      <c r="DM83" s="352">
        <f t="shared" si="32"/>
        <v>-4.6183768361703983</v>
      </c>
    </row>
    <row r="84" spans="1:117" x14ac:dyDescent="0.2">
      <c r="A84">
        <v>79</v>
      </c>
      <c r="B84" s="397">
        <v>34308</v>
      </c>
      <c r="C84" s="398">
        <v>397997.79676138877</v>
      </c>
      <c r="D84" s="399">
        <v>45.700508047879858</v>
      </c>
      <c r="E84" s="399">
        <v>224.81006273197087</v>
      </c>
      <c r="F84" s="399">
        <v>37.858354757159695</v>
      </c>
      <c r="G84" s="399">
        <v>4.4919704398606118E-2</v>
      </c>
      <c r="H84" s="399">
        <v>308.41384524140904</v>
      </c>
      <c r="I84" s="400">
        <v>2.754846797570534E-2</v>
      </c>
      <c r="J84" s="400">
        <v>0.11574548328276944</v>
      </c>
      <c r="K84" s="400">
        <v>3.1407209039134736E-3</v>
      </c>
      <c r="L84" s="400">
        <v>0.73491182176844871</v>
      </c>
      <c r="M84" s="400">
        <v>0.64518010423551975</v>
      </c>
      <c r="N84" s="400">
        <v>0.56929626707423575</v>
      </c>
      <c r="O84" s="399">
        <f t="shared" si="35"/>
        <v>6.8871169939263348</v>
      </c>
      <c r="P84" s="399">
        <f t="shared" si="35"/>
        <v>0</v>
      </c>
      <c r="Q84" s="399">
        <f t="shared" si="35"/>
        <v>3.1407209039134738</v>
      </c>
      <c r="R84" s="399">
        <f t="shared" si="33"/>
        <v>15.258581485250707</v>
      </c>
      <c r="S84" s="399">
        <f t="shared" si="33"/>
        <v>19.355403127065593</v>
      </c>
      <c r="T84" s="399">
        <f t="shared" si="33"/>
        <v>34.157776024454144</v>
      </c>
      <c r="U84" s="399">
        <f t="shared" si="47"/>
        <v>78.799598534610254</v>
      </c>
      <c r="V84" s="400">
        <v>3.096456618291883E-3</v>
      </c>
      <c r="W84" s="400">
        <v>1.9213178094654129E-2</v>
      </c>
      <c r="X84" s="400">
        <v>4.7738957739484802E-5</v>
      </c>
      <c r="Y84" s="400">
        <v>0.15644903203120694</v>
      </c>
      <c r="Z84" s="400">
        <v>4.9250624399190465E-2</v>
      </c>
      <c r="AA84" s="400">
        <v>4.4898037490175291E-2</v>
      </c>
      <c r="AB84" s="352">
        <f t="shared" si="36"/>
        <v>0.77411415457297073</v>
      </c>
      <c r="AC84" s="352">
        <f t="shared" si="36"/>
        <v>0</v>
      </c>
      <c r="AD84" s="352">
        <f t="shared" si="36"/>
        <v>4.7738957739484805E-2</v>
      </c>
      <c r="AE84" s="352">
        <f t="shared" si="34"/>
        <v>5.5458734454794749</v>
      </c>
      <c r="AF84" s="352">
        <f t="shared" si="34"/>
        <v>1.4775187319757139</v>
      </c>
      <c r="AG84" s="352">
        <f t="shared" si="34"/>
        <v>2.6938822494105175</v>
      </c>
      <c r="AH84" s="400">
        <f t="shared" si="48"/>
        <v>10.53912753917816</v>
      </c>
      <c r="AJ84" s="352">
        <f>D84*('Assumptions-Output Override'!$D$10/'Winners-Losers HRA'!$H$107)*(1+'Assumptions-Output Override'!$F$41)</f>
        <v>54.548674601488109</v>
      </c>
      <c r="AK84" s="352">
        <f>E84*('Assumptions-Output Override'!$D$10/'Winners-Losers HRA'!$H$107)*(1+'Assumptions-Output Override'!$F$37)</f>
        <v>369.98761194623194</v>
      </c>
      <c r="AL84" s="352">
        <f>F84*('Assumptions-Output Override'!$D$10/'Winners-Losers HRA'!$H$107)*(1+'Assumptions-Output Override'!$F$38)</f>
        <v>63.596204260465925</v>
      </c>
      <c r="AM84" s="352">
        <f>G84*('Shoppable Detail'!$X$21/'Shoppable Detail'!$H$21)*('Assumptions-Output Override'!$D$10/'Winners-Losers HRA'!$H$107)*(1+'Assumptions-Output Override'!$F$39)</f>
        <v>7.7027943638087806E-2</v>
      </c>
      <c r="AN84" s="352">
        <f t="shared" si="49"/>
        <v>488.20951875182408</v>
      </c>
      <c r="AO84" s="352">
        <v>0</v>
      </c>
      <c r="AP84" s="352">
        <f>U84*'Assumptions-Output Override'!$D$10/'Winners-Losers HRA'!$H$107*(1+'Assumptions-Output Override'!$F$37)</f>
        <v>129.68670054107878</v>
      </c>
      <c r="AQ84" s="352">
        <f>AH84*'Assumptions-Output Override'!$D$10/'Winners-Losers HRA'!$H$107*(1+'Assumptions-Output Override'!$F$38)</f>
        <v>17.70411081009588</v>
      </c>
      <c r="AR84" s="352">
        <f>AM84*('Shoppable Detail'!$AA$23/'Shoppable Detail'!$Y$23)</f>
        <v>2.5737454699653771E-3</v>
      </c>
      <c r="AS84" s="352">
        <f t="shared" si="50"/>
        <v>147.39338509664461</v>
      </c>
      <c r="AT84" s="352">
        <f t="shared" si="51"/>
        <v>54.548674601488109</v>
      </c>
      <c r="AU84" s="352">
        <f t="shared" si="51"/>
        <v>240.30091140515316</v>
      </c>
      <c r="AV84" s="352">
        <f t="shared" si="51"/>
        <v>45.892093450370041</v>
      </c>
      <c r="AW84" s="352">
        <f t="shared" si="37"/>
        <v>7.4454198168122432E-2</v>
      </c>
      <c r="AX84" s="352">
        <f t="shared" si="52"/>
        <v>340.81613365517944</v>
      </c>
      <c r="AY84" s="352">
        <f>AT84*'Assumptions-Output Override'!$D$24</f>
        <v>16.618576747466108</v>
      </c>
      <c r="AZ84" s="352">
        <f>$AU$107*'Assumptions-Output Override'!$D$21</f>
        <v>46.041131296780591</v>
      </c>
      <c r="BA84" s="352">
        <f>AV84*'Assumptions-Output Override'!$D$22</f>
        <v>6.8838140175555056</v>
      </c>
      <c r="BB84" s="352">
        <f>AW84*'Assumptions-Output Override'!$D$23</f>
        <v>1.1168129725218365E-2</v>
      </c>
      <c r="BC84" s="352">
        <f t="shared" si="53"/>
        <v>69.554690191527428</v>
      </c>
      <c r="BD84" s="352">
        <f t="shared" si="54"/>
        <v>16.618576747466108</v>
      </c>
      <c r="BE84" s="352">
        <f t="shared" si="54"/>
        <v>175.72783183785936</v>
      </c>
      <c r="BF84" s="352">
        <f t="shared" si="54"/>
        <v>24.587924827651385</v>
      </c>
      <c r="BG84" s="352">
        <f t="shared" si="38"/>
        <v>1.3741875195183741E-2</v>
      </c>
      <c r="BH84" s="352">
        <f t="shared" si="55"/>
        <v>216.94807528817205</v>
      </c>
      <c r="BJ84" s="401">
        <f>D84*'Assumptions-Output Override'!$D$10/'Winners-Losers HRA'!$H$107</f>
        <v>77.210018012545405</v>
      </c>
      <c r="BK84" s="401">
        <f>E84*'Assumptions-Output Override'!$D$10/'Winners-Losers HRA'!$H$107</f>
        <v>379.81172933026482</v>
      </c>
      <c r="BL84" s="401">
        <f>F84*'Assumptions-Output Override'!$D$10/'Winners-Losers HRA'!$H$107</f>
        <v>63.96086996807994</v>
      </c>
      <c r="BM84" s="401">
        <f>G84*'Assumptions-Output Override'!$D$10/'Winners-Losers HRA'!$H$107</f>
        <v>7.5890867167186626E-2</v>
      </c>
      <c r="BN84" s="401">
        <f t="shared" si="39"/>
        <v>521.05850817805742</v>
      </c>
      <c r="BO84" s="401">
        <f>BJ84*(1-'Assumptions-Output Override'!$D$11)</f>
        <v>11.003954973602408</v>
      </c>
      <c r="BP84" s="401">
        <f>BK84*(1-'Assumptions-Output Override'!$D$11)</f>
        <v>54.130685053294613</v>
      </c>
      <c r="BQ84" s="401">
        <f>BL84*(1-'Assumptions-Output Override'!$D$11)</f>
        <v>9.1156892760578057</v>
      </c>
      <c r="BR84" s="401">
        <f>BM84*(1-'Assumptions-Output Override'!$D$11)</f>
        <v>1.0815949882043449E-2</v>
      </c>
      <c r="BS84" s="352">
        <f t="shared" si="40"/>
        <v>74.261145252836869</v>
      </c>
      <c r="BT84" s="352">
        <f t="shared" si="56"/>
        <v>66.206063038943</v>
      </c>
      <c r="BU84" s="352">
        <f t="shared" si="56"/>
        <v>325.68104427697023</v>
      </c>
      <c r="BV84" s="352">
        <f t="shared" si="56"/>
        <v>54.845180692022133</v>
      </c>
      <c r="BW84" s="352">
        <f t="shared" si="41"/>
        <v>6.5074917285143183E-2</v>
      </c>
      <c r="BX84" s="352">
        <f t="shared" si="42"/>
        <v>446.79736292522051</v>
      </c>
      <c r="BY84" s="352">
        <f>BT$107*(1-'Assumptions-Output Override'!$D$12)</f>
        <v>22.753074310428271</v>
      </c>
      <c r="BZ84" s="352">
        <f>BU$107*(1-'Assumptions-Output Override'!$D$12)</f>
        <v>51.446038369839215</v>
      </c>
      <c r="CA84" s="352">
        <f>BV$107*(1-'Assumptions-Output Override'!$D$12)</f>
        <v>9.7401900534537411</v>
      </c>
      <c r="CB84" s="352">
        <f>BW$107*(1-'Assumptions-Output Override'!$D$12)</f>
        <v>1.7000814189516649</v>
      </c>
      <c r="CC84" s="352">
        <f t="shared" si="43"/>
        <v>85.639384152672903</v>
      </c>
      <c r="CD84" s="352">
        <f t="shared" si="57"/>
        <v>33.757029284030679</v>
      </c>
      <c r="CE84" s="352">
        <f t="shared" si="57"/>
        <v>105.57672342313383</v>
      </c>
      <c r="CF84" s="352">
        <f t="shared" si="57"/>
        <v>18.855879329511545</v>
      </c>
      <c r="CG84" s="352">
        <f t="shared" si="44"/>
        <v>1.7108973688337084</v>
      </c>
      <c r="CH84" s="352">
        <f t="shared" si="45"/>
        <v>159.90052940550976</v>
      </c>
      <c r="CJ84" s="352">
        <f t="shared" si="58"/>
        <v>159.90052940550976</v>
      </c>
      <c r="CK84" s="352">
        <f t="shared" si="59"/>
        <v>147.39338509664461</v>
      </c>
      <c r="CL84" s="352">
        <f t="shared" si="60"/>
        <v>12.507144308865151</v>
      </c>
      <c r="CN84" s="352">
        <f>('HRA Balance Calc'!U96+'HRA Balance Calc'!V96+'HRA Balance Calc'!W96+'HRA Balance Calc'!X96)/12</f>
        <v>20.803340240812563</v>
      </c>
      <c r="CO84" s="352">
        <f>('HRA Balance Calc'!Q96+IF('HRA Balance Calc'!L96&lt;0,-'HRA Balance Calc'!L96,0))/12</f>
        <v>0</v>
      </c>
      <c r="CP84" s="352">
        <f>('HRA Balance Calc'!N96)/12</f>
        <v>129.68670054107878</v>
      </c>
      <c r="CQ84" s="352">
        <f>('HRA Balance Calc'!O96)/12</f>
        <v>17.70411081009588</v>
      </c>
      <c r="CR84" s="352">
        <f>('HRA Balance Calc'!P96)/12</f>
        <v>2.5737454699653771E-3</v>
      </c>
      <c r="CS84" s="352">
        <f t="shared" si="64"/>
        <v>147.39338509664461</v>
      </c>
      <c r="CU84" s="577">
        <f t="shared" si="61"/>
        <v>778.03252694232413</v>
      </c>
      <c r="CV84" s="352">
        <f t="shared" si="62"/>
        <v>64.836043911860344</v>
      </c>
      <c r="CW84" s="352">
        <f t="shared" si="66"/>
        <v>34.696553074277446</v>
      </c>
      <c r="CX84" s="352">
        <f t="shared" si="66"/>
        <v>170.67937767867625</v>
      </c>
      <c r="CY84" s="352">
        <f t="shared" si="66"/>
        <v>28.742665481101888</v>
      </c>
      <c r="CZ84" s="352">
        <f t="shared" si="65"/>
        <v>3.4103754516562668E-2</v>
      </c>
      <c r="DA84" s="352">
        <f t="shared" si="46"/>
        <v>234.15269998857215</v>
      </c>
      <c r="DC84" s="352">
        <f>('HRA Balance Calc'!Q96+'HRA Balance Calc'!X96+IF('HRA Balance Calc'!L96&lt;0,-'HRA Balance Calc'!L96,0))/12</f>
        <v>37.930097854022002</v>
      </c>
      <c r="DD84" s="352">
        <f>('HRA Balance Calc'!N96+'HRA Balance Calc'!U96)/12</f>
        <v>105.66496078058861</v>
      </c>
      <c r="DE84" s="352">
        <f>('HRA Balance Calc'!O96+'HRA Balance Calc'!V96)/12</f>
        <v>24.587924827651388</v>
      </c>
      <c r="DF84" s="352">
        <f>('HRA Balance Calc'!P96+'HRA Balance Calc'!W96)/12</f>
        <v>1.3741875195183743E-2</v>
      </c>
      <c r="DG84" s="352">
        <f t="shared" si="63"/>
        <v>168.1967253374572</v>
      </c>
      <c r="DI84" s="352">
        <f t="shared" si="32"/>
        <v>-4.1730685699913224</v>
      </c>
      <c r="DJ84" s="352">
        <f t="shared" si="32"/>
        <v>-8.8237357454787002E-2</v>
      </c>
      <c r="DK84" s="352">
        <f t="shared" si="32"/>
        <v>-5.7320454981398434</v>
      </c>
      <c r="DL84" s="352">
        <f t="shared" si="32"/>
        <v>1.6971554936385247</v>
      </c>
      <c r="DM84" s="352">
        <f t="shared" si="32"/>
        <v>-8.2961959319474374</v>
      </c>
    </row>
    <row r="85" spans="1:117" x14ac:dyDescent="0.2">
      <c r="A85">
        <v>80</v>
      </c>
      <c r="B85" s="397">
        <v>34308</v>
      </c>
      <c r="C85" s="398">
        <v>397997.79676138877</v>
      </c>
      <c r="D85" s="399">
        <v>50.168831367596106</v>
      </c>
      <c r="E85" s="399">
        <v>239.26768363252913</v>
      </c>
      <c r="F85" s="399">
        <v>38.681161691511974</v>
      </c>
      <c r="G85" s="399">
        <v>6.7633280667222281E-2</v>
      </c>
      <c r="H85" s="399">
        <v>328.18530997230442</v>
      </c>
      <c r="I85" s="400">
        <v>2.8102381560580456E-2</v>
      </c>
      <c r="J85" s="400">
        <v>0.12225022524569445</v>
      </c>
      <c r="K85" s="400">
        <v>3.6457488252627603E-3</v>
      </c>
      <c r="L85" s="400">
        <v>0.75837902451153194</v>
      </c>
      <c r="M85" s="400">
        <v>0.664189204440501</v>
      </c>
      <c r="N85" s="400">
        <v>0.59994000455027252</v>
      </c>
      <c r="O85" s="399">
        <f t="shared" si="35"/>
        <v>7.0255953901451145</v>
      </c>
      <c r="P85" s="399">
        <f t="shared" si="35"/>
        <v>0</v>
      </c>
      <c r="Q85" s="399">
        <f t="shared" si="35"/>
        <v>3.6457488252627606</v>
      </c>
      <c r="R85" s="399">
        <f t="shared" si="33"/>
        <v>15.745818477063656</v>
      </c>
      <c r="S85" s="399">
        <f t="shared" si="33"/>
        <v>19.925676133215031</v>
      </c>
      <c r="T85" s="399">
        <f t="shared" si="33"/>
        <v>35.996400273016349</v>
      </c>
      <c r="U85" s="399">
        <f t="shared" si="47"/>
        <v>82.339239098702905</v>
      </c>
      <c r="V85" s="400">
        <v>3.6936481312824098E-3</v>
      </c>
      <c r="W85" s="400">
        <v>1.868054782631123E-2</v>
      </c>
      <c r="X85" s="400">
        <v>5.7789264632007922E-5</v>
      </c>
      <c r="Y85" s="400">
        <v>0.15767956460146942</v>
      </c>
      <c r="Z85" s="400">
        <v>4.9702888209354007E-2</v>
      </c>
      <c r="AA85" s="400">
        <v>4.4589593571643507E-2</v>
      </c>
      <c r="AB85" s="352">
        <f t="shared" si="36"/>
        <v>0.92341203282060247</v>
      </c>
      <c r="AC85" s="352">
        <f t="shared" si="36"/>
        <v>0</v>
      </c>
      <c r="AD85" s="352">
        <f t="shared" si="36"/>
        <v>5.7789264632007925E-2</v>
      </c>
      <c r="AE85" s="352">
        <f t="shared" si="34"/>
        <v>5.5894939001196482</v>
      </c>
      <c r="AF85" s="352">
        <f t="shared" si="34"/>
        <v>1.4910866462806203</v>
      </c>
      <c r="AG85" s="352">
        <f t="shared" si="34"/>
        <v>2.6753756142986105</v>
      </c>
      <c r="AH85" s="400">
        <f t="shared" si="48"/>
        <v>10.73715745815149</v>
      </c>
      <c r="AJ85" s="352">
        <f>D85*('Assumptions-Output Override'!$D$10/'Winners-Losers HRA'!$H$107)*(1+'Assumptions-Output Override'!$F$41)</f>
        <v>59.882118915194162</v>
      </c>
      <c r="AK85" s="352">
        <f>E85*('Assumptions-Output Override'!$D$10/'Winners-Losers HRA'!$H$107)*(1+'Assumptions-Output Override'!$F$37)</f>
        <v>393.78165642278617</v>
      </c>
      <c r="AL85" s="352">
        <f>F85*('Assumptions-Output Override'!$D$10/'Winners-Losers HRA'!$H$107)*(1+'Assumptions-Output Override'!$F$38)</f>
        <v>64.978393164332616</v>
      </c>
      <c r="AM85" s="352">
        <f>G85*('Shoppable Detail'!$X$21/'Shoppable Detail'!$H$21)*('Assumptions-Output Override'!$D$10/'Winners-Losers HRA'!$H$107)*(1+'Assumptions-Output Override'!$F$39)</f>
        <v>0.1159769994269025</v>
      </c>
      <c r="AN85" s="352">
        <f t="shared" si="49"/>
        <v>518.75814550173993</v>
      </c>
      <c r="AO85" s="352">
        <v>0</v>
      </c>
      <c r="AP85" s="352">
        <f>U85*'Assumptions-Output Override'!$D$10/'Winners-Losers HRA'!$H$107*(1+'Assumptions-Output Override'!$F$37)</f>
        <v>135.51216557383421</v>
      </c>
      <c r="AQ85" s="352">
        <f>AH85*'Assumptions-Output Override'!$D$10/'Winners-Losers HRA'!$H$107*(1+'Assumptions-Output Override'!$F$38)</f>
        <v>18.036770569282318</v>
      </c>
      <c r="AR85" s="352">
        <f>AM85*('Shoppable Detail'!$AA$23/'Shoppable Detail'!$Y$23)</f>
        <v>3.8751557265715615E-3</v>
      </c>
      <c r="AS85" s="352">
        <f t="shared" si="50"/>
        <v>153.5528112988431</v>
      </c>
      <c r="AT85" s="352">
        <f t="shared" si="51"/>
        <v>59.882118915194162</v>
      </c>
      <c r="AU85" s="352">
        <f t="shared" si="51"/>
        <v>258.26949084895193</v>
      </c>
      <c r="AV85" s="352">
        <f t="shared" si="51"/>
        <v>46.941622595050298</v>
      </c>
      <c r="AW85" s="352">
        <f t="shared" si="37"/>
        <v>0.11210184370033094</v>
      </c>
      <c r="AX85" s="352">
        <f t="shared" si="52"/>
        <v>365.20533420289672</v>
      </c>
      <c r="AY85" s="352">
        <f>AT85*'Assumptions-Output Override'!$D$24</f>
        <v>18.243442141596926</v>
      </c>
      <c r="AZ85" s="352">
        <f>$AU$107*'Assumptions-Output Override'!$D$21</f>
        <v>46.041131296780591</v>
      </c>
      <c r="BA85" s="352">
        <f>AV85*'Assumptions-Output Override'!$D$22</f>
        <v>7.0412433892575441</v>
      </c>
      <c r="BB85" s="352">
        <f>AW85*'Assumptions-Output Override'!$D$23</f>
        <v>1.6815276555049639E-2</v>
      </c>
      <c r="BC85" s="352">
        <f t="shared" si="53"/>
        <v>71.342632104190116</v>
      </c>
      <c r="BD85" s="352">
        <f t="shared" si="54"/>
        <v>18.243442141596926</v>
      </c>
      <c r="BE85" s="352">
        <f t="shared" si="54"/>
        <v>181.55329687061482</v>
      </c>
      <c r="BF85" s="352">
        <f t="shared" si="54"/>
        <v>25.078013958539863</v>
      </c>
      <c r="BG85" s="352">
        <f t="shared" si="38"/>
        <v>2.06904322816212E-2</v>
      </c>
      <c r="BH85" s="352">
        <f t="shared" si="55"/>
        <v>224.8954434030332</v>
      </c>
      <c r="BJ85" s="401">
        <f>D85*'Assumptions-Output Override'!$D$10/'Winners-Losers HRA'!$H$107</f>
        <v>84.759153432215498</v>
      </c>
      <c r="BK85" s="401">
        <f>E85*'Assumptions-Output Override'!$D$10/'Winners-Losers HRA'!$H$107</f>
        <v>404.23756654374063</v>
      </c>
      <c r="BL85" s="401">
        <f>F85*'Assumptions-Output Override'!$D$10/'Winners-Losers HRA'!$H$107</f>
        <v>65.350984453363736</v>
      </c>
      <c r="BM85" s="401">
        <f>G85*'Assumptions-Output Override'!$D$10/'Winners-Losers HRA'!$H$107</f>
        <v>0.11426496206765976</v>
      </c>
      <c r="BN85" s="401">
        <f t="shared" si="39"/>
        <v>554.46196939138747</v>
      </c>
      <c r="BO85" s="401">
        <f>BJ85*(1-'Assumptions-Output Override'!$D$11)</f>
        <v>12.079856111640987</v>
      </c>
      <c r="BP85" s="401">
        <f>BK85*(1-'Assumptions-Output Override'!$D$11)</f>
        <v>57.611850060223595</v>
      </c>
      <c r="BQ85" s="401">
        <f>BL85*(1-'Assumptions-Output Override'!$D$11)</f>
        <v>9.3138080901439508</v>
      </c>
      <c r="BR85" s="401">
        <f>BM85*(1-'Assumptions-Output Override'!$D$11)</f>
        <v>1.6285017540711013E-2</v>
      </c>
      <c r="BS85" s="352">
        <f t="shared" si="40"/>
        <v>79.021799279549242</v>
      </c>
      <c r="BT85" s="352">
        <f t="shared" si="56"/>
        <v>72.679297320574506</v>
      </c>
      <c r="BU85" s="352">
        <f t="shared" si="56"/>
        <v>346.62571648351701</v>
      </c>
      <c r="BV85" s="352">
        <f t="shared" si="56"/>
        <v>56.037176363219785</v>
      </c>
      <c r="BW85" s="352">
        <f t="shared" si="41"/>
        <v>9.7979944526948748E-2</v>
      </c>
      <c r="BX85" s="352">
        <f t="shared" si="42"/>
        <v>475.44017011183826</v>
      </c>
      <c r="BY85" s="352">
        <f>BT$107*(1-'Assumptions-Output Override'!$D$12)</f>
        <v>22.753074310428271</v>
      </c>
      <c r="BZ85" s="352">
        <f>BU$107*(1-'Assumptions-Output Override'!$D$12)</f>
        <v>51.446038369839215</v>
      </c>
      <c r="CA85" s="352">
        <f>BV$107*(1-'Assumptions-Output Override'!$D$12)</f>
        <v>9.7401900534537411</v>
      </c>
      <c r="CB85" s="352">
        <f>BW$107*(1-'Assumptions-Output Override'!$D$12)</f>
        <v>1.7000814189516649</v>
      </c>
      <c r="CC85" s="352">
        <f t="shared" si="43"/>
        <v>85.639384152672903</v>
      </c>
      <c r="CD85" s="352">
        <f t="shared" si="57"/>
        <v>34.832930422069261</v>
      </c>
      <c r="CE85" s="352">
        <f t="shared" si="57"/>
        <v>109.0578884300628</v>
      </c>
      <c r="CF85" s="352">
        <f t="shared" si="57"/>
        <v>19.053998143597692</v>
      </c>
      <c r="CG85" s="352">
        <f t="shared" si="44"/>
        <v>1.7163664364923759</v>
      </c>
      <c r="CH85" s="352">
        <f t="shared" si="45"/>
        <v>164.66118343222212</v>
      </c>
      <c r="CJ85" s="352">
        <f t="shared" si="58"/>
        <v>164.66118343222212</v>
      </c>
      <c r="CK85" s="352">
        <f t="shared" si="59"/>
        <v>153.5528112988431</v>
      </c>
      <c r="CL85" s="352">
        <f t="shared" si="60"/>
        <v>11.108372133379021</v>
      </c>
      <c r="CN85" s="352">
        <f>('HRA Balance Calc'!U97+'HRA Balance Calc'!V97+'HRA Balance Calc'!W97+'HRA Balance Calc'!X97)/12</f>
        <v>24.674995678919668</v>
      </c>
      <c r="CO85" s="352">
        <f>('HRA Balance Calc'!Q97+IF('HRA Balance Calc'!L97&lt;0,-'HRA Balance Calc'!L97,0))/12</f>
        <v>0</v>
      </c>
      <c r="CP85" s="352">
        <f>('HRA Balance Calc'!N97)/12</f>
        <v>135.51216557383421</v>
      </c>
      <c r="CQ85" s="352">
        <f>('HRA Balance Calc'!O97)/12</f>
        <v>18.036770569282318</v>
      </c>
      <c r="CR85" s="352">
        <f>('HRA Balance Calc'!P97)/12</f>
        <v>3.8751557265715615E-3</v>
      </c>
      <c r="CS85" s="352">
        <f t="shared" si="64"/>
        <v>153.5528112988431</v>
      </c>
      <c r="CU85" s="577">
        <f t="shared" si="61"/>
        <v>731.57266168503884</v>
      </c>
      <c r="CV85" s="352">
        <f t="shared" si="62"/>
        <v>60.964388473753232</v>
      </c>
      <c r="CW85" s="352">
        <f t="shared" si="66"/>
        <v>38.08897525595512</v>
      </c>
      <c r="CX85" s="352">
        <f t="shared" si="66"/>
        <v>181.65583357230554</v>
      </c>
      <c r="CY85" s="352">
        <f t="shared" si="66"/>
        <v>29.367353601368023</v>
      </c>
      <c r="CZ85" s="352">
        <f t="shared" si="65"/>
        <v>5.1348263126511265E-2</v>
      </c>
      <c r="DA85" s="352">
        <f t="shared" si="46"/>
        <v>249.16351069275518</v>
      </c>
      <c r="DC85" s="352">
        <f>('HRA Balance Calc'!Q97+'HRA Balance Calc'!X97+IF('HRA Balance Calc'!L97&lt;0,-'HRA Balance Calc'!L97,0))/12</f>
        <v>41.638676773597233</v>
      </c>
      <c r="DD85" s="352">
        <f>('HRA Balance Calc'!N97+'HRA Balance Calc'!U97)/12</f>
        <v>111.49042581334406</v>
      </c>
      <c r="DE85" s="352">
        <f>('HRA Balance Calc'!O97+'HRA Balance Calc'!V97)/12</f>
        <v>25.078013958539866</v>
      </c>
      <c r="DF85" s="352">
        <f>('HRA Balance Calc'!P97+'HRA Balance Calc'!W97)/12</f>
        <v>2.0690432281621204E-2</v>
      </c>
      <c r="DG85" s="352">
        <f t="shared" si="63"/>
        <v>178.22780697776275</v>
      </c>
      <c r="DI85" s="352">
        <f t="shared" si="32"/>
        <v>-6.8057463515279721</v>
      </c>
      <c r="DJ85" s="352">
        <f t="shared" si="32"/>
        <v>-2.4325373832812573</v>
      </c>
      <c r="DK85" s="352">
        <f t="shared" si="32"/>
        <v>-6.0240158149421745</v>
      </c>
      <c r="DL85" s="352">
        <f t="shared" si="32"/>
        <v>1.6956760042107546</v>
      </c>
      <c r="DM85" s="352">
        <f t="shared" si="32"/>
        <v>-13.566623545540637</v>
      </c>
    </row>
    <row r="86" spans="1:117" x14ac:dyDescent="0.2">
      <c r="A86">
        <v>81</v>
      </c>
      <c r="B86" s="397">
        <v>34308</v>
      </c>
      <c r="C86" s="398">
        <v>397997.79676138877</v>
      </c>
      <c r="D86" s="399">
        <v>53.718550435789851</v>
      </c>
      <c r="E86" s="399">
        <v>253.02458366515154</v>
      </c>
      <c r="F86" s="399">
        <v>43.098967478936061</v>
      </c>
      <c r="G86" s="399">
        <v>6.1167326926076453E-2</v>
      </c>
      <c r="H86" s="399">
        <v>349.90326890680353</v>
      </c>
      <c r="I86" s="400">
        <v>3.0218231650553859E-2</v>
      </c>
      <c r="J86" s="400">
        <v>0.13208842914282709</v>
      </c>
      <c r="K86" s="400">
        <v>3.7085632433410298E-3</v>
      </c>
      <c r="L86" s="400">
        <v>0.77497555716549071</v>
      </c>
      <c r="M86" s="400">
        <v>0.68535077887265394</v>
      </c>
      <c r="N86" s="400">
        <v>0.61750804150148186</v>
      </c>
      <c r="O86" s="399">
        <f t="shared" si="35"/>
        <v>7.5545579126384643</v>
      </c>
      <c r="P86" s="399">
        <f t="shared" si="35"/>
        <v>0</v>
      </c>
      <c r="Q86" s="399">
        <f t="shared" si="35"/>
        <v>3.7085632433410298</v>
      </c>
      <c r="R86" s="399">
        <f t="shared" si="33"/>
        <v>16.090403416878168</v>
      </c>
      <c r="S86" s="399">
        <f t="shared" si="33"/>
        <v>20.56052336617962</v>
      </c>
      <c r="T86" s="399">
        <f t="shared" si="33"/>
        <v>37.05048249008891</v>
      </c>
      <c r="U86" s="399">
        <f t="shared" si="47"/>
        <v>84.964530429126199</v>
      </c>
      <c r="V86" s="400">
        <v>3.619154387458232E-3</v>
      </c>
      <c r="W86" s="400">
        <v>2.12729301113928E-2</v>
      </c>
      <c r="X86" s="400">
        <v>7.2864724970792599E-5</v>
      </c>
      <c r="Y86" s="400">
        <v>0.16791495873053613</v>
      </c>
      <c r="Z86" s="400">
        <v>5.2769236842263055E-2</v>
      </c>
      <c r="AA86" s="400">
        <v>4.8839064331940886E-2</v>
      </c>
      <c r="AB86" s="352">
        <f t="shared" si="36"/>
        <v>0.90478859686455804</v>
      </c>
      <c r="AC86" s="352">
        <f t="shared" si="36"/>
        <v>0</v>
      </c>
      <c r="AD86" s="352">
        <f t="shared" si="36"/>
        <v>7.2864724970792605E-2</v>
      </c>
      <c r="AE86" s="352">
        <f t="shared" si="34"/>
        <v>5.9523226103227564</v>
      </c>
      <c r="AF86" s="352">
        <f t="shared" si="34"/>
        <v>1.5830771052678916</v>
      </c>
      <c r="AG86" s="352">
        <f t="shared" si="34"/>
        <v>2.9303438599164533</v>
      </c>
      <c r="AH86" s="400">
        <f t="shared" si="48"/>
        <v>11.443396897342451</v>
      </c>
      <c r="AJ86" s="352">
        <f>D86*('Assumptions-Output Override'!$D$10/'Winners-Losers HRA'!$H$107)*(1+'Assumptions-Output Override'!$F$41)</f>
        <v>64.119106175264264</v>
      </c>
      <c r="AK86" s="352">
        <f>E86*('Assumptions-Output Override'!$D$10/'Winners-Losers HRA'!$H$107)*(1+'Assumptions-Output Override'!$F$37)</f>
        <v>416.42246942287596</v>
      </c>
      <c r="AL86" s="352">
        <f>F86*('Assumptions-Output Override'!$D$10/'Winners-Losers HRA'!$H$107)*(1+'Assumptions-Output Override'!$F$38)</f>
        <v>72.399626364831306</v>
      </c>
      <c r="AM86" s="352">
        <f>G86*('Shoppable Detail'!$X$21/'Shoppable Detail'!$H$21)*('Assumptions-Output Override'!$D$10/'Winners-Losers HRA'!$H$107)*(1+'Assumptions-Output Override'!$F$39)</f>
        <v>0.10488923455828686</v>
      </c>
      <c r="AN86" s="352">
        <f t="shared" si="49"/>
        <v>553.04609119752979</v>
      </c>
      <c r="AO86" s="352">
        <v>0</v>
      </c>
      <c r="AP86" s="352">
        <f>U86*'Assumptions-Output Override'!$D$10/'Winners-Losers HRA'!$H$107*(1+'Assumptions-Output Override'!$F$37)</f>
        <v>139.83281411688685</v>
      </c>
      <c r="AQ86" s="352">
        <f>AH86*'Assumptions-Output Override'!$D$10/'Winners-Losers HRA'!$H$107*(1+'Assumptions-Output Override'!$F$38)</f>
        <v>19.223144037429165</v>
      </c>
      <c r="AR86" s="352">
        <f>AM86*('Shoppable Detail'!$AA$23/'Shoppable Detail'!$Y$23)</f>
        <v>3.5046786859702843E-3</v>
      </c>
      <c r="AS86" s="352">
        <f t="shared" si="50"/>
        <v>159.05946283300199</v>
      </c>
      <c r="AT86" s="352">
        <f t="shared" si="51"/>
        <v>64.119106175264264</v>
      </c>
      <c r="AU86" s="352">
        <f t="shared" si="51"/>
        <v>276.58965530598914</v>
      </c>
      <c r="AV86" s="352">
        <f t="shared" si="51"/>
        <v>53.176482327402141</v>
      </c>
      <c r="AW86" s="352">
        <f t="shared" si="37"/>
        <v>0.10138455587231658</v>
      </c>
      <c r="AX86" s="352">
        <f t="shared" si="52"/>
        <v>393.98662836452786</v>
      </c>
      <c r="AY86" s="352">
        <f>AT86*'Assumptions-Output Override'!$D$24</f>
        <v>19.534265401262161</v>
      </c>
      <c r="AZ86" s="352">
        <f>$AU$107*'Assumptions-Output Override'!$D$21</f>
        <v>46.041131296780591</v>
      </c>
      <c r="BA86" s="352">
        <f>AV86*'Assumptions-Output Override'!$D$22</f>
        <v>7.9764723491103204</v>
      </c>
      <c r="BB86" s="352">
        <f>AW86*'Assumptions-Output Override'!$D$23</f>
        <v>1.5207683380847487E-2</v>
      </c>
      <c r="BC86" s="352">
        <f t="shared" si="53"/>
        <v>73.567076730533927</v>
      </c>
      <c r="BD86" s="352">
        <f t="shared" si="54"/>
        <v>19.534265401262161</v>
      </c>
      <c r="BE86" s="352">
        <f t="shared" si="54"/>
        <v>185.87394541366746</v>
      </c>
      <c r="BF86" s="352">
        <f t="shared" si="54"/>
        <v>27.199616386539486</v>
      </c>
      <c r="BG86" s="352">
        <f t="shared" si="38"/>
        <v>1.871236206681777E-2</v>
      </c>
      <c r="BH86" s="352">
        <f t="shared" si="55"/>
        <v>232.62653956353591</v>
      </c>
      <c r="BJ86" s="401">
        <f>D86*'Assumptions-Output Override'!$D$10/'Winners-Losers HRA'!$H$107</f>
        <v>90.756326875179667</v>
      </c>
      <c r="BK86" s="401">
        <f>E86*'Assumptions-Output Override'!$D$10/'Winners-Losers HRA'!$H$107</f>
        <v>427.47955103552664</v>
      </c>
      <c r="BL86" s="401">
        <f>F86*'Assumptions-Output Override'!$D$10/'Winners-Losers HRA'!$H$107</f>
        <v>72.814771596945945</v>
      </c>
      <c r="BM86" s="401">
        <f>G86*'Assumptions-Output Override'!$D$10/'Winners-Losers HRA'!$H$107</f>
        <v>0.10334087333982524</v>
      </c>
      <c r="BN86" s="401">
        <f t="shared" si="39"/>
        <v>591.15399038099201</v>
      </c>
      <c r="BO86" s="401">
        <f>BJ86*(1-'Assumptions-Output Override'!$D$11)</f>
        <v>12.934571966318538</v>
      </c>
      <c r="BP86" s="401">
        <f>BK86*(1-'Assumptions-Output Override'!$D$11)</f>
        <v>60.924292634750941</v>
      </c>
      <c r="BQ86" s="401">
        <f>BL86*(1-'Assumptions-Output Override'!$D$11)</f>
        <v>10.37754541043814</v>
      </c>
      <c r="BR86" s="401">
        <f>BM86*(1-'Assumptions-Output Override'!$D$11)</f>
        <v>1.4728118791261209E-2</v>
      </c>
      <c r="BS86" s="352">
        <f t="shared" si="40"/>
        <v>84.251138130298898</v>
      </c>
      <c r="BT86" s="352">
        <f t="shared" si="56"/>
        <v>77.821754908861124</v>
      </c>
      <c r="BU86" s="352">
        <f t="shared" si="56"/>
        <v>366.5552584007757</v>
      </c>
      <c r="BV86" s="352">
        <f t="shared" si="56"/>
        <v>62.437226186507807</v>
      </c>
      <c r="BW86" s="352">
        <f t="shared" si="41"/>
        <v>8.8612754548564029E-2</v>
      </c>
      <c r="BX86" s="352">
        <f t="shared" si="42"/>
        <v>506.90285225069323</v>
      </c>
      <c r="BY86" s="352">
        <f>BT$107*(1-'Assumptions-Output Override'!$D$12)</f>
        <v>22.753074310428271</v>
      </c>
      <c r="BZ86" s="352">
        <f>BU$107*(1-'Assumptions-Output Override'!$D$12)</f>
        <v>51.446038369839215</v>
      </c>
      <c r="CA86" s="352">
        <f>BV$107*(1-'Assumptions-Output Override'!$D$12)</f>
        <v>9.7401900534537411</v>
      </c>
      <c r="CB86" s="352">
        <f>BW$107*(1-'Assumptions-Output Override'!$D$12)</f>
        <v>1.7000814189516649</v>
      </c>
      <c r="CC86" s="352">
        <f t="shared" si="43"/>
        <v>85.639384152672903</v>
      </c>
      <c r="CD86" s="352">
        <f t="shared" si="57"/>
        <v>35.687646276746811</v>
      </c>
      <c r="CE86" s="352">
        <f t="shared" si="57"/>
        <v>112.37033100459016</v>
      </c>
      <c r="CF86" s="352">
        <f t="shared" si="57"/>
        <v>20.117735463891883</v>
      </c>
      <c r="CG86" s="352">
        <f t="shared" si="44"/>
        <v>1.714809537742926</v>
      </c>
      <c r="CH86" s="352">
        <f t="shared" si="45"/>
        <v>169.89052228297177</v>
      </c>
      <c r="CJ86" s="352">
        <f t="shared" si="58"/>
        <v>169.89052228297177</v>
      </c>
      <c r="CK86" s="352">
        <f t="shared" si="59"/>
        <v>159.05946283300199</v>
      </c>
      <c r="CL86" s="352">
        <f t="shared" si="60"/>
        <v>10.831059449969786</v>
      </c>
      <c r="CN86" s="352">
        <f>('HRA Balance Calc'!U98+'HRA Balance Calc'!V98+'HRA Balance Calc'!W98+'HRA Balance Calc'!X98)/12</f>
        <v>28.554781046003104</v>
      </c>
      <c r="CO86" s="352">
        <f>('HRA Balance Calc'!Q98+IF('HRA Balance Calc'!L98&lt;0,-'HRA Balance Calc'!L98,0))/12</f>
        <v>0</v>
      </c>
      <c r="CP86" s="352">
        <f>('HRA Balance Calc'!N98)/12</f>
        <v>139.83281411688685</v>
      </c>
      <c r="CQ86" s="352">
        <f>('HRA Balance Calc'!O98)/12</f>
        <v>19.223144037429165</v>
      </c>
      <c r="CR86" s="352">
        <f>('HRA Balance Calc'!P98)/12</f>
        <v>3.5046786859702843E-3</v>
      </c>
      <c r="CS86" s="352">
        <f t="shared" si="64"/>
        <v>159.05946283300199</v>
      </c>
      <c r="CU86" s="577">
        <f t="shared" si="61"/>
        <v>685.01523728003758</v>
      </c>
      <c r="CV86" s="352">
        <f t="shared" si="62"/>
        <v>57.084603106669803</v>
      </c>
      <c r="CW86" s="352">
        <f t="shared" si="66"/>
        <v>40.783978469471315</v>
      </c>
      <c r="CX86" s="352">
        <f t="shared" si="66"/>
        <v>192.1002910304006</v>
      </c>
      <c r="CY86" s="352">
        <f t="shared" si="66"/>
        <v>32.721422068497922</v>
      </c>
      <c r="CZ86" s="352">
        <f t="shared" si="65"/>
        <v>4.6439208134815245E-2</v>
      </c>
      <c r="DA86" s="352">
        <f t="shared" si="46"/>
        <v>265.65213077650463</v>
      </c>
      <c r="DC86" s="352">
        <f>('HRA Balance Calc'!Q98+'HRA Balance Calc'!X98+IF('HRA Balance Calc'!L98&lt;0,-'HRA Balance Calc'!L98,0))/12</f>
        <v>44.584840774002096</v>
      </c>
      <c r="DD86" s="352">
        <f>('HRA Balance Calc'!N98+'HRA Balance Calc'!U98)/12</f>
        <v>115.81107435639667</v>
      </c>
      <c r="DE86" s="352">
        <f>('HRA Balance Calc'!O98+'HRA Balance Calc'!V98)/12</f>
        <v>27.199616386539486</v>
      </c>
      <c r="DF86" s="352">
        <f>('HRA Balance Calc'!P98+'HRA Balance Calc'!W98)/12</f>
        <v>1.8712362066817773E-2</v>
      </c>
      <c r="DG86" s="352">
        <f t="shared" si="63"/>
        <v>187.61424387900507</v>
      </c>
      <c r="DI86" s="352">
        <f t="shared" si="32"/>
        <v>-8.8971944972552848</v>
      </c>
      <c r="DJ86" s="352">
        <f t="shared" si="32"/>
        <v>-3.4407433518065176</v>
      </c>
      <c r="DK86" s="352">
        <f t="shared" si="32"/>
        <v>-7.0818809226476027</v>
      </c>
      <c r="DL86" s="352">
        <f t="shared" si="32"/>
        <v>1.6960971756761083</v>
      </c>
      <c r="DM86" s="352">
        <f t="shared" si="32"/>
        <v>-17.7237215960333</v>
      </c>
    </row>
    <row r="87" spans="1:117" x14ac:dyDescent="0.2">
      <c r="A87">
        <v>82</v>
      </c>
      <c r="B87" s="397">
        <v>34308</v>
      </c>
      <c r="C87" s="398">
        <v>397997.79676138877</v>
      </c>
      <c r="D87" s="399">
        <v>59.133326480505559</v>
      </c>
      <c r="E87" s="399">
        <v>267.97258047793736</v>
      </c>
      <c r="F87" s="399">
        <v>47.022008991849972</v>
      </c>
      <c r="G87" s="399">
        <v>3.2655591827310773E-2</v>
      </c>
      <c r="H87" s="399">
        <v>374.16057154212024</v>
      </c>
      <c r="I87" s="400">
        <v>3.1304850417279539E-2</v>
      </c>
      <c r="J87" s="400">
        <v>0.14528629358966161</v>
      </c>
      <c r="K87" s="400">
        <v>3.8517801165594842E-3</v>
      </c>
      <c r="L87" s="400">
        <v>0.79868876360220187</v>
      </c>
      <c r="M87" s="400">
        <v>0.69773330973111403</v>
      </c>
      <c r="N87" s="400">
        <v>0.64223164570248026</v>
      </c>
      <c r="O87" s="399">
        <f t="shared" si="35"/>
        <v>7.8262126043198847</v>
      </c>
      <c r="P87" s="399">
        <f t="shared" si="35"/>
        <v>0</v>
      </c>
      <c r="Q87" s="399">
        <f t="shared" si="35"/>
        <v>3.851780116559484</v>
      </c>
      <c r="R87" s="399">
        <f t="shared" si="33"/>
        <v>16.582748051939888</v>
      </c>
      <c r="S87" s="399">
        <f t="shared" si="33"/>
        <v>20.931999291933423</v>
      </c>
      <c r="T87" s="399">
        <f t="shared" si="33"/>
        <v>38.533898742148814</v>
      </c>
      <c r="U87" s="399">
        <f t="shared" si="47"/>
        <v>87.726638806901491</v>
      </c>
      <c r="V87" s="400">
        <v>3.5943231395168394E-3</v>
      </c>
      <c r="W87" s="400">
        <v>2.2112226291811928E-2</v>
      </c>
      <c r="X87" s="400">
        <v>8.0402455140184934E-5</v>
      </c>
      <c r="Y87" s="400">
        <v>0.1808245638203313</v>
      </c>
      <c r="Z87" s="400">
        <v>5.6553780405712566E-2</v>
      </c>
      <c r="AA87" s="400">
        <v>5.1314756428776358E-2</v>
      </c>
      <c r="AB87" s="352">
        <f t="shared" si="36"/>
        <v>0.89858078487920989</v>
      </c>
      <c r="AC87" s="352">
        <f t="shared" si="36"/>
        <v>0</v>
      </c>
      <c r="AD87" s="352">
        <f t="shared" si="36"/>
        <v>8.0402455140184931E-2</v>
      </c>
      <c r="AE87" s="352">
        <f t="shared" si="34"/>
        <v>6.4099479156991466</v>
      </c>
      <c r="AF87" s="352">
        <f t="shared" si="34"/>
        <v>1.696613412171377</v>
      </c>
      <c r="AG87" s="352">
        <f t="shared" si="34"/>
        <v>3.0788853857265814</v>
      </c>
      <c r="AH87" s="400">
        <f t="shared" si="48"/>
        <v>12.1644299536165</v>
      </c>
      <c r="AJ87" s="352">
        <f>D87*('Assumptions-Output Override'!$D$10/'Winners-Losers HRA'!$H$107)*(1+'Assumptions-Output Override'!$F$41)</f>
        <v>70.582247814601757</v>
      </c>
      <c r="AK87" s="352">
        <f>E87*('Assumptions-Output Override'!$D$10/'Winners-Losers HRA'!$H$107)*(1+'Assumptions-Output Override'!$F$37)</f>
        <v>441.02356412892715</v>
      </c>
      <c r="AL87" s="352">
        <f>F87*('Assumptions-Output Override'!$D$10/'Winners-Losers HRA'!$H$107)*(1+'Assumptions-Output Override'!$F$38)</f>
        <v>78.989731798041589</v>
      </c>
      <c r="AM87" s="352">
        <f>G87*('Shoppable Detail'!$X$21/'Shoppable Detail'!$H$21)*('Assumptions-Output Override'!$D$10/'Winners-Losers HRA'!$H$107)*(1+'Assumptions-Output Override'!$F$39)</f>
        <v>5.5997543181084443E-2</v>
      </c>
      <c r="AN87" s="352">
        <f t="shared" si="49"/>
        <v>590.6515412847516</v>
      </c>
      <c r="AO87" s="352">
        <v>0</v>
      </c>
      <c r="AP87" s="352">
        <f>U87*'Assumptions-Output Override'!$D$10/'Winners-Losers HRA'!$H$107*(1+'Assumptions-Output Override'!$F$37)</f>
        <v>144.37863324175481</v>
      </c>
      <c r="AQ87" s="352">
        <f>AH87*'Assumptions-Output Override'!$D$10/'Winners-Losers HRA'!$H$107*(1+'Assumptions-Output Override'!$F$38)</f>
        <v>20.434368503454866</v>
      </c>
      <c r="AR87" s="352">
        <f>AM87*('Shoppable Detail'!$AA$23/'Shoppable Detail'!$Y$23)</f>
        <v>1.8710537537995802E-3</v>
      </c>
      <c r="AS87" s="352">
        <f t="shared" si="50"/>
        <v>164.81487279896348</v>
      </c>
      <c r="AT87" s="352">
        <f t="shared" si="51"/>
        <v>70.582247814601757</v>
      </c>
      <c r="AU87" s="352">
        <f t="shared" si="51"/>
        <v>296.64493088717234</v>
      </c>
      <c r="AV87" s="352">
        <f t="shared" si="51"/>
        <v>58.555363294586726</v>
      </c>
      <c r="AW87" s="352">
        <f t="shared" si="37"/>
        <v>5.412648942728486E-2</v>
      </c>
      <c r="AX87" s="352">
        <f t="shared" si="52"/>
        <v>425.8366684857881</v>
      </c>
      <c r="AY87" s="352">
        <f>AT87*'Assumptions-Output Override'!$D$24</f>
        <v>21.503299775566536</v>
      </c>
      <c r="AZ87" s="352">
        <f>$AU$107*'Assumptions-Output Override'!$D$21</f>
        <v>46.041131296780591</v>
      </c>
      <c r="BA87" s="352">
        <f>AV87*'Assumptions-Output Override'!$D$22</f>
        <v>8.783304494188009</v>
      </c>
      <c r="BB87" s="352">
        <f>AW87*'Assumptions-Output Override'!$D$23</f>
        <v>8.1189734140927287E-3</v>
      </c>
      <c r="BC87" s="352">
        <f t="shared" si="53"/>
        <v>76.335854539949224</v>
      </c>
      <c r="BD87" s="352">
        <f t="shared" si="54"/>
        <v>21.503299775566536</v>
      </c>
      <c r="BE87" s="352">
        <f t="shared" si="54"/>
        <v>190.41976453853539</v>
      </c>
      <c r="BF87" s="352">
        <f t="shared" si="54"/>
        <v>29.217672997642875</v>
      </c>
      <c r="BG87" s="352">
        <f t="shared" si="38"/>
        <v>9.9900271678923097E-3</v>
      </c>
      <c r="BH87" s="352">
        <f t="shared" si="55"/>
        <v>241.1507273389127</v>
      </c>
      <c r="BJ87" s="401">
        <f>D87*'Assumptions-Output Override'!$D$10/'Winners-Losers HRA'!$H$107</f>
        <v>99.904473664015967</v>
      </c>
      <c r="BK87" s="401">
        <f>E87*'Assumptions-Output Override'!$D$10/'Winners-Losers HRA'!$H$107</f>
        <v>452.73386772621836</v>
      </c>
      <c r="BL87" s="401">
        <f>F87*'Assumptions-Output Override'!$D$10/'Winners-Losers HRA'!$H$107</f>
        <v>79.442665220332017</v>
      </c>
      <c r="BM87" s="401">
        <f>G87*'Assumptions-Output Override'!$D$10/'Winners-Losers HRA'!$H$107</f>
        <v>5.5170914742466756E-2</v>
      </c>
      <c r="BN87" s="401">
        <f t="shared" si="39"/>
        <v>632.13617752530888</v>
      </c>
      <c r="BO87" s="401">
        <f>BJ87*(1-'Assumptions-Output Override'!$D$11)</f>
        <v>14.23836385689812</v>
      </c>
      <c r="BP87" s="401">
        <f>BK87*(1-'Assumptions-Output Override'!$D$11)</f>
        <v>64.52353235657452</v>
      </c>
      <c r="BQ87" s="401">
        <f>BL87*(1-'Assumptions-Output Override'!$D$11)</f>
        <v>11.322151368044786</v>
      </c>
      <c r="BR87" s="401">
        <f>BM87*(1-'Assumptions-Output Override'!$D$11)</f>
        <v>7.8629467691604168E-3</v>
      </c>
      <c r="BS87" s="352">
        <f t="shared" si="40"/>
        <v>90.09191052828659</v>
      </c>
      <c r="BT87" s="352">
        <f t="shared" si="56"/>
        <v>85.666109807117849</v>
      </c>
      <c r="BU87" s="352">
        <f t="shared" si="56"/>
        <v>388.21033536964387</v>
      </c>
      <c r="BV87" s="352">
        <f t="shared" si="56"/>
        <v>68.120513852287232</v>
      </c>
      <c r="BW87" s="352">
        <f t="shared" si="41"/>
        <v>4.7307967973306338E-2</v>
      </c>
      <c r="BX87" s="352">
        <f t="shared" si="42"/>
        <v>542.04426699702231</v>
      </c>
      <c r="BY87" s="352">
        <f>BT$107*(1-'Assumptions-Output Override'!$D$12)</f>
        <v>22.753074310428271</v>
      </c>
      <c r="BZ87" s="352">
        <f>BU$107*(1-'Assumptions-Output Override'!$D$12)</f>
        <v>51.446038369839215</v>
      </c>
      <c r="CA87" s="352">
        <f>BV$107*(1-'Assumptions-Output Override'!$D$12)</f>
        <v>9.7401900534537411</v>
      </c>
      <c r="CB87" s="352">
        <f>BW$107*(1-'Assumptions-Output Override'!$D$12)</f>
        <v>1.7000814189516649</v>
      </c>
      <c r="CC87" s="352">
        <f t="shared" si="43"/>
        <v>85.639384152672903</v>
      </c>
      <c r="CD87" s="352">
        <f t="shared" si="57"/>
        <v>36.991438167326393</v>
      </c>
      <c r="CE87" s="352">
        <f t="shared" si="57"/>
        <v>115.96957072641374</v>
      </c>
      <c r="CF87" s="352">
        <f t="shared" si="57"/>
        <v>21.062341421498527</v>
      </c>
      <c r="CG87" s="352">
        <f t="shared" si="44"/>
        <v>1.7079443657208253</v>
      </c>
      <c r="CH87" s="352">
        <f t="shared" si="45"/>
        <v>175.73129468095951</v>
      </c>
      <c r="CJ87" s="352">
        <f t="shared" si="58"/>
        <v>175.73129468095951</v>
      </c>
      <c r="CK87" s="352">
        <f t="shared" si="59"/>
        <v>164.81487279896348</v>
      </c>
      <c r="CL87" s="352">
        <f t="shared" si="60"/>
        <v>10.91642188199603</v>
      </c>
      <c r="CN87" s="352">
        <f>('HRA Balance Calc'!U99+'HRA Balance Calc'!V99+'HRA Balance Calc'!W99+'HRA Balance Calc'!X99)/12</f>
        <v>33.848631746147156</v>
      </c>
      <c r="CO87" s="352">
        <f>('HRA Balance Calc'!Q99+IF('HRA Balance Calc'!L99&lt;0,-'HRA Balance Calc'!L99,0))/12</f>
        <v>0</v>
      </c>
      <c r="CP87" s="352">
        <f>('HRA Balance Calc'!N99)/12</f>
        <v>144.37863324175481</v>
      </c>
      <c r="CQ87" s="352">
        <f>('HRA Balance Calc'!O99)/12</f>
        <v>20.434368503454866</v>
      </c>
      <c r="CR87" s="352">
        <f>('HRA Balance Calc'!P99)/12</f>
        <v>1.8710537537995802E-3</v>
      </c>
      <c r="CS87" s="352">
        <f t="shared" si="64"/>
        <v>164.81487279896348</v>
      </c>
      <c r="CU87" s="577">
        <f t="shared" si="61"/>
        <v>621.489028878309</v>
      </c>
      <c r="CV87" s="352">
        <f t="shared" si="62"/>
        <v>51.790752406525748</v>
      </c>
      <c r="CW87" s="352">
        <f t="shared" si="66"/>
        <v>44.894962623607441</v>
      </c>
      <c r="CX87" s="352">
        <f t="shared" si="66"/>
        <v>203.44904812136284</v>
      </c>
      <c r="CY87" s="352">
        <f t="shared" si="66"/>
        <v>35.699857623805187</v>
      </c>
      <c r="CZ87" s="352">
        <f t="shared" si="65"/>
        <v>2.4792645058150355E-2</v>
      </c>
      <c r="DA87" s="352">
        <f t="shared" si="46"/>
        <v>284.06866101383361</v>
      </c>
      <c r="DC87" s="352">
        <f>('HRA Balance Calc'!Q99+'HRA Balance Calc'!X99+IF('HRA Balance Calc'!L99&lt;0,-'HRA Balance Calc'!L99,0))/12</f>
        <v>49.078948039035218</v>
      </c>
      <c r="DD87" s="352">
        <f>('HRA Balance Calc'!N99+'HRA Balance Calc'!U99)/12</f>
        <v>120.35689348126465</v>
      </c>
      <c r="DE87" s="352">
        <f>('HRA Balance Calc'!O99+'HRA Balance Calc'!V99)/12</f>
        <v>29.217672997642879</v>
      </c>
      <c r="DF87" s="352">
        <f>('HRA Balance Calc'!P99+'HRA Balance Calc'!W99)/12</f>
        <v>9.9900271678923097E-3</v>
      </c>
      <c r="DG87" s="352">
        <f t="shared" si="63"/>
        <v>198.66350454511067</v>
      </c>
      <c r="DI87" s="352">
        <f t="shared" si="32"/>
        <v>-12.087509871708825</v>
      </c>
      <c r="DJ87" s="352">
        <f t="shared" si="32"/>
        <v>-4.3873227548509135</v>
      </c>
      <c r="DK87" s="352">
        <f t="shared" si="32"/>
        <v>-8.1553315761443521</v>
      </c>
      <c r="DL87" s="352">
        <f t="shared" si="32"/>
        <v>1.697954338552933</v>
      </c>
      <c r="DM87" s="352">
        <f t="shared" si="32"/>
        <v>-22.932209864151162</v>
      </c>
    </row>
    <row r="88" spans="1:117" x14ac:dyDescent="0.2">
      <c r="A88">
        <v>83</v>
      </c>
      <c r="B88" s="397">
        <v>34308</v>
      </c>
      <c r="C88" s="398">
        <v>397997.79676138877</v>
      </c>
      <c r="D88" s="399">
        <v>63.658850733227588</v>
      </c>
      <c r="E88" s="399">
        <v>287.72551821633709</v>
      </c>
      <c r="F88" s="399">
        <v>49.569764442951687</v>
      </c>
      <c r="G88" s="399">
        <v>2.3468492564058932E-2</v>
      </c>
      <c r="H88" s="399">
        <v>400.97760188508045</v>
      </c>
      <c r="I88" s="400">
        <v>3.3380778807442064E-2</v>
      </c>
      <c r="J88" s="400">
        <v>0.1508977875193229</v>
      </c>
      <c r="K88" s="400">
        <v>3.8794184605139229E-3</v>
      </c>
      <c r="L88" s="400">
        <v>0.83278061405853665</v>
      </c>
      <c r="M88" s="400">
        <v>0.723332496668594</v>
      </c>
      <c r="N88" s="400">
        <v>0.68065612976857559</v>
      </c>
      <c r="O88" s="399">
        <f t="shared" si="35"/>
        <v>8.3451947018605157</v>
      </c>
      <c r="P88" s="399">
        <f t="shared" si="35"/>
        <v>0</v>
      </c>
      <c r="Q88" s="399">
        <f t="shared" si="35"/>
        <v>3.8794184605139228</v>
      </c>
      <c r="R88" s="399">
        <f t="shared" si="33"/>
        <v>17.290578927376348</v>
      </c>
      <c r="S88" s="399">
        <f t="shared" si="33"/>
        <v>21.699974900057821</v>
      </c>
      <c r="T88" s="399">
        <f t="shared" si="33"/>
        <v>40.839367786114536</v>
      </c>
      <c r="U88" s="399">
        <f t="shared" si="47"/>
        <v>92.054534775923145</v>
      </c>
      <c r="V88" s="400">
        <v>3.9196124875491047E-3</v>
      </c>
      <c r="W88" s="400">
        <v>2.184901506363323E-2</v>
      </c>
      <c r="X88" s="400">
        <v>1.0050306892523116E-4</v>
      </c>
      <c r="Y88" s="400">
        <v>0.18066415511027989</v>
      </c>
      <c r="Z88" s="400">
        <v>5.6855892630901558E-2</v>
      </c>
      <c r="AA88" s="400">
        <v>5.3259490812480076E-2</v>
      </c>
      <c r="AB88" s="352">
        <f t="shared" si="36"/>
        <v>0.97990312188727613</v>
      </c>
      <c r="AC88" s="352">
        <f t="shared" si="36"/>
        <v>0</v>
      </c>
      <c r="AD88" s="352">
        <f t="shared" si="36"/>
        <v>0.10050306892523116</v>
      </c>
      <c r="AE88" s="352">
        <f t="shared" si="34"/>
        <v>6.4042616778621468</v>
      </c>
      <c r="AF88" s="352">
        <f t="shared" si="34"/>
        <v>1.7056767789270468</v>
      </c>
      <c r="AG88" s="352">
        <f t="shared" si="34"/>
        <v>3.1955694487488047</v>
      </c>
      <c r="AH88" s="400">
        <f t="shared" si="48"/>
        <v>12.385914096350506</v>
      </c>
      <c r="AJ88" s="352">
        <f>D88*('Assumptions-Output Override'!$D$10/'Winners-Losers HRA'!$H$107)*(1+'Assumptions-Output Override'!$F$41)</f>
        <v>75.983967848091154</v>
      </c>
      <c r="AK88" s="352">
        <f>E88*('Assumptions-Output Override'!$D$10/'Winners-Losers HRA'!$H$107)*(1+'Assumptions-Output Override'!$F$37)</f>
        <v>473.53252824707897</v>
      </c>
      <c r="AL88" s="352">
        <f>F88*('Assumptions-Output Override'!$D$10/'Winners-Losers HRA'!$H$107)*(1+'Assumptions-Output Override'!$F$38)</f>
        <v>83.269568497583791</v>
      </c>
      <c r="AM88" s="352">
        <f>G88*('Shoppable Detail'!$X$21/'Shoppable Detail'!$H$21)*('Assumptions-Output Override'!$D$10/'Winners-Losers HRA'!$H$107)*(1+'Assumptions-Output Override'!$F$39)</f>
        <v>4.024358011027581E-2</v>
      </c>
      <c r="AN88" s="352">
        <f t="shared" si="49"/>
        <v>632.82630817286429</v>
      </c>
      <c r="AO88" s="352">
        <v>0</v>
      </c>
      <c r="AP88" s="352">
        <f>U88*'Assumptions-Output Override'!$D$10/'Winners-Losers HRA'!$H$107*(1+'Assumptions-Output Override'!$F$37)</f>
        <v>151.50139222714398</v>
      </c>
      <c r="AQ88" s="352">
        <f>AH88*'Assumptions-Output Override'!$D$10/'Winners-Losers HRA'!$H$107*(1+'Assumptions-Output Override'!$F$38)</f>
        <v>20.806427745651657</v>
      </c>
      <c r="AR88" s="352">
        <f>AM88*('Shoppable Detail'!$AA$23/'Shoppable Detail'!$Y$23)</f>
        <v>1.3446643790812015E-3</v>
      </c>
      <c r="AS88" s="352">
        <f t="shared" si="50"/>
        <v>172.30916463717472</v>
      </c>
      <c r="AT88" s="352">
        <f t="shared" si="51"/>
        <v>75.983967848091154</v>
      </c>
      <c r="AU88" s="352">
        <f t="shared" si="51"/>
        <v>322.03113601993499</v>
      </c>
      <c r="AV88" s="352">
        <f t="shared" si="51"/>
        <v>62.46314075193213</v>
      </c>
      <c r="AW88" s="352">
        <f t="shared" si="37"/>
        <v>3.8898915731194611E-2</v>
      </c>
      <c r="AX88" s="352">
        <f t="shared" si="52"/>
        <v>460.51714353568946</v>
      </c>
      <c r="AY88" s="352">
        <f>AT88*'Assumptions-Output Override'!$D$24</f>
        <v>23.148965772049237</v>
      </c>
      <c r="AZ88" s="352">
        <f>$AU$107*'Assumptions-Output Override'!$D$21</f>
        <v>46.041131296780591</v>
      </c>
      <c r="BA88" s="352">
        <f>AV88*'Assumptions-Output Override'!$D$22</f>
        <v>9.3694711127898191</v>
      </c>
      <c r="BB88" s="352">
        <f>AW88*'Assumptions-Output Override'!$D$23</f>
        <v>5.8348373596791916E-3</v>
      </c>
      <c r="BC88" s="352">
        <f t="shared" si="53"/>
        <v>78.565403018979339</v>
      </c>
      <c r="BD88" s="352">
        <f t="shared" si="54"/>
        <v>23.148965772049237</v>
      </c>
      <c r="BE88" s="352">
        <f t="shared" si="54"/>
        <v>197.54252352392456</v>
      </c>
      <c r="BF88" s="352">
        <f t="shared" si="54"/>
        <v>30.175898858441478</v>
      </c>
      <c r="BG88" s="352">
        <f t="shared" si="38"/>
        <v>7.1795017387603927E-3</v>
      </c>
      <c r="BH88" s="352">
        <f t="shared" si="55"/>
        <v>250.87456765615403</v>
      </c>
      <c r="BJ88" s="401">
        <f>D88*'Assumptions-Output Override'!$D$10/'Winners-Losers HRA'!$H$107</f>
        <v>107.55024882044967</v>
      </c>
      <c r="BK88" s="401">
        <f>E88*'Assumptions-Output Override'!$D$10/'Winners-Losers HRA'!$H$107</f>
        <v>486.10602798720885</v>
      </c>
      <c r="BL88" s="401">
        <f>F88*'Assumptions-Output Override'!$D$10/'Winners-Losers HRA'!$H$107</f>
        <v>83.747042844865874</v>
      </c>
      <c r="BM88" s="401">
        <f>G88*'Assumptions-Output Override'!$D$10/'Winners-Losers HRA'!$H$107</f>
        <v>3.9649509622515906E-2</v>
      </c>
      <c r="BN88" s="401">
        <f t="shared" si="39"/>
        <v>677.44296916214694</v>
      </c>
      <c r="BO88" s="401">
        <f>BJ88*(1-'Assumptions-Output Override'!$D$11)</f>
        <v>15.328038069200646</v>
      </c>
      <c r="BP88" s="401">
        <f>BK88*(1-'Assumptions-Output Override'!$D$11)</f>
        <v>69.279725378367559</v>
      </c>
      <c r="BQ88" s="401">
        <f>BL88*(1-'Assumptions-Output Override'!$D$11)</f>
        <v>11.935610330870778</v>
      </c>
      <c r="BR88" s="401">
        <f>BM88*(1-'Assumptions-Output Override'!$D$11)</f>
        <v>5.6508394874443413E-3</v>
      </c>
      <c r="BS88" s="352">
        <f t="shared" si="40"/>
        <v>96.54902461792642</v>
      </c>
      <c r="BT88" s="352">
        <f t="shared" si="56"/>
        <v>92.222210751249023</v>
      </c>
      <c r="BU88" s="352">
        <f t="shared" si="56"/>
        <v>416.82630260884127</v>
      </c>
      <c r="BV88" s="352">
        <f t="shared" si="56"/>
        <v>71.811432513995101</v>
      </c>
      <c r="BW88" s="352">
        <f t="shared" si="41"/>
        <v>3.3998670135071567E-2</v>
      </c>
      <c r="BX88" s="352">
        <f t="shared" si="42"/>
        <v>580.8939445442204</v>
      </c>
      <c r="BY88" s="352">
        <f>BT$107*(1-'Assumptions-Output Override'!$D$12)</f>
        <v>22.753074310428271</v>
      </c>
      <c r="BZ88" s="352">
        <f>BU$107*(1-'Assumptions-Output Override'!$D$12)</f>
        <v>51.446038369839215</v>
      </c>
      <c r="CA88" s="352">
        <f>BV$107*(1-'Assumptions-Output Override'!$D$12)</f>
        <v>9.7401900534537411</v>
      </c>
      <c r="CB88" s="352">
        <f>BW$107*(1-'Assumptions-Output Override'!$D$12)</f>
        <v>1.7000814189516649</v>
      </c>
      <c r="CC88" s="352">
        <f t="shared" si="43"/>
        <v>85.639384152672903</v>
      </c>
      <c r="CD88" s="352">
        <f t="shared" si="57"/>
        <v>38.081112379628919</v>
      </c>
      <c r="CE88" s="352">
        <f t="shared" si="57"/>
        <v>120.72576374820677</v>
      </c>
      <c r="CF88" s="352">
        <f t="shared" si="57"/>
        <v>21.675800384324518</v>
      </c>
      <c r="CG88" s="352">
        <f t="shared" si="44"/>
        <v>1.7057322584391093</v>
      </c>
      <c r="CH88" s="352">
        <f t="shared" si="45"/>
        <v>182.1884087705993</v>
      </c>
      <c r="CJ88" s="352">
        <f t="shared" si="58"/>
        <v>182.1884087705993</v>
      </c>
      <c r="CK88" s="352">
        <f t="shared" si="59"/>
        <v>172.30916463717472</v>
      </c>
      <c r="CL88" s="352">
        <f t="shared" si="60"/>
        <v>9.879244133424578</v>
      </c>
      <c r="CN88" s="352">
        <f>('HRA Balance Calc'!U100+'HRA Balance Calc'!V100+'HRA Balance Calc'!W100+'HRA Balance Calc'!X100)/12</f>
        <v>38.188568265701257</v>
      </c>
      <c r="CO88" s="352">
        <f>('HRA Balance Calc'!Q100+IF('HRA Balance Calc'!L100&lt;0,-'HRA Balance Calc'!L100,0))/12</f>
        <v>0</v>
      </c>
      <c r="CP88" s="352">
        <f>('HRA Balance Calc'!N100)/12</f>
        <v>151.50139222714398</v>
      </c>
      <c r="CQ88" s="352">
        <f>('HRA Balance Calc'!O100)/12</f>
        <v>20.806427745651657</v>
      </c>
      <c r="CR88" s="352">
        <f>('HRA Balance Calc'!P100)/12</f>
        <v>1.3446643790812017E-3</v>
      </c>
      <c r="CS88" s="352">
        <f t="shared" si="64"/>
        <v>172.30916463717472</v>
      </c>
      <c r="CU88" s="577">
        <f t="shared" si="61"/>
        <v>569.40979064365979</v>
      </c>
      <c r="CV88" s="352">
        <f t="shared" si="62"/>
        <v>47.450815886971647</v>
      </c>
      <c r="CW88" s="352">
        <f t="shared" si="66"/>
        <v>48.330812664026944</v>
      </c>
      <c r="CX88" s="352">
        <f t="shared" si="66"/>
        <v>218.44579283796952</v>
      </c>
      <c r="CY88" s="352">
        <f t="shared" si="66"/>
        <v>37.634154112080907</v>
      </c>
      <c r="CZ88" s="352">
        <f t="shared" si="65"/>
        <v>1.7817653076614592E-2</v>
      </c>
      <c r="DA88" s="352">
        <f t="shared" si="46"/>
        <v>304.42857726715403</v>
      </c>
      <c r="DC88" s="352">
        <f>('HRA Balance Calc'!Q100+'HRA Balance Calc'!X100+IF('HRA Balance Calc'!L100&lt;0,-'HRA Balance Calc'!L100,0))/12</f>
        <v>52.835002076041917</v>
      </c>
      <c r="DD88" s="352">
        <f>('HRA Balance Calc'!N100+'HRA Balance Calc'!U100)/12</f>
        <v>127.47965246665382</v>
      </c>
      <c r="DE88" s="352">
        <f>('HRA Balance Calc'!O100+'HRA Balance Calc'!V100)/12</f>
        <v>30.175898858441474</v>
      </c>
      <c r="DF88" s="352">
        <f>('HRA Balance Calc'!P100+'HRA Balance Calc'!W100)/12</f>
        <v>7.1795017387603945E-3</v>
      </c>
      <c r="DG88" s="352">
        <f t="shared" si="63"/>
        <v>210.49773290287598</v>
      </c>
      <c r="DI88" s="352">
        <f t="shared" si="32"/>
        <v>-14.753889696412998</v>
      </c>
      <c r="DJ88" s="352">
        <f t="shared" si="32"/>
        <v>-6.753888718447044</v>
      </c>
      <c r="DK88" s="352">
        <f t="shared" si="32"/>
        <v>-8.5000984741169567</v>
      </c>
      <c r="DL88" s="352">
        <f t="shared" si="32"/>
        <v>1.6985527567003489</v>
      </c>
      <c r="DM88" s="352">
        <f t="shared" si="32"/>
        <v>-28.309324132276686</v>
      </c>
    </row>
    <row r="89" spans="1:117" x14ac:dyDescent="0.2">
      <c r="A89">
        <v>84</v>
      </c>
      <c r="B89" s="397">
        <v>34308</v>
      </c>
      <c r="C89" s="398">
        <v>397997.79676138877</v>
      </c>
      <c r="D89" s="399">
        <v>70.30243709564364</v>
      </c>
      <c r="E89" s="399">
        <v>304.59198313595203</v>
      </c>
      <c r="F89" s="399">
        <v>55.836175291614083</v>
      </c>
      <c r="G89" s="399">
        <v>0.15130769803859193</v>
      </c>
      <c r="H89" s="399">
        <v>430.88190322124836</v>
      </c>
      <c r="I89" s="400">
        <v>3.480174181008365E-2</v>
      </c>
      <c r="J89" s="400">
        <v>0.16274829459754112</v>
      </c>
      <c r="K89" s="400">
        <v>3.9070568044683616E-3</v>
      </c>
      <c r="L89" s="400">
        <v>0.85347010580419258</v>
      </c>
      <c r="M89" s="400">
        <v>0.73520427093078111</v>
      </c>
      <c r="N89" s="400">
        <v>0.69582792229891499</v>
      </c>
      <c r="O89" s="399">
        <f t="shared" si="35"/>
        <v>8.700435452520912</v>
      </c>
      <c r="P89" s="399">
        <f t="shared" si="35"/>
        <v>0</v>
      </c>
      <c r="Q89" s="399">
        <f t="shared" si="35"/>
        <v>3.9070568044683616</v>
      </c>
      <c r="R89" s="399">
        <f t="shared" si="33"/>
        <v>17.720143789906182</v>
      </c>
      <c r="S89" s="399">
        <f t="shared" si="33"/>
        <v>22.056128127923433</v>
      </c>
      <c r="T89" s="399">
        <f t="shared" si="33"/>
        <v>41.749675337934903</v>
      </c>
      <c r="U89" s="399">
        <f t="shared" si="47"/>
        <v>94.133439512753796</v>
      </c>
      <c r="V89" s="400">
        <v>4.5490846228634337E-3</v>
      </c>
      <c r="W89" s="400">
        <v>2.4560587338833467E-2</v>
      </c>
      <c r="X89" s="400">
        <v>1.4824202666471596E-4</v>
      </c>
      <c r="Y89" s="400">
        <v>0.19646331436059974</v>
      </c>
      <c r="Z89" s="400">
        <v>6.0235207820444031E-2</v>
      </c>
      <c r="AA89" s="400">
        <v>5.6647851278225074E-2</v>
      </c>
      <c r="AB89" s="352">
        <f t="shared" si="36"/>
        <v>1.1372711557158584</v>
      </c>
      <c r="AC89" s="352">
        <f t="shared" si="36"/>
        <v>0</v>
      </c>
      <c r="AD89" s="352">
        <f t="shared" si="36"/>
        <v>0.14824202666471598</v>
      </c>
      <c r="AE89" s="352">
        <f t="shared" si="34"/>
        <v>6.9643171579738601</v>
      </c>
      <c r="AF89" s="352">
        <f t="shared" si="34"/>
        <v>1.807056234613321</v>
      </c>
      <c r="AG89" s="352">
        <f t="shared" si="34"/>
        <v>3.3988710766935046</v>
      </c>
      <c r="AH89" s="400">
        <f t="shared" si="48"/>
        <v>13.45575765166126</v>
      </c>
      <c r="AJ89" s="352">
        <f>D89*('Assumptions-Output Override'!$D$10/'Winners-Losers HRA'!$H$107)*(1+'Assumptions-Output Override'!$F$41)</f>
        <v>83.913832222698034</v>
      </c>
      <c r="AK89" s="352">
        <f>E89*('Assumptions-Output Override'!$D$10/'Winners-Losers HRA'!$H$107)*(1+'Assumptions-Output Override'!$F$37)</f>
        <v>501.29099689277888</v>
      </c>
      <c r="AL89" s="352">
        <f>F89*('Assumptions-Output Override'!$D$10/'Winners-Losers HRA'!$H$107)*(1+'Assumptions-Output Override'!$F$38)</f>
        <v>93.796173440345228</v>
      </c>
      <c r="AM89" s="352">
        <f>G89*('Shoppable Detail'!$X$21/'Shoppable Detail'!$H$21)*('Assumptions-Output Override'!$D$10/'Winners-Losers HRA'!$H$107)*(1+'Assumptions-Output Override'!$F$39)</f>
        <v>0.25946120956412894</v>
      </c>
      <c r="AN89" s="352">
        <f t="shared" si="49"/>
        <v>679.26046376538636</v>
      </c>
      <c r="AO89" s="352">
        <v>0</v>
      </c>
      <c r="AP89" s="352">
        <f>U89*'Assumptions-Output Override'!$D$10/'Winners-Losers HRA'!$H$107*(1+'Assumptions-Output Override'!$F$37)</f>
        <v>154.92280935454687</v>
      </c>
      <c r="AQ89" s="352">
        <f>AH89*'Assumptions-Output Override'!$D$10/'Winners-Losers HRA'!$H$107*(1+'Assumptions-Output Override'!$F$38)</f>
        <v>22.603600119007858</v>
      </c>
      <c r="AR89" s="352">
        <f>AM89*('Shoppable Detail'!$AA$23/'Shoppable Detail'!$Y$23)</f>
        <v>8.6694137375000011E-3</v>
      </c>
      <c r="AS89" s="352">
        <f t="shared" si="50"/>
        <v>177.53507888729223</v>
      </c>
      <c r="AT89" s="352">
        <f t="shared" si="51"/>
        <v>83.913832222698034</v>
      </c>
      <c r="AU89" s="352">
        <f t="shared" si="51"/>
        <v>346.36818753823201</v>
      </c>
      <c r="AV89" s="352">
        <f t="shared" si="51"/>
        <v>71.192573321337363</v>
      </c>
      <c r="AW89" s="352">
        <f t="shared" si="37"/>
        <v>0.25079179582662892</v>
      </c>
      <c r="AX89" s="352">
        <f t="shared" si="52"/>
        <v>501.72538487809402</v>
      </c>
      <c r="AY89" s="352">
        <f>AT89*'Assumptions-Output Override'!$D$24</f>
        <v>25.564845913393803</v>
      </c>
      <c r="AZ89" s="352">
        <f>$AU$107*'Assumptions-Output Override'!$D$21</f>
        <v>46.041131296780591</v>
      </c>
      <c r="BA89" s="352">
        <f>AV89*'Assumptions-Output Override'!$D$22</f>
        <v>10.678885998200604</v>
      </c>
      <c r="BB89" s="352">
        <f>AW89*'Assumptions-Output Override'!$D$23</f>
        <v>3.7618769373994339E-2</v>
      </c>
      <c r="BC89" s="352">
        <f t="shared" si="53"/>
        <v>82.322481977748978</v>
      </c>
      <c r="BD89" s="352">
        <f t="shared" si="54"/>
        <v>25.564845913393803</v>
      </c>
      <c r="BE89" s="352">
        <f t="shared" si="54"/>
        <v>200.96394065132745</v>
      </c>
      <c r="BF89" s="352">
        <f t="shared" si="54"/>
        <v>33.282486117208464</v>
      </c>
      <c r="BG89" s="352">
        <f t="shared" si="38"/>
        <v>4.6288183111494338E-2</v>
      </c>
      <c r="BH89" s="352">
        <f t="shared" si="55"/>
        <v>259.85756086504119</v>
      </c>
      <c r="BJ89" s="401">
        <f>D89*'Assumptions-Output Override'!$D$10/'Winners-Losers HRA'!$H$107</f>
        <v>118.77444401260446</v>
      </c>
      <c r="BK89" s="401">
        <f>E89*'Assumptions-Output Override'!$D$10/'Winners-Losers HRA'!$H$107</f>
        <v>514.60155497100232</v>
      </c>
      <c r="BL89" s="401">
        <f>F89*'Assumptions-Output Override'!$D$10/'Winners-Losers HRA'!$H$107</f>
        <v>94.334008179963064</v>
      </c>
      <c r="BM89" s="401">
        <f>G89*'Assumptions-Output Override'!$D$10/'Winners-Losers HRA'!$H$107</f>
        <v>0.25563107698402138</v>
      </c>
      <c r="BN89" s="401">
        <f t="shared" si="39"/>
        <v>727.96563824055386</v>
      </c>
      <c r="BO89" s="401">
        <f>BJ89*(1-'Assumptions-Output Override'!$D$11)</f>
        <v>16.927707926670795</v>
      </c>
      <c r="BP89" s="401">
        <f>BK89*(1-'Assumptions-Output Override'!$D$11)</f>
        <v>73.340901686185362</v>
      </c>
      <c r="BQ89" s="401">
        <f>BL89*(1-'Assumptions-Output Override'!$D$11)</f>
        <v>13.444462327713595</v>
      </c>
      <c r="BR89" s="401">
        <f>BM89*(1-'Assumptions-Output Override'!$D$11)</f>
        <v>3.6432485490789576E-2</v>
      </c>
      <c r="BS89" s="352">
        <f t="shared" si="40"/>
        <v>103.74950442606054</v>
      </c>
      <c r="BT89" s="352">
        <f t="shared" si="56"/>
        <v>101.84673608593367</v>
      </c>
      <c r="BU89" s="352">
        <f t="shared" si="56"/>
        <v>441.26065328481695</v>
      </c>
      <c r="BV89" s="352">
        <f t="shared" si="56"/>
        <v>80.889545852249469</v>
      </c>
      <c r="BW89" s="352">
        <f t="shared" si="41"/>
        <v>0.21919859149323179</v>
      </c>
      <c r="BX89" s="352">
        <f t="shared" si="42"/>
        <v>624.21613381449333</v>
      </c>
      <c r="BY89" s="352">
        <f>BT$107*(1-'Assumptions-Output Override'!$D$12)</f>
        <v>22.753074310428271</v>
      </c>
      <c r="BZ89" s="352">
        <f>BU$107*(1-'Assumptions-Output Override'!$D$12)</f>
        <v>51.446038369839215</v>
      </c>
      <c r="CA89" s="352">
        <f>BV$107*(1-'Assumptions-Output Override'!$D$12)</f>
        <v>9.7401900534537411</v>
      </c>
      <c r="CB89" s="352">
        <f>BW$107*(1-'Assumptions-Output Override'!$D$12)</f>
        <v>1.7000814189516649</v>
      </c>
      <c r="CC89" s="352">
        <f t="shared" si="43"/>
        <v>85.639384152672903</v>
      </c>
      <c r="CD89" s="352">
        <f t="shared" si="57"/>
        <v>39.680782237099066</v>
      </c>
      <c r="CE89" s="352">
        <f t="shared" si="57"/>
        <v>124.78694005602458</v>
      </c>
      <c r="CF89" s="352">
        <f t="shared" si="57"/>
        <v>23.184652381167336</v>
      </c>
      <c r="CG89" s="352">
        <f t="shared" si="44"/>
        <v>1.7365139044424545</v>
      </c>
      <c r="CH89" s="352">
        <f t="shared" si="45"/>
        <v>189.38888857873343</v>
      </c>
      <c r="CJ89" s="352">
        <f t="shared" si="58"/>
        <v>189.38888857873343</v>
      </c>
      <c r="CK89" s="352">
        <f t="shared" si="59"/>
        <v>177.53507888729223</v>
      </c>
      <c r="CL89" s="352">
        <f t="shared" si="60"/>
        <v>11.853809691441199</v>
      </c>
      <c r="CN89" s="352">
        <f>('HRA Balance Calc'!U101+'HRA Balance Calc'!V101+'HRA Balance Calc'!W101+'HRA Balance Calc'!X101)/12</f>
        <v>45.043751316388658</v>
      </c>
      <c r="CO89" s="352">
        <f>('HRA Balance Calc'!Q101+IF('HRA Balance Calc'!L101&lt;0,-'HRA Balance Calc'!L101,0))/12</f>
        <v>0</v>
      </c>
      <c r="CP89" s="352">
        <f>('HRA Balance Calc'!N101)/12</f>
        <v>154.92280935454687</v>
      </c>
      <c r="CQ89" s="352">
        <f>('HRA Balance Calc'!O101)/12</f>
        <v>22.603600119007854</v>
      </c>
      <c r="CR89" s="352">
        <f>('HRA Balance Calc'!P101)/12</f>
        <v>8.6694137375000011E-3</v>
      </c>
      <c r="CS89" s="352">
        <f t="shared" si="64"/>
        <v>177.53507888729223</v>
      </c>
      <c r="CU89" s="577">
        <f t="shared" si="61"/>
        <v>487.14759403541098</v>
      </c>
      <c r="CV89" s="352">
        <f t="shared" si="62"/>
        <v>40.595632836284246</v>
      </c>
      <c r="CW89" s="352">
        <f t="shared" si="66"/>
        <v>53.374729168972848</v>
      </c>
      <c r="CX89" s="352">
        <f t="shared" si="66"/>
        <v>231.25108144976667</v>
      </c>
      <c r="CY89" s="352">
        <f t="shared" si="66"/>
        <v>42.391712963900488</v>
      </c>
      <c r="CZ89" s="352">
        <f t="shared" si="65"/>
        <v>0.11487521254780235</v>
      </c>
      <c r="DA89" s="352">
        <f t="shared" si="46"/>
        <v>327.13239879518784</v>
      </c>
      <c r="DC89" s="352">
        <f>('HRA Balance Calc'!Q101+'HRA Balance Calc'!X101+IF('HRA Balance Calc'!L101&lt;0,-'HRA Balance Calc'!L101,0))/12</f>
        <v>58.348986309304223</v>
      </c>
      <c r="DD89" s="352">
        <f>('HRA Balance Calc'!N101+'HRA Balance Calc'!U101)/12</f>
        <v>130.90106959405671</v>
      </c>
      <c r="DE89" s="352">
        <f>('HRA Balance Calc'!O101+'HRA Balance Calc'!V101)/12</f>
        <v>33.282486117208464</v>
      </c>
      <c r="DF89" s="352">
        <f>('HRA Balance Calc'!P101+'HRA Balance Calc'!W101)/12</f>
        <v>4.6288183111494345E-2</v>
      </c>
      <c r="DG89" s="352">
        <f t="shared" si="63"/>
        <v>222.57883020368089</v>
      </c>
      <c r="DI89" s="352">
        <f t="shared" si="32"/>
        <v>-18.668204072205157</v>
      </c>
      <c r="DJ89" s="352">
        <f t="shared" si="32"/>
        <v>-6.114129538032131</v>
      </c>
      <c r="DK89" s="352">
        <f t="shared" si="32"/>
        <v>-10.097833736041128</v>
      </c>
      <c r="DL89" s="352">
        <f t="shared" si="32"/>
        <v>1.6902257213309602</v>
      </c>
      <c r="DM89" s="352">
        <f t="shared" si="32"/>
        <v>-33.189941624947465</v>
      </c>
    </row>
    <row r="90" spans="1:117" x14ac:dyDescent="0.2">
      <c r="A90">
        <v>85</v>
      </c>
      <c r="B90" s="397">
        <v>34308</v>
      </c>
      <c r="C90" s="398">
        <v>397997.79676138877</v>
      </c>
      <c r="D90" s="399">
        <v>77.11867685018187</v>
      </c>
      <c r="E90" s="399">
        <v>326.05098523760029</v>
      </c>
      <c r="F90" s="399">
        <v>61.288534835803205</v>
      </c>
      <c r="G90" s="399">
        <v>0.18924743252781964</v>
      </c>
      <c r="H90" s="399">
        <v>464.64744435611317</v>
      </c>
      <c r="I90" s="400">
        <v>3.4612113735982164E-2</v>
      </c>
      <c r="J90" s="400">
        <v>0.17714256248558258</v>
      </c>
      <c r="K90" s="400">
        <v>3.954795762207846E-3</v>
      </c>
      <c r="L90" s="400">
        <v>0.88595227854863012</v>
      </c>
      <c r="M90" s="400">
        <v>0.76501056658499833</v>
      </c>
      <c r="N90" s="400">
        <v>0.72391787679356401</v>
      </c>
      <c r="O90" s="399">
        <f t="shared" si="35"/>
        <v>8.6530284339955408</v>
      </c>
      <c r="P90" s="399">
        <f t="shared" si="35"/>
        <v>0</v>
      </c>
      <c r="Q90" s="399">
        <f t="shared" si="35"/>
        <v>3.954795762207846</v>
      </c>
      <c r="R90" s="399">
        <f t="shared" si="33"/>
        <v>18.394553787076084</v>
      </c>
      <c r="S90" s="399">
        <f t="shared" si="33"/>
        <v>22.950316997549951</v>
      </c>
      <c r="T90" s="399">
        <f t="shared" si="33"/>
        <v>43.43507260761384</v>
      </c>
      <c r="U90" s="399">
        <f t="shared" si="47"/>
        <v>97.387767588443268</v>
      </c>
      <c r="V90" s="400">
        <v>4.2796655826993091E-3</v>
      </c>
      <c r="W90" s="400">
        <v>2.7525438343036054E-2</v>
      </c>
      <c r="X90" s="400">
        <v>2.0100613785046232E-4</v>
      </c>
      <c r="Y90" s="400">
        <v>0.20287526800349603</v>
      </c>
      <c r="Z90" s="400">
        <v>6.3794524006431597E-2</v>
      </c>
      <c r="AA90" s="400">
        <v>5.9630983370064033E-2</v>
      </c>
      <c r="AB90" s="352">
        <f t="shared" si="36"/>
        <v>1.0699163956748272</v>
      </c>
      <c r="AC90" s="352">
        <f t="shared" si="36"/>
        <v>0</v>
      </c>
      <c r="AD90" s="352">
        <f t="shared" si="36"/>
        <v>0.20100613785046231</v>
      </c>
      <c r="AE90" s="352">
        <f t="shared" si="34"/>
        <v>7.1916108841165105</v>
      </c>
      <c r="AF90" s="352">
        <f t="shared" si="34"/>
        <v>1.9138357201929479</v>
      </c>
      <c r="AG90" s="352">
        <f t="shared" si="34"/>
        <v>3.5778590022038421</v>
      </c>
      <c r="AH90" s="400">
        <f t="shared" si="48"/>
        <v>13.954228140038591</v>
      </c>
      <c r="AJ90" s="352">
        <f>D90*('Assumptions-Output Override'!$D$10/'Winners-Losers HRA'!$H$107)*(1+'Assumptions-Output Override'!$F$41)</f>
        <v>92.049777757187172</v>
      </c>
      <c r="AK90" s="352">
        <f>E90*('Assumptions-Output Override'!$D$10/'Winners-Losers HRA'!$H$107)*(1+'Assumptions-Output Override'!$F$37)</f>
        <v>536.60776539439144</v>
      </c>
      <c r="AL90" s="352">
        <f>F90*('Assumptions-Output Override'!$D$10/'Winners-Losers HRA'!$H$107)*(1+'Assumptions-Output Override'!$F$38)</f>
        <v>102.95529758871238</v>
      </c>
      <c r="AM90" s="352">
        <f>G90*('Shoppable Detail'!$X$21/'Shoppable Detail'!$H$21)*('Assumptions-Output Override'!$D$10/'Winners-Losers HRA'!$H$107)*(1+'Assumptions-Output Override'!$F$39)</f>
        <v>0.3245199575903277</v>
      </c>
      <c r="AN90" s="352">
        <f t="shared" si="49"/>
        <v>731.93736069788133</v>
      </c>
      <c r="AO90" s="352">
        <v>0</v>
      </c>
      <c r="AP90" s="352">
        <f>U90*'Assumptions-Output Override'!$D$10/'Winners-Losers HRA'!$H$107*(1+'Assumptions-Output Override'!$F$37)</f>
        <v>160.27871317211509</v>
      </c>
      <c r="AQ90" s="352">
        <f>AH90*'Assumptions-Output Override'!$D$10/'Winners-Losers HRA'!$H$107*(1+'Assumptions-Output Override'!$F$38)</f>
        <v>23.440953754684905</v>
      </c>
      <c r="AR90" s="352">
        <f>AM90*('Shoppable Detail'!$AA$23/'Shoppable Detail'!$Y$23)</f>
        <v>1.0843230797978455E-2</v>
      </c>
      <c r="AS90" s="352">
        <f t="shared" si="50"/>
        <v>183.73051015759796</v>
      </c>
      <c r="AT90" s="352">
        <f t="shared" si="51"/>
        <v>92.049777757187172</v>
      </c>
      <c r="AU90" s="352">
        <f t="shared" si="51"/>
        <v>376.32905222227635</v>
      </c>
      <c r="AV90" s="352">
        <f t="shared" si="51"/>
        <v>79.514343834027471</v>
      </c>
      <c r="AW90" s="352">
        <f t="shared" si="37"/>
        <v>0.31367672679234926</v>
      </c>
      <c r="AX90" s="352">
        <f t="shared" si="52"/>
        <v>548.20685054028331</v>
      </c>
      <c r="AY90" s="352">
        <f>AT90*'Assumptions-Output Override'!$D$24</f>
        <v>28.043509900482196</v>
      </c>
      <c r="AZ90" s="352">
        <f>$AU$107*'Assumptions-Output Override'!$D$21</f>
        <v>46.041131296780591</v>
      </c>
      <c r="BA90" s="352">
        <f>AV90*'Assumptions-Output Override'!$D$22</f>
        <v>11.927151575104121</v>
      </c>
      <c r="BB90" s="352">
        <f>AW90*'Assumptions-Output Override'!$D$23</f>
        <v>4.705150901885239E-2</v>
      </c>
      <c r="BC90" s="352">
        <f t="shared" si="53"/>
        <v>86.05884428138576</v>
      </c>
      <c r="BD90" s="352">
        <f t="shared" si="54"/>
        <v>28.043509900482196</v>
      </c>
      <c r="BE90" s="352">
        <f t="shared" si="54"/>
        <v>206.31984446889567</v>
      </c>
      <c r="BF90" s="352">
        <f t="shared" si="54"/>
        <v>35.368105329789024</v>
      </c>
      <c r="BG90" s="352">
        <f t="shared" si="38"/>
        <v>5.7894739816830847E-2</v>
      </c>
      <c r="BH90" s="352">
        <f t="shared" si="55"/>
        <v>269.78935443898376</v>
      </c>
      <c r="BJ90" s="401">
        <f>D90*'Assumptions-Output Override'!$D$10/'Winners-Losers HRA'!$H$107</f>
        <v>130.29033336933429</v>
      </c>
      <c r="BK90" s="401">
        <f>E90*'Assumptions-Output Override'!$D$10/'Winners-Losers HRA'!$H$107</f>
        <v>550.8560740031246</v>
      </c>
      <c r="BL90" s="401">
        <f>F90*'Assumptions-Output Override'!$D$10/'Winners-Losers HRA'!$H$107</f>
        <v>103.54565147672169</v>
      </c>
      <c r="BM90" s="401">
        <f>G90*'Assumptions-Output Override'!$D$10/'Winners-Losers HRA'!$H$107</f>
        <v>0.3197294362459237</v>
      </c>
      <c r="BN90" s="401">
        <f t="shared" si="39"/>
        <v>785.01178828542652</v>
      </c>
      <c r="BO90" s="401">
        <f>BJ90*(1-'Assumptions-Output Override'!$D$11)</f>
        <v>18.568949973031309</v>
      </c>
      <c r="BP90" s="401">
        <f>BK90*(1-'Assumptions-Output Override'!$D$11)</f>
        <v>78.507887853113388</v>
      </c>
      <c r="BQ90" s="401">
        <f>BL90*(1-'Assumptions-Output Override'!$D$11)</f>
        <v>14.757303726791474</v>
      </c>
      <c r="BR90" s="401">
        <f>BM90*(1-'Assumptions-Output Override'!$D$11)</f>
        <v>4.5567769711098369E-2</v>
      </c>
      <c r="BS90" s="352">
        <f t="shared" si="40"/>
        <v>111.87970932264727</v>
      </c>
      <c r="BT90" s="352">
        <f t="shared" si="56"/>
        <v>111.72138339630298</v>
      </c>
      <c r="BU90" s="352">
        <f t="shared" si="56"/>
        <v>472.3481861500112</v>
      </c>
      <c r="BV90" s="352">
        <f t="shared" si="56"/>
        <v>88.78834774993021</v>
      </c>
      <c r="BW90" s="352">
        <f t="shared" si="41"/>
        <v>0.27416166653482532</v>
      </c>
      <c r="BX90" s="352">
        <f t="shared" si="42"/>
        <v>673.13207896277913</v>
      </c>
      <c r="BY90" s="352">
        <f>BT$107*(1-'Assumptions-Output Override'!$D$12)</f>
        <v>22.753074310428271</v>
      </c>
      <c r="BZ90" s="352">
        <f>BU$107*(1-'Assumptions-Output Override'!$D$12)</f>
        <v>51.446038369839215</v>
      </c>
      <c r="CA90" s="352">
        <f>BV$107*(1-'Assumptions-Output Override'!$D$12)</f>
        <v>9.7401900534537411</v>
      </c>
      <c r="CB90" s="352">
        <f>BW$107*(1-'Assumptions-Output Override'!$D$12)</f>
        <v>1.7000814189516649</v>
      </c>
      <c r="CC90" s="352">
        <f t="shared" si="43"/>
        <v>85.639384152672903</v>
      </c>
      <c r="CD90" s="352">
        <f t="shared" si="57"/>
        <v>41.322024283459584</v>
      </c>
      <c r="CE90" s="352">
        <f t="shared" si="57"/>
        <v>129.95392622295259</v>
      </c>
      <c r="CF90" s="352">
        <f t="shared" si="57"/>
        <v>24.497493780245215</v>
      </c>
      <c r="CG90" s="352">
        <f t="shared" si="44"/>
        <v>1.7456491886627632</v>
      </c>
      <c r="CH90" s="352">
        <f t="shared" si="45"/>
        <v>197.51909347532015</v>
      </c>
      <c r="CJ90" s="352">
        <f t="shared" si="58"/>
        <v>197.51909347532015</v>
      </c>
      <c r="CK90" s="352">
        <f t="shared" si="59"/>
        <v>183.73051015759796</v>
      </c>
      <c r="CL90" s="352">
        <f t="shared" si="60"/>
        <v>13.788583317722185</v>
      </c>
      <c r="CN90" s="352">
        <f>('HRA Balance Calc'!U102+'HRA Balance Calc'!V102+'HRA Balance Calc'!W102+'HRA Balance Calc'!X102)/12</f>
        <v>51.958731180337793</v>
      </c>
      <c r="CO90" s="352">
        <f>('HRA Balance Calc'!Q102+IF('HRA Balance Calc'!L102&lt;0,-'HRA Balance Calc'!L102,0))/12</f>
        <v>0</v>
      </c>
      <c r="CP90" s="352">
        <f>('HRA Balance Calc'!N102)/12</f>
        <v>160.27871317211509</v>
      </c>
      <c r="CQ90" s="352">
        <f>('HRA Balance Calc'!O102)/12</f>
        <v>23.440953754684909</v>
      </c>
      <c r="CR90" s="352">
        <f>('HRA Balance Calc'!P102)/12</f>
        <v>1.0843230797978455E-2</v>
      </c>
      <c r="CS90" s="352">
        <f t="shared" si="64"/>
        <v>183.73051015759796</v>
      </c>
      <c r="CU90" s="577">
        <f t="shared" si="61"/>
        <v>404.16783566802133</v>
      </c>
      <c r="CV90" s="352">
        <f t="shared" si="62"/>
        <v>33.68065297233511</v>
      </c>
      <c r="CW90" s="352">
        <f t="shared" si="66"/>
        <v>58.549726877150562</v>
      </c>
      <c r="CX90" s="352">
        <f t="shared" si="66"/>
        <v>247.54309738448688</v>
      </c>
      <c r="CY90" s="352">
        <f t="shared" si="66"/>
        <v>46.531231109011728</v>
      </c>
      <c r="CZ90" s="352">
        <f t="shared" si="65"/>
        <v>0.14367966281672129</v>
      </c>
      <c r="DA90" s="352">
        <f t="shared" si="46"/>
        <v>352.76773503346595</v>
      </c>
      <c r="DC90" s="352">
        <f>('HRA Balance Calc'!Q102+'HRA Balance Calc'!X102+IF('HRA Balance Calc'!L102&lt;0,-'HRA Balance Calc'!L102,0))/12</f>
        <v>64.00626785670498</v>
      </c>
      <c r="DD90" s="352">
        <f>('HRA Balance Calc'!N102+'HRA Balance Calc'!U102)/12</f>
        <v>136.25697341162493</v>
      </c>
      <c r="DE90" s="352">
        <f>('HRA Balance Calc'!O102+'HRA Balance Calc'!V102)/12</f>
        <v>35.368105329789032</v>
      </c>
      <c r="DF90" s="352">
        <f>('HRA Balance Calc'!P102+'HRA Balance Calc'!W102)/12</f>
        <v>5.7894739816830847E-2</v>
      </c>
      <c r="DG90" s="352">
        <f t="shared" si="63"/>
        <v>235.68924133793578</v>
      </c>
      <c r="DI90" s="352">
        <f t="shared" si="32"/>
        <v>-22.684243573245396</v>
      </c>
      <c r="DJ90" s="352">
        <f t="shared" si="32"/>
        <v>-6.3030471886723376</v>
      </c>
      <c r="DK90" s="352">
        <f t="shared" si="32"/>
        <v>-10.870611549543817</v>
      </c>
      <c r="DL90" s="352">
        <f t="shared" si="32"/>
        <v>1.6877544488459324</v>
      </c>
      <c r="DM90" s="352">
        <f t="shared" si="32"/>
        <v>-38.170147862615636</v>
      </c>
    </row>
    <row r="91" spans="1:117" x14ac:dyDescent="0.2">
      <c r="A91">
        <v>86</v>
      </c>
      <c r="B91" s="397">
        <v>34308</v>
      </c>
      <c r="C91" s="398">
        <v>397997.79676138877</v>
      </c>
      <c r="D91" s="399">
        <v>85.725163689835426</v>
      </c>
      <c r="E91" s="399">
        <v>350.24014800979722</v>
      </c>
      <c r="F91" s="399">
        <v>66.786730324355958</v>
      </c>
      <c r="G91" s="399">
        <v>0.28153519649353348</v>
      </c>
      <c r="H91" s="399">
        <v>503.03357722048213</v>
      </c>
      <c r="I91" s="400">
        <v>3.8560619357896342E-2</v>
      </c>
      <c r="J91" s="400">
        <v>0.19481415241746841</v>
      </c>
      <c r="K91" s="400">
        <v>4.2939936198305015E-3</v>
      </c>
      <c r="L91" s="400">
        <v>0.91762864391863319</v>
      </c>
      <c r="M91" s="400">
        <v>0.78645736872676342</v>
      </c>
      <c r="N91" s="400">
        <v>0.76023300244905667</v>
      </c>
      <c r="O91" s="399">
        <f t="shared" si="35"/>
        <v>9.6401548394740857</v>
      </c>
      <c r="P91" s="399">
        <f t="shared" si="35"/>
        <v>0</v>
      </c>
      <c r="Q91" s="399">
        <f t="shared" si="35"/>
        <v>4.2939936198305011</v>
      </c>
      <c r="R91" s="399">
        <f t="shared" si="33"/>
        <v>19.05223323628088</v>
      </c>
      <c r="S91" s="399">
        <f t="shared" si="33"/>
        <v>23.593721061802903</v>
      </c>
      <c r="T91" s="399">
        <f t="shared" si="33"/>
        <v>45.613980146943398</v>
      </c>
      <c r="U91" s="399">
        <f t="shared" si="47"/>
        <v>102.19408290433176</v>
      </c>
      <c r="V91" s="400">
        <v>4.6893811737323239E-3</v>
      </c>
      <c r="W91" s="400">
        <v>3.1193013663979911E-2</v>
      </c>
      <c r="X91" s="400">
        <v>2.8140859299064728E-4</v>
      </c>
      <c r="Y91" s="400">
        <v>0.21470376233513583</v>
      </c>
      <c r="Z91" s="400">
        <v>6.6087501523961506E-2</v>
      </c>
      <c r="AA91" s="400">
        <v>6.1893206948502318E-2</v>
      </c>
      <c r="AB91" s="352">
        <f t="shared" si="36"/>
        <v>1.1723452934330809</v>
      </c>
      <c r="AC91" s="352">
        <f t="shared" si="36"/>
        <v>0</v>
      </c>
      <c r="AD91" s="352">
        <f t="shared" si="36"/>
        <v>0.2814085929906473</v>
      </c>
      <c r="AE91" s="352">
        <f t="shared" si="34"/>
        <v>7.6109125043448831</v>
      </c>
      <c r="AF91" s="352">
        <f t="shared" si="34"/>
        <v>1.9826250457188452</v>
      </c>
      <c r="AG91" s="352">
        <f t="shared" si="34"/>
        <v>3.7135924169101391</v>
      </c>
      <c r="AH91" s="400">
        <f t="shared" si="48"/>
        <v>14.760883853397594</v>
      </c>
      <c r="AJ91" s="352">
        <f>D91*('Assumptions-Output Override'!$D$10/'Winners-Losers HRA'!$H$107)*(1+'Assumptions-Output Override'!$F$41)</f>
        <v>102.32258368718671</v>
      </c>
      <c r="AK91" s="352">
        <f>E91*('Assumptions-Output Override'!$D$10/'Winners-Losers HRA'!$H$107)*(1+'Assumptions-Output Override'!$F$37)</f>
        <v>576.41777416492437</v>
      </c>
      <c r="AL91" s="352">
        <f>F91*('Assumptions-Output Override'!$D$10/'Winners-Losers HRA'!$H$107)*(1+'Assumptions-Output Override'!$F$38)</f>
        <v>112.19141906300453</v>
      </c>
      <c r="AM91" s="352">
        <f>G91*('Shoppable Detail'!$X$21/'Shoppable Detail'!$H$21)*('Assumptions-Output Override'!$D$10/'Winners-Losers HRA'!$H$107)*(1+'Assumptions-Output Override'!$F$39)</f>
        <v>0.48277426438974519</v>
      </c>
      <c r="AN91" s="352">
        <f t="shared" si="49"/>
        <v>791.41455117950534</v>
      </c>
      <c r="AO91" s="352">
        <v>0</v>
      </c>
      <c r="AP91" s="352">
        <f>U91*'Assumptions-Output Override'!$D$10/'Winners-Losers HRA'!$H$107*(1+'Assumptions-Output Override'!$F$37)</f>
        <v>168.18884452645011</v>
      </c>
      <c r="AQ91" s="352">
        <f>AH91*'Assumptions-Output Override'!$D$10/'Winners-Losers HRA'!$H$107*(1+'Assumptions-Output Override'!$F$38)</f>
        <v>24.796011095230039</v>
      </c>
      <c r="AR91" s="352">
        <f>AM91*('Shoppable Detail'!$AA$23/'Shoppable Detail'!$Y$23)</f>
        <v>1.6131004117505475E-2</v>
      </c>
      <c r="AS91" s="352">
        <f t="shared" si="50"/>
        <v>193.00098662579765</v>
      </c>
      <c r="AT91" s="352">
        <f t="shared" si="51"/>
        <v>102.32258368718671</v>
      </c>
      <c r="AU91" s="352">
        <f t="shared" si="51"/>
        <v>408.22892963847426</v>
      </c>
      <c r="AV91" s="352">
        <f t="shared" si="51"/>
        <v>87.395407967774489</v>
      </c>
      <c r="AW91" s="352">
        <f t="shared" si="37"/>
        <v>0.46664326027223973</v>
      </c>
      <c r="AX91" s="352">
        <f t="shared" si="52"/>
        <v>598.41356455370772</v>
      </c>
      <c r="AY91" s="352">
        <f>AT91*'Assumptions-Output Override'!$D$24</f>
        <v>31.173181061270856</v>
      </c>
      <c r="AZ91" s="352">
        <f>$AU$107*'Assumptions-Output Override'!$D$21</f>
        <v>46.041131296780591</v>
      </c>
      <c r="BA91" s="352">
        <f>AV91*'Assumptions-Output Override'!$D$22</f>
        <v>13.109311195166173</v>
      </c>
      <c r="BB91" s="352">
        <f>AW91*'Assumptions-Output Override'!$D$23</f>
        <v>6.9996489040835955E-2</v>
      </c>
      <c r="BC91" s="352">
        <f t="shared" si="53"/>
        <v>90.393620042258448</v>
      </c>
      <c r="BD91" s="352">
        <f t="shared" si="54"/>
        <v>31.173181061270856</v>
      </c>
      <c r="BE91" s="352">
        <f t="shared" si="54"/>
        <v>214.22997582323069</v>
      </c>
      <c r="BF91" s="352">
        <f t="shared" si="54"/>
        <v>37.905322290396214</v>
      </c>
      <c r="BG91" s="352">
        <f t="shared" si="38"/>
        <v>8.6127493158341423E-2</v>
      </c>
      <c r="BH91" s="352">
        <f t="shared" si="55"/>
        <v>283.39460666805616</v>
      </c>
      <c r="BJ91" s="401">
        <f>D91*'Assumptions-Output Override'!$D$10/'Winners-Losers HRA'!$H$107</f>
        <v>144.83080638154217</v>
      </c>
      <c r="BK91" s="401">
        <f>E91*'Assumptions-Output Override'!$D$10/'Winners-Losers HRA'!$H$107</f>
        <v>591.72314032529778</v>
      </c>
      <c r="BL91" s="401">
        <f>F91*'Assumptions-Output Override'!$D$10/'Winners-Losers HRA'!$H$107</f>
        <v>112.83473360821338</v>
      </c>
      <c r="BM91" s="401">
        <f>G91*'Assumptions-Output Override'!$D$10/'Winners-Losers HRA'!$H$107</f>
        <v>0.47564761358139152</v>
      </c>
      <c r="BN91" s="401">
        <f t="shared" si="39"/>
        <v>849.86432792863468</v>
      </c>
      <c r="BO91" s="401">
        <f>BJ91*(1-'Assumptions-Output Override'!$D$11)</f>
        <v>20.641255024109249</v>
      </c>
      <c r="BP91" s="401">
        <f>BK91*(1-'Assumptions-Output Override'!$D$11)</f>
        <v>84.332253256568521</v>
      </c>
      <c r="BQ91" s="401">
        <f>BL91*(1-'Assumptions-Output Override'!$D$11)</f>
        <v>16.081181691752196</v>
      </c>
      <c r="BR91" s="401">
        <f>BM91*(1-'Assumptions-Output Override'!$D$11)</f>
        <v>6.7789194432005262E-2</v>
      </c>
      <c r="BS91" s="352">
        <f t="shared" si="40"/>
        <v>121.12247916686198</v>
      </c>
      <c r="BT91" s="352">
        <f t="shared" si="56"/>
        <v>124.18955135743292</v>
      </c>
      <c r="BU91" s="352">
        <f t="shared" si="56"/>
        <v>507.39088706872928</v>
      </c>
      <c r="BV91" s="352">
        <f t="shared" si="56"/>
        <v>96.753551916461191</v>
      </c>
      <c r="BW91" s="352">
        <f t="shared" si="41"/>
        <v>0.40785841914938625</v>
      </c>
      <c r="BX91" s="352">
        <f t="shared" si="42"/>
        <v>728.74184876177287</v>
      </c>
      <c r="BY91" s="352">
        <f>BT$107*(1-'Assumptions-Output Override'!$D$12)</f>
        <v>22.753074310428271</v>
      </c>
      <c r="BZ91" s="352">
        <f>BU$107*(1-'Assumptions-Output Override'!$D$12)</f>
        <v>51.446038369839215</v>
      </c>
      <c r="CA91" s="352">
        <f>BV$107*(1-'Assumptions-Output Override'!$D$12)</f>
        <v>9.7401900534537411</v>
      </c>
      <c r="CB91" s="352">
        <f>BW$107*(1-'Assumptions-Output Override'!$D$12)</f>
        <v>1.7000814189516649</v>
      </c>
      <c r="CC91" s="352">
        <f t="shared" si="43"/>
        <v>85.639384152672903</v>
      </c>
      <c r="CD91" s="352">
        <f t="shared" si="57"/>
        <v>43.394329334537517</v>
      </c>
      <c r="CE91" s="352">
        <f t="shared" si="57"/>
        <v>135.77829162640774</v>
      </c>
      <c r="CF91" s="352">
        <f t="shared" si="57"/>
        <v>25.821371745205937</v>
      </c>
      <c r="CG91" s="352">
        <f t="shared" si="44"/>
        <v>1.7678706133836701</v>
      </c>
      <c r="CH91" s="352">
        <f t="shared" si="45"/>
        <v>206.76186331953488</v>
      </c>
      <c r="CJ91" s="352">
        <f t="shared" si="58"/>
        <v>206.76186331953488</v>
      </c>
      <c r="CK91" s="352">
        <f t="shared" si="59"/>
        <v>193.00098662579765</v>
      </c>
      <c r="CL91" s="352">
        <f t="shared" si="60"/>
        <v>13.760876693737231</v>
      </c>
      <c r="CN91" s="352">
        <f>('HRA Balance Calc'!U103+'HRA Balance Calc'!V103+'HRA Balance Calc'!W103+'HRA Balance Calc'!X103)/12</f>
        <v>60.306970549632695</v>
      </c>
      <c r="CO91" s="352">
        <f>('HRA Balance Calc'!Q103+IF('HRA Balance Calc'!L103&lt;0,-'HRA Balance Calc'!L103,0))/12</f>
        <v>0</v>
      </c>
      <c r="CP91" s="352">
        <f>('HRA Balance Calc'!N103)/12</f>
        <v>168.18884452645011</v>
      </c>
      <c r="CQ91" s="352">
        <f>('HRA Balance Calc'!O103)/12</f>
        <v>24.796011095230039</v>
      </c>
      <c r="CR91" s="352">
        <f>('HRA Balance Calc'!P103)/12</f>
        <v>1.6131004117505475E-2</v>
      </c>
      <c r="CS91" s="352">
        <f t="shared" si="64"/>
        <v>193.00098662579765</v>
      </c>
      <c r="CU91" s="577">
        <f t="shared" si="61"/>
        <v>303.9889632364825</v>
      </c>
      <c r="CV91" s="352">
        <f t="shared" si="62"/>
        <v>25.332413603040209</v>
      </c>
      <c r="CW91" s="352">
        <f t="shared" si="66"/>
        <v>65.08390866572617</v>
      </c>
      <c r="CX91" s="352">
        <f t="shared" si="66"/>
        <v>265.90789475322867</v>
      </c>
      <c r="CY91" s="352">
        <f t="shared" si="66"/>
        <v>50.705548632603765</v>
      </c>
      <c r="CZ91" s="352">
        <f t="shared" si="65"/>
        <v>0.21374600206152822</v>
      </c>
      <c r="DA91" s="352">
        <f t="shared" si="46"/>
        <v>381.91109805362021</v>
      </c>
      <c r="DC91" s="352">
        <f>('HRA Balance Calc'!Q103+'HRA Balance Calc'!X103+IF('HRA Balance Calc'!L103&lt;0,-'HRA Balance Calc'!L103,0))/12</f>
        <v>71.14940262591584</v>
      </c>
      <c r="DD91" s="352">
        <f>('HRA Balance Calc'!N103+'HRA Balance Calc'!U103)/12</f>
        <v>144.16710476595995</v>
      </c>
      <c r="DE91" s="352">
        <f>('HRA Balance Calc'!O103+'HRA Balance Calc'!V103)/12</f>
        <v>37.905322290396214</v>
      </c>
      <c r="DF91" s="352">
        <f>('HRA Balance Calc'!P103+'HRA Balance Calc'!W103)/12</f>
        <v>8.612749315834145E-2</v>
      </c>
      <c r="DG91" s="352">
        <f t="shared" si="63"/>
        <v>253.30795717543035</v>
      </c>
      <c r="DI91" s="352">
        <f t="shared" si="32"/>
        <v>-27.755073291378324</v>
      </c>
      <c r="DJ91" s="352">
        <f t="shared" si="32"/>
        <v>-8.3888131395522123</v>
      </c>
      <c r="DK91" s="352">
        <f t="shared" si="32"/>
        <v>-12.083950545190277</v>
      </c>
      <c r="DL91" s="352">
        <f t="shared" si="32"/>
        <v>1.6817431202253288</v>
      </c>
      <c r="DM91" s="352">
        <f t="shared" si="32"/>
        <v>-46.546093855895464</v>
      </c>
    </row>
    <row r="92" spans="1:117" x14ac:dyDescent="0.2">
      <c r="A92">
        <v>87</v>
      </c>
      <c r="B92" s="397">
        <v>34308</v>
      </c>
      <c r="C92" s="398">
        <v>397997.79676138877</v>
      </c>
      <c r="D92" s="399">
        <v>96.539133205244156</v>
      </c>
      <c r="E92" s="399">
        <v>375.11904936376226</v>
      </c>
      <c r="F92" s="399">
        <v>74.779027648001559</v>
      </c>
      <c r="G92" s="399">
        <v>0.68770809113784082</v>
      </c>
      <c r="H92" s="399">
        <v>547.12491830814588</v>
      </c>
      <c r="I92" s="400">
        <v>3.7663628665271648E-2</v>
      </c>
      <c r="J92" s="400">
        <v>0.20597850528019124</v>
      </c>
      <c r="K92" s="400">
        <v>4.3392200008468551E-3</v>
      </c>
      <c r="L92" s="400">
        <v>0.9568497682390491</v>
      </c>
      <c r="M92" s="400">
        <v>0.80810980014754974</v>
      </c>
      <c r="N92" s="400">
        <v>0.80144343158574416</v>
      </c>
      <c r="O92" s="399">
        <f t="shared" si="35"/>
        <v>9.4159071663179112</v>
      </c>
      <c r="P92" s="399">
        <f t="shared" si="35"/>
        <v>0</v>
      </c>
      <c r="Q92" s="399">
        <f t="shared" si="35"/>
        <v>4.3392200008468551</v>
      </c>
      <c r="R92" s="399">
        <f t="shared" si="33"/>
        <v>19.866560484339182</v>
      </c>
      <c r="S92" s="399">
        <f t="shared" si="33"/>
        <v>24.243294004426492</v>
      </c>
      <c r="T92" s="399">
        <f t="shared" si="33"/>
        <v>48.08660589514465</v>
      </c>
      <c r="U92" s="399">
        <f t="shared" si="47"/>
        <v>105.95158755107508</v>
      </c>
      <c r="V92" s="400">
        <v>5.2170451924869465E-3</v>
      </c>
      <c r="W92" s="400">
        <v>3.3568122529574279E-2</v>
      </c>
      <c r="X92" s="400">
        <v>4.346757731016248E-4</v>
      </c>
      <c r="Y92" s="400">
        <v>0.2278122302778024</v>
      </c>
      <c r="Z92" s="400">
        <v>6.9626013574681289E-2</v>
      </c>
      <c r="AA92" s="400">
        <v>6.7000169892869763E-2</v>
      </c>
      <c r="AB92" s="352">
        <f t="shared" si="36"/>
        <v>1.3042612981217365</v>
      </c>
      <c r="AC92" s="352">
        <f t="shared" si="36"/>
        <v>0</v>
      </c>
      <c r="AD92" s="352">
        <f t="shared" si="36"/>
        <v>0.43467577310162481</v>
      </c>
      <c r="AE92" s="352">
        <f t="shared" si="34"/>
        <v>8.0755871867657518</v>
      </c>
      <c r="AF92" s="352">
        <f t="shared" si="34"/>
        <v>2.0887804072404386</v>
      </c>
      <c r="AG92" s="352">
        <f t="shared" si="34"/>
        <v>4.0200101935721859</v>
      </c>
      <c r="AH92" s="400">
        <f t="shared" si="48"/>
        <v>15.923314858801739</v>
      </c>
      <c r="AJ92" s="352">
        <f>D92*('Assumptions-Output Override'!$D$10/'Winners-Losers HRA'!$H$107)*(1+'Assumptions-Output Override'!$F$41)</f>
        <v>115.23026741858908</v>
      </c>
      <c r="AK92" s="352">
        <f>E92*('Assumptions-Output Override'!$D$10/'Winners-Losers HRA'!$H$107)*(1+'Assumptions-Output Override'!$F$37)</f>
        <v>617.36293999931104</v>
      </c>
      <c r="AL92" s="352">
        <f>F92*('Assumptions-Output Override'!$D$10/'Winners-Losers HRA'!$H$107)*(1+'Assumptions-Output Override'!$F$38)</f>
        <v>125.61724742679037</v>
      </c>
      <c r="AM92" s="352">
        <f>G92*('Shoppable Detail'!$X$21/'Shoppable Detail'!$H$21)*('Assumptions-Output Override'!$D$10/'Winners-Losers HRA'!$H$107)*(1+'Assumptions-Output Override'!$F$39)</f>
        <v>1.1792762395218774</v>
      </c>
      <c r="AN92" s="352">
        <f t="shared" si="49"/>
        <v>859.38973108421237</v>
      </c>
      <c r="AO92" s="352">
        <v>0</v>
      </c>
      <c r="AP92" s="352">
        <f>U92*'Assumptions-Output Override'!$D$10/'Winners-Losers HRA'!$H$107*(1+'Assumptions-Output Override'!$F$37)</f>
        <v>174.37286562510943</v>
      </c>
      <c r="AQ92" s="352">
        <f>AH92*'Assumptions-Output Override'!$D$10/'Winners-Losers HRA'!$H$107*(1+'Assumptions-Output Override'!$F$38)</f>
        <v>26.748716122497498</v>
      </c>
      <c r="AR92" s="352">
        <f>AM92*('Shoppable Detail'!$AA$23/'Shoppable Detail'!$Y$23)</f>
        <v>3.9403322170559037E-2</v>
      </c>
      <c r="AS92" s="352">
        <f t="shared" si="50"/>
        <v>201.16098506977747</v>
      </c>
      <c r="AT92" s="352">
        <f t="shared" si="51"/>
        <v>115.23026741858908</v>
      </c>
      <c r="AU92" s="352">
        <f t="shared" si="51"/>
        <v>442.99007437420164</v>
      </c>
      <c r="AV92" s="352">
        <f t="shared" si="51"/>
        <v>98.868531304292873</v>
      </c>
      <c r="AW92" s="352">
        <f t="shared" si="37"/>
        <v>1.1398729173513185</v>
      </c>
      <c r="AX92" s="352">
        <f t="shared" si="52"/>
        <v>658.22874601443493</v>
      </c>
      <c r="AY92" s="352">
        <f>AT92*'Assumptions-Output Override'!$D$24</f>
        <v>35.105583347658914</v>
      </c>
      <c r="AZ92" s="352">
        <f>$AU$107*'Assumptions-Output Override'!$D$21</f>
        <v>46.041131296780591</v>
      </c>
      <c r="BA92" s="352">
        <f>AV92*'Assumptions-Output Override'!$D$22</f>
        <v>14.830279695643931</v>
      </c>
      <c r="BB92" s="352">
        <f>AW92*'Assumptions-Output Override'!$D$23</f>
        <v>0.17098093760269775</v>
      </c>
      <c r="BC92" s="352">
        <f t="shared" si="53"/>
        <v>96.147975277686115</v>
      </c>
      <c r="BD92" s="352">
        <f t="shared" si="54"/>
        <v>35.105583347658914</v>
      </c>
      <c r="BE92" s="352">
        <f t="shared" si="54"/>
        <v>220.41399692189003</v>
      </c>
      <c r="BF92" s="352">
        <f t="shared" si="54"/>
        <v>41.578995818141429</v>
      </c>
      <c r="BG92" s="352">
        <f t="shared" si="38"/>
        <v>0.21038425977325678</v>
      </c>
      <c r="BH92" s="352">
        <f t="shared" si="55"/>
        <v>297.30896034746365</v>
      </c>
      <c r="BJ92" s="401">
        <f>D92*'Assumptions-Output Override'!$D$10/'Winners-Losers HRA'!$H$107</f>
        <v>163.10077353807927</v>
      </c>
      <c r="BK92" s="401">
        <f>E92*'Assumptions-Output Override'!$D$10/'Winners-Losers HRA'!$H$107</f>
        <v>633.75550503466775</v>
      </c>
      <c r="BL92" s="401">
        <f>F92*'Assumptions-Output Override'!$D$10/'Winners-Losers HRA'!$H$107</f>
        <v>126.33754674267095</v>
      </c>
      <c r="BM92" s="401">
        <f>G92*'Assumptions-Output Override'!$D$10/'Winners-Losers HRA'!$H$107</f>
        <v>1.1618679172777651</v>
      </c>
      <c r="BN92" s="401">
        <f t="shared" si="39"/>
        <v>924.35569323269567</v>
      </c>
      <c r="BO92" s="401">
        <f>BJ92*(1-'Assumptions-Output Override'!$D$11)</f>
        <v>23.2450867694543</v>
      </c>
      <c r="BP92" s="401">
        <f>BK92*(1-'Assumptions-Output Override'!$D$11)</f>
        <v>90.322696732709005</v>
      </c>
      <c r="BQ92" s="401">
        <f>BL92*(1-'Assumptions-Output Override'!$D$11)</f>
        <v>18.005599682749111</v>
      </c>
      <c r="BR92" s="401">
        <f>BM92*(1-'Assumptions-Output Override'!$D$11)</f>
        <v>0.16558916285863773</v>
      </c>
      <c r="BS92" s="352">
        <f t="shared" si="40"/>
        <v>131.73897234777107</v>
      </c>
      <c r="BT92" s="352">
        <f t="shared" si="56"/>
        <v>139.85568676862496</v>
      </c>
      <c r="BU92" s="352">
        <f t="shared" si="56"/>
        <v>543.43280830195874</v>
      </c>
      <c r="BV92" s="352">
        <f t="shared" si="56"/>
        <v>108.33194705992184</v>
      </c>
      <c r="BW92" s="352">
        <f t="shared" si="41"/>
        <v>0.99627875441912739</v>
      </c>
      <c r="BX92" s="352">
        <f t="shared" si="42"/>
        <v>792.61672088492469</v>
      </c>
      <c r="BY92" s="352">
        <f>BT$107*(1-'Assumptions-Output Override'!$D$12)</f>
        <v>22.753074310428271</v>
      </c>
      <c r="BZ92" s="352">
        <f>BU$107*(1-'Assumptions-Output Override'!$D$12)</f>
        <v>51.446038369839215</v>
      </c>
      <c r="CA92" s="352">
        <f>BV$107*(1-'Assumptions-Output Override'!$D$12)</f>
        <v>9.7401900534537411</v>
      </c>
      <c r="CB92" s="352">
        <f>BW$107*(1-'Assumptions-Output Override'!$D$12)</f>
        <v>1.7000814189516649</v>
      </c>
      <c r="CC92" s="352">
        <f t="shared" si="43"/>
        <v>85.639384152672903</v>
      </c>
      <c r="CD92" s="352">
        <f t="shared" si="57"/>
        <v>45.998161079882571</v>
      </c>
      <c r="CE92" s="352">
        <f t="shared" si="57"/>
        <v>141.76873510254822</v>
      </c>
      <c r="CF92" s="352">
        <f t="shared" si="57"/>
        <v>27.745789736202852</v>
      </c>
      <c r="CG92" s="352">
        <f t="shared" si="44"/>
        <v>1.8656705818103025</v>
      </c>
      <c r="CH92" s="352">
        <f t="shared" si="45"/>
        <v>217.37835650044394</v>
      </c>
      <c r="CJ92" s="352">
        <f t="shared" si="58"/>
        <v>217.37835650044394</v>
      </c>
      <c r="CK92" s="352">
        <f t="shared" si="59"/>
        <v>201.16098506977747</v>
      </c>
      <c r="CL92" s="352">
        <f t="shared" si="60"/>
        <v>16.217371430666475</v>
      </c>
      <c r="CN92" s="352">
        <f>('HRA Balance Calc'!U104+'HRA Balance Calc'!V104+'HRA Balance Calc'!W104+'HRA Balance Calc'!X104)/12</f>
        <v>71.104204943686639</v>
      </c>
      <c r="CO92" s="352">
        <f>('HRA Balance Calc'!Q104+IF('HRA Balance Calc'!L104&lt;0,-'HRA Balance Calc'!L104,0))/12</f>
        <v>0</v>
      </c>
      <c r="CP92" s="352">
        <f>('HRA Balance Calc'!N104)/12</f>
        <v>174.37286562510943</v>
      </c>
      <c r="CQ92" s="352">
        <f>('HRA Balance Calc'!O104)/12</f>
        <v>26.748716122497498</v>
      </c>
      <c r="CR92" s="352">
        <f>('HRA Balance Calc'!P104)/12</f>
        <v>3.9403322170559037E-2</v>
      </c>
      <c r="CS92" s="352">
        <f t="shared" si="64"/>
        <v>201.16098506977747</v>
      </c>
      <c r="CU92" s="577">
        <f t="shared" si="61"/>
        <v>174.42215050783517</v>
      </c>
      <c r="CV92" s="352">
        <f t="shared" si="62"/>
        <v>14.535179208986264</v>
      </c>
      <c r="CW92" s="352">
        <f t="shared" si="66"/>
        <v>73.294046435789852</v>
      </c>
      <c r="CX92" s="352">
        <f t="shared" si="66"/>
        <v>284.79635263105325</v>
      </c>
      <c r="CY92" s="352">
        <f t="shared" si="66"/>
        <v>56.773427965252452</v>
      </c>
      <c r="CZ92" s="352">
        <f t="shared" si="65"/>
        <v>0.52211892827920314</v>
      </c>
      <c r="DA92" s="352">
        <f t="shared" si="46"/>
        <v>415.38594596037478</v>
      </c>
      <c r="DC92" s="352">
        <f>('HRA Balance Calc'!Q104+'HRA Balance Calc'!X104+IF('HRA Balance Calc'!L104&lt;0,-'HRA Balance Calc'!L104,0))/12</f>
        <v>80.124684070930172</v>
      </c>
      <c r="DD92" s="352">
        <f>('HRA Balance Calc'!N104+'HRA Balance Calc'!U104)/12</f>
        <v>150.35112586461926</v>
      </c>
      <c r="DE92" s="352">
        <f>('HRA Balance Calc'!O104+'HRA Balance Calc'!V104)/12</f>
        <v>41.578995818141429</v>
      </c>
      <c r="DF92" s="352">
        <f>('HRA Balance Calc'!P104+'HRA Balance Calc'!W104)/12</f>
        <v>0.21038425977325684</v>
      </c>
      <c r="DG92" s="352">
        <f t="shared" si="63"/>
        <v>272.26519001346412</v>
      </c>
      <c r="DI92" s="352">
        <f t="shared" si="32"/>
        <v>-34.126522991047601</v>
      </c>
      <c r="DJ92" s="352">
        <f t="shared" si="32"/>
        <v>-8.5823907620710429</v>
      </c>
      <c r="DK92" s="352">
        <f t="shared" si="32"/>
        <v>-13.833206081938577</v>
      </c>
      <c r="DL92" s="352">
        <f t="shared" si="32"/>
        <v>1.6552863220370457</v>
      </c>
      <c r="DM92" s="352">
        <f t="shared" si="32"/>
        <v>-54.886833513020179</v>
      </c>
    </row>
    <row r="93" spans="1:117" x14ac:dyDescent="0.2">
      <c r="A93">
        <v>88</v>
      </c>
      <c r="B93" s="397">
        <v>34308</v>
      </c>
      <c r="C93" s="398">
        <v>397997.79676138877</v>
      </c>
      <c r="D93" s="399">
        <v>106.389727116339</v>
      </c>
      <c r="E93" s="399">
        <v>407.88201054905397</v>
      </c>
      <c r="F93" s="399">
        <v>82.156813314068017</v>
      </c>
      <c r="G93" s="399">
        <v>1.7298858464065876</v>
      </c>
      <c r="H93" s="399">
        <v>598.15843682586751</v>
      </c>
      <c r="I93" s="400">
        <v>3.989924385467794E-2</v>
      </c>
      <c r="J93" s="400">
        <v>0.22518708065479032</v>
      </c>
      <c r="K93" s="400">
        <v>4.6784178584695106E-3</v>
      </c>
      <c r="L93" s="400">
        <v>0.9779053599697366</v>
      </c>
      <c r="M93" s="400">
        <v>0.82526492024006481</v>
      </c>
      <c r="N93" s="400">
        <v>0.83457130341641839</v>
      </c>
      <c r="O93" s="399">
        <f t="shared" si="35"/>
        <v>9.9748109636694853</v>
      </c>
      <c r="P93" s="399">
        <f t="shared" si="35"/>
        <v>0</v>
      </c>
      <c r="Q93" s="399">
        <f t="shared" si="35"/>
        <v>4.6784178584695102</v>
      </c>
      <c r="R93" s="399">
        <f t="shared" si="33"/>
        <v>20.303726485247648</v>
      </c>
      <c r="S93" s="399">
        <f t="shared" si="33"/>
        <v>24.757947607201945</v>
      </c>
      <c r="T93" s="399">
        <f t="shared" si="33"/>
        <v>50.074278204985106</v>
      </c>
      <c r="U93" s="399">
        <f t="shared" si="47"/>
        <v>109.7891811195737</v>
      </c>
      <c r="V93" s="400">
        <v>6.1109701183771278E-3</v>
      </c>
      <c r="W93" s="400">
        <v>3.454771526086229E-2</v>
      </c>
      <c r="X93" s="400">
        <v>4.6482669377919414E-4</v>
      </c>
      <c r="Y93" s="400">
        <v>0.23706869179963616</v>
      </c>
      <c r="Z93" s="400">
        <v>7.3125630937727018E-2</v>
      </c>
      <c r="AA93" s="400">
        <v>7.0065613998158249E-2</v>
      </c>
      <c r="AB93" s="352">
        <f t="shared" si="36"/>
        <v>1.5277425295942819</v>
      </c>
      <c r="AC93" s="352">
        <f t="shared" si="36"/>
        <v>0</v>
      </c>
      <c r="AD93" s="352">
        <f t="shared" si="36"/>
        <v>0.46482669377919417</v>
      </c>
      <c r="AE93" s="352">
        <f t="shared" si="34"/>
        <v>8.4037142674293168</v>
      </c>
      <c r="AF93" s="352">
        <f t="shared" si="34"/>
        <v>2.1937689281318105</v>
      </c>
      <c r="AG93" s="352">
        <f t="shared" si="34"/>
        <v>4.2039368398894954</v>
      </c>
      <c r="AH93" s="400">
        <f t="shared" si="48"/>
        <v>16.793989258824098</v>
      </c>
      <c r="AJ93" s="352">
        <f>D93*('Assumptions-Output Override'!$D$10/'Winners-Losers HRA'!$H$107)*(1+'Assumptions-Output Override'!$F$41)</f>
        <v>126.98805447261377</v>
      </c>
      <c r="AK93" s="352">
        <f>E93*('Assumptions-Output Override'!$D$10/'Winners-Losers HRA'!$H$107)*(1+'Assumptions-Output Override'!$F$37)</f>
        <v>671.28352354403182</v>
      </c>
      <c r="AL93" s="352">
        <f>F93*('Assumptions-Output Override'!$D$10/'Winners-Losers HRA'!$H$107)*(1+'Assumptions-Output Override'!$F$38)</f>
        <v>138.01079086571559</v>
      </c>
      <c r="AM93" s="352">
        <f>G93*('Shoppable Detail'!$X$21/'Shoppable Detail'!$H$21)*('Assumptions-Output Override'!$D$10/'Winners-Losers HRA'!$H$107)*(1+'Assumptions-Output Override'!$F$39)</f>
        <v>2.9663941751466032</v>
      </c>
      <c r="AN93" s="352">
        <f t="shared" si="49"/>
        <v>939.24876305750774</v>
      </c>
      <c r="AO93" s="352">
        <v>0</v>
      </c>
      <c r="AP93" s="352">
        <f>U93*'Assumptions-Output Override'!$D$10/'Winners-Losers HRA'!$H$107*(1+'Assumptions-Output Override'!$F$37)</f>
        <v>180.68869536499901</v>
      </c>
      <c r="AQ93" s="352">
        <f>AH93*'Assumptions-Output Override'!$D$10/'Winners-Losers HRA'!$H$107*(1+'Assumptions-Output Override'!$F$38)</f>
        <v>28.211314995146839</v>
      </c>
      <c r="AR93" s="352">
        <f>AM93*('Shoppable Detail'!$AA$23/'Shoppable Detail'!$Y$23)</f>
        <v>9.9116544072456833E-2</v>
      </c>
      <c r="AS93" s="352">
        <f t="shared" si="50"/>
        <v>208.99912690421829</v>
      </c>
      <c r="AT93" s="352">
        <f t="shared" si="51"/>
        <v>126.98805447261377</v>
      </c>
      <c r="AU93" s="352">
        <f t="shared" si="51"/>
        <v>490.59482817903279</v>
      </c>
      <c r="AV93" s="352">
        <f t="shared" si="51"/>
        <v>109.79947587056876</v>
      </c>
      <c r="AW93" s="352">
        <f t="shared" si="37"/>
        <v>2.8672776310741463</v>
      </c>
      <c r="AX93" s="352">
        <f t="shared" si="52"/>
        <v>730.24963615328943</v>
      </c>
      <c r="AY93" s="352">
        <f>AT93*'Assumptions-Output Override'!$D$24</f>
        <v>38.687662801746001</v>
      </c>
      <c r="AZ93" s="352">
        <f>$AU$107*'Assumptions-Output Override'!$D$21</f>
        <v>46.041131296780591</v>
      </c>
      <c r="BA93" s="352">
        <f>AV93*'Assumptions-Output Override'!$D$22</f>
        <v>16.469921380585312</v>
      </c>
      <c r="BB93" s="352">
        <f>AW93*'Assumptions-Output Override'!$D$23</f>
        <v>0.43009164466112193</v>
      </c>
      <c r="BC93" s="352">
        <f t="shared" si="53"/>
        <v>101.62880712377303</v>
      </c>
      <c r="BD93" s="352">
        <f t="shared" si="54"/>
        <v>38.687662801746001</v>
      </c>
      <c r="BE93" s="352">
        <f t="shared" si="54"/>
        <v>226.72982666177961</v>
      </c>
      <c r="BF93" s="352">
        <f t="shared" si="54"/>
        <v>44.681236375732155</v>
      </c>
      <c r="BG93" s="352">
        <f t="shared" si="38"/>
        <v>0.52920818873357878</v>
      </c>
      <c r="BH93" s="352">
        <f t="shared" si="55"/>
        <v>310.62793402799139</v>
      </c>
      <c r="BJ93" s="401">
        <f>D93*'Assumptions-Output Override'!$D$10/'Winners-Losers HRA'!$H$107</f>
        <v>179.74313848756887</v>
      </c>
      <c r="BK93" s="401">
        <f>E93*'Assumptions-Output Override'!$D$10/'Winners-Losers HRA'!$H$107</f>
        <v>689.10781798073901</v>
      </c>
      <c r="BL93" s="401">
        <f>F93*'Assumptions-Output Override'!$D$10/'Winners-Losers HRA'!$H$107</f>
        <v>138.8021557481745</v>
      </c>
      <c r="BM93" s="401">
        <f>G93*'Assumptions-Output Override'!$D$10/'Winners-Losers HRA'!$H$107</f>
        <v>2.9226046507134251</v>
      </c>
      <c r="BN93" s="401">
        <f t="shared" si="39"/>
        <v>1010.5757168671959</v>
      </c>
      <c r="BO93" s="401">
        <f>BJ93*(1-'Assumptions-Output Override'!$D$11)</f>
        <v>25.616953002262154</v>
      </c>
      <c r="BP93" s="401">
        <f>BK93*(1-'Assumptions-Output Override'!$D$11)</f>
        <v>98.211496334392166</v>
      </c>
      <c r="BQ93" s="401">
        <f>BL93*(1-'Assumptions-Output Override'!$D$11)</f>
        <v>19.782053047101829</v>
      </c>
      <c r="BR93" s="401">
        <f>BM93*(1-'Assumptions-Output Override'!$D$11)</f>
        <v>0.41652897913928733</v>
      </c>
      <c r="BS93" s="352">
        <f t="shared" si="40"/>
        <v>144.02703136289543</v>
      </c>
      <c r="BT93" s="352">
        <f t="shared" si="56"/>
        <v>154.12618548530671</v>
      </c>
      <c r="BU93" s="352">
        <f t="shared" si="56"/>
        <v>590.89632164634691</v>
      </c>
      <c r="BV93" s="352">
        <f t="shared" si="56"/>
        <v>119.02010270107267</v>
      </c>
      <c r="BW93" s="352">
        <f t="shared" si="41"/>
        <v>2.5060756715741377</v>
      </c>
      <c r="BX93" s="352">
        <f t="shared" si="42"/>
        <v>866.54868550430047</v>
      </c>
      <c r="BY93" s="352">
        <f>BT$107*(1-'Assumptions-Output Override'!$D$12)</f>
        <v>22.753074310428271</v>
      </c>
      <c r="BZ93" s="352">
        <f>BU$107*(1-'Assumptions-Output Override'!$D$12)</f>
        <v>51.446038369839215</v>
      </c>
      <c r="CA93" s="352">
        <f>BV$107*(1-'Assumptions-Output Override'!$D$12)</f>
        <v>9.7401900534537411</v>
      </c>
      <c r="CB93" s="352">
        <f>BW$107*(1-'Assumptions-Output Override'!$D$12)</f>
        <v>1.7000814189516649</v>
      </c>
      <c r="CC93" s="352">
        <f t="shared" si="43"/>
        <v>85.639384152672903</v>
      </c>
      <c r="CD93" s="352">
        <f t="shared" si="57"/>
        <v>48.370027312690425</v>
      </c>
      <c r="CE93" s="352">
        <f t="shared" si="57"/>
        <v>149.65753470423138</v>
      </c>
      <c r="CF93" s="352">
        <f t="shared" si="57"/>
        <v>29.522243100555571</v>
      </c>
      <c r="CG93" s="352">
        <f t="shared" si="44"/>
        <v>2.1166103980909523</v>
      </c>
      <c r="CH93" s="352">
        <f t="shared" si="45"/>
        <v>229.66641551556833</v>
      </c>
      <c r="CJ93" s="352">
        <f t="shared" si="58"/>
        <v>229.66641551556833</v>
      </c>
      <c r="CK93" s="352">
        <f t="shared" si="59"/>
        <v>208.99912690421829</v>
      </c>
      <c r="CL93" s="352">
        <f t="shared" si="60"/>
        <v>20.667288611350045</v>
      </c>
      <c r="CN93" s="352">
        <f>('HRA Balance Calc'!U105+'HRA Balance Calc'!V105+'HRA Balance Calc'!W105+'HRA Balance Calc'!X105)/12</f>
        <v>81.178664935624042</v>
      </c>
      <c r="CO93" s="352">
        <f>('HRA Balance Calc'!Q105+IF('HRA Balance Calc'!L105&lt;0,-'HRA Balance Calc'!L105,0))/12</f>
        <v>0</v>
      </c>
      <c r="CP93" s="352">
        <f>('HRA Balance Calc'!N105)/12</f>
        <v>180.68869536499901</v>
      </c>
      <c r="CQ93" s="352">
        <f>('HRA Balance Calc'!O105)/12</f>
        <v>28.211314995146839</v>
      </c>
      <c r="CR93" s="352">
        <f>('HRA Balance Calc'!P105)/12</f>
        <v>9.9116544072456833E-2</v>
      </c>
      <c r="CS93" s="352">
        <f t="shared" si="64"/>
        <v>208.99912690421829</v>
      </c>
      <c r="CU93" s="577">
        <f t="shared" si="61"/>
        <v>53.52863060458634</v>
      </c>
      <c r="CV93" s="352">
        <f t="shared" si="62"/>
        <v>4.4607192170488617</v>
      </c>
      <c r="CW93" s="352">
        <f t="shared" si="66"/>
        <v>80.772774114076853</v>
      </c>
      <c r="CX93" s="352">
        <f t="shared" si="66"/>
        <v>309.67051421466181</v>
      </c>
      <c r="CY93" s="352">
        <f t="shared" si="66"/>
        <v>62.374760266966192</v>
      </c>
      <c r="CZ93" s="352">
        <f t="shared" si="65"/>
        <v>1.3133568672673004</v>
      </c>
      <c r="DA93" s="352">
        <f t="shared" si="46"/>
        <v>454.13140546297217</v>
      </c>
      <c r="DC93" s="352">
        <f>('HRA Balance Calc'!Q105+'HRA Balance Calc'!X105+IF('HRA Balance Calc'!L105&lt;0,-'HRA Balance Calc'!L105,0))/12</f>
        <v>88.300391670867768</v>
      </c>
      <c r="DD93" s="352">
        <f>('HRA Balance Calc'!N105+'HRA Balance Calc'!U105)/12</f>
        <v>156.66695560450884</v>
      </c>
      <c r="DE93" s="352">
        <f>('HRA Balance Calc'!O105+'HRA Balance Calc'!V105)/12</f>
        <v>44.681236375732148</v>
      </c>
      <c r="DF93" s="352">
        <f>('HRA Balance Calc'!P105+'HRA Balance Calc'!W105)/12</f>
        <v>0.52920818873357889</v>
      </c>
      <c r="DG93" s="352">
        <f t="shared" si="63"/>
        <v>290.17779183984237</v>
      </c>
      <c r="DI93" s="352">
        <f t="shared" si="32"/>
        <v>-39.930364358177343</v>
      </c>
      <c r="DJ93" s="352">
        <f t="shared" si="32"/>
        <v>-7.0094209002774619</v>
      </c>
      <c r="DK93" s="352">
        <f t="shared" si="32"/>
        <v>-15.158993275176577</v>
      </c>
      <c r="DL93" s="352">
        <f t="shared" si="32"/>
        <v>1.5874022093573734</v>
      </c>
      <c r="DM93" s="352">
        <f t="shared" si="32"/>
        <v>-60.511376324274039</v>
      </c>
    </row>
    <row r="94" spans="1:117" x14ac:dyDescent="0.2">
      <c r="A94">
        <v>89</v>
      </c>
      <c r="B94" s="397">
        <v>34308</v>
      </c>
      <c r="C94" s="398">
        <v>397997.79676138877</v>
      </c>
      <c r="D94" s="399">
        <v>124.95114551928776</v>
      </c>
      <c r="E94" s="399">
        <v>440.52886772199429</v>
      </c>
      <c r="F94" s="399">
        <v>90.501579999573195</v>
      </c>
      <c r="G94" s="399">
        <v>1.8810655764303321</v>
      </c>
      <c r="H94" s="399">
        <v>657.86265881728559</v>
      </c>
      <c r="I94" s="400">
        <v>3.9612306637287348E-2</v>
      </c>
      <c r="J94" s="400">
        <v>0.24437444762637037</v>
      </c>
      <c r="K94" s="400">
        <v>5.3693764573304751E-3</v>
      </c>
      <c r="L94" s="400">
        <v>1.0236078099507806</v>
      </c>
      <c r="M94" s="400">
        <v>0.85995325297040159</v>
      </c>
      <c r="N94" s="400">
        <v>0.84712463924051673</v>
      </c>
      <c r="O94" s="399">
        <f t="shared" si="35"/>
        <v>9.9030766593218367</v>
      </c>
      <c r="P94" s="399">
        <f t="shared" si="35"/>
        <v>0</v>
      </c>
      <c r="Q94" s="399">
        <f t="shared" si="35"/>
        <v>5.3693764573304748</v>
      </c>
      <c r="R94" s="399">
        <f t="shared" si="33"/>
        <v>21.252622034965817</v>
      </c>
      <c r="S94" s="399">
        <f t="shared" si="33"/>
        <v>25.798597589112049</v>
      </c>
      <c r="T94" s="399">
        <f t="shared" si="33"/>
        <v>50.827478354431001</v>
      </c>
      <c r="U94" s="399">
        <f t="shared" si="47"/>
        <v>113.15115109516117</v>
      </c>
      <c r="V94" s="400">
        <v>5.5311604789455831E-3</v>
      </c>
      <c r="W94" s="400">
        <v>3.7476560955550034E-2</v>
      </c>
      <c r="X94" s="400">
        <v>6.4573221784461018E-4</v>
      </c>
      <c r="Y94" s="400">
        <v>0.24882906736398872</v>
      </c>
      <c r="Z94" s="400">
        <v>7.5692680324215514E-2</v>
      </c>
      <c r="AA94" s="400">
        <v>7.4189355419229649E-2</v>
      </c>
      <c r="AB94" s="352">
        <f t="shared" si="36"/>
        <v>1.3827901197363959</v>
      </c>
      <c r="AC94" s="352">
        <f t="shared" si="36"/>
        <v>0</v>
      </c>
      <c r="AD94" s="352">
        <f t="shared" si="36"/>
        <v>0.64573221784461021</v>
      </c>
      <c r="AE94" s="352">
        <f t="shared" si="34"/>
        <v>8.820601183918507</v>
      </c>
      <c r="AF94" s="352">
        <f t="shared" si="34"/>
        <v>2.2707804097264654</v>
      </c>
      <c r="AG94" s="352">
        <f t="shared" si="34"/>
        <v>4.4513613251537789</v>
      </c>
      <c r="AH94" s="400">
        <f t="shared" si="48"/>
        <v>17.571265256379757</v>
      </c>
      <c r="AJ94" s="352">
        <f>D94*('Assumptions-Output Override'!$D$10/'Winners-Losers HRA'!$H$107)*(1+'Assumptions-Output Override'!$F$41)</f>
        <v>149.14318612987546</v>
      </c>
      <c r="AK94" s="352">
        <f>E94*('Assumptions-Output Override'!$D$10/'Winners-Losers HRA'!$H$107)*(1+'Assumptions-Output Override'!$F$37)</f>
        <v>725.01302557867587</v>
      </c>
      <c r="AL94" s="352">
        <f>F94*('Assumptions-Output Override'!$D$10/'Winners-Losers HRA'!$H$107)*(1+'Assumptions-Output Override'!$F$38)</f>
        <v>152.02871346276015</v>
      </c>
      <c r="AM94" s="352">
        <f>G94*('Shoppable Detail'!$X$21/'Shoppable Detail'!$H$21)*('Assumptions-Output Override'!$D$10/'Winners-Losers HRA'!$H$107)*(1+'Assumptions-Output Override'!$F$39)</f>
        <v>3.2256359462000139</v>
      </c>
      <c r="AN94" s="352">
        <f t="shared" si="49"/>
        <v>1029.4105611175116</v>
      </c>
      <c r="AO94" s="352">
        <v>0</v>
      </c>
      <c r="AP94" s="352">
        <f>U94*'Assumptions-Output Override'!$D$10/'Winners-Losers HRA'!$H$107*(1+'Assumptions-Output Override'!$F$37)</f>
        <v>186.22175392824295</v>
      </c>
      <c r="AQ94" s="352">
        <f>AH94*'Assumptions-Output Override'!$D$10/'Winners-Losers HRA'!$H$107*(1+'Assumptions-Output Override'!$F$38)</f>
        <v>29.517018938817518</v>
      </c>
      <c r="AR94" s="352">
        <f>AM94*('Shoppable Detail'!$AA$23/'Shoppable Detail'!$Y$23)</f>
        <v>0.10777862568026179</v>
      </c>
      <c r="AS94" s="352">
        <f t="shared" si="50"/>
        <v>215.84655149274073</v>
      </c>
      <c r="AT94" s="352">
        <f t="shared" si="51"/>
        <v>149.14318612987546</v>
      </c>
      <c r="AU94" s="352">
        <f t="shared" si="51"/>
        <v>538.79127165043292</v>
      </c>
      <c r="AV94" s="352">
        <f t="shared" si="51"/>
        <v>122.51169452394264</v>
      </c>
      <c r="AW94" s="352">
        <f t="shared" si="37"/>
        <v>3.117857320519752</v>
      </c>
      <c r="AX94" s="352">
        <f t="shared" si="52"/>
        <v>813.56400962477073</v>
      </c>
      <c r="AY94" s="352">
        <f>AT94*'Assumptions-Output Override'!$D$24</f>
        <v>45.437354860925296</v>
      </c>
      <c r="AZ94" s="352">
        <f>$AU$107*'Assumptions-Output Override'!$D$21</f>
        <v>46.041131296780591</v>
      </c>
      <c r="BA94" s="352">
        <f>AV94*'Assumptions-Output Override'!$D$22</f>
        <v>18.376754178591394</v>
      </c>
      <c r="BB94" s="352">
        <f>AW94*'Assumptions-Output Override'!$D$23</f>
        <v>0.46767859807796275</v>
      </c>
      <c r="BC94" s="352">
        <f t="shared" si="53"/>
        <v>110.32291893437525</v>
      </c>
      <c r="BD94" s="352">
        <f t="shared" si="54"/>
        <v>45.437354860925296</v>
      </c>
      <c r="BE94" s="352">
        <f t="shared" si="54"/>
        <v>232.26288522502352</v>
      </c>
      <c r="BF94" s="352">
        <f t="shared" si="54"/>
        <v>47.893773117408912</v>
      </c>
      <c r="BG94" s="352">
        <f t="shared" si="38"/>
        <v>0.5754572237582245</v>
      </c>
      <c r="BH94" s="352">
        <f t="shared" si="55"/>
        <v>326.16947042711598</v>
      </c>
      <c r="BJ94" s="401">
        <f>D94*'Assumptions-Output Override'!$D$10/'Winners-Losers HRA'!$H$107</f>
        <v>211.10225265165201</v>
      </c>
      <c r="BK94" s="401">
        <f>E94*'Assumptions-Output Override'!$D$10/'Winners-Losers HRA'!$H$107</f>
        <v>744.26397571392772</v>
      </c>
      <c r="BL94" s="401">
        <f>F94*'Assumptions-Output Override'!$D$10/'Winners-Losers HRA'!$H$107</f>
        <v>152.90045823144928</v>
      </c>
      <c r="BM94" s="401">
        <f>G94*'Assumptions-Output Override'!$D$10/'Winners-Losers HRA'!$H$107</f>
        <v>3.178019528509441</v>
      </c>
      <c r="BN94" s="401">
        <f t="shared" si="39"/>
        <v>1111.4447061255382</v>
      </c>
      <c r="BO94" s="401">
        <f>BJ94*(1-'Assumptions-Output Override'!$D$11)</f>
        <v>30.086247132171035</v>
      </c>
      <c r="BP94" s="401">
        <f>BK94*(1-'Assumptions-Output Override'!$D$11)</f>
        <v>106.0723399378</v>
      </c>
      <c r="BQ94" s="401">
        <f>BL94*(1-'Assumptions-Output Override'!$D$11)</f>
        <v>21.791340050570412</v>
      </c>
      <c r="BR94" s="401">
        <f>BM94*(1-'Assumptions-Output Override'!$D$11)</f>
        <v>0.4529306519688267</v>
      </c>
      <c r="BS94" s="352">
        <f t="shared" si="40"/>
        <v>158.40285777251023</v>
      </c>
      <c r="BT94" s="352">
        <f t="shared" si="56"/>
        <v>181.01600551948098</v>
      </c>
      <c r="BU94" s="352">
        <f t="shared" si="56"/>
        <v>638.19163577612767</v>
      </c>
      <c r="BV94" s="352">
        <f t="shared" si="56"/>
        <v>131.10911818087885</v>
      </c>
      <c r="BW94" s="352">
        <f t="shared" si="41"/>
        <v>2.7250888765406143</v>
      </c>
      <c r="BX94" s="352">
        <f t="shared" si="42"/>
        <v>953.04184835302817</v>
      </c>
      <c r="BY94" s="352">
        <f>BT$107*(1-'Assumptions-Output Override'!$D$12)</f>
        <v>22.753074310428271</v>
      </c>
      <c r="BZ94" s="352">
        <f>BU$107*(1-'Assumptions-Output Override'!$D$12)</f>
        <v>51.446038369839215</v>
      </c>
      <c r="CA94" s="352">
        <f>BV$107*(1-'Assumptions-Output Override'!$D$12)</f>
        <v>9.7401900534537411</v>
      </c>
      <c r="CB94" s="352">
        <f>BW$107*(1-'Assumptions-Output Override'!$D$12)</f>
        <v>1.7000814189516649</v>
      </c>
      <c r="CC94" s="352">
        <f t="shared" si="43"/>
        <v>85.639384152672903</v>
      </c>
      <c r="CD94" s="352">
        <f t="shared" si="57"/>
        <v>52.839321442599307</v>
      </c>
      <c r="CE94" s="352">
        <f t="shared" si="57"/>
        <v>157.51837830763921</v>
      </c>
      <c r="CF94" s="352">
        <f t="shared" si="57"/>
        <v>31.531530104024153</v>
      </c>
      <c r="CG94" s="352">
        <f t="shared" si="44"/>
        <v>2.1530120709204916</v>
      </c>
      <c r="CH94" s="352">
        <f t="shared" si="45"/>
        <v>244.04224192518313</v>
      </c>
      <c r="CJ94" s="352">
        <f t="shared" si="58"/>
        <v>244.04224192518313</v>
      </c>
      <c r="CK94" s="352">
        <f t="shared" si="59"/>
        <v>215.84655149274073</v>
      </c>
      <c r="CL94" s="352">
        <f t="shared" si="60"/>
        <v>28.195690432442404</v>
      </c>
      <c r="CN94" s="352">
        <f>('HRA Balance Calc'!U106+'HRA Balance Calc'!V106+'HRA Balance Calc'!W106+'HRA Balance Calc'!X106)/12</f>
        <v>98.528524285129365</v>
      </c>
      <c r="CO94" s="352">
        <f>('HRA Balance Calc'!Q106+IF('HRA Balance Calc'!L106&lt;0,-'HRA Balance Calc'!L106,0))/12</f>
        <v>0</v>
      </c>
      <c r="CP94" s="352">
        <f>('HRA Balance Calc'!N106)/12</f>
        <v>186.22175392824295</v>
      </c>
      <c r="CQ94" s="352">
        <f>('HRA Balance Calc'!O106)/12</f>
        <v>29.517018938817518</v>
      </c>
      <c r="CR94" s="352">
        <f>('HRA Balance Calc'!P106)/12</f>
        <v>0.10777862568026179</v>
      </c>
      <c r="CS94" s="352">
        <f t="shared" si="64"/>
        <v>215.84655149274073</v>
      </c>
      <c r="CU94" s="577">
        <f t="shared" si="61"/>
        <v>-154.66968158947753</v>
      </c>
      <c r="CV94" s="352">
        <f t="shared" si="62"/>
        <v>-12.889140132456461</v>
      </c>
      <c r="CW94" s="352">
        <f t="shared" si="66"/>
        <v>94.864898387116725</v>
      </c>
      <c r="CX94" s="352">
        <f t="shared" si="66"/>
        <v>334.45652778419429</v>
      </c>
      <c r="CY94" s="352">
        <f t="shared" si="66"/>
        <v>68.710239949002784</v>
      </c>
      <c r="CZ94" s="352">
        <f t="shared" si="65"/>
        <v>1.4281349244615054</v>
      </c>
      <c r="DA94" s="352">
        <f t="shared" si="46"/>
        <v>499.45980104477536</v>
      </c>
      <c r="DC94" s="352">
        <f>('HRA Balance Calc'!Q106+'HRA Balance Calc'!X106+IF('HRA Balance Calc'!L106&lt;0,-'HRA Balance Calc'!L106,0))/12</f>
        <v>103.70583126895015</v>
      </c>
      <c r="DD94" s="352">
        <f>('HRA Balance Calc'!N106+'HRA Balance Calc'!U106)/12</f>
        <v>162.20001416775278</v>
      </c>
      <c r="DE94" s="352">
        <f>('HRA Balance Calc'!O106+'HRA Balance Calc'!V106)/12</f>
        <v>47.893773117408919</v>
      </c>
      <c r="DF94" s="352">
        <f>('HRA Balance Calc'!P106+'HRA Balance Calc'!W106)/12</f>
        <v>0.57545722375822461</v>
      </c>
      <c r="DG94" s="352">
        <f t="shared" si="63"/>
        <v>314.37507577787005</v>
      </c>
      <c r="DI94" s="352">
        <f t="shared" si="32"/>
        <v>-50.866509826350843</v>
      </c>
      <c r="DJ94" s="352">
        <f t="shared" si="32"/>
        <v>-4.6816358601135732</v>
      </c>
      <c r="DK94" s="352">
        <f t="shared" si="32"/>
        <v>-16.362243013384766</v>
      </c>
      <c r="DL94" s="352">
        <f t="shared" si="32"/>
        <v>1.5775548471622671</v>
      </c>
      <c r="DM94" s="352">
        <f t="shared" si="32"/>
        <v>-70.332833852686917</v>
      </c>
    </row>
    <row r="95" spans="1:117" x14ac:dyDescent="0.2">
      <c r="A95">
        <v>90</v>
      </c>
      <c r="B95" s="397">
        <v>34308</v>
      </c>
      <c r="C95" s="398">
        <v>397997.79676138877</v>
      </c>
      <c r="D95" s="399">
        <v>148.50563183403554</v>
      </c>
      <c r="E95" s="399">
        <v>477.54126819223501</v>
      </c>
      <c r="F95" s="399">
        <v>101.37546459286462</v>
      </c>
      <c r="G95" s="399">
        <v>1.7274161587121746</v>
      </c>
      <c r="H95" s="399">
        <v>729.14978077784747</v>
      </c>
      <c r="I95" s="400">
        <v>4.2635127844838097E-2</v>
      </c>
      <c r="J95" s="400">
        <v>0.26221320967621342</v>
      </c>
      <c r="K95" s="400">
        <v>6.2085770828561549E-3</v>
      </c>
      <c r="L95" s="400">
        <v>1.0674410192675776</v>
      </c>
      <c r="M95" s="400">
        <v>0.88042994923936346</v>
      </c>
      <c r="N95" s="400">
        <v>0.89799798619057025</v>
      </c>
      <c r="O95" s="399">
        <f t="shared" si="35"/>
        <v>10.658781961209524</v>
      </c>
      <c r="P95" s="399">
        <f t="shared" si="35"/>
        <v>0</v>
      </c>
      <c r="Q95" s="399">
        <f t="shared" si="35"/>
        <v>6.2085770828561548</v>
      </c>
      <c r="R95" s="399">
        <f t="shared" si="33"/>
        <v>22.162707539524661</v>
      </c>
      <c r="S95" s="399">
        <f t="shared" si="33"/>
        <v>26.412898477180903</v>
      </c>
      <c r="T95" s="399">
        <f t="shared" si="33"/>
        <v>53.879879171434212</v>
      </c>
      <c r="U95" s="399">
        <f t="shared" si="47"/>
        <v>119.32284423220545</v>
      </c>
      <c r="V95" s="400">
        <v>6.411428218468E-3</v>
      </c>
      <c r="W95" s="400">
        <v>4.1083299719037479E-2</v>
      </c>
      <c r="X95" s="400">
        <v>8.2915031863315715E-4</v>
      </c>
      <c r="Y95" s="400">
        <v>0.26195841041275969</v>
      </c>
      <c r="Z95" s="400">
        <v>8.0270494610691634E-2</v>
      </c>
      <c r="AA95" s="400">
        <v>7.7725153887088463E-2</v>
      </c>
      <c r="AB95" s="352">
        <f t="shared" si="36"/>
        <v>1.602857054617</v>
      </c>
      <c r="AC95" s="352">
        <f t="shared" si="36"/>
        <v>0</v>
      </c>
      <c r="AD95" s="352">
        <f t="shared" si="36"/>
        <v>0.82915031863315714</v>
      </c>
      <c r="AE95" s="352">
        <f t="shared" si="34"/>
        <v>9.2860158561949415</v>
      </c>
      <c r="AF95" s="352">
        <f t="shared" si="34"/>
        <v>2.4081148383207491</v>
      </c>
      <c r="AG95" s="352">
        <f t="shared" si="34"/>
        <v>4.6635092332253079</v>
      </c>
      <c r="AH95" s="400">
        <f t="shared" si="48"/>
        <v>18.789647300991156</v>
      </c>
      <c r="AJ95" s="352">
        <f>D95*('Assumptions-Output Override'!$D$10/'Winners-Losers HRA'!$H$107)*(1+'Assumptions-Output Override'!$F$41)</f>
        <v>177.25810354047061</v>
      </c>
      <c r="AK95" s="352">
        <f>E95*('Assumptions-Output Override'!$D$10/'Winners-Losers HRA'!$H$107)*(1+'Assumptions-Output Override'!$F$37)</f>
        <v>785.92724576956095</v>
      </c>
      <c r="AL95" s="352">
        <f>F95*('Assumptions-Output Override'!$D$10/'Winners-Losers HRA'!$H$107)*(1+'Assumptions-Output Override'!$F$38)</f>
        <v>170.29516455751917</v>
      </c>
      <c r="AM95" s="352">
        <f>G95*('Shoppable Detail'!$X$21/'Shoppable Detail'!$H$21)*('Assumptions-Output Override'!$D$10/'Winners-Losers HRA'!$H$107)*(1+'Assumptions-Output Override'!$F$39)</f>
        <v>2.962159174781489</v>
      </c>
      <c r="AN95" s="352">
        <f t="shared" si="49"/>
        <v>1136.4426730423322</v>
      </c>
      <c r="AO95" s="352">
        <v>0</v>
      </c>
      <c r="AP95" s="352">
        <f>U95*'Assumptions-Output Override'!$D$10/'Winners-Losers HRA'!$H$107*(1+'Assumptions-Output Override'!$F$37)</f>
        <v>196.37899501296431</v>
      </c>
      <c r="AQ95" s="352">
        <f>AH95*'Assumptions-Output Override'!$D$10/'Winners-Losers HRA'!$H$107*(1+'Assumptions-Output Override'!$F$38)</f>
        <v>31.56371309320987</v>
      </c>
      <c r="AR95" s="352">
        <f>AM95*('Shoppable Detail'!$AA$23/'Shoppable Detail'!$Y$23)</f>
        <v>9.897503941206727E-2</v>
      </c>
      <c r="AS95" s="352">
        <f t="shared" si="50"/>
        <v>228.04168314558623</v>
      </c>
      <c r="AT95" s="352">
        <f t="shared" si="51"/>
        <v>177.25810354047061</v>
      </c>
      <c r="AU95" s="352">
        <f t="shared" si="51"/>
        <v>589.54825075659664</v>
      </c>
      <c r="AV95" s="352">
        <f t="shared" si="51"/>
        <v>138.73145146430932</v>
      </c>
      <c r="AW95" s="352">
        <f t="shared" si="37"/>
        <v>2.8631841353694218</v>
      </c>
      <c r="AX95" s="352">
        <f t="shared" si="52"/>
        <v>908.40098989674607</v>
      </c>
      <c r="AY95" s="352">
        <f>AT95*'Assumptions-Output Override'!$D$24</f>
        <v>54.00273094293005</v>
      </c>
      <c r="AZ95" s="352">
        <f>$AU$107*'Assumptions-Output Override'!$D$21</f>
        <v>46.041131296780591</v>
      </c>
      <c r="BA95" s="352">
        <f>AV95*'Assumptions-Output Override'!$D$22</f>
        <v>20.809717719646397</v>
      </c>
      <c r="BB95" s="352">
        <f>AW95*'Assumptions-Output Override'!$D$23</f>
        <v>0.42947762030541325</v>
      </c>
      <c r="BC95" s="352">
        <f t="shared" si="53"/>
        <v>121.28305757966247</v>
      </c>
      <c r="BD95" s="352">
        <f t="shared" si="54"/>
        <v>54.00273094293005</v>
      </c>
      <c r="BE95" s="352">
        <f t="shared" si="54"/>
        <v>242.42012630974489</v>
      </c>
      <c r="BF95" s="352">
        <f t="shared" si="54"/>
        <v>52.37343081285627</v>
      </c>
      <c r="BG95" s="352">
        <f t="shared" si="38"/>
        <v>0.52845265971748057</v>
      </c>
      <c r="BH95" s="352">
        <f t="shared" si="55"/>
        <v>349.32474072524866</v>
      </c>
      <c r="BJ95" s="401">
        <f>D95*'Assumptions-Output Override'!$D$10/'Winners-Losers HRA'!$H$107</f>
        <v>250.89704685246403</v>
      </c>
      <c r="BK95" s="401">
        <f>E95*'Assumptions-Output Override'!$D$10/'Winners-Losers HRA'!$H$107</f>
        <v>806.79562424616768</v>
      </c>
      <c r="BL95" s="401">
        <f>F95*'Assumptions-Output Override'!$D$10/'Winners-Losers HRA'!$H$107</f>
        <v>171.2716506137038</v>
      </c>
      <c r="BM95" s="401">
        <f>G95*'Assumptions-Output Override'!$D$10/'Winners-Losers HRA'!$H$107</f>
        <v>2.9184321668720812</v>
      </c>
      <c r="BN95" s="401">
        <f t="shared" si="39"/>
        <v>1231.8827538792075</v>
      </c>
      <c r="BO95" s="401">
        <f>BJ95*(1-'Assumptions-Output Override'!$D$11)</f>
        <v>35.757792546114054</v>
      </c>
      <c r="BP95" s="401">
        <f>BK95*(1-'Assumptions-Output Override'!$D$11)</f>
        <v>114.98433688568433</v>
      </c>
      <c r="BQ95" s="401">
        <f>BL95*(1-'Assumptions-Output Override'!$D$11)</f>
        <v>24.409598393067743</v>
      </c>
      <c r="BR95" s="401">
        <f>BM95*(1-'Assumptions-Output Override'!$D$11)</f>
        <v>0.41593431764975403</v>
      </c>
      <c r="BS95" s="352">
        <f t="shared" si="40"/>
        <v>175.56766214251587</v>
      </c>
      <c r="BT95" s="352">
        <f t="shared" si="56"/>
        <v>215.13925430634998</v>
      </c>
      <c r="BU95" s="352">
        <f t="shared" si="56"/>
        <v>691.81128736048333</v>
      </c>
      <c r="BV95" s="352">
        <f t="shared" si="56"/>
        <v>146.86205222063606</v>
      </c>
      <c r="BW95" s="352">
        <f t="shared" si="41"/>
        <v>2.5024978492223271</v>
      </c>
      <c r="BX95" s="352">
        <f t="shared" si="42"/>
        <v>1056.3150917366918</v>
      </c>
      <c r="BY95" s="352">
        <f>BT$107*(1-'Assumptions-Output Override'!$D$12)</f>
        <v>22.753074310428271</v>
      </c>
      <c r="BZ95" s="352">
        <f>BU$107*(1-'Assumptions-Output Override'!$D$12)</f>
        <v>51.446038369839215</v>
      </c>
      <c r="CA95" s="352">
        <f>BV$107*(1-'Assumptions-Output Override'!$D$12)</f>
        <v>9.7401900534537411</v>
      </c>
      <c r="CB95" s="352">
        <f>BW$107*(1-'Assumptions-Output Override'!$D$12)</f>
        <v>1.7000814189516649</v>
      </c>
      <c r="CC95" s="352">
        <f t="shared" si="43"/>
        <v>85.639384152672903</v>
      </c>
      <c r="CD95" s="352">
        <f t="shared" si="57"/>
        <v>58.510866856542322</v>
      </c>
      <c r="CE95" s="352">
        <f t="shared" si="57"/>
        <v>166.43037525552353</v>
      </c>
      <c r="CF95" s="352">
        <f t="shared" si="57"/>
        <v>34.149788446521484</v>
      </c>
      <c r="CG95" s="352">
        <f t="shared" si="44"/>
        <v>2.116015736601419</v>
      </c>
      <c r="CH95" s="352">
        <f t="shared" si="45"/>
        <v>261.20704629518877</v>
      </c>
      <c r="CJ95" s="352">
        <f t="shared" si="58"/>
        <v>261.20704629518877</v>
      </c>
      <c r="CK95" s="352">
        <f t="shared" si="59"/>
        <v>228.04168314558623</v>
      </c>
      <c r="CL95" s="352">
        <f t="shared" si="60"/>
        <v>33.165363149602541</v>
      </c>
      <c r="CN95" s="352">
        <f>('HRA Balance Calc'!U107+'HRA Balance Calc'!V107+'HRA Balance Calc'!W107+'HRA Balance Calc'!X107)/12</f>
        <v>120.4728281770022</v>
      </c>
      <c r="CO95" s="352">
        <f>('HRA Balance Calc'!Q107+IF('HRA Balance Calc'!L107&lt;0,-'HRA Balance Calc'!L107,0))/12</f>
        <v>0</v>
      </c>
      <c r="CP95" s="352">
        <f>('HRA Balance Calc'!N107)/12</f>
        <v>196.37899501296431</v>
      </c>
      <c r="CQ95" s="352">
        <f>('HRA Balance Calc'!O107)/12</f>
        <v>31.56371309320987</v>
      </c>
      <c r="CR95" s="352">
        <f>('HRA Balance Calc'!P107)/12</f>
        <v>9.897503941206727E-2</v>
      </c>
      <c r="CS95" s="352">
        <f t="shared" si="64"/>
        <v>228.04168314558623</v>
      </c>
      <c r="CU95" s="577">
        <f t="shared" si="61"/>
        <v>-418.00132829195155</v>
      </c>
      <c r="CV95" s="352">
        <f t="shared" si="62"/>
        <v>-34.833444024329296</v>
      </c>
      <c r="CW95" s="352">
        <f t="shared" si="66"/>
        <v>112.74783928792149</v>
      </c>
      <c r="CX95" s="352">
        <f t="shared" si="66"/>
        <v>362.55693130655067</v>
      </c>
      <c r="CY95" s="352">
        <f t="shared" si="66"/>
        <v>76.965866199796878</v>
      </c>
      <c r="CZ95" s="352">
        <f t="shared" si="65"/>
        <v>1.3114818410624205</v>
      </c>
      <c r="DA95" s="352">
        <f t="shared" si="46"/>
        <v>553.58211863533154</v>
      </c>
      <c r="DC95" s="352">
        <f>('HRA Balance Calc'!Q107+'HRA Balance Calc'!X107+IF('HRA Balance Calc'!L107&lt;0,-'HRA Balance Calc'!L107,0))/12</f>
        <v>123.25537259754054</v>
      </c>
      <c r="DD95" s="352">
        <f>('HRA Balance Calc'!N107+'HRA Balance Calc'!U107)/12</f>
        <v>172.35725525247415</v>
      </c>
      <c r="DE95" s="352">
        <f>('HRA Balance Calc'!O107+'HRA Balance Calc'!V107)/12</f>
        <v>52.37343081285627</v>
      </c>
      <c r="DF95" s="352">
        <f>('HRA Balance Calc'!P107+'HRA Balance Calc'!W107)/12</f>
        <v>0.52845265971748057</v>
      </c>
      <c r="DG95" s="352">
        <f t="shared" si="63"/>
        <v>348.51451132258842</v>
      </c>
      <c r="DI95" s="352">
        <f t="shared" si="32"/>
        <v>-64.744505740998221</v>
      </c>
      <c r="DJ95" s="352">
        <f t="shared" si="32"/>
        <v>-5.9268799969506176</v>
      </c>
      <c r="DK95" s="352">
        <f t="shared" si="32"/>
        <v>-18.223642366334786</v>
      </c>
      <c r="DL95" s="352">
        <f t="shared" si="32"/>
        <v>1.5875630768839384</v>
      </c>
      <c r="DM95" s="352">
        <f t="shared" si="32"/>
        <v>-87.307465027399644</v>
      </c>
    </row>
    <row r="96" spans="1:117" x14ac:dyDescent="0.2">
      <c r="A96">
        <v>91</v>
      </c>
      <c r="B96" s="397">
        <v>34308</v>
      </c>
      <c r="C96" s="398">
        <v>397997.79676138877</v>
      </c>
      <c r="D96" s="399">
        <v>180.99232683142944</v>
      </c>
      <c r="E96" s="399">
        <v>517.39560929934089</v>
      </c>
      <c r="F96" s="399">
        <v>114.41544604383603</v>
      </c>
      <c r="G96" s="399">
        <v>1.6072484742660937</v>
      </c>
      <c r="H96" s="399">
        <v>814.41063064887237</v>
      </c>
      <c r="I96" s="400">
        <v>4.1906556823290593E-2</v>
      </c>
      <c r="J96" s="400">
        <v>0.27967146802473319</v>
      </c>
      <c r="K96" s="400">
        <v>7.3869755660044903E-3</v>
      </c>
      <c r="L96" s="400">
        <v>1.0788094891726023</v>
      </c>
      <c r="M96" s="400">
        <v>0.89936940081757444</v>
      </c>
      <c r="N96" s="400">
        <v>0.91830553579451857</v>
      </c>
      <c r="O96" s="399">
        <f t="shared" si="35"/>
        <v>10.476639205822648</v>
      </c>
      <c r="P96" s="399">
        <f t="shared" si="35"/>
        <v>0</v>
      </c>
      <c r="Q96" s="399">
        <f t="shared" si="35"/>
        <v>7.38697556600449</v>
      </c>
      <c r="R96" s="399">
        <f t="shared" si="33"/>
        <v>22.398745005884937</v>
      </c>
      <c r="S96" s="399">
        <f t="shared" si="33"/>
        <v>26.981082024527232</v>
      </c>
      <c r="T96" s="399">
        <f t="shared" si="33"/>
        <v>55.098332147671115</v>
      </c>
      <c r="U96" s="399">
        <f t="shared" si="47"/>
        <v>122.34177394991043</v>
      </c>
      <c r="V96" s="400">
        <v>6.8844634917515643E-3</v>
      </c>
      <c r="W96" s="400">
        <v>4.5328201554619203E-2</v>
      </c>
      <c r="X96" s="400">
        <v>1.070357684053712E-3</v>
      </c>
      <c r="Y96" s="400">
        <v>0.27411211692368043</v>
      </c>
      <c r="Z96" s="400">
        <v>8.3280762531140154E-2</v>
      </c>
      <c r="AA96" s="400">
        <v>8.3083575509906582E-2</v>
      </c>
      <c r="AB96" s="352">
        <f t="shared" si="36"/>
        <v>1.721115872937891</v>
      </c>
      <c r="AC96" s="352">
        <f t="shared" si="36"/>
        <v>0</v>
      </c>
      <c r="AD96" s="352">
        <f t="shared" si="36"/>
        <v>1.0703576840537119</v>
      </c>
      <c r="AE96" s="352">
        <f t="shared" si="34"/>
        <v>9.7168457394352625</v>
      </c>
      <c r="AF96" s="352">
        <f t="shared" si="34"/>
        <v>2.4984228759342044</v>
      </c>
      <c r="AG96" s="352">
        <f t="shared" si="34"/>
        <v>4.9850145305943947</v>
      </c>
      <c r="AH96" s="400">
        <f t="shared" si="48"/>
        <v>19.991756702955463</v>
      </c>
      <c r="AJ96" s="352">
        <f>D96*('Assumptions-Output Override'!$D$10/'Winners-Losers HRA'!$H$107)*(1+'Assumptions-Output Override'!$F$41)</f>
        <v>216.03461238002262</v>
      </c>
      <c r="AK96" s="352">
        <f>E96*('Assumptions-Output Override'!$D$10/'Winners-Losers HRA'!$H$107)*(1+'Assumptions-Output Override'!$F$37)</f>
        <v>851.51867131659742</v>
      </c>
      <c r="AL96" s="352">
        <f>F96*('Assumptions-Output Override'!$D$10/'Winners-Losers HRA'!$H$107)*(1+'Assumptions-Output Override'!$F$38)</f>
        <v>192.20032470587006</v>
      </c>
      <c r="AM96" s="352">
        <f>G96*('Shoppable Detail'!$X$21/'Shoppable Detail'!$H$21)*('Assumptions-Output Override'!$D$10/'Winners-Losers HRA'!$H$107)*(1+'Assumptions-Output Override'!$F$39)</f>
        <v>2.7560966071720845</v>
      </c>
      <c r="AN96" s="352">
        <f t="shared" si="49"/>
        <v>1262.5097050096622</v>
      </c>
      <c r="AO96" s="352">
        <v>0</v>
      </c>
      <c r="AP96" s="352">
        <f>U96*'Assumptions-Output Override'!$D$10/'Winners-Losers HRA'!$H$107*(1+'Assumptions-Output Override'!$F$37)</f>
        <v>201.34748522783019</v>
      </c>
      <c r="AQ96" s="352">
        <f>AH96*'Assumptions-Output Override'!$D$10/'Winners-Losers HRA'!$H$107*(1+'Assumptions-Output Override'!$F$38)</f>
        <v>33.583071714606135</v>
      </c>
      <c r="AR96" s="352">
        <f>AM96*('Shoppable Detail'!$AA$23/'Shoppable Detail'!$Y$23)</f>
        <v>9.208984197766637E-2</v>
      </c>
      <c r="AS96" s="352">
        <f t="shared" si="50"/>
        <v>235.02264678441401</v>
      </c>
      <c r="AT96" s="352">
        <f t="shared" si="51"/>
        <v>216.03461238002262</v>
      </c>
      <c r="AU96" s="352">
        <f t="shared" si="51"/>
        <v>650.17118608876717</v>
      </c>
      <c r="AV96" s="352">
        <f t="shared" si="51"/>
        <v>158.61725299126391</v>
      </c>
      <c r="AW96" s="352">
        <f t="shared" si="37"/>
        <v>2.6640067651944181</v>
      </c>
      <c r="AX96" s="352">
        <f t="shared" si="52"/>
        <v>1027.4870582252481</v>
      </c>
      <c r="AY96" s="352">
        <f>AT96*'Assumptions-Output Override'!$D$24</f>
        <v>65.816223990317738</v>
      </c>
      <c r="AZ96" s="352">
        <f>$AU$107*'Assumptions-Output Override'!$D$21</f>
        <v>46.041131296780591</v>
      </c>
      <c r="BA96" s="352">
        <f>AV96*'Assumptions-Output Override'!$D$22</f>
        <v>23.792587948689587</v>
      </c>
      <c r="BB96" s="352">
        <f>AW96*'Assumptions-Output Override'!$D$23</f>
        <v>0.39960101477916271</v>
      </c>
      <c r="BC96" s="352">
        <f t="shared" si="53"/>
        <v>136.0495442505671</v>
      </c>
      <c r="BD96" s="352">
        <f t="shared" si="54"/>
        <v>65.816223990317738</v>
      </c>
      <c r="BE96" s="352">
        <f t="shared" si="54"/>
        <v>247.38861652461077</v>
      </c>
      <c r="BF96" s="352">
        <f t="shared" si="54"/>
        <v>57.375659663295721</v>
      </c>
      <c r="BG96" s="352">
        <f t="shared" si="38"/>
        <v>0.49169085675682911</v>
      </c>
      <c r="BH96" s="352">
        <f t="shared" si="55"/>
        <v>371.07219103498102</v>
      </c>
      <c r="BJ96" s="401">
        <f>D96*'Assumptions-Output Override'!$D$10/'Winners-Losers HRA'!$H$107</f>
        <v>305.7826140607965</v>
      </c>
      <c r="BK96" s="401">
        <f>E96*'Assumptions-Output Override'!$D$10/'Winners-Losers HRA'!$H$107</f>
        <v>874.12866989926806</v>
      </c>
      <c r="BL96" s="401">
        <f>F96*'Assumptions-Output Override'!$D$10/'Winners-Losers HRA'!$H$107</f>
        <v>193.30241669748406</v>
      </c>
      <c r="BM96" s="401">
        <f>G96*'Assumptions-Output Override'!$D$10/'Winners-Losers HRA'!$H$107</f>
        <v>2.7154114680455566</v>
      </c>
      <c r="BN96" s="401">
        <f t="shared" si="39"/>
        <v>1375.9291121255942</v>
      </c>
      <c r="BO96" s="401">
        <f>BJ96*(1-'Assumptions-Output Override'!$D$11)</f>
        <v>43.580071646774094</v>
      </c>
      <c r="BP96" s="401">
        <f>BK96*(1-'Assumptions-Output Override'!$D$11)</f>
        <v>124.58062790690703</v>
      </c>
      <c r="BQ96" s="401">
        <f>BL96*(1-'Assumptions-Output Override'!$D$11)</f>
        <v>27.549418383531865</v>
      </c>
      <c r="BR96" s="401">
        <f>BM96*(1-'Assumptions-Output Override'!$D$11)</f>
        <v>0.3869998518109638</v>
      </c>
      <c r="BS96" s="352">
        <f t="shared" si="40"/>
        <v>196.09711778902397</v>
      </c>
      <c r="BT96" s="352">
        <f t="shared" si="56"/>
        <v>262.20254241402239</v>
      </c>
      <c r="BU96" s="352">
        <f t="shared" si="56"/>
        <v>749.54804199236105</v>
      </c>
      <c r="BV96" s="352">
        <f t="shared" si="56"/>
        <v>165.75299831395219</v>
      </c>
      <c r="BW96" s="352">
        <f t="shared" si="41"/>
        <v>2.3284116162345927</v>
      </c>
      <c r="BX96" s="352">
        <f t="shared" si="42"/>
        <v>1179.8319943365705</v>
      </c>
      <c r="BY96" s="352">
        <f>BT$107*(1-'Assumptions-Output Override'!$D$12)</f>
        <v>22.753074310428271</v>
      </c>
      <c r="BZ96" s="352">
        <f>BU$107*(1-'Assumptions-Output Override'!$D$12)</f>
        <v>51.446038369839215</v>
      </c>
      <c r="CA96" s="352">
        <f>BV$107*(1-'Assumptions-Output Override'!$D$12)</f>
        <v>9.7401900534537411</v>
      </c>
      <c r="CB96" s="352">
        <f>BW$107*(1-'Assumptions-Output Override'!$D$12)</f>
        <v>1.7000814189516649</v>
      </c>
      <c r="CC96" s="352">
        <f t="shared" si="43"/>
        <v>85.639384152672903</v>
      </c>
      <c r="CD96" s="352">
        <f t="shared" si="57"/>
        <v>66.333145957202362</v>
      </c>
      <c r="CE96" s="352">
        <f t="shared" si="57"/>
        <v>176.02666627674625</v>
      </c>
      <c r="CF96" s="352">
        <f t="shared" si="57"/>
        <v>37.289608436985603</v>
      </c>
      <c r="CG96" s="352">
        <f t="shared" si="44"/>
        <v>2.0870812707626287</v>
      </c>
      <c r="CH96" s="352">
        <f t="shared" si="45"/>
        <v>281.73650194169682</v>
      </c>
      <c r="CJ96" s="352">
        <f t="shared" si="58"/>
        <v>281.73650194169682</v>
      </c>
      <c r="CK96" s="352">
        <f t="shared" si="59"/>
        <v>235.02264678441395</v>
      </c>
      <c r="CL96" s="352">
        <f t="shared" si="60"/>
        <v>46.713855157282865</v>
      </c>
      <c r="CN96" s="352">
        <f>('HRA Balance Calc'!U108+'HRA Balance Calc'!V108+'HRA Balance Calc'!W108+'HRA Balance Calc'!X108)/12</f>
        <v>150.38883759268347</v>
      </c>
      <c r="CO96" s="352">
        <f>('HRA Balance Calc'!Q108+IF('HRA Balance Calc'!L108&lt;0,-'HRA Balance Calc'!L108,0))/12</f>
        <v>0</v>
      </c>
      <c r="CP96" s="352">
        <f>('HRA Balance Calc'!N108)/12</f>
        <v>201.34748522783016</v>
      </c>
      <c r="CQ96" s="352">
        <f>('HRA Balance Calc'!O108)/12</f>
        <v>33.583071714606135</v>
      </c>
      <c r="CR96" s="352">
        <f>('HRA Balance Calc'!P108)/12</f>
        <v>9.2089841977666384E-2</v>
      </c>
      <c r="CS96" s="352">
        <f t="shared" si="64"/>
        <v>235.02264678441395</v>
      </c>
      <c r="CU96" s="577">
        <f t="shared" si="61"/>
        <v>-776.99344128012683</v>
      </c>
      <c r="CV96" s="352">
        <f t="shared" si="62"/>
        <v>-64.749453440010569</v>
      </c>
      <c r="CW96" s="352">
        <f t="shared" si="66"/>
        <v>137.41225518465535</v>
      </c>
      <c r="CX96" s="352">
        <f t="shared" si="66"/>
        <v>392.81498139243388</v>
      </c>
      <c r="CY96" s="352">
        <f t="shared" si="66"/>
        <v>86.866027660304155</v>
      </c>
      <c r="CZ96" s="352">
        <f t="shared" si="65"/>
        <v>1.2202486224551299</v>
      </c>
      <c r="DA96" s="352">
        <f t="shared" si="46"/>
        <v>618.31351285984852</v>
      </c>
      <c r="DC96" s="352">
        <f>('HRA Balance Calc'!Q108+'HRA Balance Calc'!X108+IF('HRA Balance Calc'!L108&lt;0,-'HRA Balance Calc'!L108,0))/12</f>
        <v>150.21838838970487</v>
      </c>
      <c r="DD96" s="352">
        <f>('HRA Balance Calc'!N108+'HRA Balance Calc'!U108)/12</f>
        <v>177.32574546734</v>
      </c>
      <c r="DE96" s="352">
        <f>('HRA Balance Calc'!O108+'HRA Balance Calc'!V108)/12</f>
        <v>57.375659663295721</v>
      </c>
      <c r="DF96" s="352">
        <f>('HRA Balance Calc'!P108+'HRA Balance Calc'!W108)/12</f>
        <v>0.49169085675682905</v>
      </c>
      <c r="DG96" s="352">
        <f t="shared" si="63"/>
        <v>385.41148437709739</v>
      </c>
      <c r="DI96" s="352">
        <f t="shared" si="32"/>
        <v>-83.885242432502508</v>
      </c>
      <c r="DJ96" s="352">
        <f t="shared" si="32"/>
        <v>-1.2990791905937442</v>
      </c>
      <c r="DK96" s="352">
        <f t="shared" si="32"/>
        <v>-20.086051226310119</v>
      </c>
      <c r="DL96" s="352">
        <f t="shared" si="32"/>
        <v>1.5953904140057997</v>
      </c>
      <c r="DM96" s="352">
        <f t="shared" si="32"/>
        <v>-103.67498243540058</v>
      </c>
    </row>
    <row r="97" spans="1:117" x14ac:dyDescent="0.2">
      <c r="A97">
        <v>92</v>
      </c>
      <c r="B97" s="397">
        <v>34308</v>
      </c>
      <c r="C97" s="398">
        <v>397997.79676138877</v>
      </c>
      <c r="D97" s="399">
        <v>228.06716330005511</v>
      </c>
      <c r="E97" s="399">
        <v>562.62332921472489</v>
      </c>
      <c r="F97" s="399">
        <v>124.56589978172774</v>
      </c>
      <c r="G97" s="399">
        <v>1.8189052828465133</v>
      </c>
      <c r="H97" s="399">
        <v>917.07529757935413</v>
      </c>
      <c r="I97" s="400">
        <v>4.3313796741622057E-2</v>
      </c>
      <c r="J97" s="400">
        <v>0.30540349865904581</v>
      </c>
      <c r="K97" s="400">
        <v>1.0030206278738071E-2</v>
      </c>
      <c r="L97" s="400">
        <v>1.1046669955215354</v>
      </c>
      <c r="M97" s="400">
        <v>0.92426878488612574</v>
      </c>
      <c r="N97" s="400">
        <v>0.93417049799125029</v>
      </c>
      <c r="O97" s="399">
        <f t="shared" si="35"/>
        <v>10.828449185405514</v>
      </c>
      <c r="P97" s="399">
        <f t="shared" si="35"/>
        <v>0</v>
      </c>
      <c r="Q97" s="399">
        <f t="shared" si="35"/>
        <v>10.030206278738071</v>
      </c>
      <c r="R97" s="399">
        <f t="shared" si="33"/>
        <v>22.935610594305004</v>
      </c>
      <c r="S97" s="399">
        <f t="shared" si="33"/>
        <v>27.728063546583773</v>
      </c>
      <c r="T97" s="399">
        <f t="shared" si="33"/>
        <v>56.050229879475019</v>
      </c>
      <c r="U97" s="399">
        <f t="shared" si="47"/>
        <v>127.57255948450737</v>
      </c>
      <c r="V97" s="400">
        <v>6.7379591288973207E-3</v>
      </c>
      <c r="W97" s="400">
        <v>4.864938096678055E-2</v>
      </c>
      <c r="X97" s="400">
        <v>1.4899579968165519E-3</v>
      </c>
      <c r="Y97" s="400">
        <v>0.2804087081381148</v>
      </c>
      <c r="Z97" s="400">
        <v>8.4385190755560016E-2</v>
      </c>
      <c r="AA97" s="400">
        <v>8.494871146302127E-2</v>
      </c>
      <c r="AB97" s="352">
        <f t="shared" si="36"/>
        <v>1.6844897822243301</v>
      </c>
      <c r="AC97" s="352">
        <f t="shared" si="36"/>
        <v>0</v>
      </c>
      <c r="AD97" s="352">
        <f t="shared" si="36"/>
        <v>1.4899579968165519</v>
      </c>
      <c r="AE97" s="352">
        <f t="shared" si="34"/>
        <v>9.9400500479554044</v>
      </c>
      <c r="AF97" s="352">
        <f t="shared" si="34"/>
        <v>2.5315557226668006</v>
      </c>
      <c r="AG97" s="352">
        <f t="shared" si="34"/>
        <v>5.0969226877812766</v>
      </c>
      <c r="AH97" s="400">
        <f t="shared" si="48"/>
        <v>20.742976237444363</v>
      </c>
      <c r="AJ97" s="352">
        <f>D97*('Assumptions-Output Override'!$D$10/'Winners-Losers HRA'!$H$107)*(1+'Assumptions-Output Override'!$F$41)</f>
        <v>272.223701870122</v>
      </c>
      <c r="AK97" s="352">
        <f>E97*('Assumptions-Output Override'!$D$10/'Winners-Losers HRA'!$H$107)*(1+'Assumptions-Output Override'!$F$37)</f>
        <v>925.95348923316305</v>
      </c>
      <c r="AL97" s="352">
        <f>F97*('Assumptions-Output Override'!$D$10/'Winners-Losers HRA'!$H$107)*(1+'Assumptions-Output Override'!$F$38)</f>
        <v>209.25152340143117</v>
      </c>
      <c r="AM97" s="352">
        <f>G97*('Shoppable Detail'!$X$21/'Shoppable Detail'!$H$21)*('Assumptions-Output Override'!$D$10/'Winners-Losers HRA'!$H$107)*(1+'Assumptions-Output Override'!$F$39)</f>
        <v>3.119043980495761</v>
      </c>
      <c r="AN97" s="352">
        <f t="shared" si="49"/>
        <v>1410.5477584852119</v>
      </c>
      <c r="AO97" s="352">
        <v>0</v>
      </c>
      <c r="AP97" s="352">
        <f>U97*'Assumptions-Output Override'!$D$10/'Winners-Losers HRA'!$H$107*(1+'Assumptions-Output Override'!$F$37)</f>
        <v>209.95620062530685</v>
      </c>
      <c r="AQ97" s="352">
        <f>AH97*'Assumptions-Output Override'!$D$10/'Winners-Losers HRA'!$H$107*(1+'Assumptions-Output Override'!$F$38)</f>
        <v>34.845004814083282</v>
      </c>
      <c r="AR97" s="352">
        <f>AM97*('Shoppable Detail'!$AA$23/'Shoppable Detail'!$Y$23)</f>
        <v>0.1042170534000124</v>
      </c>
      <c r="AS97" s="352">
        <f t="shared" si="50"/>
        <v>244.90542249279014</v>
      </c>
      <c r="AT97" s="352">
        <f t="shared" si="51"/>
        <v>272.223701870122</v>
      </c>
      <c r="AU97" s="352">
        <f t="shared" si="51"/>
        <v>715.99728860785626</v>
      </c>
      <c r="AV97" s="352">
        <f t="shared" si="51"/>
        <v>174.40651858734788</v>
      </c>
      <c r="AW97" s="352">
        <f t="shared" si="37"/>
        <v>3.0148269270957488</v>
      </c>
      <c r="AX97" s="352">
        <f t="shared" si="52"/>
        <v>1165.642335992422</v>
      </c>
      <c r="AY97" s="352">
        <f>AT97*'Assumptions-Output Override'!$D$24</f>
        <v>82.934562847921868</v>
      </c>
      <c r="AZ97" s="352">
        <f>$AU$107*'Assumptions-Output Override'!$D$21</f>
        <v>46.041131296780591</v>
      </c>
      <c r="BA97" s="352">
        <f>AV97*'Assumptions-Output Override'!$D$22</f>
        <v>26.16097778810218</v>
      </c>
      <c r="BB97" s="352">
        <f>AW97*'Assumptions-Output Override'!$D$23</f>
        <v>0.45222403906436232</v>
      </c>
      <c r="BC97" s="352">
        <f t="shared" si="53"/>
        <v>155.58889597186899</v>
      </c>
      <c r="BD97" s="352">
        <f t="shared" si="54"/>
        <v>82.934562847921868</v>
      </c>
      <c r="BE97" s="352">
        <f t="shared" si="54"/>
        <v>255.99733192208743</v>
      </c>
      <c r="BF97" s="352">
        <f t="shared" si="54"/>
        <v>61.005982602185462</v>
      </c>
      <c r="BG97" s="352">
        <f t="shared" si="38"/>
        <v>0.55644109246437468</v>
      </c>
      <c r="BH97" s="352">
        <f t="shared" si="55"/>
        <v>400.4943184646591</v>
      </c>
      <c r="BJ97" s="401">
        <f>D97*'Assumptions-Output Override'!$D$10/'Winners-Losers HRA'!$H$107</f>
        <v>385.31453015836468</v>
      </c>
      <c r="BK97" s="401">
        <f>E97*'Assumptions-Output Override'!$D$10/'Winners-Losers HRA'!$H$107</f>
        <v>950.53992260732537</v>
      </c>
      <c r="BL97" s="401">
        <f>F97*'Assumptions-Output Override'!$D$10/'Winners-Losers HRA'!$H$107</f>
        <v>210.45138832635607</v>
      </c>
      <c r="BM97" s="401">
        <f>G97*'Assumptions-Output Override'!$D$10/'Winners-Losers HRA'!$H$107</f>
        <v>3.0730010595190413</v>
      </c>
      <c r="BN97" s="401">
        <f t="shared" si="39"/>
        <v>1549.3788421515651</v>
      </c>
      <c r="BO97" s="401">
        <f>BJ97*(1-'Assumptions-Output Override'!$D$11)</f>
        <v>54.914943030430088</v>
      </c>
      <c r="BP97" s="401">
        <f>BK97*(1-'Assumptions-Output Override'!$D$11)</f>
        <v>135.47074302304904</v>
      </c>
      <c r="BQ97" s="401">
        <f>BL97*(1-'Assumptions-Output Override'!$D$11)</f>
        <v>29.993486090095939</v>
      </c>
      <c r="BR97" s="401">
        <f>BM97*(1-'Assumptions-Output Override'!$D$11)</f>
        <v>0.43796344261033066</v>
      </c>
      <c r="BS97" s="352">
        <f t="shared" si="40"/>
        <v>220.8171355861854</v>
      </c>
      <c r="BT97" s="352">
        <f t="shared" si="56"/>
        <v>330.39958712793458</v>
      </c>
      <c r="BU97" s="352">
        <f t="shared" si="56"/>
        <v>815.0691795842763</v>
      </c>
      <c r="BV97" s="352">
        <f t="shared" si="56"/>
        <v>180.45790223626014</v>
      </c>
      <c r="BW97" s="352">
        <f t="shared" si="41"/>
        <v>2.6350376169087109</v>
      </c>
      <c r="BX97" s="352">
        <f t="shared" si="42"/>
        <v>1328.5617065653798</v>
      </c>
      <c r="BY97" s="352">
        <f>BT$107*(1-'Assumptions-Output Override'!$D$12)</f>
        <v>22.753074310428271</v>
      </c>
      <c r="BZ97" s="352">
        <f>BU$107*(1-'Assumptions-Output Override'!$D$12)</f>
        <v>51.446038369839215</v>
      </c>
      <c r="CA97" s="352">
        <f>BV$107*(1-'Assumptions-Output Override'!$D$12)</f>
        <v>9.7401900534537411</v>
      </c>
      <c r="CB97" s="352">
        <f>BW$107*(1-'Assumptions-Output Override'!$D$12)</f>
        <v>1.7000814189516649</v>
      </c>
      <c r="CC97" s="352">
        <f t="shared" si="43"/>
        <v>85.639384152672903</v>
      </c>
      <c r="CD97" s="352">
        <f t="shared" si="57"/>
        <v>77.668017340858356</v>
      </c>
      <c r="CE97" s="352">
        <f t="shared" si="57"/>
        <v>186.91678139288825</v>
      </c>
      <c r="CF97" s="352">
        <f t="shared" si="57"/>
        <v>39.73367614354968</v>
      </c>
      <c r="CG97" s="352">
        <f t="shared" si="44"/>
        <v>2.1380448615619954</v>
      </c>
      <c r="CH97" s="352">
        <f t="shared" si="45"/>
        <v>306.45651973885828</v>
      </c>
      <c r="CJ97" s="352">
        <f t="shared" si="58"/>
        <v>306.45651973885828</v>
      </c>
      <c r="CK97" s="352">
        <f t="shared" si="59"/>
        <v>244.90542249279019</v>
      </c>
      <c r="CL97" s="352">
        <f t="shared" si="60"/>
        <v>61.551097246068082</v>
      </c>
      <c r="CN97" s="352">
        <f>('HRA Balance Calc'!U109+'HRA Balance Calc'!V109+'HRA Balance Calc'!W109+'HRA Balance Calc'!X109)/12</f>
        <v>191.88060108887649</v>
      </c>
      <c r="CO97" s="352">
        <f>('HRA Balance Calc'!Q109+IF('HRA Balance Calc'!L109&lt;0,-'HRA Balance Calc'!L109,0))/12</f>
        <v>0</v>
      </c>
      <c r="CP97" s="352">
        <f>('HRA Balance Calc'!N109)/12</f>
        <v>209.95620062530688</v>
      </c>
      <c r="CQ97" s="352">
        <f>('HRA Balance Calc'!O109)/12</f>
        <v>34.845004814083282</v>
      </c>
      <c r="CR97" s="352">
        <f>('HRA Balance Calc'!P109)/12</f>
        <v>0.1042170534000124</v>
      </c>
      <c r="CS97" s="352">
        <f t="shared" si="64"/>
        <v>244.90542249279019</v>
      </c>
      <c r="CU97" s="577">
        <f t="shared" si="61"/>
        <v>-1274.8946032344429</v>
      </c>
      <c r="CV97" s="352">
        <f t="shared" si="62"/>
        <v>-106.24121693620359</v>
      </c>
      <c r="CW97" s="352">
        <f t="shared" si="66"/>
        <v>173.15222026962502</v>
      </c>
      <c r="CX97" s="352">
        <f t="shared" si="66"/>
        <v>427.15258619167582</v>
      </c>
      <c r="CY97" s="352">
        <f t="shared" si="66"/>
        <v>94.572413691631795</v>
      </c>
      <c r="CZ97" s="352">
        <f t="shared" si="65"/>
        <v>1.3809418402361826</v>
      </c>
      <c r="DA97" s="352">
        <f t="shared" si="46"/>
        <v>696.25816199316887</v>
      </c>
      <c r="DC97" s="352">
        <f>('HRA Balance Calc'!Q109+'HRA Balance Calc'!X109+IF('HRA Balance Calc'!L109&lt;0,-'HRA Balance Calc'!L109,0))/12</f>
        <v>189.28913902220009</v>
      </c>
      <c r="DD97" s="352">
        <f>('HRA Balance Calc'!N109+'HRA Balance Calc'!U109)/12</f>
        <v>185.93446086481671</v>
      </c>
      <c r="DE97" s="352">
        <f>('HRA Balance Calc'!O109+'HRA Balance Calc'!V109)/12</f>
        <v>61.005982602185462</v>
      </c>
      <c r="DF97" s="352">
        <f>('HRA Balance Calc'!P109+'HRA Balance Calc'!W109)/12</f>
        <v>0.55644109246437479</v>
      </c>
      <c r="DG97" s="352">
        <f t="shared" si="63"/>
        <v>436.7860235816666</v>
      </c>
      <c r="DI97" s="352">
        <f t="shared" si="32"/>
        <v>-111.62112168134173</v>
      </c>
      <c r="DJ97" s="352">
        <f t="shared" si="32"/>
        <v>0.98232052807153991</v>
      </c>
      <c r="DK97" s="352">
        <f t="shared" si="32"/>
        <v>-21.272306458635782</v>
      </c>
      <c r="DL97" s="352">
        <f t="shared" si="32"/>
        <v>1.5816037690976206</v>
      </c>
      <c r="DM97" s="352">
        <f t="shared" si="32"/>
        <v>-130.32950384280832</v>
      </c>
    </row>
    <row r="98" spans="1:117" x14ac:dyDescent="0.2">
      <c r="A98">
        <v>93</v>
      </c>
      <c r="B98" s="397">
        <v>34308</v>
      </c>
      <c r="C98" s="398">
        <v>397997.79676138877</v>
      </c>
      <c r="D98" s="399">
        <v>291.34679888873006</v>
      </c>
      <c r="E98" s="399">
        <v>610.79384668925513</v>
      </c>
      <c r="F98" s="399">
        <v>138.38340482597678</v>
      </c>
      <c r="G98" s="399">
        <v>2.4797477707385718</v>
      </c>
      <c r="H98" s="399">
        <v>1043.0037981747007</v>
      </c>
      <c r="I98" s="400">
        <v>4.4578815604377341E-2</v>
      </c>
      <c r="J98" s="400">
        <v>0.320747154470714</v>
      </c>
      <c r="K98" s="400">
        <v>1.2613135150116511E-2</v>
      </c>
      <c r="L98" s="400">
        <v>1.1178659653516057</v>
      </c>
      <c r="M98" s="400">
        <v>0.92898333359788132</v>
      </c>
      <c r="N98" s="400">
        <v>0.9738851399531262</v>
      </c>
      <c r="O98" s="399">
        <f t="shared" si="35"/>
        <v>11.144703901094335</v>
      </c>
      <c r="P98" s="399">
        <f t="shared" si="35"/>
        <v>0</v>
      </c>
      <c r="Q98" s="399">
        <f t="shared" si="35"/>
        <v>12.613135150116511</v>
      </c>
      <c r="R98" s="399">
        <f t="shared" si="33"/>
        <v>23.209653752556104</v>
      </c>
      <c r="S98" s="399">
        <f t="shared" si="33"/>
        <v>27.869500007936441</v>
      </c>
      <c r="T98" s="399">
        <f t="shared" si="33"/>
        <v>58.433108397187574</v>
      </c>
      <c r="U98" s="399">
        <f t="shared" si="47"/>
        <v>133.27010120889096</v>
      </c>
      <c r="V98" s="400">
        <v>7.0905628496651402E-3</v>
      </c>
      <c r="W98" s="400">
        <v>5.1098983576199269E-2</v>
      </c>
      <c r="X98" s="400">
        <v>1.9447343837032231E-3</v>
      </c>
      <c r="Y98" s="400">
        <v>0.28049989939109243</v>
      </c>
      <c r="Z98" s="400">
        <v>8.8202297313340297E-2</v>
      </c>
      <c r="AA98" s="400">
        <v>9.0731356539772809E-2</v>
      </c>
      <c r="AB98" s="352">
        <f t="shared" si="36"/>
        <v>1.7726407124162851</v>
      </c>
      <c r="AC98" s="352">
        <f t="shared" si="36"/>
        <v>0</v>
      </c>
      <c r="AD98" s="352">
        <f t="shared" si="36"/>
        <v>1.9447343837032232</v>
      </c>
      <c r="AE98" s="352">
        <f t="shared" si="34"/>
        <v>9.9432826352190169</v>
      </c>
      <c r="AF98" s="352">
        <f t="shared" si="34"/>
        <v>2.6460689194002089</v>
      </c>
      <c r="AG98" s="352">
        <f t="shared" si="34"/>
        <v>5.4438813923863689</v>
      </c>
      <c r="AH98" s="400">
        <f t="shared" si="48"/>
        <v>21.750608043125101</v>
      </c>
      <c r="AJ98" s="352">
        <f>D98*('Assumptions-Output Override'!$D$10/'Winners-Losers HRA'!$H$107)*(1+'Assumptions-Output Override'!$F$41)</f>
        <v>347.75503397284052</v>
      </c>
      <c r="AK98" s="352">
        <f>E98*('Assumptions-Output Override'!$D$10/'Winners-Losers HRA'!$H$107)*(1+'Assumptions-Output Override'!$F$37)</f>
        <v>1005.2315006799394</v>
      </c>
      <c r="AL98" s="352">
        <f>F98*('Assumptions-Output Override'!$D$10/'Winners-Losers HRA'!$H$107)*(1+'Assumptions-Output Override'!$F$38)</f>
        <v>232.46280341612578</v>
      </c>
      <c r="AM98" s="352">
        <f>G98*('Shoppable Detail'!$X$21/'Shoppable Detail'!$H$21)*('Assumptions-Output Override'!$D$10/'Winners-Losers HRA'!$H$107)*(1+'Assumptions-Output Override'!$F$39)</f>
        <v>4.2522513021490793</v>
      </c>
      <c r="AN98" s="352">
        <f t="shared" si="49"/>
        <v>1589.7015893710548</v>
      </c>
      <c r="AO98" s="352">
        <v>0</v>
      </c>
      <c r="AP98" s="352">
        <f>U98*'Assumptions-Output Override'!$D$10/'Winners-Losers HRA'!$H$107*(1+'Assumptions-Output Override'!$F$37)</f>
        <v>219.33309341627586</v>
      </c>
      <c r="AQ98" s="352">
        <f>AH98*'Assumptions-Output Override'!$D$10/'Winners-Losers HRA'!$H$107*(1+'Assumptions-Output Override'!$F$38)</f>
        <v>36.53767103120925</v>
      </c>
      <c r="AR98" s="352">
        <f>AM98*('Shoppable Detail'!$AA$23/'Shoppable Detail'!$Y$23)</f>
        <v>0.1420810683650266</v>
      </c>
      <c r="AS98" s="352">
        <f t="shared" si="50"/>
        <v>256.01284551585013</v>
      </c>
      <c r="AT98" s="352">
        <f t="shared" si="51"/>
        <v>347.75503397284052</v>
      </c>
      <c r="AU98" s="352">
        <f t="shared" si="51"/>
        <v>785.89840726366356</v>
      </c>
      <c r="AV98" s="352">
        <f t="shared" si="51"/>
        <v>195.92513238491654</v>
      </c>
      <c r="AW98" s="352">
        <f t="shared" si="37"/>
        <v>4.1101702337840527</v>
      </c>
      <c r="AX98" s="352">
        <f t="shared" si="52"/>
        <v>1333.6887438552046</v>
      </c>
      <c r="AY98" s="352">
        <f>AT98*'Assumptions-Output Override'!$D$24</f>
        <v>105.9456304596936</v>
      </c>
      <c r="AZ98" s="352">
        <f>$AU$107*'Assumptions-Output Override'!$D$21</f>
        <v>46.041131296780591</v>
      </c>
      <c r="BA98" s="352">
        <f>AV98*'Assumptions-Output Override'!$D$22</f>
        <v>29.388769857737479</v>
      </c>
      <c r="BB98" s="352">
        <f>AW98*'Assumptions-Output Override'!$D$23</f>
        <v>0.61652553506760788</v>
      </c>
      <c r="BC98" s="352">
        <f t="shared" si="53"/>
        <v>181.9920571492793</v>
      </c>
      <c r="BD98" s="352">
        <f t="shared" si="54"/>
        <v>105.9456304596936</v>
      </c>
      <c r="BE98" s="352">
        <f t="shared" si="54"/>
        <v>265.37422471305644</v>
      </c>
      <c r="BF98" s="352">
        <f t="shared" si="54"/>
        <v>65.926440888946729</v>
      </c>
      <c r="BG98" s="352">
        <f t="shared" si="38"/>
        <v>0.75860660343263442</v>
      </c>
      <c r="BH98" s="352">
        <f t="shared" si="55"/>
        <v>438.00490266512941</v>
      </c>
      <c r="BJ98" s="401">
        <f>D98*'Assumptions-Output Override'!$D$10/'Winners-Losers HRA'!$H$107</f>
        <v>492.22410320972085</v>
      </c>
      <c r="BK98" s="401">
        <f>E98*'Assumptions-Output Override'!$D$10/'Winners-Losers HRA'!$H$107</f>
        <v>1031.922968020858</v>
      </c>
      <c r="BL98" s="401">
        <f>F98*'Assumptions-Output Override'!$D$10/'Winners-Losers HRA'!$H$107</f>
        <v>233.79576367196887</v>
      </c>
      <c r="BM98" s="401">
        <f>G98*'Assumptions-Output Override'!$D$10/'Winners-Losers HRA'!$H$107</f>
        <v>4.1894801222932303</v>
      </c>
      <c r="BN98" s="401">
        <f t="shared" si="39"/>
        <v>1762.1323150248409</v>
      </c>
      <c r="BO98" s="401">
        <f>BJ98*(1-'Assumptions-Output Override'!$D$11)</f>
        <v>70.151672128369555</v>
      </c>
      <c r="BP98" s="401">
        <f>BK98*(1-'Assumptions-Output Override'!$D$11)</f>
        <v>147.06943695418687</v>
      </c>
      <c r="BQ98" s="401">
        <f>BL98*(1-'Assumptions-Output Override'!$D$11)</f>
        <v>33.320521386840184</v>
      </c>
      <c r="BR98" s="401">
        <f>BM98*(1-'Assumptions-Output Override'!$D$11)</f>
        <v>0.59708379579741011</v>
      </c>
      <c r="BS98" s="352">
        <f t="shared" si="40"/>
        <v>251.13871426519404</v>
      </c>
      <c r="BT98" s="352">
        <f t="shared" si="56"/>
        <v>422.07243108135128</v>
      </c>
      <c r="BU98" s="352">
        <f t="shared" si="56"/>
        <v>884.85353106667117</v>
      </c>
      <c r="BV98" s="352">
        <f t="shared" si="56"/>
        <v>200.47524228512867</v>
      </c>
      <c r="BW98" s="352">
        <f t="shared" si="41"/>
        <v>3.5923963264958201</v>
      </c>
      <c r="BX98" s="352">
        <f t="shared" si="42"/>
        <v>1510.9936007596468</v>
      </c>
      <c r="BY98" s="352">
        <f>BT$107*(1-'Assumptions-Output Override'!$D$12)</f>
        <v>22.753074310428271</v>
      </c>
      <c r="BZ98" s="352">
        <f>BU$107*(1-'Assumptions-Output Override'!$D$12)</f>
        <v>51.446038369839215</v>
      </c>
      <c r="CA98" s="352">
        <f>BV$107*(1-'Assumptions-Output Override'!$D$12)</f>
        <v>9.7401900534537411</v>
      </c>
      <c r="CB98" s="352">
        <f>BW$107*(1-'Assumptions-Output Override'!$D$12)</f>
        <v>1.7000814189516649</v>
      </c>
      <c r="CC98" s="352">
        <f t="shared" si="43"/>
        <v>85.639384152672903</v>
      </c>
      <c r="CD98" s="352">
        <f t="shared" si="57"/>
        <v>92.904746438797829</v>
      </c>
      <c r="CE98" s="352">
        <f t="shared" si="57"/>
        <v>198.51547532402608</v>
      </c>
      <c r="CF98" s="352">
        <f t="shared" si="57"/>
        <v>43.060711440293929</v>
      </c>
      <c r="CG98" s="352">
        <f t="shared" si="44"/>
        <v>2.2971652147490751</v>
      </c>
      <c r="CH98" s="352">
        <f t="shared" si="45"/>
        <v>336.77809841786694</v>
      </c>
      <c r="CJ98" s="352">
        <f t="shared" si="58"/>
        <v>336.77809841786694</v>
      </c>
      <c r="CK98" s="352">
        <f t="shared" si="59"/>
        <v>256.01284551585007</v>
      </c>
      <c r="CL98" s="352">
        <f t="shared" si="60"/>
        <v>80.765252902016869</v>
      </c>
      <c r="CN98" s="352">
        <f>('HRA Balance Calc'!U110+'HRA Balance Calc'!V110+'HRA Balance Calc'!W110+'HRA Balance Calc'!X110)/12</f>
        <v>247.79295914546185</v>
      </c>
      <c r="CO98" s="352">
        <f>('HRA Balance Calc'!Q110+IF('HRA Balance Calc'!L110&lt;0,-'HRA Balance Calc'!L110,0))/12</f>
        <v>0</v>
      </c>
      <c r="CP98" s="352">
        <f>('HRA Balance Calc'!N110)/12</f>
        <v>219.33309341627583</v>
      </c>
      <c r="CQ98" s="352">
        <f>('HRA Balance Calc'!O110)/12</f>
        <v>36.53767103120925</v>
      </c>
      <c r="CR98" s="352">
        <f>('HRA Balance Calc'!P110)/12</f>
        <v>0.1420810683650266</v>
      </c>
      <c r="CS98" s="352">
        <f t="shared" si="64"/>
        <v>256.01284551585007</v>
      </c>
      <c r="CU98" s="577">
        <f t="shared" si="61"/>
        <v>-1945.8428999134674</v>
      </c>
      <c r="CV98" s="352">
        <f t="shared" si="62"/>
        <v>-162.15357499278895</v>
      </c>
      <c r="CW98" s="352">
        <f t="shared" si="66"/>
        <v>221.19512676036049</v>
      </c>
      <c r="CX98" s="352">
        <f t="shared" si="66"/>
        <v>463.72440973506826</v>
      </c>
      <c r="CY98" s="352">
        <f t="shared" si="66"/>
        <v>105.0628834391366</v>
      </c>
      <c r="CZ98" s="352">
        <f t="shared" si="65"/>
        <v>1.8826639749411616</v>
      </c>
      <c r="DA98" s="352">
        <f t="shared" si="46"/>
        <v>791.86508390950644</v>
      </c>
      <c r="DC98" s="352">
        <f>('HRA Balance Calc'!Q110+'HRA Balance Calc'!X110+IF('HRA Balance Calc'!L110&lt;0,-'HRA Balance Calc'!L110,0))/12</f>
        <v>241.80940351314692</v>
      </c>
      <c r="DD98" s="352">
        <f>('HRA Balance Calc'!N110+'HRA Balance Calc'!U110)/12</f>
        <v>195.31135365578567</v>
      </c>
      <c r="DE98" s="352">
        <f>('HRA Balance Calc'!O110+'HRA Balance Calc'!V110)/12</f>
        <v>65.926440888946743</v>
      </c>
      <c r="DF98" s="352">
        <f>('HRA Balance Calc'!P110+'HRA Balance Calc'!W110)/12</f>
        <v>0.75860660343263453</v>
      </c>
      <c r="DG98" s="352">
        <f t="shared" si="63"/>
        <v>503.80580466131192</v>
      </c>
      <c r="DI98" s="352">
        <f t="shared" si="32"/>
        <v>-148.90465707434907</v>
      </c>
      <c r="DJ98" s="352">
        <f t="shared" si="32"/>
        <v>3.2041216682404183</v>
      </c>
      <c r="DK98" s="352">
        <f t="shared" si="32"/>
        <v>-22.865729448652814</v>
      </c>
      <c r="DL98" s="352">
        <f t="shared" si="32"/>
        <v>1.5385586113164407</v>
      </c>
      <c r="DM98" s="352">
        <f t="shared" si="32"/>
        <v>-167.02770624344498</v>
      </c>
    </row>
    <row r="99" spans="1:117" x14ac:dyDescent="0.2">
      <c r="A99">
        <v>94</v>
      </c>
      <c r="B99" s="397">
        <v>34308</v>
      </c>
      <c r="C99" s="398">
        <v>397997.79676138877</v>
      </c>
      <c r="D99" s="399">
        <v>368.95227866144484</v>
      </c>
      <c r="E99" s="399">
        <v>677.57936542373886</v>
      </c>
      <c r="F99" s="399">
        <v>151.44413770475035</v>
      </c>
      <c r="G99" s="399">
        <v>3.4527799710161009</v>
      </c>
      <c r="H99" s="399">
        <v>1201.4285617609501</v>
      </c>
      <c r="I99" s="400">
        <v>4.5444617469024826E-2</v>
      </c>
      <c r="J99" s="400">
        <v>0.34431967065588187</v>
      </c>
      <c r="K99" s="400">
        <v>1.5155862793924859E-2</v>
      </c>
      <c r="L99" s="400">
        <v>1.1571994378155812</v>
      </c>
      <c r="M99" s="400">
        <v>0.95564051634192981</v>
      </c>
      <c r="N99" s="400">
        <v>1.007533718183907</v>
      </c>
      <c r="O99" s="399">
        <f t="shared" si="35"/>
        <v>11.361154367256207</v>
      </c>
      <c r="P99" s="399">
        <f t="shared" si="35"/>
        <v>0</v>
      </c>
      <c r="Q99" s="399">
        <f t="shared" si="35"/>
        <v>15.155862793924859</v>
      </c>
      <c r="R99" s="399">
        <f t="shared" si="33"/>
        <v>24.026313625090491</v>
      </c>
      <c r="S99" s="399">
        <f t="shared" si="33"/>
        <v>28.669215490257894</v>
      </c>
      <c r="T99" s="399">
        <f t="shared" si="33"/>
        <v>60.45202309103442</v>
      </c>
      <c r="U99" s="399">
        <f t="shared" si="47"/>
        <v>139.66456936756387</v>
      </c>
      <c r="V99" s="400">
        <v>8.1620311983363128E-3</v>
      </c>
      <c r="W99" s="400">
        <v>5.4180541445726357E-2</v>
      </c>
      <c r="X99" s="400">
        <v>2.2010172094625623E-3</v>
      </c>
      <c r="Y99" s="400">
        <v>0.28996621066374439</v>
      </c>
      <c r="Z99" s="400">
        <v>8.8185111288554593E-2</v>
      </c>
      <c r="AA99" s="400">
        <v>9.4626252472901476E-2</v>
      </c>
      <c r="AB99" s="352">
        <f t="shared" si="36"/>
        <v>2.0405077995840784</v>
      </c>
      <c r="AC99" s="352">
        <f t="shared" si="36"/>
        <v>0</v>
      </c>
      <c r="AD99" s="352">
        <f t="shared" si="36"/>
        <v>2.2010172094625622</v>
      </c>
      <c r="AE99" s="352">
        <f t="shared" si="34"/>
        <v>10.278848561271992</v>
      </c>
      <c r="AF99" s="352">
        <f t="shared" si="34"/>
        <v>2.6455533386566379</v>
      </c>
      <c r="AG99" s="352">
        <f t="shared" si="34"/>
        <v>5.6775751483740882</v>
      </c>
      <c r="AH99" s="400">
        <f t="shared" si="48"/>
        <v>22.843502057349358</v>
      </c>
      <c r="AJ99" s="352">
        <f>D99*('Assumptions-Output Override'!$D$10/'Winners-Losers HRA'!$H$107)*(1+'Assumptions-Output Override'!$F$41)</f>
        <v>440.38586553775525</v>
      </c>
      <c r="AK99" s="352">
        <f>E99*('Assumptions-Output Override'!$D$10/'Winners-Losers HRA'!$H$107)*(1+'Assumptions-Output Override'!$F$37)</f>
        <v>1115.1456846309584</v>
      </c>
      <c r="AL99" s="352">
        <f>F99*('Assumptions-Output Override'!$D$10/'Winners-Losers HRA'!$H$107)*(1+'Assumptions-Output Override'!$F$38)</f>
        <v>254.40282276661759</v>
      </c>
      <c r="AM99" s="352">
        <f>G99*('Shoppable Detail'!$X$21/'Shoppable Detail'!$H$21)*('Assumptions-Output Override'!$D$10/'Winners-Losers HRA'!$H$107)*(1+'Assumptions-Output Override'!$F$39)</f>
        <v>5.9207990026399093</v>
      </c>
      <c r="AN99" s="352">
        <f t="shared" si="49"/>
        <v>1815.8551719379711</v>
      </c>
      <c r="AO99" s="352">
        <v>0</v>
      </c>
      <c r="AP99" s="352">
        <f>U99*'Assumptions-Output Override'!$D$10/'Winners-Losers HRA'!$H$107*(1+'Assumptions-Output Override'!$F$37)</f>
        <v>229.85697288564953</v>
      </c>
      <c r="AQ99" s="352">
        <f>AH99*'Assumptions-Output Override'!$D$10/'Winners-Losers HRA'!$H$107*(1+'Assumptions-Output Override'!$F$38)</f>
        <v>38.373564624828823</v>
      </c>
      <c r="AR99" s="352">
        <f>AM99*('Shoppable Detail'!$AA$23/'Shoppable Detail'!$Y$23)</f>
        <v>0.19783248639244452</v>
      </c>
      <c r="AS99" s="352">
        <f t="shared" si="50"/>
        <v>268.4283699968708</v>
      </c>
      <c r="AT99" s="352">
        <f t="shared" si="51"/>
        <v>440.38586553775525</v>
      </c>
      <c r="AU99" s="352">
        <f t="shared" si="51"/>
        <v>885.28871174530889</v>
      </c>
      <c r="AV99" s="352">
        <f t="shared" si="51"/>
        <v>216.02925814178877</v>
      </c>
      <c r="AW99" s="352">
        <f t="shared" si="37"/>
        <v>5.7229665162474648</v>
      </c>
      <c r="AX99" s="352">
        <f t="shared" si="52"/>
        <v>1547.4268019411004</v>
      </c>
      <c r="AY99" s="352">
        <f>AT99*'Assumptions-Output Override'!$D$24</f>
        <v>134.16616184362471</v>
      </c>
      <c r="AZ99" s="352">
        <f>$AU$107*'Assumptions-Output Override'!$D$21</f>
        <v>46.041131296780591</v>
      </c>
      <c r="BA99" s="352">
        <f>AV99*'Assumptions-Output Override'!$D$22</f>
        <v>32.404388721268312</v>
      </c>
      <c r="BB99" s="352">
        <f>AW99*'Assumptions-Output Override'!$D$23</f>
        <v>0.85844497743711967</v>
      </c>
      <c r="BC99" s="352">
        <f t="shared" si="53"/>
        <v>213.47012683911072</v>
      </c>
      <c r="BD99" s="352">
        <f t="shared" si="54"/>
        <v>134.16616184362471</v>
      </c>
      <c r="BE99" s="352">
        <f t="shared" si="54"/>
        <v>275.89810418243013</v>
      </c>
      <c r="BF99" s="352">
        <f t="shared" si="54"/>
        <v>70.777953346097135</v>
      </c>
      <c r="BG99" s="352">
        <f t="shared" si="38"/>
        <v>1.0562774638295642</v>
      </c>
      <c r="BH99" s="352">
        <f t="shared" si="55"/>
        <v>481.89849683598158</v>
      </c>
      <c r="BJ99" s="401">
        <f>D99*'Assumptions-Output Override'!$D$10/'Winners-Losers HRA'!$H$107</f>
        <v>623.33687956760889</v>
      </c>
      <c r="BK99" s="401">
        <f>E99*'Assumptions-Output Override'!$D$10/'Winners-Losers HRA'!$H$107</f>
        <v>1144.7556546742376</v>
      </c>
      <c r="BL99" s="401">
        <f>F99*'Assumptions-Output Override'!$D$10/'Winners-Losers HRA'!$H$107</f>
        <v>255.86158884333548</v>
      </c>
      <c r="BM99" s="401">
        <f>G99*'Assumptions-Output Override'!$D$10/'Winners-Losers HRA'!$H$107</f>
        <v>5.8333969389619682</v>
      </c>
      <c r="BN99" s="401">
        <f t="shared" si="39"/>
        <v>2029.7875200241438</v>
      </c>
      <c r="BO99" s="401">
        <f>BJ99*(1-'Assumptions-Output Override'!$D$11)</f>
        <v>88.837836497244282</v>
      </c>
      <c r="BP99" s="401">
        <f>BK99*(1-'Assumptions-Output Override'!$D$11)</f>
        <v>163.15032691438137</v>
      </c>
      <c r="BQ99" s="401">
        <f>BL99*(1-'Assumptions-Output Override'!$D$11)</f>
        <v>36.465337990841597</v>
      </c>
      <c r="BR99" s="401">
        <f>BM99*(1-'Assumptions-Output Override'!$D$11)</f>
        <v>0.8313744629493246</v>
      </c>
      <c r="BS99" s="352">
        <f t="shared" si="40"/>
        <v>289.28487586541655</v>
      </c>
      <c r="BT99" s="352">
        <f t="shared" si="56"/>
        <v>534.49904307036456</v>
      </c>
      <c r="BU99" s="352">
        <f t="shared" si="56"/>
        <v>981.60532775985621</v>
      </c>
      <c r="BV99" s="352">
        <f t="shared" si="56"/>
        <v>219.39625085249389</v>
      </c>
      <c r="BW99" s="352">
        <f t="shared" si="41"/>
        <v>5.0020224760126437</v>
      </c>
      <c r="BX99" s="352">
        <f t="shared" si="42"/>
        <v>1740.5026441587274</v>
      </c>
      <c r="BY99" s="352">
        <f>BT$107*(1-'Assumptions-Output Override'!$D$12)</f>
        <v>22.753074310428271</v>
      </c>
      <c r="BZ99" s="352">
        <f>BU$107*(1-'Assumptions-Output Override'!$D$12)</f>
        <v>51.446038369839215</v>
      </c>
      <c r="CA99" s="352">
        <f>BV$107*(1-'Assumptions-Output Override'!$D$12)</f>
        <v>9.7401900534537411</v>
      </c>
      <c r="CB99" s="352">
        <f>BW$107*(1-'Assumptions-Output Override'!$D$12)</f>
        <v>1.7000814189516649</v>
      </c>
      <c r="CC99" s="352">
        <f t="shared" si="43"/>
        <v>85.639384152672903</v>
      </c>
      <c r="CD99" s="352">
        <f t="shared" si="57"/>
        <v>111.59091080767256</v>
      </c>
      <c r="CE99" s="352">
        <f t="shared" si="57"/>
        <v>214.59636528422058</v>
      </c>
      <c r="CF99" s="352">
        <f t="shared" si="57"/>
        <v>46.205528044295335</v>
      </c>
      <c r="CG99" s="352">
        <f t="shared" si="44"/>
        <v>2.5314558819009894</v>
      </c>
      <c r="CH99" s="352">
        <f t="shared" si="45"/>
        <v>374.92426001808946</v>
      </c>
      <c r="CJ99" s="352">
        <f t="shared" si="58"/>
        <v>374.92426001808946</v>
      </c>
      <c r="CK99" s="352">
        <f t="shared" si="59"/>
        <v>268.4283699968708</v>
      </c>
      <c r="CL99" s="352">
        <f t="shared" si="60"/>
        <v>106.49589002121866</v>
      </c>
      <c r="CN99" s="352">
        <f>('HRA Balance Calc'!U111+'HRA Balance Calc'!V111+'HRA Balance Calc'!W111+'HRA Balance Calc'!X111)/12</f>
        <v>315.46079763234576</v>
      </c>
      <c r="CO99" s="352">
        <f>('HRA Balance Calc'!Q111+IF('HRA Balance Calc'!L111&lt;0,-'HRA Balance Calc'!L111,0))/12</f>
        <v>0</v>
      </c>
      <c r="CP99" s="352">
        <f>('HRA Balance Calc'!N111)/12</f>
        <v>229.85697288564953</v>
      </c>
      <c r="CQ99" s="352">
        <f>('HRA Balance Calc'!O111)/12</f>
        <v>38.373564624828823</v>
      </c>
      <c r="CR99" s="352">
        <f>('HRA Balance Calc'!P111)/12</f>
        <v>0.19783248639244452</v>
      </c>
      <c r="CS99" s="352">
        <f t="shared" si="64"/>
        <v>268.4283699968708</v>
      </c>
      <c r="CU99" s="577">
        <f t="shared" si="61"/>
        <v>-2757.8569617560743</v>
      </c>
      <c r="CV99" s="352">
        <f t="shared" si="62"/>
        <v>-229.82141347967286</v>
      </c>
      <c r="CW99" s="352">
        <f t="shared" si="66"/>
        <v>280.11444216420057</v>
      </c>
      <c r="CX99" s="352">
        <f t="shared" si="66"/>
        <v>514.4290385093575</v>
      </c>
      <c r="CY99" s="352">
        <f t="shared" si="66"/>
        <v>114.97879971390876</v>
      </c>
      <c r="CZ99" s="352">
        <f t="shared" si="65"/>
        <v>2.6214055080667764</v>
      </c>
      <c r="DA99" s="352">
        <f t="shared" si="46"/>
        <v>912.14368589553362</v>
      </c>
      <c r="DC99" s="352">
        <f>('HRA Balance Calc'!Q111+'HRA Balance Calc'!X111+IF('HRA Balance Calc'!L111&lt;0,-'HRA Balance Calc'!L111,0))/12</f>
        <v>306.21970369413049</v>
      </c>
      <c r="DD99" s="352">
        <f>('HRA Balance Calc'!N111+'HRA Balance Calc'!U111)/12</f>
        <v>205.83523312515936</v>
      </c>
      <c r="DE99" s="352">
        <f>('HRA Balance Calc'!O111+'HRA Balance Calc'!V111)/12</f>
        <v>70.777953346097149</v>
      </c>
      <c r="DF99" s="352">
        <f>('HRA Balance Calc'!P111+'HRA Balance Calc'!W111)/12</f>
        <v>1.0562774638295644</v>
      </c>
      <c r="DG99" s="352">
        <f t="shared" si="63"/>
        <v>583.88916762921656</v>
      </c>
      <c r="DI99" s="352">
        <f t="shared" si="32"/>
        <v>-194.62879288645792</v>
      </c>
      <c r="DJ99" s="352">
        <f t="shared" si="32"/>
        <v>8.7611321590612192</v>
      </c>
      <c r="DK99" s="352">
        <f t="shared" si="32"/>
        <v>-24.572425301801815</v>
      </c>
      <c r="DL99" s="352">
        <f t="shared" si="32"/>
        <v>1.4751784180714249</v>
      </c>
      <c r="DM99" s="352">
        <f t="shared" si="32"/>
        <v>-208.9649076111271</v>
      </c>
    </row>
    <row r="100" spans="1:117" x14ac:dyDescent="0.2">
      <c r="A100">
        <v>95</v>
      </c>
      <c r="B100" s="397">
        <v>34308</v>
      </c>
      <c r="C100" s="398">
        <v>397997.79676138877</v>
      </c>
      <c r="D100" s="399">
        <v>475.00419317098715</v>
      </c>
      <c r="E100" s="399">
        <v>756.46199738086318</v>
      </c>
      <c r="F100" s="399">
        <v>170.18725012865357</v>
      </c>
      <c r="G100" s="399">
        <v>5.004753094136273</v>
      </c>
      <c r="H100" s="399">
        <v>1406.6581937746403</v>
      </c>
      <c r="I100" s="400">
        <v>4.4619984857307463E-2</v>
      </c>
      <c r="J100" s="400">
        <v>0.37471255974310486</v>
      </c>
      <c r="K100" s="400">
        <v>1.9035281254438784E-2</v>
      </c>
      <c r="L100" s="400">
        <v>1.1992815657225937</v>
      </c>
      <c r="M100" s="400">
        <v>0.96527524304445467</v>
      </c>
      <c r="N100" s="400">
        <v>1.0344495958273716</v>
      </c>
      <c r="O100" s="399">
        <f t="shared" si="35"/>
        <v>11.154996214326866</v>
      </c>
      <c r="P100" s="399">
        <f t="shared" si="35"/>
        <v>0</v>
      </c>
      <c r="Q100" s="399">
        <f t="shared" si="35"/>
        <v>19.035281254438782</v>
      </c>
      <c r="R100" s="399">
        <f t="shared" si="33"/>
        <v>24.900042361956839</v>
      </c>
      <c r="S100" s="399">
        <f t="shared" si="33"/>
        <v>28.958257291333641</v>
      </c>
      <c r="T100" s="399">
        <f t="shared" si="33"/>
        <v>62.066975749642296</v>
      </c>
      <c r="U100" s="399">
        <f t="shared" si="47"/>
        <v>146.11555287169841</v>
      </c>
      <c r="V100" s="400">
        <v>9.4482898417005256E-3</v>
      </c>
      <c r="W100" s="400">
        <v>5.97874372308934E-2</v>
      </c>
      <c r="X100" s="400">
        <v>2.7613218187207264E-3</v>
      </c>
      <c r="Y100" s="400">
        <v>0.29392918475386137</v>
      </c>
      <c r="Z100" s="400">
        <v>9.1213469761409399E-2</v>
      </c>
      <c r="AA100" s="400">
        <v>9.7304558756690959E-2</v>
      </c>
      <c r="AB100" s="352">
        <f t="shared" si="36"/>
        <v>2.3620724604251313</v>
      </c>
      <c r="AC100" s="352">
        <f t="shared" si="36"/>
        <v>0</v>
      </c>
      <c r="AD100" s="352">
        <f t="shared" si="36"/>
        <v>2.7613218187207265</v>
      </c>
      <c r="AE100" s="352">
        <f t="shared" si="34"/>
        <v>10.419329793313869</v>
      </c>
      <c r="AF100" s="352">
        <f t="shared" si="34"/>
        <v>2.7364040928422821</v>
      </c>
      <c r="AG100" s="352">
        <f t="shared" si="34"/>
        <v>5.8382735254014575</v>
      </c>
      <c r="AH100" s="400">
        <f t="shared" si="48"/>
        <v>24.117401690703467</v>
      </c>
      <c r="AJ100" s="352">
        <f>D100*('Assumptions-Output Override'!$D$10/'Winners-Losers HRA'!$H$107)*(1+'Assumptions-Output Override'!$F$41)</f>
        <v>566.97070283070161</v>
      </c>
      <c r="AK100" s="352">
        <f>E100*('Assumptions-Output Override'!$D$10/'Winners-Losers HRA'!$H$107)*(1+'Assumptions-Output Override'!$F$37)</f>
        <v>1244.9690398098871</v>
      </c>
      <c r="AL100" s="352">
        <f>F100*('Assumptions-Output Override'!$D$10/'Winners-Losers HRA'!$H$107)*(1+'Assumptions-Output Override'!$F$38)</f>
        <v>285.88836443458985</v>
      </c>
      <c r="AM100" s="352">
        <f>G100*('Shoppable Detail'!$X$21/'Shoppable Detail'!$H$21)*('Assumptions-Output Override'!$D$10/'Winners-Losers HRA'!$H$107)*(1+'Assumptions-Output Override'!$F$39)</f>
        <v>8.5821098873846733</v>
      </c>
      <c r="AN100" s="352">
        <f t="shared" si="49"/>
        <v>2106.4102169625635</v>
      </c>
      <c r="AO100" s="352">
        <v>0</v>
      </c>
      <c r="AP100" s="352">
        <f>U100*'Assumptions-Output Override'!$D$10/'Winners-Losers HRA'!$H$107*(1+'Assumptions-Output Override'!$F$37)</f>
        <v>240.47386410659507</v>
      </c>
      <c r="AQ100" s="352">
        <f>AH100*'Assumptions-Output Override'!$D$10/'Winners-Losers HRA'!$H$107*(1+'Assumptions-Output Override'!$F$38)</f>
        <v>40.513519776334689</v>
      </c>
      <c r="AR100" s="352">
        <f>AM100*('Shoppable Detail'!$AA$23/'Shoppable Detail'!$Y$23)</f>
        <v>0.28675523975015604</v>
      </c>
      <c r="AS100" s="352">
        <f t="shared" si="50"/>
        <v>281.27413912267991</v>
      </c>
      <c r="AT100" s="352">
        <f t="shared" si="51"/>
        <v>566.97070283070161</v>
      </c>
      <c r="AU100" s="352">
        <f t="shared" si="51"/>
        <v>1004.495175703292</v>
      </c>
      <c r="AV100" s="352">
        <f t="shared" si="51"/>
        <v>245.37484465825514</v>
      </c>
      <c r="AW100" s="352">
        <f t="shared" si="37"/>
        <v>8.2953546476345181</v>
      </c>
      <c r="AX100" s="352">
        <f t="shared" si="52"/>
        <v>1825.1360778398832</v>
      </c>
      <c r="AY100" s="352">
        <f>AT100*'Assumptions-Output Override'!$D$24</f>
        <v>172.73098214378561</v>
      </c>
      <c r="AZ100" s="352">
        <f>$AU$107*'Assumptions-Output Override'!$D$21</f>
        <v>46.041131296780591</v>
      </c>
      <c r="BA100" s="352">
        <f>AV100*'Assumptions-Output Override'!$D$22</f>
        <v>36.806226698738271</v>
      </c>
      <c r="BB100" s="352">
        <f>AW100*'Assumptions-Output Override'!$D$23</f>
        <v>1.2443031971451777</v>
      </c>
      <c r="BC100" s="352">
        <f t="shared" si="53"/>
        <v>256.82264333644969</v>
      </c>
      <c r="BD100" s="352">
        <f t="shared" si="54"/>
        <v>172.73098214378561</v>
      </c>
      <c r="BE100" s="352">
        <f t="shared" si="54"/>
        <v>286.51499540337568</v>
      </c>
      <c r="BF100" s="352">
        <f t="shared" si="54"/>
        <v>77.319746475072961</v>
      </c>
      <c r="BG100" s="352">
        <f t="shared" si="38"/>
        <v>1.5310584368953337</v>
      </c>
      <c r="BH100" s="352">
        <f t="shared" si="55"/>
        <v>538.0967824591296</v>
      </c>
      <c r="BJ100" s="401">
        <f>D100*'Assumptions-Output Override'!$D$10/'Winners-Losers HRA'!$H$107</f>
        <v>802.50929097642597</v>
      </c>
      <c r="BK100" s="401">
        <f>E100*'Assumptions-Output Override'!$D$10/'Winners-Losers HRA'!$H$107</f>
        <v>1278.0261519716764</v>
      </c>
      <c r="BL100" s="401">
        <f>F100*'Assumptions-Output Override'!$D$10/'Winners-Losers HRA'!$H$107</f>
        <v>287.52767111849454</v>
      </c>
      <c r="BM100" s="401">
        <f>G100*'Assumptions-Output Override'!$D$10/'Winners-Losers HRA'!$H$107</f>
        <v>8.4554218990685968</v>
      </c>
      <c r="BN100" s="401">
        <f t="shared" si="39"/>
        <v>2376.5185359656653</v>
      </c>
      <c r="BO100" s="401">
        <f>BJ100*(1-'Assumptions-Output Override'!$D$11)</f>
        <v>114.37344960037859</v>
      </c>
      <c r="BP100" s="401">
        <f>BK100*(1-'Assumptions-Output Override'!$D$11)</f>
        <v>182.14400920224634</v>
      </c>
      <c r="BQ100" s="401">
        <f>BL100*(1-'Assumptions-Output Override'!$D$11)</f>
        <v>40.978381149173998</v>
      </c>
      <c r="BR100" s="401">
        <f>BM100*(1-'Assumptions-Output Override'!$D$11)</f>
        <v>1.2050648899608414</v>
      </c>
      <c r="BS100" s="352">
        <f t="shared" si="40"/>
        <v>338.70090484175972</v>
      </c>
      <c r="BT100" s="352">
        <f t="shared" si="56"/>
        <v>688.13584137604744</v>
      </c>
      <c r="BU100" s="352">
        <f t="shared" si="56"/>
        <v>1095.8821427694302</v>
      </c>
      <c r="BV100" s="352">
        <f t="shared" si="56"/>
        <v>246.54928996932054</v>
      </c>
      <c r="BW100" s="352">
        <f t="shared" si="41"/>
        <v>7.2503570091077556</v>
      </c>
      <c r="BX100" s="352">
        <f t="shared" si="42"/>
        <v>2037.817631123906</v>
      </c>
      <c r="BY100" s="352">
        <f>BT$107*(1-'Assumptions-Output Override'!$D$12)</f>
        <v>22.753074310428271</v>
      </c>
      <c r="BZ100" s="352">
        <f>BU$107*(1-'Assumptions-Output Override'!$D$12)</f>
        <v>51.446038369839215</v>
      </c>
      <c r="CA100" s="352">
        <f>BV$107*(1-'Assumptions-Output Override'!$D$12)</f>
        <v>9.7401900534537411</v>
      </c>
      <c r="CB100" s="352">
        <f>BW$107*(1-'Assumptions-Output Override'!$D$12)</f>
        <v>1.7000814189516649</v>
      </c>
      <c r="CC100" s="352">
        <f t="shared" si="43"/>
        <v>85.639384152672903</v>
      </c>
      <c r="CD100" s="352">
        <f t="shared" si="57"/>
        <v>137.12652391080687</v>
      </c>
      <c r="CE100" s="352">
        <f t="shared" si="57"/>
        <v>233.59004757208555</v>
      </c>
      <c r="CF100" s="352">
        <f t="shared" si="57"/>
        <v>50.718571202627743</v>
      </c>
      <c r="CG100" s="352">
        <f t="shared" si="44"/>
        <v>2.9051463089125065</v>
      </c>
      <c r="CH100" s="352">
        <f t="shared" si="45"/>
        <v>424.34028899443263</v>
      </c>
      <c r="CJ100" s="352">
        <f t="shared" si="58"/>
        <v>424.34028899443263</v>
      </c>
      <c r="CK100" s="352">
        <f t="shared" si="59"/>
        <v>281.27413912267991</v>
      </c>
      <c r="CL100" s="352">
        <f t="shared" si="60"/>
        <v>143.06614987175271</v>
      </c>
      <c r="CN100" s="352">
        <f>('HRA Balance Calc'!U112+'HRA Balance Calc'!V112+'HRA Balance Calc'!W112+'HRA Balance Calc'!X112)/12</f>
        <v>408.26851082230928</v>
      </c>
      <c r="CO100" s="352">
        <f>('HRA Balance Calc'!Q112+IF('HRA Balance Calc'!L112&lt;0,-'HRA Balance Calc'!L112,0))/12</f>
        <v>0</v>
      </c>
      <c r="CP100" s="352">
        <f>('HRA Balance Calc'!N112)/12</f>
        <v>240.47386410659507</v>
      </c>
      <c r="CQ100" s="352">
        <f>('HRA Balance Calc'!O112)/12</f>
        <v>40.513519776334689</v>
      </c>
      <c r="CR100" s="352">
        <f>('HRA Balance Calc'!P112)/12</f>
        <v>0.28675523975015604</v>
      </c>
      <c r="CS100" s="352">
        <f t="shared" si="64"/>
        <v>281.27413912267991</v>
      </c>
      <c r="CU100" s="577">
        <f t="shared" si="61"/>
        <v>-3871.5495200356363</v>
      </c>
      <c r="CV100" s="352">
        <f t="shared" si="62"/>
        <v>-322.62912666963638</v>
      </c>
      <c r="CW100" s="352">
        <f t="shared" si="66"/>
        <v>360.63074357060856</v>
      </c>
      <c r="CX100" s="352">
        <f t="shared" si="66"/>
        <v>574.31798817861682</v>
      </c>
      <c r="CY100" s="352">
        <f t="shared" si="66"/>
        <v>129.20886897947958</v>
      </c>
      <c r="CZ100" s="352">
        <f t="shared" si="65"/>
        <v>3.7996882041754318</v>
      </c>
      <c r="DA100" s="352">
        <f t="shared" si="46"/>
        <v>1067.9572889328804</v>
      </c>
      <c r="DC100" s="352">
        <f>('HRA Balance Calc'!Q112+'HRA Balance Calc'!X112+IF('HRA Balance Calc'!L112&lt;0,-'HRA Balance Calc'!L112,0))/12</f>
        <v>394.23972068691597</v>
      </c>
      <c r="DD100" s="352">
        <f>('HRA Balance Calc'!N112+'HRA Balance Calc'!U112)/12</f>
        <v>216.45212434610491</v>
      </c>
      <c r="DE100" s="352">
        <f>('HRA Balance Calc'!O112+'HRA Balance Calc'!V112)/12</f>
        <v>77.319746475072975</v>
      </c>
      <c r="DF100" s="352">
        <f>('HRA Balance Calc'!P112+'HRA Balance Calc'!W112)/12</f>
        <v>1.5310584368953339</v>
      </c>
      <c r="DG100" s="352">
        <f t="shared" si="63"/>
        <v>689.54264994498919</v>
      </c>
      <c r="DI100" s="352">
        <f t="shared" si="32"/>
        <v>-257.11319677610913</v>
      </c>
      <c r="DJ100" s="352">
        <f t="shared" si="32"/>
        <v>17.137923225980643</v>
      </c>
      <c r="DK100" s="352">
        <f t="shared" si="32"/>
        <v>-26.601175272445232</v>
      </c>
      <c r="DL100" s="352">
        <f t="shared" si="32"/>
        <v>1.3740878720171725</v>
      </c>
      <c r="DM100" s="352">
        <f t="shared" si="32"/>
        <v>-265.20236095055657</v>
      </c>
    </row>
    <row r="101" spans="1:117" x14ac:dyDescent="0.2">
      <c r="A101">
        <v>96</v>
      </c>
      <c r="B101" s="397">
        <v>34308</v>
      </c>
      <c r="C101" s="398">
        <v>397997.79676138877</v>
      </c>
      <c r="D101" s="399">
        <v>608.28192127169712</v>
      </c>
      <c r="E101" s="399">
        <v>881.96379357543901</v>
      </c>
      <c r="F101" s="399">
        <v>194.49876572670951</v>
      </c>
      <c r="G101" s="399">
        <v>7.4774343173159314</v>
      </c>
      <c r="H101" s="399">
        <v>1692.2219148911618</v>
      </c>
      <c r="I101" s="400">
        <v>4.9667584777138209E-2</v>
      </c>
      <c r="J101" s="400">
        <v>0.40960786803711891</v>
      </c>
      <c r="K101" s="400">
        <v>2.4844358638317143E-2</v>
      </c>
      <c r="L101" s="400">
        <v>1.2458886119628874</v>
      </c>
      <c r="M101" s="400">
        <v>1.0272492544603764</v>
      </c>
      <c r="N101" s="400">
        <v>1.0982029638270701</v>
      </c>
      <c r="O101" s="399">
        <f t="shared" si="35"/>
        <v>12.416896194284552</v>
      </c>
      <c r="P101" s="399">
        <f t="shared" si="35"/>
        <v>0</v>
      </c>
      <c r="Q101" s="399">
        <f t="shared" si="35"/>
        <v>24.844358638317143</v>
      </c>
      <c r="R101" s="399">
        <f t="shared" si="33"/>
        <v>25.86771956047173</v>
      </c>
      <c r="S101" s="399">
        <f t="shared" si="33"/>
        <v>30.817477633811293</v>
      </c>
      <c r="T101" s="399">
        <f t="shared" si="33"/>
        <v>65.892177829624202</v>
      </c>
      <c r="U101" s="399">
        <f t="shared" si="47"/>
        <v>159.83862985650893</v>
      </c>
      <c r="V101" s="400">
        <v>9.9362238637489362E-3</v>
      </c>
      <c r="W101" s="400">
        <v>6.4187534366108481E-2</v>
      </c>
      <c r="X101" s="400">
        <v>3.7412267407417299E-3</v>
      </c>
      <c r="Y101" s="400">
        <v>0.30194412680748395</v>
      </c>
      <c r="Z101" s="400">
        <v>9.4774595002638115E-2</v>
      </c>
      <c r="AA101" s="400">
        <v>0.10210307778252586</v>
      </c>
      <c r="AB101" s="352">
        <f t="shared" si="36"/>
        <v>2.4840559659372339</v>
      </c>
      <c r="AC101" s="352">
        <f t="shared" si="36"/>
        <v>0</v>
      </c>
      <c r="AD101" s="352">
        <f t="shared" si="36"/>
        <v>3.7412267407417299</v>
      </c>
      <c r="AE101" s="352">
        <f t="shared" si="34"/>
        <v>10.703446950992261</v>
      </c>
      <c r="AF101" s="352">
        <f t="shared" si="34"/>
        <v>2.8432378500791433</v>
      </c>
      <c r="AG101" s="352">
        <f t="shared" si="34"/>
        <v>6.1261846669515521</v>
      </c>
      <c r="AH101" s="400">
        <f t="shared" si="48"/>
        <v>25.89815217470192</v>
      </c>
      <c r="AJ101" s="352">
        <f>D101*('Assumptions-Output Override'!$D$10/'Winners-Losers HRA'!$H$107)*(1+'Assumptions-Output Override'!$F$41)</f>
        <v>726.05259781039024</v>
      </c>
      <c r="AK101" s="352">
        <f>E101*('Assumptions-Output Override'!$D$10/'Winners-Losers HRA'!$H$107)*(1+'Assumptions-Output Override'!$F$37)</f>
        <v>1451.5172223276543</v>
      </c>
      <c r="AL101" s="352">
        <f>F101*('Assumptions-Output Override'!$D$10/'Winners-Losers HRA'!$H$107)*(1+'Assumptions-Output Override'!$F$38)</f>
        <v>326.72796567381351</v>
      </c>
      <c r="AM101" s="352">
        <f>G101*('Shoppable Detail'!$X$21/'Shoppable Detail'!$H$21)*('Assumptions-Output Override'!$D$10/'Winners-Losers HRA'!$H$107)*(1+'Assumptions-Output Override'!$F$39)</f>
        <v>12.822243531272832</v>
      </c>
      <c r="AN101" s="352">
        <f t="shared" si="49"/>
        <v>2517.1200293431311</v>
      </c>
      <c r="AO101" s="352">
        <v>0</v>
      </c>
      <c r="AP101" s="352">
        <f>U101*'Assumptions-Output Override'!$D$10/'Winners-Losers HRA'!$H$107*(1+'Assumptions-Output Override'!$F$37)</f>
        <v>263.05901185515393</v>
      </c>
      <c r="AQ101" s="352">
        <f>AH101*'Assumptions-Output Override'!$D$10/'Winners-Losers HRA'!$H$107*(1+'Assumptions-Output Override'!$F$38)</f>
        <v>43.504906281208406</v>
      </c>
      <c r="AR101" s="352">
        <f>AM101*('Shoppable Detail'!$AA$23/'Shoppable Detail'!$Y$23)</f>
        <v>0.42843141910240867</v>
      </c>
      <c r="AS101" s="352">
        <f t="shared" si="50"/>
        <v>306.99234955546473</v>
      </c>
      <c r="AT101" s="352">
        <f t="shared" si="51"/>
        <v>726.05259781039024</v>
      </c>
      <c r="AU101" s="352">
        <f t="shared" si="51"/>
        <v>1188.4582104725005</v>
      </c>
      <c r="AV101" s="352">
        <f t="shared" si="51"/>
        <v>283.22305939260514</v>
      </c>
      <c r="AW101" s="352">
        <f t="shared" si="37"/>
        <v>12.393812112170423</v>
      </c>
      <c r="AX101" s="352">
        <f t="shared" si="52"/>
        <v>2210.1276797876662</v>
      </c>
      <c r="AY101" s="352">
        <f>AT101*'Assumptions-Output Override'!$D$24</f>
        <v>221.19622351154152</v>
      </c>
      <c r="AZ101" s="352">
        <f>$AU$107*'Assumptions-Output Override'!$D$21</f>
        <v>46.041131296780591</v>
      </c>
      <c r="BA101" s="352">
        <f>AV101*'Assumptions-Output Override'!$D$22</f>
        <v>42.483458908890768</v>
      </c>
      <c r="BB101" s="352">
        <f>AW101*'Assumptions-Output Override'!$D$23</f>
        <v>1.8590718168255633</v>
      </c>
      <c r="BC101" s="352">
        <f t="shared" si="53"/>
        <v>311.57988553403845</v>
      </c>
      <c r="BD101" s="352">
        <f t="shared" si="54"/>
        <v>221.19622351154152</v>
      </c>
      <c r="BE101" s="352">
        <f t="shared" si="54"/>
        <v>309.1001431519345</v>
      </c>
      <c r="BF101" s="352">
        <f t="shared" si="54"/>
        <v>85.988365190099174</v>
      </c>
      <c r="BG101" s="352">
        <f t="shared" si="38"/>
        <v>2.2875032359279719</v>
      </c>
      <c r="BH101" s="352">
        <f t="shared" si="55"/>
        <v>618.57223508950312</v>
      </c>
      <c r="BJ101" s="401">
        <f>D101*'Assumptions-Output Override'!$D$10/'Winners-Losers HRA'!$H$107</f>
        <v>1027.6791244615558</v>
      </c>
      <c r="BK101" s="401">
        <f>E101*'Assumptions-Output Override'!$D$10/'Winners-Losers HRA'!$H$107</f>
        <v>1490.0587170065753</v>
      </c>
      <c r="BL101" s="401">
        <f>F101*'Assumptions-Output Override'!$D$10/'Winners-Losers HRA'!$H$107</f>
        <v>328.60144988855922</v>
      </c>
      <c r="BM101" s="401">
        <f>G101*'Assumptions-Output Override'!$D$10/'Winners-Losers HRA'!$H$107</f>
        <v>12.632963242393799</v>
      </c>
      <c r="BN101" s="401">
        <f t="shared" si="39"/>
        <v>2858.9722545990844</v>
      </c>
      <c r="BO101" s="401">
        <f>BJ101*(1-'Assumptions-Output Override'!$D$11)</f>
        <v>146.46460529317125</v>
      </c>
      <c r="BP101" s="401">
        <f>BK101*(1-'Assumptions-Output Override'!$D$11)</f>
        <v>212.36284425293036</v>
      </c>
      <c r="BQ101" s="401">
        <f>BL101*(1-'Assumptions-Output Override'!$D$11)</f>
        <v>46.832207165741686</v>
      </c>
      <c r="BR101" s="401">
        <f>BM101*(1-'Assumptions-Output Override'!$D$11)</f>
        <v>1.8004471735764693</v>
      </c>
      <c r="BS101" s="352">
        <f t="shared" si="40"/>
        <v>407.46010388541976</v>
      </c>
      <c r="BT101" s="352">
        <f t="shared" si="56"/>
        <v>881.21451916838464</v>
      </c>
      <c r="BU101" s="352">
        <f t="shared" si="56"/>
        <v>1277.6958727536448</v>
      </c>
      <c r="BV101" s="352">
        <f t="shared" si="56"/>
        <v>281.76924272281752</v>
      </c>
      <c r="BW101" s="352">
        <f t="shared" si="41"/>
        <v>10.832516068817331</v>
      </c>
      <c r="BX101" s="352">
        <f t="shared" si="42"/>
        <v>2451.5121507136646</v>
      </c>
      <c r="BY101" s="352">
        <f>BT$107*(1-'Assumptions-Output Override'!$D$12)</f>
        <v>22.753074310428271</v>
      </c>
      <c r="BZ101" s="352">
        <f>BU$107*(1-'Assumptions-Output Override'!$D$12)</f>
        <v>51.446038369839215</v>
      </c>
      <c r="CA101" s="352">
        <f>BV$107*(1-'Assumptions-Output Override'!$D$12)</f>
        <v>9.7401900534537411</v>
      </c>
      <c r="CB101" s="352">
        <f>BW$107*(1-'Assumptions-Output Override'!$D$12)</f>
        <v>1.7000814189516649</v>
      </c>
      <c r="CC101" s="352">
        <f t="shared" si="43"/>
        <v>85.639384152672903</v>
      </c>
      <c r="CD101" s="352">
        <f t="shared" si="57"/>
        <v>169.21767960359952</v>
      </c>
      <c r="CE101" s="352">
        <f t="shared" si="57"/>
        <v>263.8088826227696</v>
      </c>
      <c r="CF101" s="352">
        <f t="shared" si="57"/>
        <v>56.572397219195423</v>
      </c>
      <c r="CG101" s="352">
        <f t="shared" si="44"/>
        <v>3.5005285925281342</v>
      </c>
      <c r="CH101" s="352">
        <f t="shared" si="45"/>
        <v>493.09948803809272</v>
      </c>
      <c r="CJ101" s="352">
        <f t="shared" si="58"/>
        <v>493.09948803809272</v>
      </c>
      <c r="CK101" s="352">
        <f t="shared" si="59"/>
        <v>306.99234955546473</v>
      </c>
      <c r="CL101" s="352">
        <f t="shared" si="60"/>
        <v>186.10713848262799</v>
      </c>
      <c r="CN101" s="352">
        <f>('HRA Balance Calc'!U113+'HRA Balance Calc'!V113+'HRA Balance Calc'!W113+'HRA Balance Calc'!X113)/12</f>
        <v>525.17716526407492</v>
      </c>
      <c r="CO101" s="352">
        <f>('HRA Balance Calc'!Q113+IF('HRA Balance Calc'!L113&lt;0,-'HRA Balance Calc'!L113,0))/12</f>
        <v>0</v>
      </c>
      <c r="CP101" s="352">
        <f>('HRA Balance Calc'!N113)/12</f>
        <v>263.05901185515393</v>
      </c>
      <c r="CQ101" s="352">
        <f>('HRA Balance Calc'!O113)/12</f>
        <v>43.504906281208406</v>
      </c>
      <c r="CR101" s="352">
        <f>('HRA Balance Calc'!P113)/12</f>
        <v>0.42843141910240873</v>
      </c>
      <c r="CS101" s="352">
        <f t="shared" si="64"/>
        <v>306.99234955546473</v>
      </c>
      <c r="CU101" s="577">
        <f t="shared" si="61"/>
        <v>-5274.4533733368244</v>
      </c>
      <c r="CV101" s="352">
        <f t="shared" si="62"/>
        <v>-439.53778111140201</v>
      </c>
      <c r="CW101" s="352">
        <f t="shared" si="66"/>
        <v>461.81731597852587</v>
      </c>
      <c r="CX101" s="352">
        <f t="shared" si="66"/>
        <v>669.60094932250865</v>
      </c>
      <c r="CY101" s="352">
        <f t="shared" si="66"/>
        <v>147.66655856096781</v>
      </c>
      <c r="CZ101" s="352">
        <f t="shared" si="65"/>
        <v>5.6769871437394617</v>
      </c>
      <c r="DA101" s="352">
        <f t="shared" si="46"/>
        <v>1284.7618110057419</v>
      </c>
      <c r="DC101" s="352">
        <f>('HRA Balance Calc'!Q113+'HRA Balance Calc'!X113+IF('HRA Balance Calc'!L113&lt;0,-'HRA Balance Calc'!L113,0))/12</f>
        <v>504.85637429884872</v>
      </c>
      <c r="DD101" s="352">
        <f>('HRA Balance Calc'!N113+'HRA Balance Calc'!U113)/12</f>
        <v>239.03727209466376</v>
      </c>
      <c r="DE101" s="352">
        <f>('HRA Balance Calc'!O113+'HRA Balance Calc'!V113)/12</f>
        <v>85.988365190099174</v>
      </c>
      <c r="DF101" s="352">
        <f>('HRA Balance Calc'!P113+'HRA Balance Calc'!W113)/12</f>
        <v>2.2875032359279728</v>
      </c>
      <c r="DG101" s="352">
        <f t="shared" si="63"/>
        <v>832.16951481953959</v>
      </c>
      <c r="DI101" s="352">
        <f t="shared" si="32"/>
        <v>-335.63869469524923</v>
      </c>
      <c r="DJ101" s="352">
        <f t="shared" si="32"/>
        <v>24.771610528105839</v>
      </c>
      <c r="DK101" s="352">
        <f t="shared" si="32"/>
        <v>-29.41596797090375</v>
      </c>
      <c r="DL101" s="352">
        <f t="shared" si="32"/>
        <v>1.2130253566001614</v>
      </c>
      <c r="DM101" s="352">
        <f t="shared" si="32"/>
        <v>-339.07002678144687</v>
      </c>
    </row>
    <row r="102" spans="1:117" x14ac:dyDescent="0.2">
      <c r="A102">
        <v>97</v>
      </c>
      <c r="B102" s="397">
        <v>34308</v>
      </c>
      <c r="C102" s="398">
        <v>397997.79676138877</v>
      </c>
      <c r="D102" s="399">
        <v>752.83686930817942</v>
      </c>
      <c r="E102" s="399">
        <v>1108.550987481028</v>
      </c>
      <c r="F102" s="399">
        <v>240.46524324405368</v>
      </c>
      <c r="G102" s="399">
        <v>12.851570187390207</v>
      </c>
      <c r="H102" s="399">
        <v>2114.7046702206517</v>
      </c>
      <c r="I102" s="400">
        <v>4.9616435099255431E-2</v>
      </c>
      <c r="J102" s="400">
        <v>0.4607500606010192</v>
      </c>
      <c r="K102" s="400">
        <v>3.1879573463083323E-2</v>
      </c>
      <c r="L102" s="400">
        <v>1.344729796805721</v>
      </c>
      <c r="M102" s="400">
        <v>1.0902348292650179</v>
      </c>
      <c r="N102" s="400">
        <v>1.1839885140934963</v>
      </c>
      <c r="O102" s="399">
        <f t="shared" si="35"/>
        <v>12.404108774813858</v>
      </c>
      <c r="P102" s="399">
        <f t="shared" si="35"/>
        <v>0</v>
      </c>
      <c r="Q102" s="399">
        <f t="shared" si="35"/>
        <v>31.879573463083322</v>
      </c>
      <c r="R102" s="399">
        <f t="shared" si="33"/>
        <v>27.919906269611769</v>
      </c>
      <c r="S102" s="399">
        <f t="shared" si="33"/>
        <v>32.707044877950537</v>
      </c>
      <c r="T102" s="399">
        <f t="shared" si="33"/>
        <v>71.039310845609776</v>
      </c>
      <c r="U102" s="399">
        <f t="shared" si="47"/>
        <v>175.94994423106925</v>
      </c>
      <c r="V102" s="400">
        <v>1.1130606889730041E-2</v>
      </c>
      <c r="W102" s="400">
        <v>7.5861945585755625E-2</v>
      </c>
      <c r="X102" s="400">
        <v>4.8869617264893656E-3</v>
      </c>
      <c r="Y102" s="400">
        <v>0.32031861493699582</v>
      </c>
      <c r="Z102" s="400">
        <v>0.10525987917747065</v>
      </c>
      <c r="AA102" s="400">
        <v>0.10939447492998372</v>
      </c>
      <c r="AB102" s="352">
        <f t="shared" si="36"/>
        <v>2.7826517224325102</v>
      </c>
      <c r="AC102" s="352">
        <f t="shared" si="36"/>
        <v>0</v>
      </c>
      <c r="AD102" s="352">
        <f t="shared" si="36"/>
        <v>4.8869617264893659</v>
      </c>
      <c r="AE102" s="352">
        <f t="shared" si="34"/>
        <v>11.35479381117233</v>
      </c>
      <c r="AF102" s="352">
        <f t="shared" si="34"/>
        <v>3.1577963753241196</v>
      </c>
      <c r="AG102" s="352">
        <f t="shared" si="34"/>
        <v>6.563668495799023</v>
      </c>
      <c r="AH102" s="400">
        <f t="shared" si="48"/>
        <v>28.745872131217347</v>
      </c>
      <c r="AJ102" s="352">
        <f>D102*('Assumptions-Output Override'!$D$10/'Winners-Losers HRA'!$H$107)*(1+'Assumptions-Output Override'!$F$41)</f>
        <v>898.59511778009778</v>
      </c>
      <c r="AK102" s="352">
        <f>E102*('Assumptions-Output Override'!$D$10/'Winners-Losers HRA'!$H$107)*(1+'Assumptions-Output Override'!$F$37)</f>
        <v>1824.4295988998635</v>
      </c>
      <c r="AL102" s="352">
        <f>F102*('Assumptions-Output Override'!$D$10/'Winners-Losers HRA'!$H$107)*(1+'Assumptions-Output Override'!$F$38)</f>
        <v>403.94456718960674</v>
      </c>
      <c r="AM102" s="352">
        <f>G102*('Shoppable Detail'!$X$21/'Shoppable Detail'!$H$21)*('Assumptions-Output Override'!$D$10/'Winners-Losers HRA'!$H$107)*(1+'Assumptions-Output Override'!$F$39)</f>
        <v>22.037767997554774</v>
      </c>
      <c r="AN102" s="352">
        <f t="shared" si="49"/>
        <v>3149.0070518671232</v>
      </c>
      <c r="AO102" s="352">
        <v>0</v>
      </c>
      <c r="AP102" s="352">
        <f>U102*'Assumptions-Output Override'!$D$10/'Winners-Losers HRA'!$H$107*(1+'Assumptions-Output Override'!$F$37)</f>
        <v>289.57466982134355</v>
      </c>
      <c r="AQ102" s="352">
        <f>AH102*'Assumptions-Output Override'!$D$10/'Winners-Losers HRA'!$H$107*(1+'Assumptions-Output Override'!$F$38)</f>
        <v>48.288637143070808</v>
      </c>
      <c r="AR102" s="352">
        <f>AM102*('Shoppable Detail'!$AA$23/'Shoppable Detail'!$Y$23)</f>
        <v>0.73635102889866788</v>
      </c>
      <c r="AS102" s="352">
        <f t="shared" si="50"/>
        <v>338.59965799331303</v>
      </c>
      <c r="AT102" s="352">
        <f t="shared" si="51"/>
        <v>898.59511778009778</v>
      </c>
      <c r="AU102" s="352">
        <f t="shared" si="51"/>
        <v>1534.8549290785199</v>
      </c>
      <c r="AV102" s="352">
        <f t="shared" si="51"/>
        <v>355.65593004653596</v>
      </c>
      <c r="AW102" s="352">
        <f t="shared" si="37"/>
        <v>21.301416968656106</v>
      </c>
      <c r="AX102" s="352">
        <f t="shared" si="52"/>
        <v>2810.4073938738097</v>
      </c>
      <c r="AY102" s="352">
        <f>AT102*'Assumptions-Output Override'!$D$24</f>
        <v>273.76232399456893</v>
      </c>
      <c r="AZ102" s="352">
        <f>$AU$107*'Assumptions-Output Override'!$D$21</f>
        <v>46.041131296780591</v>
      </c>
      <c r="BA102" s="352">
        <f>AV102*'Assumptions-Output Override'!$D$22</f>
        <v>53.348389506980389</v>
      </c>
      <c r="BB102" s="352">
        <f>AW102*'Assumptions-Output Override'!$D$23</f>
        <v>3.1952125452984159</v>
      </c>
      <c r="BC102" s="352">
        <f t="shared" si="53"/>
        <v>376.34705734362831</v>
      </c>
      <c r="BD102" s="352">
        <f t="shared" si="54"/>
        <v>273.76232399456893</v>
      </c>
      <c r="BE102" s="352">
        <f t="shared" si="54"/>
        <v>335.61580111812412</v>
      </c>
      <c r="BF102" s="352">
        <f t="shared" si="54"/>
        <v>101.6370266500512</v>
      </c>
      <c r="BG102" s="352">
        <f t="shared" si="38"/>
        <v>3.9315635741970838</v>
      </c>
      <c r="BH102" s="352">
        <f t="shared" si="55"/>
        <v>714.94671533694134</v>
      </c>
      <c r="BJ102" s="401">
        <f>D102*'Assumptions-Output Override'!$D$10/'Winners-Losers HRA'!$H$107</f>
        <v>1271.9015766497466</v>
      </c>
      <c r="BK102" s="401">
        <f>E102*'Assumptions-Output Override'!$D$10/'Winners-Losers HRA'!$H$107</f>
        <v>1872.8728709440666</v>
      </c>
      <c r="BL102" s="401">
        <f>F102*'Assumptions-Output Override'!$D$10/'Winners-Losers HRA'!$H$107</f>
        <v>406.26081755618094</v>
      </c>
      <c r="BM102" s="401">
        <f>G102*'Assumptions-Output Override'!$D$10/'Winners-Losers HRA'!$H$107</f>
        <v>21.712449336849833</v>
      </c>
      <c r="BN102" s="401">
        <f>SUM(BJ102:BM102)</f>
        <v>3572.747714486844</v>
      </c>
      <c r="BO102" s="401">
        <f>BJ102*(1-'Assumptions-Output Override'!$D$11)</f>
        <v>181.27113605948912</v>
      </c>
      <c r="BP102" s="401">
        <f>BK102*(1-'Assumptions-Output Override'!$D$11)</f>
        <v>266.92143420820526</v>
      </c>
      <c r="BQ102" s="401">
        <f>BL102*(1-'Assumptions-Output Override'!$D$11)</f>
        <v>57.900203354449886</v>
      </c>
      <c r="BR102" s="401">
        <f>BM102*(1-'Assumptions-Output Override'!$D$11)</f>
        <v>3.094453556927002</v>
      </c>
      <c r="BS102" s="352">
        <f>SUM(BO102:BR102)</f>
        <v>509.18722717907127</v>
      </c>
      <c r="BT102" s="352">
        <f t="shared" si="56"/>
        <v>1090.6304405902574</v>
      </c>
      <c r="BU102" s="352">
        <f t="shared" si="56"/>
        <v>1605.9514367358613</v>
      </c>
      <c r="BV102" s="352">
        <f t="shared" si="56"/>
        <v>348.36061420173104</v>
      </c>
      <c r="BW102" s="352">
        <f t="shared" si="41"/>
        <v>18.617995779922829</v>
      </c>
      <c r="BX102" s="352">
        <f>SUM(BT102:BW102)</f>
        <v>3063.5604873077727</v>
      </c>
      <c r="BY102" s="352">
        <f>BT$107*(1-'Assumptions-Output Override'!$D$12)</f>
        <v>22.753074310428271</v>
      </c>
      <c r="BZ102" s="352">
        <f>BU$107*(1-'Assumptions-Output Override'!$D$12)</f>
        <v>51.446038369839215</v>
      </c>
      <c r="CA102" s="352">
        <f>BV$107*(1-'Assumptions-Output Override'!$D$12)</f>
        <v>9.7401900534537411</v>
      </c>
      <c r="CB102" s="352">
        <f>BW$107*(1-'Assumptions-Output Override'!$D$12)</f>
        <v>1.7000814189516649</v>
      </c>
      <c r="CC102" s="352">
        <f>SUM(BY102:CB102)</f>
        <v>85.639384152672903</v>
      </c>
      <c r="CD102" s="352">
        <f t="shared" si="57"/>
        <v>204.0242103699174</v>
      </c>
      <c r="CE102" s="352">
        <f t="shared" si="57"/>
        <v>318.3674725780445</v>
      </c>
      <c r="CF102" s="352">
        <f t="shared" si="57"/>
        <v>67.64039340790363</v>
      </c>
      <c r="CG102" s="352">
        <f t="shared" si="44"/>
        <v>4.7945349758786673</v>
      </c>
      <c r="CH102" s="352">
        <f>SUM(CD102:CG102)</f>
        <v>594.82661133174429</v>
      </c>
      <c r="CJ102" s="352">
        <f t="shared" si="58"/>
        <v>594.82661133174429</v>
      </c>
      <c r="CK102" s="352">
        <f t="shared" si="59"/>
        <v>338.59965799331303</v>
      </c>
      <c r="CL102" s="352">
        <f t="shared" si="60"/>
        <v>256.22695333843126</v>
      </c>
      <c r="CN102" s="352">
        <f>('HRA Balance Calc'!U114+'HRA Balance Calc'!V114+'HRA Balance Calc'!W114+'HRA Balance Calc'!X114)/12</f>
        <v>657.35465607731749</v>
      </c>
      <c r="CO102" s="352">
        <f>('HRA Balance Calc'!Q114+IF('HRA Balance Calc'!L114&lt;0,-'HRA Balance Calc'!L114,0))/12</f>
        <v>0</v>
      </c>
      <c r="CP102" s="352">
        <f>('HRA Balance Calc'!N114)/12</f>
        <v>289.57466982134355</v>
      </c>
      <c r="CQ102" s="352">
        <f>('HRA Balance Calc'!O114)/12</f>
        <v>48.288637143070808</v>
      </c>
      <c r="CR102" s="352">
        <f>('HRA Balance Calc'!P114)/12</f>
        <v>0.73635102889866788</v>
      </c>
      <c r="CS102" s="352">
        <f t="shared" si="64"/>
        <v>338.59965799331303</v>
      </c>
      <c r="CU102" s="577">
        <f t="shared" si="61"/>
        <v>-6860.5832630957357</v>
      </c>
      <c r="CV102" s="352">
        <f t="shared" si="62"/>
        <v>-571.71527192464464</v>
      </c>
      <c r="CW102" s="352">
        <f t="shared" si="66"/>
        <v>571.56573324869032</v>
      </c>
      <c r="CX102" s="352">
        <f t="shared" si="66"/>
        <v>841.6295532728227</v>
      </c>
      <c r="CY102" s="352">
        <f t="shared" si="66"/>
        <v>182.56503988960378</v>
      </c>
      <c r="CZ102" s="352">
        <f t="shared" si="65"/>
        <v>9.7571166304632051</v>
      </c>
      <c r="DA102" s="352">
        <f t="shared" si="46"/>
        <v>1605.51744304158</v>
      </c>
      <c r="DC102" s="352">
        <f>('HRA Balance Calc'!Q114+'HRA Balance Calc'!X114+IF('HRA Balance Calc'!L114&lt;0,-'HRA Balance Calc'!L114,0))/12</f>
        <v>624.83279378552879</v>
      </c>
      <c r="DD102" s="352">
        <f>('HRA Balance Calc'!N114+'HRA Balance Calc'!U114)/12</f>
        <v>265.55293006085338</v>
      </c>
      <c r="DE102" s="352">
        <f>('HRA Balance Calc'!O114+'HRA Balance Calc'!V114)/12</f>
        <v>101.63702665005121</v>
      </c>
      <c r="DF102" s="352">
        <f>('HRA Balance Calc'!P114+'HRA Balance Calc'!W114)/12</f>
        <v>3.9315635741970847</v>
      </c>
      <c r="DG102" s="352">
        <f t="shared" si="63"/>
        <v>995.95431407063052</v>
      </c>
      <c r="DI102" s="352">
        <f t="shared" si="32"/>
        <v>-420.80858341561139</v>
      </c>
      <c r="DJ102" s="352">
        <f t="shared" si="32"/>
        <v>52.814542517191114</v>
      </c>
      <c r="DK102" s="352">
        <f t="shared" si="32"/>
        <v>-33.996633242147581</v>
      </c>
      <c r="DL102" s="352">
        <f t="shared" si="32"/>
        <v>0.86297140168158259</v>
      </c>
      <c r="DM102" s="352">
        <f t="shared" si="32"/>
        <v>-401.12770273888623</v>
      </c>
    </row>
    <row r="103" spans="1:117" x14ac:dyDescent="0.2">
      <c r="A103">
        <v>98</v>
      </c>
      <c r="B103" s="397">
        <v>34308</v>
      </c>
      <c r="C103" s="398">
        <v>397997.79676138877</v>
      </c>
      <c r="D103" s="399">
        <v>977.54886388484999</v>
      </c>
      <c r="E103" s="399">
        <v>1472.6473294789826</v>
      </c>
      <c r="F103" s="399">
        <v>318.31515018456889</v>
      </c>
      <c r="G103" s="399">
        <v>46.996521035727483</v>
      </c>
      <c r="H103" s="399">
        <v>2815.5078645841295</v>
      </c>
      <c r="I103" s="400">
        <v>5.7614498145729602E-2</v>
      </c>
      <c r="J103" s="400">
        <v>0.53170963446163222</v>
      </c>
      <c r="K103" s="400">
        <v>4.3844463818632093E-2</v>
      </c>
      <c r="L103" s="400">
        <v>1.4775039950743245</v>
      </c>
      <c r="M103" s="400">
        <v>1.2141861686981208</v>
      </c>
      <c r="N103" s="400">
        <v>1.3005753403964893</v>
      </c>
      <c r="O103" s="399">
        <f t="shared" si="35"/>
        <v>14.403624536432401</v>
      </c>
      <c r="P103" s="399">
        <f t="shared" si="35"/>
        <v>0</v>
      </c>
      <c r="Q103" s="399">
        <f t="shared" si="35"/>
        <v>43.844463818632093</v>
      </c>
      <c r="R103" s="399">
        <f t="shared" si="33"/>
        <v>30.676626005790734</v>
      </c>
      <c r="S103" s="399">
        <f t="shared" si="33"/>
        <v>36.425585060943625</v>
      </c>
      <c r="T103" s="399">
        <f t="shared" si="33"/>
        <v>78.03452042378936</v>
      </c>
      <c r="U103" s="399">
        <f t="shared" si="47"/>
        <v>203.38481984558823</v>
      </c>
      <c r="V103" s="400">
        <v>1.1783668710588731E-2</v>
      </c>
      <c r="W103" s="400">
        <v>9.7715926898976832E-2</v>
      </c>
      <c r="X103" s="400">
        <v>6.9799381368573039E-3</v>
      </c>
      <c r="Y103" s="400">
        <v>0.3484055208532108</v>
      </c>
      <c r="Z103" s="400">
        <v>0.11985985949717383</v>
      </c>
      <c r="AA103" s="400">
        <v>0.12631728217868432</v>
      </c>
      <c r="AB103" s="352">
        <f t="shared" si="36"/>
        <v>2.9459171776471829</v>
      </c>
      <c r="AC103" s="352">
        <f t="shared" si="36"/>
        <v>0</v>
      </c>
      <c r="AD103" s="352">
        <f t="shared" si="36"/>
        <v>6.9799381368573039</v>
      </c>
      <c r="AE103" s="352">
        <f t="shared" si="34"/>
        <v>12.350430688333361</v>
      </c>
      <c r="AF103" s="352">
        <f t="shared" si="34"/>
        <v>3.5957957849152149</v>
      </c>
      <c r="AG103" s="352">
        <f t="shared" si="34"/>
        <v>7.5790369307210597</v>
      </c>
      <c r="AH103" s="400">
        <f t="shared" si="48"/>
        <v>33.45111871847412</v>
      </c>
      <c r="AJ103" s="352">
        <f>D103*('Assumptions-Output Override'!$D$10/'Winners-Losers HRA'!$H$107)*(1+'Assumptions-Output Override'!$F$41)</f>
        <v>1166.8140500154218</v>
      </c>
      <c r="AK103" s="352">
        <f>E103*('Assumptions-Output Override'!$D$10/'Winners-Losers HRA'!$H$107)*(1+'Assumptions-Output Override'!$F$37)</f>
        <v>2423.6516019415631</v>
      </c>
      <c r="AL103" s="352">
        <f>F103*('Assumptions-Output Override'!$D$10/'Winners-Losers HRA'!$H$107)*(1+'Assumptions-Output Override'!$F$38)</f>
        <v>534.72041878709206</v>
      </c>
      <c r="AM103" s="352">
        <f>G103*('Shoppable Detail'!$X$21/'Shoppable Detail'!$H$21)*('Assumptions-Output Override'!$D$10/'Winners-Losers HRA'!$H$107)*(1+'Assumptions-Output Override'!$F$39)</f>
        <v>80.589251910539204</v>
      </c>
      <c r="AN103" s="352">
        <f t="shared" si="49"/>
        <v>4205.7753226546165</v>
      </c>
      <c r="AO103" s="352">
        <v>0</v>
      </c>
      <c r="AP103" s="352">
        <f>U103*'Assumptions-Output Override'!$D$10/'Winners-Losers HRA'!$H$107*(1+'Assumptions-Output Override'!$F$37)</f>
        <v>334.72640364190551</v>
      </c>
      <c r="AQ103" s="352">
        <f>AH103*'Assumptions-Output Override'!$D$10/'Winners-Losers HRA'!$H$107*(1+'Assumptions-Output Override'!$F$38)</f>
        <v>56.192726609675304</v>
      </c>
      <c r="AR103" s="352">
        <f>AM103*('Shoppable Detail'!$AA$23/'Shoppable Detail'!$Y$23)</f>
        <v>2.6927399620997843</v>
      </c>
      <c r="AS103" s="352">
        <f t="shared" si="50"/>
        <v>393.61187021368056</v>
      </c>
      <c r="AT103" s="352">
        <f t="shared" si="51"/>
        <v>1166.8140500154218</v>
      </c>
      <c r="AU103" s="352">
        <f t="shared" si="51"/>
        <v>2088.9251982996575</v>
      </c>
      <c r="AV103" s="352">
        <f t="shared" si="51"/>
        <v>478.52769217741672</v>
      </c>
      <c r="AW103" s="352">
        <f t="shared" si="37"/>
        <v>77.896511948439425</v>
      </c>
      <c r="AX103" s="352">
        <f t="shared" si="52"/>
        <v>3812.1634524409355</v>
      </c>
      <c r="AY103" s="352">
        <f>AT103*'Assumptions-Output Override'!$D$24</f>
        <v>355.47681005752713</v>
      </c>
      <c r="AZ103" s="352">
        <f>$AU$107*'Assumptions-Output Override'!$D$21</f>
        <v>46.041131296780591</v>
      </c>
      <c r="BA103" s="352">
        <f>AV103*'Assumptions-Output Override'!$D$22</f>
        <v>71.7791538266125</v>
      </c>
      <c r="BB103" s="352">
        <f>AW103*'Assumptions-Output Override'!$D$23</f>
        <v>11.684476792265913</v>
      </c>
      <c r="BC103" s="352">
        <f t="shared" si="53"/>
        <v>484.98157197318613</v>
      </c>
      <c r="BD103" s="352">
        <f t="shared" si="54"/>
        <v>355.47681005752713</v>
      </c>
      <c r="BE103" s="352">
        <f t="shared" si="54"/>
        <v>380.76753493868608</v>
      </c>
      <c r="BF103" s="352">
        <f t="shared" si="54"/>
        <v>127.9718804362878</v>
      </c>
      <c r="BG103" s="352">
        <f t="shared" si="38"/>
        <v>14.377216754365698</v>
      </c>
      <c r="BH103" s="352">
        <f t="shared" si="55"/>
        <v>878.5934421868667</v>
      </c>
      <c r="BJ103" s="401">
        <f>D103*'Assumptions-Output Override'!$D$10/'Winners-Losers HRA'!$H$107</f>
        <v>1651.5476219567777</v>
      </c>
      <c r="BK103" s="401">
        <f>E103*'Assumptions-Output Override'!$D$10/'Winners-Losers HRA'!$H$107</f>
        <v>2488.0057507473171</v>
      </c>
      <c r="BL103" s="401">
        <f>F103*'Assumptions-Output Override'!$D$10/'Winners-Losers HRA'!$H$107</f>
        <v>537.78654831730796</v>
      </c>
      <c r="BM103" s="401">
        <f>G103*'Assumptions-Output Override'!$D$10/'Winners-Losers HRA'!$H$107</f>
        <v>79.399603870789491</v>
      </c>
      <c r="BN103" s="401">
        <f>SUM(BJ103:BM103)</f>
        <v>4756.7395248921921</v>
      </c>
      <c r="BO103" s="401">
        <f>BJ103*(1-'Assumptions-Output Override'!$D$11)</f>
        <v>235.37820786182951</v>
      </c>
      <c r="BP103" s="401">
        <f>BK103*(1-'Assumptions-Output Override'!$D$11)</f>
        <v>354.5900384434421</v>
      </c>
      <c r="BQ103" s="401">
        <f>BL103*(1-'Assumptions-Output Override'!$D$11)</f>
        <v>76.645221895054704</v>
      </c>
      <c r="BR103" s="401">
        <f>BM103*(1-'Assumptions-Output Override'!$D$11)</f>
        <v>11.316014273874034</v>
      </c>
      <c r="BS103" s="352">
        <f>SUM(BO103:BR103)</f>
        <v>677.92948247420031</v>
      </c>
      <c r="BT103" s="352">
        <f t="shared" si="56"/>
        <v>1416.1694140949483</v>
      </c>
      <c r="BU103" s="352">
        <f t="shared" si="56"/>
        <v>2133.4157123038749</v>
      </c>
      <c r="BV103" s="352">
        <f t="shared" si="56"/>
        <v>461.14132642225326</v>
      </c>
      <c r="BW103" s="352">
        <f t="shared" si="41"/>
        <v>68.083589596915459</v>
      </c>
      <c r="BX103" s="352">
        <f>SUM(BT103:BW103)</f>
        <v>4078.810042417992</v>
      </c>
      <c r="BY103" s="352">
        <f>BT$107*(1-'Assumptions-Output Override'!$D$12)</f>
        <v>22.753074310428271</v>
      </c>
      <c r="BZ103" s="352">
        <f>BU$107*(1-'Assumptions-Output Override'!$D$12)</f>
        <v>51.446038369839215</v>
      </c>
      <c r="CA103" s="352">
        <f>BV$107*(1-'Assumptions-Output Override'!$D$12)</f>
        <v>9.7401900534537411</v>
      </c>
      <c r="CB103" s="352">
        <f>BW$107*(1-'Assumptions-Output Override'!$D$12)</f>
        <v>1.7000814189516649</v>
      </c>
      <c r="CC103" s="352">
        <f>SUM(BY103:CB103)</f>
        <v>85.639384152672903</v>
      </c>
      <c r="CD103" s="352">
        <f t="shared" si="57"/>
        <v>258.13128217225778</v>
      </c>
      <c r="CE103" s="352">
        <f t="shared" si="57"/>
        <v>406.03607681328128</v>
      </c>
      <c r="CF103" s="352">
        <f t="shared" si="57"/>
        <v>86.385411948508448</v>
      </c>
      <c r="CG103" s="352">
        <f t="shared" si="44"/>
        <v>13.016095692825699</v>
      </c>
      <c r="CH103" s="352">
        <f>SUM(CD103:CG103)</f>
        <v>763.56886662687327</v>
      </c>
      <c r="CJ103" s="352">
        <f t="shared" si="58"/>
        <v>763.56886662687327</v>
      </c>
      <c r="CK103" s="352">
        <f t="shared" si="59"/>
        <v>393.61187021368056</v>
      </c>
      <c r="CL103" s="352">
        <f t="shared" si="60"/>
        <v>369.95699641319271</v>
      </c>
      <c r="CN103" s="352">
        <f>('HRA Balance Calc'!U115+'HRA Balance Calc'!V115+'HRA Balance Calc'!W115+'HRA Balance Calc'!X115)/12</f>
        <v>870.77913081628287</v>
      </c>
      <c r="CO103" s="352">
        <f>('HRA Balance Calc'!Q115+IF('HRA Balance Calc'!L115&lt;0,-'HRA Balance Calc'!L115,0))/12</f>
        <v>0</v>
      </c>
      <c r="CP103" s="352">
        <f>('HRA Balance Calc'!N115)/12</f>
        <v>334.72640364190551</v>
      </c>
      <c r="CQ103" s="352">
        <f>('HRA Balance Calc'!O115)/12</f>
        <v>56.192726609675304</v>
      </c>
      <c r="CR103" s="352">
        <f>('HRA Balance Calc'!P115)/12</f>
        <v>2.6927399620997843</v>
      </c>
      <c r="CS103" s="352">
        <f t="shared" si="64"/>
        <v>393.61187021368056</v>
      </c>
      <c r="CU103" s="577">
        <f t="shared" si="61"/>
        <v>-9421.676959963319</v>
      </c>
      <c r="CV103" s="352">
        <f t="shared" si="62"/>
        <v>-785.13974666360991</v>
      </c>
      <c r="CW103" s="352">
        <f t="shared" si="66"/>
        <v>742.17065602302046</v>
      </c>
      <c r="CX103" s="352">
        <f t="shared" si="66"/>
        <v>1118.0572910355404</v>
      </c>
      <c r="CY103" s="352">
        <f t="shared" si="66"/>
        <v>241.66992828951419</v>
      </c>
      <c r="CZ103" s="352">
        <f t="shared" si="65"/>
        <v>35.680506761853451</v>
      </c>
      <c r="DA103" s="352">
        <f t="shared" si="46"/>
        <v>2137.5783821099285</v>
      </c>
      <c r="DC103" s="352">
        <f>('HRA Balance Calc'!Q115+'HRA Balance Calc'!X115+IF('HRA Balance Calc'!L115&lt;0,-'HRA Balance Calc'!L115,0))/12</f>
        <v>811.33723995789467</v>
      </c>
      <c r="DD103" s="352">
        <f>('HRA Balance Calc'!N115+'HRA Balance Calc'!U115)/12</f>
        <v>310.70466388141534</v>
      </c>
      <c r="DE103" s="352">
        <f>('HRA Balance Calc'!O115+'HRA Balance Calc'!V115)/12</f>
        <v>127.9718804362878</v>
      </c>
      <c r="DF103" s="352">
        <f>('HRA Balance Calc'!P115+'HRA Balance Calc'!W115)/12</f>
        <v>14.377216754365699</v>
      </c>
      <c r="DG103" s="352">
        <f t="shared" si="63"/>
        <v>1264.3910010299635</v>
      </c>
      <c r="DI103" s="352">
        <f t="shared" si="32"/>
        <v>-553.20595778563688</v>
      </c>
      <c r="DJ103" s="352">
        <f t="shared" si="32"/>
        <v>95.331412931865941</v>
      </c>
      <c r="DK103" s="352">
        <f t="shared" si="32"/>
        <v>-41.586468487779356</v>
      </c>
      <c r="DL103" s="352">
        <f t="shared" si="32"/>
        <v>-1.3611210615400005</v>
      </c>
      <c r="DM103" s="352">
        <f t="shared" si="32"/>
        <v>-500.82213440309022</v>
      </c>
    </row>
    <row r="104" spans="1:117" x14ac:dyDescent="0.2">
      <c r="A104">
        <v>99</v>
      </c>
      <c r="B104" s="397">
        <v>34308</v>
      </c>
      <c r="C104" s="398">
        <v>397997.79676138877</v>
      </c>
      <c r="D104" s="399">
        <v>1444.5268220456414</v>
      </c>
      <c r="E104" s="399">
        <v>2136.7928527994914</v>
      </c>
      <c r="F104" s="399">
        <v>564.56229867539923</v>
      </c>
      <c r="G104" s="399">
        <v>85.589816508347894</v>
      </c>
      <c r="H104" s="399">
        <v>4231.4717900288806</v>
      </c>
      <c r="I104" s="400">
        <v>5.9417212402812156E-2</v>
      </c>
      <c r="J104" s="400">
        <v>0.68901235969433794</v>
      </c>
      <c r="K104" s="400">
        <v>6.3387285571143301E-2</v>
      </c>
      <c r="L104" s="400">
        <v>1.6332030257378374</v>
      </c>
      <c r="M104" s="400">
        <v>1.4054529058997753</v>
      </c>
      <c r="N104" s="400">
        <v>1.4936463086914846</v>
      </c>
      <c r="O104" s="399">
        <f t="shared" si="35"/>
        <v>14.854303100703039</v>
      </c>
      <c r="P104" s="399">
        <f t="shared" si="35"/>
        <v>0</v>
      </c>
      <c r="Q104" s="399">
        <f t="shared" si="35"/>
        <v>63.387285571143302</v>
      </c>
      <c r="R104" s="399">
        <f t="shared" si="33"/>
        <v>33.909321788036969</v>
      </c>
      <c r="S104" s="399">
        <f t="shared" si="33"/>
        <v>42.163587176993261</v>
      </c>
      <c r="T104" s="399">
        <f t="shared" si="33"/>
        <v>89.618778521489077</v>
      </c>
      <c r="U104" s="399">
        <f t="shared" si="47"/>
        <v>243.93327615836566</v>
      </c>
      <c r="V104" s="400">
        <v>1.4875159079292492E-2</v>
      </c>
      <c r="W104" s="400">
        <v>0.14156542763868565</v>
      </c>
      <c r="X104" s="400">
        <v>1.0238750146757925E-2</v>
      </c>
      <c r="Y104" s="400">
        <v>0.38257587216365652</v>
      </c>
      <c r="Z104" s="400">
        <v>0.14034198293186148</v>
      </c>
      <c r="AA104" s="400">
        <v>0.13944469153249325</v>
      </c>
      <c r="AB104" s="352">
        <f t="shared" si="36"/>
        <v>3.7187897698231227</v>
      </c>
      <c r="AC104" s="352">
        <f t="shared" si="36"/>
        <v>0</v>
      </c>
      <c r="AD104" s="352">
        <f t="shared" si="36"/>
        <v>10.238750146757924</v>
      </c>
      <c r="AE104" s="352">
        <f t="shared" si="34"/>
        <v>13.561716188121594</v>
      </c>
      <c r="AF104" s="352">
        <f t="shared" si="34"/>
        <v>4.2102594879558444</v>
      </c>
      <c r="AG104" s="352">
        <f t="shared" si="34"/>
        <v>8.3666814919495955</v>
      </c>
      <c r="AH104" s="400">
        <f t="shared" si="48"/>
        <v>40.096197084608079</v>
      </c>
      <c r="AJ104" s="352">
        <f>D104*('Assumptions-Output Override'!$D$10/'Winners-Losers HRA'!$H$107)*(1+'Assumptions-Output Override'!$F$41)</f>
        <v>1724.2045424601131</v>
      </c>
      <c r="AK104" s="352">
        <f>E104*('Assumptions-Output Override'!$D$10/'Winners-Losers HRA'!$H$107)*(1+'Assumptions-Output Override'!$F$37)</f>
        <v>3516.688155430279</v>
      </c>
      <c r="AL104" s="352">
        <f>F104*('Assumptions-Output Override'!$D$10/'Winners-Losers HRA'!$H$107)*(1+'Assumptions-Output Override'!$F$38)</f>
        <v>948.37769614192666</v>
      </c>
      <c r="AM104" s="352">
        <f>G104*('Shoppable Detail'!$X$21/'Shoppable Detail'!$H$21)*('Assumptions-Output Override'!$D$10/'Winners-Losers HRA'!$H$107)*(1+'Assumptions-Output Override'!$F$39)</f>
        <v>146.76872099371778</v>
      </c>
      <c r="AN104" s="352">
        <f t="shared" si="49"/>
        <v>6336.0391150260366</v>
      </c>
      <c r="AO104" s="352">
        <v>0</v>
      </c>
      <c r="AP104" s="352">
        <f>U104*'Assumptions-Output Override'!$D$10/'Winners-Losers HRA'!$H$107*(1+'Assumptions-Output Override'!$F$37)</f>
        <v>401.46018920717722</v>
      </c>
      <c r="AQ104" s="352">
        <f>AH104*'Assumptions-Output Override'!$D$10/'Winners-Losers HRA'!$H$107*(1+'Assumptions-Output Override'!$F$38)</f>
        <v>67.355434651538545</v>
      </c>
      <c r="AR104" s="352">
        <f>AM104*('Shoppable Detail'!$AA$23/'Shoppable Detail'!$Y$23)</f>
        <v>4.9040038322327835</v>
      </c>
      <c r="AS104" s="352">
        <f t="shared" si="50"/>
        <v>473.71962769094853</v>
      </c>
      <c r="AT104" s="352">
        <f t="shared" si="51"/>
        <v>1724.2045424601131</v>
      </c>
      <c r="AU104" s="352">
        <f t="shared" si="51"/>
        <v>3115.2279662231017</v>
      </c>
      <c r="AV104" s="352">
        <f t="shared" si="51"/>
        <v>881.02226149038813</v>
      </c>
      <c r="AW104" s="352">
        <f t="shared" si="37"/>
        <v>141.864717161485</v>
      </c>
      <c r="AX104" s="352">
        <f t="shared" si="52"/>
        <v>5862.3194873350876</v>
      </c>
      <c r="AY104" s="352">
        <f>AT104*'Assumptions-Output Override'!$D$24</f>
        <v>525.2891243744607</v>
      </c>
      <c r="AZ104" s="352">
        <f>$AU$107*'Assumptions-Output Override'!$D$21</f>
        <v>46.041131296780591</v>
      </c>
      <c r="BA104" s="352">
        <f>AV104*'Assumptions-Output Override'!$D$22</f>
        <v>132.15333922355822</v>
      </c>
      <c r="BB104" s="352">
        <f>AW104*'Assumptions-Output Override'!$D$23</f>
        <v>21.279707574222751</v>
      </c>
      <c r="BC104" s="352">
        <f t="shared" si="53"/>
        <v>724.76330246902216</v>
      </c>
      <c r="BD104" s="352">
        <f t="shared" si="54"/>
        <v>525.2891243744607</v>
      </c>
      <c r="BE104" s="352">
        <f t="shared" si="54"/>
        <v>447.5013205039578</v>
      </c>
      <c r="BF104" s="352">
        <f t="shared" si="54"/>
        <v>199.50877387509678</v>
      </c>
      <c r="BG104" s="352">
        <f t="shared" si="38"/>
        <v>26.183711406455537</v>
      </c>
      <c r="BH104" s="352">
        <f t="shared" si="55"/>
        <v>1198.4829301599709</v>
      </c>
      <c r="BJ104" s="401">
        <f>D104*'Assumptions-Output Override'!$D$10/'Winners-Losers HRA'!$H$107</f>
        <v>2440.4967628127529</v>
      </c>
      <c r="BK104" s="401">
        <f>E104*'Assumptions-Output Override'!$D$10/'Winners-Losers HRA'!$H$107</f>
        <v>3610.0652203007808</v>
      </c>
      <c r="BL104" s="401">
        <f>F104*'Assumptions-Output Override'!$D$10/'Winners-Losers HRA'!$H$107</f>
        <v>953.81576949348243</v>
      </c>
      <c r="BM104" s="401">
        <f>G104*'Assumptions-Output Override'!$D$10/'Winners-Losers HRA'!$H$107</f>
        <v>144.60214025140525</v>
      </c>
      <c r="BN104" s="401">
        <f>SUM(BJ104:BM104)</f>
        <v>7148.9798928584214</v>
      </c>
      <c r="BO104" s="401">
        <f>BJ104*(1-'Assumptions-Output Override'!$D$11)</f>
        <v>347.81906781643852</v>
      </c>
      <c r="BP104" s="401">
        <f>BK104*(1-'Assumptions-Output Override'!$D$11)</f>
        <v>514.50570999093884</v>
      </c>
      <c r="BQ104" s="401">
        <f>BL104*(1-'Assumptions-Output Override'!$D$11)</f>
        <v>135.93761600875189</v>
      </c>
      <c r="BR104" s="401">
        <f>BM104*(1-'Assumptions-Output Override'!$D$11)</f>
        <v>20.608665576978101</v>
      </c>
      <c r="BS104" s="352">
        <f>SUM(BO104:BR104)</f>
        <v>1018.8710593931073</v>
      </c>
      <c r="BT104" s="352">
        <f t="shared" si="56"/>
        <v>2092.6776949963141</v>
      </c>
      <c r="BU104" s="352">
        <f t="shared" si="56"/>
        <v>3095.5595103098422</v>
      </c>
      <c r="BV104" s="352">
        <f t="shared" si="56"/>
        <v>817.87815348473055</v>
      </c>
      <c r="BW104" s="352">
        <f t="shared" si="41"/>
        <v>123.99347467442715</v>
      </c>
      <c r="BX104" s="352">
        <f>SUM(BT104:BW104)</f>
        <v>6130.1088334653141</v>
      </c>
      <c r="BY104" s="352">
        <f>BT$107*(1-'Assumptions-Output Override'!$D$12)</f>
        <v>22.753074310428271</v>
      </c>
      <c r="BZ104" s="352">
        <f>BU$107*(1-'Assumptions-Output Override'!$D$12)</f>
        <v>51.446038369839215</v>
      </c>
      <c r="CA104" s="352">
        <f>BV$107*(1-'Assumptions-Output Override'!$D$12)</f>
        <v>9.7401900534537411</v>
      </c>
      <c r="CB104" s="352">
        <f>BW$107*(1-'Assumptions-Output Override'!$D$12)</f>
        <v>1.7000814189516649</v>
      </c>
      <c r="CC104" s="352">
        <f>SUM(BY104:CB104)</f>
        <v>85.639384152672903</v>
      </c>
      <c r="CD104" s="352">
        <f t="shared" si="57"/>
        <v>370.57214212686677</v>
      </c>
      <c r="CE104" s="352">
        <f t="shared" si="57"/>
        <v>565.95174836077808</v>
      </c>
      <c r="CF104" s="352">
        <f t="shared" si="57"/>
        <v>145.67780606220563</v>
      </c>
      <c r="CG104" s="352">
        <f t="shared" si="44"/>
        <v>22.308746995929766</v>
      </c>
      <c r="CH104" s="352">
        <f>SUM(CD104:CG104)</f>
        <v>1104.5104435457804</v>
      </c>
      <c r="CJ104" s="352">
        <f t="shared" si="58"/>
        <v>1104.5104435457804</v>
      </c>
      <c r="CK104" s="352">
        <f t="shared" si="59"/>
        <v>473.71962769094847</v>
      </c>
      <c r="CL104" s="352">
        <f t="shared" si="60"/>
        <v>630.79081585483186</v>
      </c>
      <c r="CN104" s="352">
        <f>('HRA Balance Calc'!U116+'HRA Balance Calc'!V116+'HRA Balance Calc'!W116+'HRA Balance Calc'!X116)/12</f>
        <v>1328.3267251229431</v>
      </c>
      <c r="CO104" s="352">
        <f>('HRA Balance Calc'!Q116+IF('HRA Balance Calc'!L116&lt;0,-'HRA Balance Calc'!L116,0))/12</f>
        <v>0</v>
      </c>
      <c r="CP104" s="352">
        <f>('HRA Balance Calc'!N116)/12</f>
        <v>401.46018920717717</v>
      </c>
      <c r="CQ104" s="352">
        <f>('HRA Balance Calc'!O116)/12</f>
        <v>67.355434651538545</v>
      </c>
      <c r="CR104" s="352">
        <f>('HRA Balance Calc'!P116)/12</f>
        <v>4.9040038322327835</v>
      </c>
      <c r="CS104" s="352">
        <f t="shared" si="64"/>
        <v>473.71962769094847</v>
      </c>
      <c r="CU104" s="577">
        <f t="shared" si="61"/>
        <v>-14912.248091643243</v>
      </c>
      <c r="CV104" s="352">
        <f t="shared" si="62"/>
        <v>-1242.6873409702703</v>
      </c>
      <c r="CW104" s="352">
        <f t="shared" si="66"/>
        <v>1096.7077542292029</v>
      </c>
      <c r="CX104" s="352">
        <f t="shared" si="66"/>
        <v>1622.2871428085525</v>
      </c>
      <c r="CY104" s="352">
        <f t="shared" si="66"/>
        <v>428.62468266664735</v>
      </c>
      <c r="CZ104" s="352">
        <f t="shared" si="65"/>
        <v>64.981150931369797</v>
      </c>
      <c r="DA104" s="352">
        <f t="shared" si="46"/>
        <v>3212.6007306357728</v>
      </c>
      <c r="DC104" s="352">
        <f>('HRA Balance Calc'!Q116+'HRA Balance Calc'!X116+IF('HRA Balance Calc'!L116&lt;0,-'HRA Balance Calc'!L116,0))/12</f>
        <v>1198.9154180856524</v>
      </c>
      <c r="DD104" s="352">
        <f>('HRA Balance Calc'!N116+'HRA Balance Calc'!U116)/12</f>
        <v>377.438449446687</v>
      </c>
      <c r="DE104" s="352">
        <f>('HRA Balance Calc'!O116+'HRA Balance Calc'!V116)/12</f>
        <v>199.50877387509681</v>
      </c>
      <c r="DF104" s="352">
        <f>('HRA Balance Calc'!P116+'HRA Balance Calc'!W116)/12</f>
        <v>26.183711406455533</v>
      </c>
      <c r="DG104" s="352">
        <f t="shared" si="63"/>
        <v>1802.0463528138916</v>
      </c>
      <c r="DI104" s="352">
        <f t="shared" si="32"/>
        <v>-828.34327595878563</v>
      </c>
      <c r="DJ104" s="352">
        <f t="shared" si="32"/>
        <v>188.51329891409108</v>
      </c>
      <c r="DK104" s="352">
        <f t="shared" si="32"/>
        <v>-53.830967812891174</v>
      </c>
      <c r="DL104" s="352">
        <f t="shared" si="32"/>
        <v>-3.8749644105257666</v>
      </c>
      <c r="DM104" s="352">
        <f t="shared" si="32"/>
        <v>-697.53590926811125</v>
      </c>
    </row>
    <row r="105" spans="1:117" x14ac:dyDescent="0.2">
      <c r="A105">
        <v>100</v>
      </c>
      <c r="B105" s="397">
        <v>34270</v>
      </c>
      <c r="C105" s="398">
        <v>397556.9690746413</v>
      </c>
      <c r="D105" s="399">
        <v>3659.3174408773698</v>
      </c>
      <c r="E105" s="399">
        <v>6643.1169977142554</v>
      </c>
      <c r="F105" s="399">
        <v>1154.3486216124106</v>
      </c>
      <c r="G105" s="399">
        <v>606.94401754499472</v>
      </c>
      <c r="H105" s="399">
        <v>12063.72707774903</v>
      </c>
      <c r="I105" s="400">
        <v>7.9112630984492768E-2</v>
      </c>
      <c r="J105" s="400">
        <v>1.6695395397908153</v>
      </c>
      <c r="K105" s="400">
        <v>0.16203212372289144</v>
      </c>
      <c r="L105" s="400">
        <v>2.0125150989624165</v>
      </c>
      <c r="M105" s="400">
        <v>2.1980993114874186</v>
      </c>
      <c r="N105" s="400">
        <v>2.42858974965855</v>
      </c>
      <c r="O105" s="399">
        <f t="shared" si="35"/>
        <v>19.778157746123192</v>
      </c>
      <c r="P105" s="399">
        <f t="shared" si="35"/>
        <v>0</v>
      </c>
      <c r="Q105" s="399">
        <f t="shared" si="35"/>
        <v>162.03212372289144</v>
      </c>
      <c r="R105" s="399">
        <f t="shared" si="33"/>
        <v>41.78477569447881</v>
      </c>
      <c r="S105" s="399">
        <f t="shared" si="33"/>
        <v>65.942979344622557</v>
      </c>
      <c r="T105" s="399">
        <f t="shared" si="33"/>
        <v>145.715384979513</v>
      </c>
      <c r="U105" s="399">
        <f t="shared" si="47"/>
        <v>435.253421487629</v>
      </c>
      <c r="V105" s="400">
        <v>1.8887702457919198E-2</v>
      </c>
      <c r="W105" s="400">
        <v>0.41353950858625216</v>
      </c>
      <c r="X105" s="400">
        <v>2.0698920255765925E-2</v>
      </c>
      <c r="Y105" s="400">
        <v>0.42084352516747781</v>
      </c>
      <c r="Z105" s="400">
        <v>0.17958573375330086</v>
      </c>
      <c r="AA105" s="400">
        <v>0.19764654153315397</v>
      </c>
      <c r="AB105" s="352">
        <f t="shared" si="36"/>
        <v>4.7219256144797992</v>
      </c>
      <c r="AC105" s="352">
        <f t="shared" si="36"/>
        <v>0</v>
      </c>
      <c r="AD105" s="352">
        <f t="shared" si="36"/>
        <v>20.698920255765923</v>
      </c>
      <c r="AE105" s="352">
        <f t="shared" si="34"/>
        <v>14.918244623352706</v>
      </c>
      <c r="AF105" s="352">
        <f t="shared" si="34"/>
        <v>5.3875720125990263</v>
      </c>
      <c r="AG105" s="352">
        <f t="shared" si="34"/>
        <v>11.858792491989238</v>
      </c>
      <c r="AH105" s="400">
        <f t="shared" si="48"/>
        <v>57.585454998186691</v>
      </c>
      <c r="AJ105" s="352">
        <f>D105*('Assumptions-Output Override'!$D$10/'Winners-Losers HRA'!$H$107)*(1+'Assumptions-Output Override'!$F$41)</f>
        <v>4367.8051923807925</v>
      </c>
      <c r="AK105" s="352">
        <f>E105*('Assumptions-Output Override'!$D$10/'Winners-Losers HRA'!$H$107)*(1+'Assumptions-Output Override'!$F$37)</f>
        <v>10933.100431514529</v>
      </c>
      <c r="AL105" s="352">
        <f>F105*('Assumptions-Output Override'!$D$10/'Winners-Losers HRA'!$H$107)*(1+'Assumptions-Output Override'!$F$38)</f>
        <v>1939.1278675142794</v>
      </c>
      <c r="AM105" s="352">
        <f>G105*('Shoppable Detail'!$X$21/'Shoppable Detail'!$H$21)*('Assumptions-Output Override'!$D$10/'Winners-Losers HRA'!$H$107)*(1+'Assumptions-Output Override'!$F$39)</f>
        <v>1040.7826632176402</v>
      </c>
      <c r="AN105" s="352">
        <f t="shared" si="49"/>
        <v>18280.816154627242</v>
      </c>
      <c r="AO105" s="352">
        <v>0</v>
      </c>
      <c r="AP105" s="352">
        <f>U105*'Assumptions-Output Override'!$D$10/'Winners-Losers HRA'!$H$107*(1+'Assumptions-Output Override'!$F$37)</f>
        <v>716.33080855296089</v>
      </c>
      <c r="AQ105" s="352">
        <f>AH105*'Assumptions-Output Override'!$D$10/'Winners-Losers HRA'!$H$107*(1+'Assumptions-Output Override'!$F$38)</f>
        <v>96.734693886927516</v>
      </c>
      <c r="AR105" s="352">
        <f>AM105*('Shoppable Detail'!$AA$23/'Shoppable Detail'!$Y$23)</f>
        <v>34.775816906922692</v>
      </c>
      <c r="AS105" s="352">
        <f t="shared" si="50"/>
        <v>847.84131934681113</v>
      </c>
      <c r="AT105" s="352">
        <f t="shared" si="51"/>
        <v>4367.8051923807925</v>
      </c>
      <c r="AU105" s="352">
        <f t="shared" si="51"/>
        <v>10216.769622961569</v>
      </c>
      <c r="AV105" s="352">
        <f t="shared" si="51"/>
        <v>1842.3931736273519</v>
      </c>
      <c r="AW105" s="352">
        <f t="shared" si="37"/>
        <v>1006.0068463107175</v>
      </c>
      <c r="AX105" s="352">
        <f t="shared" si="52"/>
        <v>17432.974835280431</v>
      </c>
      <c r="AY105" s="352">
        <f>AT105*'Assumptions-Output Override'!$D$24</f>
        <v>1330.6777174303877</v>
      </c>
      <c r="AZ105" s="352">
        <f>$AU$107*'Assumptions-Output Override'!$D$21</f>
        <v>46.041131296780591</v>
      </c>
      <c r="BA105" s="352">
        <f>AV105*'Assumptions-Output Override'!$D$22</f>
        <v>276.35897604410275</v>
      </c>
      <c r="BB105" s="352">
        <f>AW105*'Assumptions-Output Override'!$D$23</f>
        <v>150.90102694660763</v>
      </c>
      <c r="BC105" s="352">
        <f t="shared" si="53"/>
        <v>1803.9788517178786</v>
      </c>
      <c r="BD105" s="352">
        <f t="shared" si="54"/>
        <v>1330.6777174303877</v>
      </c>
      <c r="BE105" s="352">
        <f t="shared" si="54"/>
        <v>762.37193984974147</v>
      </c>
      <c r="BF105" s="352">
        <f t="shared" si="54"/>
        <v>373.09366993103026</v>
      </c>
      <c r="BG105" s="352">
        <f t="shared" si="38"/>
        <v>185.67684385353033</v>
      </c>
      <c r="BH105" s="352">
        <f t="shared" si="55"/>
        <v>2651.8201710646904</v>
      </c>
      <c r="BJ105" s="401">
        <f>D105*'Assumptions-Output Override'!$D$10/'Winners-Losers HRA'!$H$107</f>
        <v>6182.3375186060048</v>
      </c>
      <c r="BK105" s="401">
        <f>E105*'Assumptions-Output Override'!$D$10/'Winners-Losers HRA'!$H$107</f>
        <v>11223.402210662282</v>
      </c>
      <c r="BL105" s="401">
        <f>F105*'Assumptions-Output Override'!$D$10/'Winners-Losers HRA'!$H$107</f>
        <v>1950.2469813699583</v>
      </c>
      <c r="BM105" s="401">
        <f>G105*'Assumptions-Output Override'!$D$10/'Winners-Losers HRA'!$H$107</f>
        <v>1025.418765107793</v>
      </c>
      <c r="BN105" s="401">
        <f>SUM(BJ105:BM105)</f>
        <v>20381.405475746036</v>
      </c>
      <c r="BO105" s="401">
        <f>BJ105*(1-'Assumptions-Output Override'!$D$11)</f>
        <v>881.10539846395955</v>
      </c>
      <c r="BP105" s="401">
        <f>BK105*(1-'Assumptions-Output Override'!$D$11)</f>
        <v>1599.5568419203112</v>
      </c>
      <c r="BQ105" s="401">
        <f>BL105*(1-'Assumptions-Output Override'!$D$11)</f>
        <v>277.94877559686694</v>
      </c>
      <c r="BR105" s="401">
        <f>BM105*(1-'Assumptions-Output Override'!$D$11)</f>
        <v>146.14245936971187</v>
      </c>
      <c r="BS105" s="352">
        <f>SUM(BO105:BR105)</f>
        <v>2904.7534753508498</v>
      </c>
      <c r="BT105" s="352">
        <f t="shared" si="56"/>
        <v>5301.2321201420455</v>
      </c>
      <c r="BU105" s="352">
        <f t="shared" si="56"/>
        <v>9623.8453687419697</v>
      </c>
      <c r="BV105" s="352">
        <f t="shared" si="56"/>
        <v>1672.2982057730915</v>
      </c>
      <c r="BW105" s="352">
        <f t="shared" si="41"/>
        <v>879.27630573808108</v>
      </c>
      <c r="BX105" s="352">
        <f>SUM(BT105:BW105)</f>
        <v>17476.652000395188</v>
      </c>
      <c r="BY105" s="352">
        <f>BT$107*(1-'Assumptions-Output Override'!$D$12)</f>
        <v>22.753074310428271</v>
      </c>
      <c r="BZ105" s="352">
        <f>BU$107*(1-'Assumptions-Output Override'!$D$12)</f>
        <v>51.446038369839215</v>
      </c>
      <c r="CA105" s="352">
        <f>BV$107*(1-'Assumptions-Output Override'!$D$12)</f>
        <v>9.7401900534537411</v>
      </c>
      <c r="CB105" s="352">
        <f>BW$107*(1-'Assumptions-Output Override'!$D$12)</f>
        <v>1.7000814189516649</v>
      </c>
      <c r="CC105" s="352">
        <f>SUM(BY105:CB105)</f>
        <v>85.639384152672903</v>
      </c>
      <c r="CD105" s="352">
        <f t="shared" si="57"/>
        <v>903.85847277438779</v>
      </c>
      <c r="CE105" s="352">
        <f t="shared" si="57"/>
        <v>1651.0028802901504</v>
      </c>
      <c r="CF105" s="352">
        <f t="shared" si="57"/>
        <v>287.68896565032065</v>
      </c>
      <c r="CG105" s="352">
        <f t="shared" si="44"/>
        <v>147.84254078866354</v>
      </c>
      <c r="CH105" s="352">
        <f>SUM(CD105:CG105)</f>
        <v>2990.3928595035222</v>
      </c>
      <c r="CJ105" s="352">
        <f t="shared" si="58"/>
        <v>2990.3928595035222</v>
      </c>
      <c r="CK105" s="352">
        <f t="shared" si="59"/>
        <v>766.66666666666663</v>
      </c>
      <c r="CL105" s="352">
        <f t="shared" si="60"/>
        <v>2223.7261928368557</v>
      </c>
      <c r="CN105" s="352">
        <f>('HRA Balance Calc'!U117+'HRA Balance Calc'!V117+'HRA Balance Calc'!W117+'HRA Balance Calc'!X117)/12</f>
        <v>3440.3657381806247</v>
      </c>
      <c r="CO105" s="352">
        <f>('HRA Balance Calc'!Q117+IF('HRA Balance Calc'!L117&lt;0,-'HRA Balance Calc'!L117,0))/12</f>
        <v>0</v>
      </c>
      <c r="CP105" s="352">
        <f>('HRA Balance Calc'!N117)/12</f>
        <v>716.330808552961</v>
      </c>
      <c r="CQ105" s="352">
        <f>('HRA Balance Calc'!O117)/12</f>
        <v>96.734693886927516</v>
      </c>
      <c r="CR105" s="352">
        <f>('HRA Balance Calc'!P117)/12</f>
        <v>34.775816906922692</v>
      </c>
      <c r="CS105" s="352">
        <f t="shared" si="64"/>
        <v>847.84131934681125</v>
      </c>
      <c r="CU105" s="577">
        <f t="shared" si="61"/>
        <v>-40256.716248335419</v>
      </c>
      <c r="CV105" s="352">
        <f t="shared" si="62"/>
        <v>-3354.7263540279519</v>
      </c>
      <c r="CW105" s="352">
        <f t="shared" si="66"/>
        <v>2778.21204241341</v>
      </c>
      <c r="CX105" s="352">
        <f t="shared" si="66"/>
        <v>5043.5601557939444</v>
      </c>
      <c r="CY105" s="352">
        <f t="shared" si="66"/>
        <v>876.39984601554374</v>
      </c>
      <c r="CZ105" s="352">
        <f t="shared" si="65"/>
        <v>460.80155817528282</v>
      </c>
      <c r="DA105" s="352">
        <f t="shared" si="46"/>
        <v>9158.9736023981804</v>
      </c>
      <c r="DC105" s="352">
        <f>('HRA Balance Calc'!Q117+'HRA Balance Calc'!X117+IF('HRA Balance Calc'!L117&lt;0,-'HRA Balance Calc'!L117,0))/12</f>
        <v>3037.1274749504046</v>
      </c>
      <c r="DD105" s="352">
        <f>('HRA Balance Calc'!N117+'HRA Balance Calc'!U117)/12</f>
        <v>692.30906879247084</v>
      </c>
      <c r="DE105" s="352">
        <f>('HRA Balance Calc'!O117+'HRA Balance Calc'!V117)/12</f>
        <v>373.09366993103032</v>
      </c>
      <c r="DF105" s="352">
        <f>('HRA Balance Calc'!P117+'HRA Balance Calc'!W117)/12</f>
        <v>185.67684385353036</v>
      </c>
      <c r="DG105" s="352">
        <f t="shared" si="63"/>
        <v>4288.2070575274356</v>
      </c>
      <c r="DI105" s="352">
        <f t="shared" si="32"/>
        <v>-2133.2690021760168</v>
      </c>
      <c r="DJ105" s="352">
        <f t="shared" si="32"/>
        <v>958.69381149767958</v>
      </c>
      <c r="DK105" s="352">
        <f t="shared" si="32"/>
        <v>-85.404704280709666</v>
      </c>
      <c r="DL105" s="352">
        <f t="shared" si="32"/>
        <v>-37.834303064866816</v>
      </c>
      <c r="DM105" s="352">
        <f t="shared" si="32"/>
        <v>-1297.8141980239134</v>
      </c>
    </row>
    <row r="106" spans="1:117" x14ac:dyDescent="0.2">
      <c r="D106" s="352"/>
      <c r="E106" s="352"/>
      <c r="F106" s="352"/>
      <c r="G106" s="352"/>
      <c r="H106" s="352"/>
      <c r="O106" s="352"/>
      <c r="P106" s="352"/>
      <c r="Q106" s="352"/>
      <c r="R106" s="352"/>
      <c r="S106" s="352"/>
      <c r="T106" s="352"/>
      <c r="U106" s="352"/>
      <c r="BJ106" s="401"/>
      <c r="BK106" s="401"/>
      <c r="BL106" s="401"/>
      <c r="BM106" s="401"/>
      <c r="BN106" s="401"/>
    </row>
    <row r="107" spans="1:117" x14ac:dyDescent="0.2">
      <c r="A107" t="s">
        <v>403</v>
      </c>
      <c r="B107" s="397">
        <f>SUM(B6:B105)</f>
        <v>3430421</v>
      </c>
      <c r="C107" s="398">
        <f>SUM(C6:C105)</f>
        <v>39795382.999999993</v>
      </c>
      <c r="D107" s="399">
        <f>SUM(D6:D105)/100</f>
        <v>104.70612588518766</v>
      </c>
      <c r="E107" s="399">
        <f>SUM(E6:E105)/100</f>
        <v>236.74670492231996</v>
      </c>
      <c r="F107" s="399">
        <f>SUM(F6:F105)/100</f>
        <v>44.822846880746809</v>
      </c>
      <c r="G107" s="399">
        <f>SUM(G6:G105)/100</f>
        <v>7.823511523725645</v>
      </c>
      <c r="H107" s="352">
        <f>SUM(D107:G107)</f>
        <v>394.09918921198005</v>
      </c>
      <c r="O107" s="399">
        <f t="shared" ref="O107:T107" si="67">SUM(O6:O105)/100</f>
        <v>3.3627427496352187</v>
      </c>
      <c r="P107" s="399">
        <f t="shared" si="67"/>
        <v>0</v>
      </c>
      <c r="Q107" s="399">
        <f t="shared" si="67"/>
        <v>4.6393831762083959</v>
      </c>
      <c r="R107" s="399">
        <f t="shared" si="67"/>
        <v>9.1393167142483591</v>
      </c>
      <c r="S107" s="399">
        <f t="shared" si="67"/>
        <v>11.914041935648285</v>
      </c>
      <c r="T107" s="399">
        <f t="shared" si="67"/>
        <v>21.189307293621731</v>
      </c>
      <c r="U107" s="352">
        <f>SUM(Q107:T107)</f>
        <v>46.882049119726773</v>
      </c>
      <c r="AB107" s="352">
        <f t="shared" ref="AB107:AG107" si="68">SUM(AB6:AB105)/100</f>
        <v>0.48500984328460667</v>
      </c>
      <c r="AC107" s="352">
        <f t="shared" si="68"/>
        <v>0</v>
      </c>
      <c r="AD107" s="352">
        <f t="shared" si="68"/>
        <v>0.59742884146596253</v>
      </c>
      <c r="AE107" s="352">
        <f t="shared" si="68"/>
        <v>3.2615004978702107</v>
      </c>
      <c r="AF107" s="352">
        <f t="shared" si="68"/>
        <v>0.89719777901137376</v>
      </c>
      <c r="AG107" s="352">
        <f t="shared" si="68"/>
        <v>1.6840311997219515</v>
      </c>
      <c r="AH107" s="352">
        <f>SUM(AD107:AG107)</f>
        <v>6.4401583180694981</v>
      </c>
      <c r="AJ107" s="352">
        <f t="shared" ref="AJ107:BG107" si="69">SUM(AJ6:AJ105)/100</f>
        <v>124.97848784765371</v>
      </c>
      <c r="AK107" s="352">
        <f t="shared" si="69"/>
        <v>389.6326833678317</v>
      </c>
      <c r="AL107" s="352">
        <f t="shared" si="69"/>
        <v>75.295478212097166</v>
      </c>
      <c r="AM107" s="352">
        <f t="shared" si="69"/>
        <v>13.41569390915603</v>
      </c>
      <c r="AN107" s="352">
        <f>SUM(AJ107:AM107)</f>
        <v>603.32234333673864</v>
      </c>
      <c r="AO107" s="352">
        <f t="shared" si="69"/>
        <v>0</v>
      </c>
      <c r="AP107" s="352">
        <f t="shared" si="69"/>
        <v>82.691808055961005</v>
      </c>
      <c r="AQ107" s="352">
        <f t="shared" si="69"/>
        <v>11.633215752574685</v>
      </c>
      <c r="AR107" s="352">
        <f t="shared" si="69"/>
        <v>0.44826045970230438</v>
      </c>
      <c r="AS107" s="352">
        <f>SUM(AO107:AR107)</f>
        <v>94.773284268238001</v>
      </c>
      <c r="AT107" s="352">
        <f t="shared" si="69"/>
        <v>124.97848784765371</v>
      </c>
      <c r="AU107" s="352">
        <f t="shared" si="69"/>
        <v>306.94087531187063</v>
      </c>
      <c r="AV107" s="352">
        <f t="shared" si="69"/>
        <v>63.662262459522459</v>
      </c>
      <c r="AW107" s="352">
        <f t="shared" si="69"/>
        <v>12.967433449453724</v>
      </c>
      <c r="AX107" s="352">
        <f>SUM(AT107:AW107)</f>
        <v>508.54905906850053</v>
      </c>
      <c r="AY107" s="352">
        <f t="shared" si="69"/>
        <v>38.075436429060971</v>
      </c>
      <c r="AZ107" s="352">
        <f t="shared" si="69"/>
        <v>46.041131296780705</v>
      </c>
      <c r="BA107" s="352">
        <f t="shared" si="69"/>
        <v>9.5493393689283703</v>
      </c>
      <c r="BB107" s="352">
        <f t="shared" si="69"/>
        <v>1.9451150174180589</v>
      </c>
      <c r="BC107" s="352">
        <f t="shared" si="53"/>
        <v>95.61102211218811</v>
      </c>
      <c r="BD107" s="352">
        <f t="shared" si="69"/>
        <v>38.075436429060971</v>
      </c>
      <c r="BE107" s="352">
        <f t="shared" si="69"/>
        <v>128.7329393527416</v>
      </c>
      <c r="BF107" s="352">
        <f t="shared" si="69"/>
        <v>21.18255512150305</v>
      </c>
      <c r="BG107" s="352">
        <f t="shared" si="69"/>
        <v>2.3933754771203635</v>
      </c>
      <c r="BH107" s="352">
        <f>SUM(BD107:BG107)</f>
        <v>190.38430638042598</v>
      </c>
      <c r="BJ107" s="401">
        <f t="shared" ref="BJ107:BX107" si="70">SUM(BJ6:BJ105)/100</f>
        <v>176.89873069133719</v>
      </c>
      <c r="BK107" s="401">
        <f t="shared" si="70"/>
        <v>399.97842764269024</v>
      </c>
      <c r="BL107" s="401">
        <f t="shared" si="70"/>
        <v>75.727228489674943</v>
      </c>
      <c r="BM107" s="401">
        <f t="shared" si="70"/>
        <v>13.217653183097095</v>
      </c>
      <c r="BN107" s="401">
        <f t="shared" si="70"/>
        <v>665.8220400067994</v>
      </c>
      <c r="BO107" s="401">
        <f t="shared" si="70"/>
        <v>25.211568621815413</v>
      </c>
      <c r="BP107" s="401">
        <f t="shared" si="70"/>
        <v>57.004838510428833</v>
      </c>
      <c r="BQ107" s="401">
        <f t="shared" si="70"/>
        <v>10.792628133316674</v>
      </c>
      <c r="BR107" s="401">
        <f t="shared" si="70"/>
        <v>1.8837770567526644</v>
      </c>
      <c r="BS107" s="401">
        <f t="shared" si="70"/>
        <v>94.892812322313588</v>
      </c>
      <c r="BT107" s="401">
        <f t="shared" si="70"/>
        <v>151.68716206952178</v>
      </c>
      <c r="BU107" s="401">
        <f t="shared" si="70"/>
        <v>342.9735891322614</v>
      </c>
      <c r="BV107" s="401">
        <f t="shared" si="70"/>
        <v>64.93460035635826</v>
      </c>
      <c r="BW107" s="401">
        <f t="shared" si="70"/>
        <v>11.33387612634443</v>
      </c>
      <c r="BX107" s="401">
        <f t="shared" si="70"/>
        <v>570.92922768448591</v>
      </c>
      <c r="BY107" s="352">
        <f>BT$107*(1-'Assumptions-Output Override'!$D$12)</f>
        <v>22.753074310428271</v>
      </c>
      <c r="BZ107" s="352">
        <f>BU$107*(1-'Assumptions-Output Override'!$D$12)</f>
        <v>51.446038369839215</v>
      </c>
      <c r="CA107" s="352">
        <f>BV$107*(1-'Assumptions-Output Override'!$D$12)</f>
        <v>9.7401900534537411</v>
      </c>
      <c r="CB107" s="352">
        <f>BW$107*(1-'Assumptions-Output Override'!$D$12)</f>
        <v>1.7000814189516649</v>
      </c>
      <c r="CC107" s="352">
        <f>SUM(BY107:CB107)</f>
        <v>85.639384152672903</v>
      </c>
      <c r="CD107" s="401">
        <f>SUM(CD6:CD105)/100</f>
        <v>47.964642932243677</v>
      </c>
      <c r="CE107" s="401">
        <f>SUM(CE6:CE105)/100</f>
        <v>108.45087688026804</v>
      </c>
      <c r="CF107" s="401">
        <f>SUM(CF6:CF105)/100</f>
        <v>20.53281818677042</v>
      </c>
      <c r="CG107" s="401">
        <f>SUM(CG6:CG105)/100</f>
        <v>3.5838584757043295</v>
      </c>
      <c r="CH107" s="401">
        <f>SUM(CH6:CH105)/100</f>
        <v>180.53219647498645</v>
      </c>
      <c r="CJ107" s="401">
        <f>SUM(CJ6:CJ105)/100</f>
        <v>180.53219647498645</v>
      </c>
      <c r="CK107" s="401">
        <f>SUM(CK6:CK105)/100</f>
        <v>93.961537741436572</v>
      </c>
      <c r="CL107" s="401">
        <f>SUM(CL6:CL105)/100</f>
        <v>86.570658733549948</v>
      </c>
    </row>
    <row r="109" spans="1:117" x14ac:dyDescent="0.2">
      <c r="A109" t="s">
        <v>435</v>
      </c>
      <c r="B109" s="397">
        <v>39795383</v>
      </c>
      <c r="C109" s="398"/>
      <c r="AJ109" s="518">
        <f>AJ107/$AN$107</f>
        <v>0.20715043828220722</v>
      </c>
      <c r="AK109" s="518">
        <f>AK107/$AN$107</f>
        <v>0.6458117914429069</v>
      </c>
      <c r="AL109" s="518">
        <f>AL107/$AN$107</f>
        <v>0.12480140847373145</v>
      </c>
      <c r="AM109" s="518">
        <f>AM107/$AN$107</f>
        <v>2.2236361801154424E-2</v>
      </c>
      <c r="AN109" s="518">
        <f>AN107/$AN$107</f>
        <v>1</v>
      </c>
      <c r="BQ109">
        <f>MIN(6000,BS101*12)</f>
        <v>4889.5212466250368</v>
      </c>
      <c r="BR109">
        <f>MIN(6000,'HRA Balance Calc'!R113)</f>
        <v>3683.908194665577</v>
      </c>
      <c r="BS109" s="352">
        <f>MIN(6000,BS101*12)-MIN(6000,'HRA Balance Calc'!R113)</f>
        <v>1205.6130519594599</v>
      </c>
    </row>
    <row r="110" spans="1:117" x14ac:dyDescent="0.2">
      <c r="BQ110">
        <f>MIN(6000,BS102*12)</f>
        <v>6000</v>
      </c>
      <c r="BR110">
        <f>MIN(6000,'HRA Balance Calc'!R114)</f>
        <v>4063.1958959197564</v>
      </c>
      <c r="BS110" s="352">
        <f>MIN(6000,BS102*12)-MIN(6000,'HRA Balance Calc'!R114)</f>
        <v>1936.8041040802436</v>
      </c>
      <c r="CK110">
        <f>IF(ISNUMBER('HRA Balance Calc'!I12),'HRA Balance Calc'!I12/12,100000)</f>
        <v>766.66666666666663</v>
      </c>
    </row>
    <row r="111" spans="1:117" x14ac:dyDescent="0.2">
      <c r="A111" t="s">
        <v>436</v>
      </c>
      <c r="B111" s="390">
        <f>B109/B107</f>
        <v>11.600728598618071</v>
      </c>
      <c r="BQ111">
        <f>MIN(6000,BS103*12)</f>
        <v>6000</v>
      </c>
      <c r="BR111">
        <f>MIN(6000,'HRA Balance Calc'!R115)</f>
        <v>4723.342442564167</v>
      </c>
      <c r="BS111" s="352">
        <f>MIN(6000,BS103*12)-MIN(6000,'HRA Balance Calc'!R115)</f>
        <v>1276.657557435833</v>
      </c>
    </row>
    <row r="112" spans="1:117" x14ac:dyDescent="0.2">
      <c r="BQ112">
        <f>MIN(6000,BS104*12)</f>
        <v>6000</v>
      </c>
      <c r="BR112">
        <f>MIN(6000,'HRA Balance Calc'!R116)</f>
        <v>5684.6355322913823</v>
      </c>
      <c r="BS112" s="352">
        <f>MIN(6000,BS104*12)-MIN(6000,'HRA Balance Calc'!R116)</f>
        <v>315.36446770861767</v>
      </c>
    </row>
    <row r="113" spans="69:71" x14ac:dyDescent="0.2">
      <c r="BQ113">
        <f>MIN(6000,BS105*12)</f>
        <v>6000</v>
      </c>
      <c r="BR113">
        <f>MIN(6000,'HRA Balance Calc'!R117)</f>
        <v>6000</v>
      </c>
      <c r="BS113" s="352">
        <f>MIN(6000,BS105*12)-MIN(6000,'HRA Balance Calc'!R117)</f>
        <v>0</v>
      </c>
    </row>
  </sheetData>
  <mergeCells count="16">
    <mergeCell ref="AJ4:AN4"/>
    <mergeCell ref="D4:H4"/>
    <mergeCell ref="I4:N4"/>
    <mergeCell ref="O4:T4"/>
    <mergeCell ref="V4:AA4"/>
    <mergeCell ref="AB4:AG4"/>
    <mergeCell ref="BT4:BX4"/>
    <mergeCell ref="BY4:CC4"/>
    <mergeCell ref="CD4:CH4"/>
    <mergeCell ref="CV4:DA4"/>
    <mergeCell ref="AO4:AS4"/>
    <mergeCell ref="AT4:AX4"/>
    <mergeCell ref="AY4:BC4"/>
    <mergeCell ref="BD4:BH4"/>
    <mergeCell ref="BJ4:BN4"/>
    <mergeCell ref="BO4:BS4"/>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pageSetUpPr fitToPage="1"/>
  </sheetPr>
  <dimension ref="A1:M74"/>
  <sheetViews>
    <sheetView workbookViewId="0"/>
  </sheetViews>
  <sheetFormatPr baseColWidth="10" defaultColWidth="8.83203125" defaultRowHeight="15" x14ac:dyDescent="0.2"/>
  <cols>
    <col min="1" max="1" width="5.5" customWidth="1"/>
    <col min="2" max="2" width="34.1640625" customWidth="1"/>
    <col min="3" max="3" width="5.5" customWidth="1"/>
    <col min="4" max="13" width="15.83203125" customWidth="1"/>
  </cols>
  <sheetData>
    <row r="1" spans="1:13" ht="19" x14ac:dyDescent="0.25">
      <c r="A1" s="289" t="s">
        <v>852</v>
      </c>
    </row>
    <row r="3" spans="1:13" ht="16" x14ac:dyDescent="0.2">
      <c r="A3" s="290" t="s">
        <v>319</v>
      </c>
    </row>
    <row r="5" spans="1:13" x14ac:dyDescent="0.2">
      <c r="B5" t="s">
        <v>320</v>
      </c>
      <c r="D5" s="357">
        <f>'PPP Detail Override'!P15+'Chronic Summary'!F32+'Discretionary Detail'!G67+'Shoppable Detail'!H21</f>
        <v>394.0072939966164</v>
      </c>
    </row>
    <row r="7" spans="1:13" x14ac:dyDescent="0.2">
      <c r="A7" s="291" t="s">
        <v>321</v>
      </c>
    </row>
    <row r="8" spans="1:13" ht="16" thickBot="1" x14ac:dyDescent="0.25">
      <c r="A8" s="292"/>
    </row>
    <row r="9" spans="1:13" x14ac:dyDescent="0.2">
      <c r="A9" s="292"/>
      <c r="B9" t="s">
        <v>322</v>
      </c>
      <c r="D9" s="293">
        <f>'Assumptions-Output Target'!D9</f>
        <v>11171.599999999999</v>
      </c>
    </row>
    <row r="10" spans="1:13" x14ac:dyDescent="0.2">
      <c r="B10" t="s">
        <v>323</v>
      </c>
      <c r="D10" s="294">
        <f>'Assumptions-Output Target'!D10</f>
        <v>665.8220400067994</v>
      </c>
    </row>
    <row r="11" spans="1:13" x14ac:dyDescent="0.2">
      <c r="B11" t="s">
        <v>324</v>
      </c>
      <c r="D11" s="295">
        <f>'Assumptions-Output Target'!D11</f>
        <v>0.85748021750474868</v>
      </c>
    </row>
    <row r="12" spans="1:13" ht="16" thickBot="1" x14ac:dyDescent="0.25">
      <c r="B12" t="s">
        <v>325</v>
      </c>
      <c r="D12" s="296">
        <f>'Assumptions-Output Target'!D12</f>
        <v>0.85</v>
      </c>
    </row>
    <row r="14" spans="1:13" x14ac:dyDescent="0.2">
      <c r="A14" s="291" t="s">
        <v>326</v>
      </c>
      <c r="I14" s="984" t="s">
        <v>327</v>
      </c>
      <c r="J14" s="984"/>
      <c r="K14" s="984"/>
      <c r="L14" s="984"/>
      <c r="M14" s="984"/>
    </row>
    <row r="15" spans="1:13" ht="31" thickBot="1" x14ac:dyDescent="0.25">
      <c r="D15" s="358" t="s">
        <v>328</v>
      </c>
      <c r="E15" s="358" t="s">
        <v>0</v>
      </c>
      <c r="F15" s="358" t="s">
        <v>329</v>
      </c>
      <c r="G15" s="358" t="s">
        <v>330</v>
      </c>
      <c r="H15" s="358" t="s">
        <v>331</v>
      </c>
      <c r="I15" s="358" t="s">
        <v>332</v>
      </c>
      <c r="J15" s="358" t="s">
        <v>333</v>
      </c>
      <c r="K15" s="358" t="s">
        <v>334</v>
      </c>
      <c r="L15" s="358" t="s">
        <v>335</v>
      </c>
      <c r="M15" s="358" t="s">
        <v>336</v>
      </c>
    </row>
    <row r="16" spans="1:13" x14ac:dyDescent="0.2">
      <c r="B16" t="s">
        <v>337</v>
      </c>
      <c r="D16" s="297">
        <f>MROUND('Assumptions-Output Target'!D16,100)</f>
        <v>1000</v>
      </c>
      <c r="E16" s="298">
        <f>MROUND('Assumptions-Output Target'!E16,50)</f>
        <v>250</v>
      </c>
      <c r="F16" s="298">
        <f>MROUND('Assumptions-Output Target'!F16,25)</f>
        <v>100</v>
      </c>
      <c r="G16" s="298">
        <f>MROUND('Assumptions-Output Target'!G16,10)</f>
        <v>30</v>
      </c>
      <c r="H16" s="298">
        <f>MROUND('Assumptions-Output Target'!H16,10)</f>
        <v>60</v>
      </c>
      <c r="I16" s="298">
        <f>MROUND('Assumptions-Output Target'!I16,5)</f>
        <v>0</v>
      </c>
      <c r="J16" s="298">
        <f>MROUND('Assumptions-Output Target'!J16,5)</f>
        <v>10</v>
      </c>
      <c r="K16" s="298">
        <f>MROUND('Assumptions-Output Target'!K16,10)</f>
        <v>50</v>
      </c>
      <c r="L16" s="298">
        <f>MROUND('Assumptions-Output Target'!L16,10)</f>
        <v>80</v>
      </c>
      <c r="M16" s="299">
        <f>MROUND('Assumptions-Output Target'!M16,25)</f>
        <v>200</v>
      </c>
    </row>
    <row r="17" spans="1:13" x14ac:dyDescent="0.2">
      <c r="B17" t="s">
        <v>338</v>
      </c>
      <c r="D17" s="300">
        <f>D16</f>
        <v>1000</v>
      </c>
      <c r="E17" s="301">
        <f t="shared" ref="E17:M17" si="0">E16</f>
        <v>250</v>
      </c>
      <c r="F17" s="301">
        <f t="shared" si="0"/>
        <v>100</v>
      </c>
      <c r="G17" s="301">
        <f t="shared" si="0"/>
        <v>30</v>
      </c>
      <c r="H17" s="301">
        <f t="shared" si="0"/>
        <v>60</v>
      </c>
      <c r="I17" s="301">
        <f t="shared" si="0"/>
        <v>0</v>
      </c>
      <c r="J17" s="301">
        <f t="shared" si="0"/>
        <v>10</v>
      </c>
      <c r="K17" s="301">
        <f t="shared" si="0"/>
        <v>50</v>
      </c>
      <c r="L17" s="301">
        <f t="shared" si="0"/>
        <v>80</v>
      </c>
      <c r="M17" s="302">
        <f t="shared" si="0"/>
        <v>200</v>
      </c>
    </row>
    <row r="18" spans="1:13" x14ac:dyDescent="0.2">
      <c r="B18" t="s">
        <v>339</v>
      </c>
      <c r="D18" s="303">
        <f>MROUND('Assumptions-Output Target'!D17,100)</f>
        <v>1000</v>
      </c>
      <c r="E18" s="304">
        <f>MROUND('Assumptions-Output Target'!E17,50)</f>
        <v>250</v>
      </c>
      <c r="F18" s="304">
        <f>MROUND('Assumptions-Output Target'!F17,25)</f>
        <v>100</v>
      </c>
      <c r="G18" s="304">
        <f>MROUND('Assumptions-Output Target'!G17,10)</f>
        <v>30</v>
      </c>
      <c r="H18" s="304">
        <f>MROUND('Assumptions-Output Target'!H17,10)</f>
        <v>60</v>
      </c>
      <c r="I18" s="304">
        <f>MROUND('Assumptions-Output Target'!I17,5)</f>
        <v>0</v>
      </c>
      <c r="J18" s="304">
        <f>MROUND('Assumptions-Output Target'!J17,5)</f>
        <v>10</v>
      </c>
      <c r="K18" s="304">
        <f>MROUND('Assumptions-Output Target'!K17,10)</f>
        <v>50</v>
      </c>
      <c r="L18" s="304">
        <f>MROUND('Assumptions-Output Target'!L17,10)</f>
        <v>80</v>
      </c>
      <c r="M18" s="305">
        <f>MROUND('Assumptions-Output Target'!M17,25)</f>
        <v>200</v>
      </c>
    </row>
    <row r="19" spans="1:13" ht="16" thickBot="1" x14ac:dyDescent="0.25">
      <c r="B19" t="s">
        <v>340</v>
      </c>
      <c r="D19" s="306">
        <f>D17</f>
        <v>1000</v>
      </c>
      <c r="E19" s="307">
        <f t="shared" ref="E19:M19" si="1">E17</f>
        <v>250</v>
      </c>
      <c r="F19" s="307">
        <f t="shared" si="1"/>
        <v>100</v>
      </c>
      <c r="G19" s="307">
        <f t="shared" si="1"/>
        <v>30</v>
      </c>
      <c r="H19" s="307">
        <f t="shared" si="1"/>
        <v>60</v>
      </c>
      <c r="I19" s="307">
        <f t="shared" si="1"/>
        <v>0</v>
      </c>
      <c r="J19" s="307">
        <f t="shared" si="1"/>
        <v>10</v>
      </c>
      <c r="K19" s="307">
        <f t="shared" si="1"/>
        <v>50</v>
      </c>
      <c r="L19" s="307">
        <f t="shared" si="1"/>
        <v>80</v>
      </c>
      <c r="M19" s="308">
        <f t="shared" si="1"/>
        <v>200</v>
      </c>
    </row>
    <row r="20" spans="1:13" ht="16" thickBot="1" x14ac:dyDescent="0.25">
      <c r="D20" s="310"/>
      <c r="E20" s="310"/>
      <c r="F20" s="310"/>
      <c r="G20" s="310"/>
      <c r="H20" s="310"/>
      <c r="I20" s="310"/>
      <c r="J20" s="310"/>
      <c r="K20" s="310"/>
      <c r="L20" s="310"/>
      <c r="M20" s="310"/>
    </row>
    <row r="21" spans="1:13" x14ac:dyDescent="0.2">
      <c r="B21" t="s">
        <v>341</v>
      </c>
      <c r="D21" s="309">
        <f>'Assumptions-Output Target'!D19</f>
        <v>0.15</v>
      </c>
      <c r="E21" s="310"/>
      <c r="F21" s="310"/>
      <c r="G21" s="310"/>
      <c r="H21" s="310"/>
      <c r="I21" s="310"/>
      <c r="J21" s="310"/>
      <c r="K21" s="310"/>
      <c r="L21" s="310"/>
      <c r="M21" s="310"/>
    </row>
    <row r="22" spans="1:13" x14ac:dyDescent="0.2">
      <c r="B22" t="s">
        <v>380</v>
      </c>
      <c r="D22" s="311">
        <f>'Assumptions-Output Target'!D20</f>
        <v>0.15</v>
      </c>
    </row>
    <row r="23" spans="1:13" x14ac:dyDescent="0.2">
      <c r="B23" t="s">
        <v>342</v>
      </c>
      <c r="D23" s="311">
        <f>'Assumptions-Output Target'!D21</f>
        <v>0.15</v>
      </c>
    </row>
    <row r="24" spans="1:13" ht="16" thickBot="1" x14ac:dyDescent="0.25">
      <c r="B24" t="s">
        <v>343</v>
      </c>
      <c r="D24" s="312">
        <f>'Assumptions-Output Target'!D22</f>
        <v>0.30465592186932339</v>
      </c>
    </row>
    <row r="26" spans="1:13" x14ac:dyDescent="0.2">
      <c r="A26" s="291" t="s">
        <v>344</v>
      </c>
    </row>
    <row r="27" spans="1:13" x14ac:dyDescent="0.2">
      <c r="D27" s="313" t="s">
        <v>345</v>
      </c>
      <c r="E27" s="313" t="s">
        <v>346</v>
      </c>
      <c r="F27" s="313" t="s">
        <v>347</v>
      </c>
    </row>
    <row r="28" spans="1:13" ht="16" thickBot="1" x14ac:dyDescent="0.25">
      <c r="B28" t="s">
        <v>348</v>
      </c>
      <c r="D28" s="313" t="s">
        <v>349</v>
      </c>
      <c r="E28" s="313" t="s">
        <v>350</v>
      </c>
      <c r="F28" s="313" t="s">
        <v>351</v>
      </c>
    </row>
    <row r="29" spans="1:13" x14ac:dyDescent="0.2">
      <c r="B29" t="s">
        <v>352</v>
      </c>
      <c r="D29" s="314">
        <f>'Assumptions-Output Target'!D27</f>
        <v>2500</v>
      </c>
      <c r="E29" s="315">
        <f>'Assumptions-Output Target'!E27</f>
        <v>2500</v>
      </c>
      <c r="F29" s="316">
        <f>'Assumptions-Output Target'!F27</f>
        <v>2500</v>
      </c>
    </row>
    <row r="30" spans="1:13" ht="16" thickBot="1" x14ac:dyDescent="0.25">
      <c r="B30" t="s">
        <v>353</v>
      </c>
      <c r="D30" s="317">
        <f>'Assumptions-Output Target'!D28</f>
        <v>0</v>
      </c>
      <c r="E30" s="318">
        <f>'Assumptions-Output Target'!E28</f>
        <v>0</v>
      </c>
      <c r="F30" s="319">
        <f>'Assumptions-Output Target'!F28</f>
        <v>0</v>
      </c>
    </row>
    <row r="32" spans="1:13" x14ac:dyDescent="0.2">
      <c r="B32" s="320" t="s">
        <v>354</v>
      </c>
    </row>
    <row r="34" spans="1:9" ht="16" thickBot="1" x14ac:dyDescent="0.25">
      <c r="D34" s="313" t="s">
        <v>355</v>
      </c>
      <c r="E34" s="313" t="s">
        <v>356</v>
      </c>
      <c r="F34" s="313" t="s">
        <v>357</v>
      </c>
    </row>
    <row r="35" spans="1:9" x14ac:dyDescent="0.2">
      <c r="B35" t="s">
        <v>358</v>
      </c>
      <c r="D35" s="321">
        <f>1-D11</f>
        <v>0.14251978249525132</v>
      </c>
      <c r="E35" s="322">
        <f>IF(D35&lt;=0.4,-1.0204*D35^2+0.9161*D35+0.0018,0.205)</f>
        <v>0.11163612181799511</v>
      </c>
      <c r="F35" s="323">
        <f>(1-E35)/(1-$E$35)-1</f>
        <v>0</v>
      </c>
    </row>
    <row r="36" spans="1:9" x14ac:dyDescent="0.2">
      <c r="D36" s="324"/>
      <c r="E36" s="325"/>
      <c r="F36" s="326"/>
    </row>
    <row r="37" spans="1:9" x14ac:dyDescent="0.2">
      <c r="B37" t="s">
        <v>359</v>
      </c>
      <c r="D37" s="324">
        <f>'PPP Detail Override'!R16</f>
        <v>0.18178684656556024</v>
      </c>
      <c r="E37" s="325">
        <f>IF(D37&lt;=0.4,-1.0204*D37^2+0.9161*D37+0.0018,0.205)</f>
        <v>0.13461432481974048</v>
      </c>
      <c r="F37" s="326">
        <f>(1-E37)/(1-$E$35)-1</f>
        <v>-2.5865755650453903E-2</v>
      </c>
    </row>
    <row r="38" spans="1:9" x14ac:dyDescent="0.2">
      <c r="B38" t="s">
        <v>381</v>
      </c>
      <c r="D38" s="324">
        <f>'Chronic Summary'!G33</f>
        <v>0.15073047156518685</v>
      </c>
      <c r="E38" s="325">
        <f>IF(D38&lt;=0.4,-1.0204*D38^2+0.9161*D38+0.0018,0.205)</f>
        <v>0.11670102857141548</v>
      </c>
      <c r="F38" s="326">
        <f>(1-E38)/(1-$E$35)-1</f>
        <v>-5.7013875482933019E-3</v>
      </c>
    </row>
    <row r="39" spans="1:9" x14ac:dyDescent="0.2">
      <c r="B39" t="s">
        <v>360</v>
      </c>
      <c r="D39" s="324">
        <f>'Shoppable Detail'!AA22</f>
        <v>3.4568171215190471E-2</v>
      </c>
      <c r="E39" s="325">
        <f>IF(D39&lt;=0.4,-1.0204*D39^2+0.9161*D39+0.0018,0.205)</f>
        <v>3.2248566036465545E-2</v>
      </c>
      <c r="F39" s="326">
        <f>(1-E39)/(1-$E$35)-1</f>
        <v>8.936378181426341E-2</v>
      </c>
    </row>
    <row r="40" spans="1:9" ht="16" thickBot="1" x14ac:dyDescent="0.25">
      <c r="B40" t="s">
        <v>361</v>
      </c>
      <c r="D40" s="324">
        <f>D24</f>
        <v>0.30465592186932339</v>
      </c>
      <c r="E40" s="325">
        <f>IF(D40&lt;=0.4,-1.0204*D40^2+0.9161*D40+0.0018,0.205)</f>
        <v>0.18618662858754695</v>
      </c>
      <c r="F40" s="326">
        <f>(1-E40)/(1-$E$35)-1</f>
        <v>-8.3918885718446856E-2</v>
      </c>
    </row>
    <row r="41" spans="1:9" ht="16" thickBot="1" x14ac:dyDescent="0.25">
      <c r="B41" t="s">
        <v>362</v>
      </c>
      <c r="D41" s="327">
        <f>'Assumptions-Output Target'!D39</f>
        <v>2</v>
      </c>
      <c r="E41" s="328">
        <f>E40*D41</f>
        <v>0.3723732571750939</v>
      </c>
      <c r="F41" s="329">
        <f>(1-E41)/(1-$E$35)-1</f>
        <v>-0.29350263080336536</v>
      </c>
    </row>
    <row r="43" spans="1:9" ht="16" x14ac:dyDescent="0.2">
      <c r="A43" s="290" t="s">
        <v>363</v>
      </c>
    </row>
    <row r="44" spans="1:9" ht="16" thickBot="1" x14ac:dyDescent="0.25"/>
    <row r="45" spans="1:9" ht="30" x14ac:dyDescent="0.2">
      <c r="B45" s="330" t="s">
        <v>364</v>
      </c>
      <c r="C45" s="331"/>
      <c r="D45" s="332" t="s">
        <v>365</v>
      </c>
      <c r="E45" s="332" t="s">
        <v>366</v>
      </c>
      <c r="F45" s="332" t="s">
        <v>367</v>
      </c>
      <c r="G45" s="332" t="s">
        <v>368</v>
      </c>
      <c r="H45" s="332" t="s">
        <v>369</v>
      </c>
      <c r="I45" s="333" t="s">
        <v>370</v>
      </c>
    </row>
    <row r="46" spans="1:9" x14ac:dyDescent="0.2">
      <c r="B46" s="334"/>
      <c r="C46" s="335"/>
      <c r="D46" s="335"/>
      <c r="E46" s="335"/>
      <c r="F46" s="335"/>
      <c r="G46" s="335"/>
      <c r="H46" s="335"/>
      <c r="I46" s="336"/>
    </row>
    <row r="47" spans="1:9" x14ac:dyDescent="0.2">
      <c r="A47" s="28">
        <f>D47/D$52</f>
        <v>0.8133457623098046</v>
      </c>
      <c r="B47" s="334" t="str">
        <f>B37</f>
        <v>Core</v>
      </c>
      <c r="C47" s="335"/>
      <c r="D47" s="337">
        <f>('PPP Detail Override'!P15+('Chronic Summary'!B32-'Chronic Summary'!B36))*'Assumptions-Output Override'!D10/'Assumptions-Output Override'!D5+('Discretionary Detail'!H67-'Discretionary Detail'!H74)</f>
        <v>541.54353469199941</v>
      </c>
      <c r="E47" s="337">
        <f>D47*(1-$D$11)</f>
        <v>77.180666776013339</v>
      </c>
      <c r="F47" s="337">
        <f>D47-E47</f>
        <v>464.36286791598604</v>
      </c>
      <c r="G47" s="337">
        <f>F47*$D$12</f>
        <v>394.70843772858814</v>
      </c>
      <c r="H47" s="337">
        <f>F47-G47</f>
        <v>69.654430187397907</v>
      </c>
      <c r="I47" s="338">
        <f>E47+H47</f>
        <v>146.83509696341125</v>
      </c>
    </row>
    <row r="48" spans="1:9" x14ac:dyDescent="0.2">
      <c r="A48" s="28">
        <f>D48/D$52</f>
        <v>3.9847649616212698E-2</v>
      </c>
      <c r="B48" s="334" t="str">
        <f>B38</f>
        <v>Chronic (Upgrade)</v>
      </c>
      <c r="C48" s="335"/>
      <c r="D48" s="337">
        <f>'Chronic Summary'!F36*D10/D5</f>
        <v>26.531443356942891</v>
      </c>
      <c r="E48" s="337">
        <f>D48*(1-$D$11)</f>
        <v>3.7812555365165812</v>
      </c>
      <c r="F48" s="337">
        <f>D48-E48</f>
        <v>22.750187820426309</v>
      </c>
      <c r="G48" s="337">
        <f>F48*$D$12</f>
        <v>19.337659647362361</v>
      </c>
      <c r="H48" s="337">
        <f>F48-G48</f>
        <v>3.4125281730639472</v>
      </c>
      <c r="I48" s="338">
        <f>E48+H48</f>
        <v>7.1937837095805284</v>
      </c>
    </row>
    <row r="49" spans="1:9" x14ac:dyDescent="0.2">
      <c r="A49" s="28">
        <f>D49/D$52</f>
        <v>1.9842132526183873E-2</v>
      </c>
      <c r="B49" s="334" t="str">
        <f>B39</f>
        <v>Shoppable (Recategorized in Core)</v>
      </c>
      <c r="C49" s="335"/>
      <c r="D49" s="337">
        <f>'Shoppable Detail'!I21</f>
        <v>13.211329156669013</v>
      </c>
      <c r="E49" s="337">
        <f>D49*(1-$D$11)</f>
        <v>1.8828757578816397</v>
      </c>
      <c r="F49" s="337">
        <f>D49-E49</f>
        <v>11.328453398787373</v>
      </c>
      <c r="G49" s="337">
        <f>F49*$D$12</f>
        <v>9.6291853889692671</v>
      </c>
      <c r="H49" s="337">
        <f>F49-G49</f>
        <v>1.6992680098181054</v>
      </c>
      <c r="I49" s="338">
        <f>E49+H49</f>
        <v>3.582143767699745</v>
      </c>
    </row>
    <row r="50" spans="1:9" x14ac:dyDescent="0.2">
      <c r="A50" s="28">
        <f>D50/D$52</f>
        <v>0.12696445554779881</v>
      </c>
      <c r="B50" s="334" t="str">
        <f>B40</f>
        <v>Discretionary (i.e., Planned Services, Add-In)</v>
      </c>
      <c r="C50" s="335"/>
      <c r="D50" s="337">
        <f>'Discretionary Detail'!H74</f>
        <v>84.53573280118799</v>
      </c>
      <c r="E50" s="337">
        <f>D50*(1-$D$11)</f>
        <v>12.048014251901995</v>
      </c>
      <c r="F50" s="337">
        <f>D50-E50</f>
        <v>72.487718549286001</v>
      </c>
      <c r="G50" s="337">
        <f>F50*$D$12</f>
        <v>61.614560766893099</v>
      </c>
      <c r="H50" s="337">
        <f>F50-G50</f>
        <v>10.873157782392902</v>
      </c>
      <c r="I50" s="338">
        <f>E50+H50</f>
        <v>22.921172034294898</v>
      </c>
    </row>
    <row r="51" spans="1:9" x14ac:dyDescent="0.2">
      <c r="B51" s="334"/>
      <c r="C51" s="335"/>
      <c r="D51" s="337"/>
      <c r="E51" s="339"/>
      <c r="F51" s="339"/>
      <c r="G51" s="339"/>
      <c r="H51" s="339"/>
      <c r="I51" s="340"/>
    </row>
    <row r="52" spans="1:9" x14ac:dyDescent="0.2">
      <c r="B52" s="334" t="s">
        <v>371</v>
      </c>
      <c r="C52" s="335"/>
      <c r="D52" s="337">
        <f t="shared" ref="D52:I52" si="2">SUM(D47:D50)</f>
        <v>665.82204000679928</v>
      </c>
      <c r="E52" s="337">
        <f t="shared" si="2"/>
        <v>94.892812322313546</v>
      </c>
      <c r="F52" s="337">
        <f t="shared" si="2"/>
        <v>570.9292276844858</v>
      </c>
      <c r="G52" s="337">
        <f t="shared" si="2"/>
        <v>485.28984353181289</v>
      </c>
      <c r="H52" s="337">
        <f t="shared" si="2"/>
        <v>85.639384152672847</v>
      </c>
      <c r="I52" s="338">
        <f t="shared" si="2"/>
        <v>180.53219647498639</v>
      </c>
    </row>
    <row r="53" spans="1:9" x14ac:dyDescent="0.2">
      <c r="B53" s="334"/>
      <c r="C53" s="335"/>
      <c r="D53" s="337"/>
      <c r="E53" s="337"/>
      <c r="F53" s="337"/>
      <c r="G53" s="337"/>
      <c r="H53" s="337"/>
      <c r="I53" s="338"/>
    </row>
    <row r="54" spans="1:9" ht="16" thickBot="1" x14ac:dyDescent="0.25">
      <c r="B54" s="341" t="s">
        <v>372</v>
      </c>
      <c r="C54" s="342"/>
      <c r="D54" s="343">
        <f t="shared" ref="D54:I54" si="3">D52*$D$9*12</f>
        <v>89259570.025679499</v>
      </c>
      <c r="E54" s="343">
        <f t="shared" si="3"/>
        <v>12721254.505679496</v>
      </c>
      <c r="F54" s="343">
        <f t="shared" si="3"/>
        <v>76538315.520000011</v>
      </c>
      <c r="G54" s="343">
        <f t="shared" si="3"/>
        <v>65057568.192000002</v>
      </c>
      <c r="H54" s="343">
        <f t="shared" si="3"/>
        <v>11480747.327999998</v>
      </c>
      <c r="I54" s="344">
        <f t="shared" si="3"/>
        <v>24202001.833679494</v>
      </c>
    </row>
    <row r="55" spans="1:9" x14ac:dyDescent="0.2">
      <c r="B55" s="345"/>
      <c r="C55" s="345"/>
      <c r="D55" s="346"/>
      <c r="E55" s="347"/>
      <c r="F55" s="347"/>
      <c r="G55" s="347"/>
      <c r="H55" s="347"/>
      <c r="I55" s="347"/>
    </row>
    <row r="56" spans="1:9" x14ac:dyDescent="0.2">
      <c r="B56" s="345" t="s">
        <v>373</v>
      </c>
      <c r="C56" s="345"/>
      <c r="D56" s="347"/>
      <c r="E56" s="348">
        <f>E52/D52</f>
        <v>0.1425197824952513</v>
      </c>
      <c r="F56" s="348">
        <f>F52/D52</f>
        <v>0.85748021750474879</v>
      </c>
      <c r="G56" s="348">
        <f>G52/D52</f>
        <v>0.72885818487903642</v>
      </c>
      <c r="H56" s="348">
        <f>H52/D52</f>
        <v>0.12862203262571228</v>
      </c>
      <c r="I56" s="348">
        <f>I52/D52</f>
        <v>0.27114181512096358</v>
      </c>
    </row>
    <row r="57" spans="1:9" ht="16" thickBot="1" x14ac:dyDescent="0.25">
      <c r="B57" s="349"/>
      <c r="C57" s="349"/>
      <c r="D57" s="349"/>
      <c r="E57" s="350"/>
      <c r="F57" s="350"/>
      <c r="G57" s="351">
        <f>G52/F52</f>
        <v>0.85</v>
      </c>
      <c r="H57" s="351">
        <f>H52/F52</f>
        <v>0.14999999999999997</v>
      </c>
      <c r="I57" s="350"/>
    </row>
    <row r="58" spans="1:9" ht="30" x14ac:dyDescent="0.2">
      <c r="B58" s="330" t="s">
        <v>374</v>
      </c>
      <c r="C58" s="331"/>
      <c r="D58" s="332" t="s">
        <v>365</v>
      </c>
      <c r="E58" s="332" t="s">
        <v>366</v>
      </c>
      <c r="F58" s="332" t="s">
        <v>367</v>
      </c>
      <c r="G58" s="332" t="s">
        <v>368</v>
      </c>
      <c r="H58" s="332" t="s">
        <v>369</v>
      </c>
      <c r="I58" s="333" t="s">
        <v>370</v>
      </c>
    </row>
    <row r="59" spans="1:9" x14ac:dyDescent="0.2">
      <c r="B59" s="334"/>
      <c r="C59" s="335"/>
      <c r="D59" s="335"/>
      <c r="E59" s="335"/>
      <c r="F59" s="335"/>
      <c r="G59" s="335"/>
      <c r="H59" s="335"/>
      <c r="I59" s="336"/>
    </row>
    <row r="60" spans="1:9" x14ac:dyDescent="0.2">
      <c r="A60" s="28">
        <f>D60/D$65</f>
        <v>0.84221983769241748</v>
      </c>
      <c r="B60" s="334" t="str">
        <f>B47</f>
        <v>Core</v>
      </c>
      <c r="C60" s="335"/>
      <c r="D60" s="337">
        <f>'PPP Detail Override'!P17+('Chronic Summary'!B32-'Chronic Summary'!B36)*'Assumptions-Output Target'!D10/'Assumptions-Output Target'!D5+('Discretionary Detail'!H67-'Discretionary Detail'!H74)</f>
        <v>531.19753663372501</v>
      </c>
      <c r="E60" s="337">
        <f>'PPP Detail Override'!R17+(('Chronic Summary'!B32-'Chronic Summary'!B36)*'Assumptions-Output Target'!D10/'Assumptions-Output Target'!D5+('Discretionary Detail'!H67-'Discretionary Detail'!H74))*'PPP Detail'!R16</f>
        <v>95.57753766374131</v>
      </c>
      <c r="F60" s="337">
        <f>D60-E60</f>
        <v>435.61999896998373</v>
      </c>
      <c r="G60" s="337">
        <f>F60-H60</f>
        <v>370.27699912448617</v>
      </c>
      <c r="H60" s="337">
        <f>D21*F60</f>
        <v>65.342999845497559</v>
      </c>
      <c r="I60" s="338">
        <f>E60+H60</f>
        <v>160.92053750923887</v>
      </c>
    </row>
    <row r="61" spans="1:9" x14ac:dyDescent="0.2">
      <c r="A61" s="28">
        <f>D61/D$65</f>
        <v>4.1826076224491908E-2</v>
      </c>
      <c r="B61" s="334" t="str">
        <f>B48</f>
        <v>Chronic (Upgrade)</v>
      </c>
      <c r="C61" s="335"/>
      <c r="D61" s="337">
        <f>'Chronic Summary'!F38</f>
        <v>26.380177316149368</v>
      </c>
      <c r="E61" s="337">
        <f>'Chronic Summary'!G38</f>
        <v>5.5379535041062757</v>
      </c>
      <c r="F61" s="337">
        <f>D61-E61</f>
        <v>20.842223812043091</v>
      </c>
      <c r="G61" s="337">
        <f>F61-H61</f>
        <v>17.715890240236629</v>
      </c>
      <c r="H61" s="337">
        <f>D22*F61</f>
        <v>3.1263335718064638</v>
      </c>
      <c r="I61" s="338">
        <f>E61+H61</f>
        <v>8.6642870759127391</v>
      </c>
    </row>
    <row r="62" spans="1:9" x14ac:dyDescent="0.2">
      <c r="A62" s="28">
        <f>D62/D$65</f>
        <v>2.126056079766947E-2</v>
      </c>
      <c r="B62" s="334" t="str">
        <f>B49</f>
        <v>Shoppable (Recategorized in Core)</v>
      </c>
      <c r="C62" s="335"/>
      <c r="D62" s="337">
        <f>'Shoppable Detail'!Y23</f>
        <v>13.409275129539306</v>
      </c>
      <c r="E62" s="337">
        <f>'Shoppable Detail'!AA23</f>
        <v>0.44804598811990221</v>
      </c>
      <c r="F62" s="337">
        <f>D62-E62</f>
        <v>12.961229141419404</v>
      </c>
      <c r="G62" s="337">
        <f>F62-H62</f>
        <v>11.017044770206493</v>
      </c>
      <c r="H62" s="337">
        <f>D23*F62</f>
        <v>1.9441843712129105</v>
      </c>
      <c r="I62" s="338">
        <f>E62+H62</f>
        <v>2.3922303593328129</v>
      </c>
    </row>
    <row r="63" spans="1:9" x14ac:dyDescent="0.2">
      <c r="A63" s="28">
        <f>D63/D$65</f>
        <v>9.4693525285421146E-2</v>
      </c>
      <c r="B63" s="334" t="str">
        <f>B50</f>
        <v>Discretionary (i.e., Planned Services, Add-In)</v>
      </c>
      <c r="C63" s="335"/>
      <c r="D63" s="337">
        <f>'Discretionary Detail'!I74</f>
        <v>59.724272827148965</v>
      </c>
      <c r="E63" s="337">
        <v>0</v>
      </c>
      <c r="F63" s="337">
        <f>D63-E63</f>
        <v>59.724272827148965</v>
      </c>
      <c r="G63" s="337">
        <f>F63-H63</f>
        <v>41.52891943101892</v>
      </c>
      <c r="H63" s="337">
        <f>D24*F63</f>
        <v>18.195353396130049</v>
      </c>
      <c r="I63" s="338">
        <f>E63+H63</f>
        <v>18.195353396130049</v>
      </c>
    </row>
    <row r="64" spans="1:9" x14ac:dyDescent="0.2">
      <c r="B64" s="334"/>
      <c r="C64" s="335"/>
      <c r="D64" s="337"/>
      <c r="E64" s="339"/>
      <c r="F64" s="339"/>
      <c r="G64" s="339"/>
      <c r="H64" s="339"/>
      <c r="I64" s="340"/>
    </row>
    <row r="65" spans="2:10" x14ac:dyDescent="0.2">
      <c r="B65" s="334" t="s">
        <v>375</v>
      </c>
      <c r="C65" s="335"/>
      <c r="D65" s="337">
        <f t="shared" ref="D65:I65" si="4">SUM(D60:D63)</f>
        <v>630.71126190656264</v>
      </c>
      <c r="E65" s="337">
        <f t="shared" si="4"/>
        <v>101.56353715596748</v>
      </c>
      <c r="F65" s="337">
        <f t="shared" si="4"/>
        <v>529.1477247505951</v>
      </c>
      <c r="G65" s="337">
        <f t="shared" si="4"/>
        <v>440.53885356594822</v>
      </c>
      <c r="H65" s="337">
        <f t="shared" si="4"/>
        <v>88.608871184646986</v>
      </c>
      <c r="I65" s="338">
        <f t="shared" si="4"/>
        <v>190.17240834061448</v>
      </c>
    </row>
    <row r="66" spans="2:10" x14ac:dyDescent="0.2">
      <c r="B66" s="334"/>
      <c r="C66" s="335"/>
      <c r="D66" s="335"/>
      <c r="E66" s="335"/>
      <c r="F66" s="335"/>
      <c r="G66" s="335"/>
      <c r="H66" s="335"/>
      <c r="I66" s="336"/>
    </row>
    <row r="67" spans="2:10" x14ac:dyDescent="0.2">
      <c r="B67" s="334" t="s">
        <v>376</v>
      </c>
      <c r="C67" s="335"/>
      <c r="D67" s="304">
        <f t="shared" ref="D67:I67" si="5">D65*$D$9*12</f>
        <v>84552647.202184245</v>
      </c>
      <c r="E67" s="304">
        <f t="shared" si="5"/>
        <v>13615526.540299274</v>
      </c>
      <c r="F67" s="304">
        <f t="shared" si="5"/>
        <v>70937120.661884964</v>
      </c>
      <c r="G67" s="304">
        <f t="shared" si="5"/>
        <v>59058286.277968153</v>
      </c>
      <c r="H67" s="304">
        <f t="shared" si="5"/>
        <v>11878834.383916825</v>
      </c>
      <c r="I67" s="305">
        <f t="shared" si="5"/>
        <v>25494360.924216103</v>
      </c>
    </row>
    <row r="68" spans="2:10" x14ac:dyDescent="0.2">
      <c r="B68" s="334"/>
      <c r="C68" s="335"/>
      <c r="D68" s="335"/>
      <c r="E68" s="335"/>
      <c r="F68" s="335"/>
      <c r="G68" s="335"/>
      <c r="H68" s="335"/>
      <c r="I68" s="336"/>
      <c r="J68" s="352"/>
    </row>
    <row r="69" spans="2:10" x14ac:dyDescent="0.2">
      <c r="B69" s="334" t="s">
        <v>377</v>
      </c>
      <c r="C69" s="335"/>
      <c r="D69" s="353">
        <f t="shared" ref="D69:I69" si="6">D67-D54</f>
        <v>-4706922.8234952539</v>
      </c>
      <c r="E69" s="353">
        <f t="shared" si="6"/>
        <v>894272.03461977839</v>
      </c>
      <c r="F69" s="353">
        <f t="shared" si="6"/>
        <v>-5601194.8581150472</v>
      </c>
      <c r="G69" s="353">
        <f t="shared" si="6"/>
        <v>-5999281.9140318483</v>
      </c>
      <c r="H69" s="353">
        <f t="shared" si="6"/>
        <v>398087.05591682717</v>
      </c>
      <c r="I69" s="354">
        <f t="shared" si="6"/>
        <v>1292359.0905366093</v>
      </c>
    </row>
    <row r="70" spans="2:10" x14ac:dyDescent="0.2">
      <c r="B70" s="334"/>
      <c r="C70" s="335"/>
      <c r="D70" s="335"/>
      <c r="E70" s="335"/>
      <c r="F70" s="335"/>
      <c r="G70" s="335"/>
      <c r="H70" s="335"/>
      <c r="I70" s="336"/>
    </row>
    <row r="71" spans="2:10" ht="16" thickBot="1" x14ac:dyDescent="0.25">
      <c r="B71" s="341" t="s">
        <v>378</v>
      </c>
      <c r="C71" s="342"/>
      <c r="D71" s="355">
        <f t="shared" ref="D71:I71" si="7">D65/D52-1</f>
        <v>-5.2732976667275944E-2</v>
      </c>
      <c r="E71" s="355">
        <f t="shared" si="7"/>
        <v>7.029747217308846E-2</v>
      </c>
      <c r="F71" s="355">
        <f t="shared" si="7"/>
        <v>-7.318157997155561E-2</v>
      </c>
      <c r="G71" s="355">
        <f t="shared" si="7"/>
        <v>-9.2214973303744951E-2</v>
      </c>
      <c r="H71" s="355">
        <f t="shared" si="7"/>
        <v>3.4674315577518877E-2</v>
      </c>
      <c r="I71" s="356">
        <f t="shared" si="7"/>
        <v>5.3398851029676564E-2</v>
      </c>
    </row>
    <row r="73" spans="2:10" x14ac:dyDescent="0.2">
      <c r="B73" t="s">
        <v>379</v>
      </c>
      <c r="E73" s="348">
        <f>E65/$D$65</f>
        <v>0.16103016275459137</v>
      </c>
      <c r="F73" s="348">
        <f>F65/$D$65</f>
        <v>0.83896983724540852</v>
      </c>
      <c r="G73" s="348">
        <f>G65/$D$65</f>
        <v>0.69847944721052446</v>
      </c>
      <c r="H73" s="348">
        <f>H65/$D$65</f>
        <v>0.1404903900348842</v>
      </c>
      <c r="I73" s="348">
        <f>I65/$D$65</f>
        <v>0.30152055278947559</v>
      </c>
    </row>
    <row r="74" spans="2:10" x14ac:dyDescent="0.2">
      <c r="F74" s="348">
        <f>SUM(F60:F62)/F52-1</f>
        <v>-0.17779047006003879</v>
      </c>
      <c r="G74" s="348">
        <f>G65/$F$65</f>
        <v>0.83254417048393969</v>
      </c>
      <c r="H74" s="348">
        <f>H65/$F$65</f>
        <v>0.16745582951606056</v>
      </c>
    </row>
  </sheetData>
  <mergeCells count="1">
    <mergeCell ref="I14:M14"/>
  </mergeCells>
  <pageMargins left="0.7" right="0.7" top="0.75" bottom="0.75" header="0.3" footer="0.3"/>
  <pageSetup scale="28" orientation="landscape"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X75"/>
  <sheetViews>
    <sheetView workbookViewId="0"/>
  </sheetViews>
  <sheetFormatPr baseColWidth="10" defaultColWidth="8.83203125" defaultRowHeight="15" x14ac:dyDescent="0.2"/>
  <cols>
    <col min="1" max="1" width="5.5" customWidth="1"/>
    <col min="2" max="2" width="34.1640625" customWidth="1"/>
    <col min="3" max="3" width="5.5" customWidth="1"/>
    <col min="4" max="13" width="15.83203125" customWidth="1"/>
    <col min="15" max="24" width="10.83203125" customWidth="1"/>
  </cols>
  <sheetData>
    <row r="1" spans="1:24" ht="19" x14ac:dyDescent="0.25">
      <c r="A1" s="289" t="s">
        <v>852</v>
      </c>
    </row>
    <row r="3" spans="1:24" ht="16" x14ac:dyDescent="0.2">
      <c r="A3" s="290" t="s">
        <v>319</v>
      </c>
    </row>
    <row r="5" spans="1:24" x14ac:dyDescent="0.2">
      <c r="B5" t="s">
        <v>320</v>
      </c>
      <c r="D5" s="357">
        <f>'PPP Detail'!P15+'Chronic Summary'!B32+'Discretionary Detail'!G67+'Shoppable Detail'!H21</f>
        <v>394.0072939966164</v>
      </c>
    </row>
    <row r="7" spans="1:24" x14ac:dyDescent="0.2">
      <c r="A7" s="291" t="s">
        <v>321</v>
      </c>
    </row>
    <row r="8" spans="1:24" x14ac:dyDescent="0.2">
      <c r="A8" s="291"/>
    </row>
    <row r="9" spans="1:24" x14ac:dyDescent="0.2">
      <c r="A9" s="292"/>
      <c r="B9" s="359" t="s">
        <v>322</v>
      </c>
      <c r="C9" s="360"/>
      <c r="D9" s="361">
        <f>ee_count*mem_ee_ratio</f>
        <v>11171.599999999999</v>
      </c>
    </row>
    <row r="10" spans="1:24" x14ac:dyDescent="0.2">
      <c r="B10" s="362" t="s">
        <v>323</v>
      </c>
      <c r="C10" s="98"/>
      <c r="D10" s="363">
        <f>pepm_target/mem_ee_ratio/baseline_av</f>
        <v>665.8220400067994</v>
      </c>
    </row>
    <row r="11" spans="1:24" x14ac:dyDescent="0.2">
      <c r="B11" s="362" t="s">
        <v>324</v>
      </c>
      <c r="C11" s="98"/>
      <c r="D11" s="364">
        <f>baseline_av</f>
        <v>0.85748021750474868</v>
      </c>
    </row>
    <row r="12" spans="1:24" x14ac:dyDescent="0.2">
      <c r="B12" s="365" t="s">
        <v>325</v>
      </c>
      <c r="C12" s="366"/>
      <c r="D12" s="367">
        <v>0.85</v>
      </c>
    </row>
    <row r="13" spans="1:24" x14ac:dyDescent="0.2">
      <c r="B13" s="368"/>
      <c r="C13" s="369"/>
      <c r="O13" t="s">
        <v>382</v>
      </c>
    </row>
    <row r="14" spans="1:24" x14ac:dyDescent="0.2">
      <c r="A14" s="291" t="s">
        <v>326</v>
      </c>
      <c r="C14" s="370"/>
      <c r="D14" s="371" t="s">
        <v>383</v>
      </c>
      <c r="I14" s="372"/>
      <c r="J14" s="984" t="s">
        <v>327</v>
      </c>
      <c r="K14" s="984"/>
      <c r="L14" s="984"/>
      <c r="M14" s="984"/>
      <c r="O14" t="s">
        <v>328</v>
      </c>
      <c r="P14" t="s">
        <v>328</v>
      </c>
      <c r="Q14" t="s">
        <v>328</v>
      </c>
      <c r="R14" t="s">
        <v>328</v>
      </c>
      <c r="S14" t="s">
        <v>330</v>
      </c>
      <c r="T14" t="s">
        <v>330</v>
      </c>
      <c r="U14" t="s">
        <v>328</v>
      </c>
      <c r="V14" s="313" t="s">
        <v>333</v>
      </c>
      <c r="W14" s="313" t="s">
        <v>333</v>
      </c>
      <c r="X14" s="313" t="s">
        <v>333</v>
      </c>
    </row>
    <row r="15" spans="1:24" ht="31" thickBot="1" x14ac:dyDescent="0.25">
      <c r="D15" s="358" t="s">
        <v>328</v>
      </c>
      <c r="E15" s="358" t="s">
        <v>0</v>
      </c>
      <c r="F15" s="358" t="s">
        <v>329</v>
      </c>
      <c r="G15" s="358" t="s">
        <v>330</v>
      </c>
      <c r="H15" s="358" t="s">
        <v>331</v>
      </c>
      <c r="I15" s="358" t="s">
        <v>332</v>
      </c>
      <c r="J15" s="358" t="s">
        <v>333</v>
      </c>
      <c r="K15" s="358" t="s">
        <v>334</v>
      </c>
      <c r="L15" s="358" t="s">
        <v>335</v>
      </c>
      <c r="M15" s="358" t="s">
        <v>336</v>
      </c>
      <c r="O15" s="358" t="s">
        <v>328</v>
      </c>
      <c r="P15" s="358" t="s">
        <v>0</v>
      </c>
      <c r="Q15" s="358" t="s">
        <v>329</v>
      </c>
      <c r="R15" s="358" t="s">
        <v>330</v>
      </c>
      <c r="S15" s="358" t="s">
        <v>331</v>
      </c>
      <c r="T15" s="358" t="s">
        <v>332</v>
      </c>
      <c r="U15" s="358" t="s">
        <v>333</v>
      </c>
      <c r="V15" s="358" t="s">
        <v>334</v>
      </c>
      <c r="W15" s="358" t="s">
        <v>335</v>
      </c>
      <c r="X15" s="358" t="s">
        <v>336</v>
      </c>
    </row>
    <row r="16" spans="1:24" x14ac:dyDescent="0.2">
      <c r="B16" t="s">
        <v>384</v>
      </c>
      <c r="D16" s="314">
        <f>F75*O16</f>
        <v>1018.5185313926721</v>
      </c>
      <c r="E16" s="315">
        <f>$D$16*P16</f>
        <v>254.62963284816803</v>
      </c>
      <c r="F16" s="315">
        <f>$D$16*Q16</f>
        <v>101.85185313926722</v>
      </c>
      <c r="G16" s="315">
        <f>$D$16*R16</f>
        <v>30.555555941780163</v>
      </c>
      <c r="H16" s="315">
        <f>$G$16*S16</f>
        <v>55.000000695204292</v>
      </c>
      <c r="I16" s="315">
        <f>$G$16*T16</f>
        <v>0</v>
      </c>
      <c r="J16" s="315">
        <f>$D$16*U16</f>
        <v>10.185185313926722</v>
      </c>
      <c r="K16" s="315">
        <f>$J$16*V16</f>
        <v>50.92592656963361</v>
      </c>
      <c r="L16" s="315">
        <f>$J$16*W16</f>
        <v>81.481482511413773</v>
      </c>
      <c r="M16" s="316">
        <f>$J$16*X16</f>
        <v>203.70370627853444</v>
      </c>
      <c r="O16" s="373">
        <v>1</v>
      </c>
      <c r="P16" s="373">
        <v>0.25</v>
      </c>
      <c r="Q16" s="373">
        <v>0.1</v>
      </c>
      <c r="R16" s="374">
        <v>0.03</v>
      </c>
      <c r="S16" s="374">
        <v>1.8</v>
      </c>
      <c r="T16" s="374">
        <v>0</v>
      </c>
      <c r="U16" s="374">
        <v>0.01</v>
      </c>
      <c r="V16" s="374">
        <v>5</v>
      </c>
      <c r="W16" s="374">
        <v>8</v>
      </c>
      <c r="X16" s="374">
        <v>20</v>
      </c>
    </row>
    <row r="17" spans="1:16" ht="16" thickBot="1" x14ac:dyDescent="0.25">
      <c r="B17" t="s">
        <v>385</v>
      </c>
      <c r="D17" s="375">
        <f>D16*$O$17</f>
        <v>1018.5185313926721</v>
      </c>
      <c r="E17" s="343">
        <f t="shared" ref="E17:M17" si="0">E16*$O$17</f>
        <v>254.62963284816803</v>
      </c>
      <c r="F17" s="343">
        <f t="shared" si="0"/>
        <v>101.85185313926722</v>
      </c>
      <c r="G17" s="343">
        <f t="shared" si="0"/>
        <v>30.555555941780163</v>
      </c>
      <c r="H17" s="343">
        <f t="shared" si="0"/>
        <v>55.000000695204292</v>
      </c>
      <c r="I17" s="343">
        <f t="shared" si="0"/>
        <v>0</v>
      </c>
      <c r="J17" s="343">
        <f t="shared" si="0"/>
        <v>10.185185313926722</v>
      </c>
      <c r="K17" s="343">
        <f t="shared" si="0"/>
        <v>50.92592656963361</v>
      </c>
      <c r="L17" s="343">
        <f t="shared" si="0"/>
        <v>81.481482511413773</v>
      </c>
      <c r="M17" s="344">
        <f t="shared" si="0"/>
        <v>203.70370627853444</v>
      </c>
      <c r="O17" s="373">
        <v>1</v>
      </c>
      <c r="P17" t="s">
        <v>386</v>
      </c>
    </row>
    <row r="18" spans="1:16" x14ac:dyDescent="0.2">
      <c r="D18" s="310"/>
      <c r="E18" s="310"/>
      <c r="F18" s="310"/>
      <c r="G18" s="310"/>
      <c r="H18" s="310"/>
      <c r="I18" s="310"/>
      <c r="J18" s="310"/>
      <c r="K18" s="310"/>
      <c r="L18" s="310"/>
      <c r="M18" s="310"/>
    </row>
    <row r="19" spans="1:16" x14ac:dyDescent="0.2">
      <c r="B19" s="359" t="s">
        <v>341</v>
      </c>
      <c r="C19" s="360"/>
      <c r="D19" s="376">
        <v>0.15</v>
      </c>
      <c r="E19" s="310"/>
      <c r="F19" s="310"/>
      <c r="G19" s="310"/>
      <c r="H19" s="310"/>
      <c r="I19" s="310"/>
      <c r="J19" s="310"/>
      <c r="K19" s="310"/>
      <c r="L19" s="310"/>
      <c r="M19" s="310"/>
    </row>
    <row r="20" spans="1:16" x14ac:dyDescent="0.2">
      <c r="B20" s="362" t="s">
        <v>380</v>
      </c>
      <c r="C20" s="98"/>
      <c r="D20" s="377">
        <v>0.15</v>
      </c>
    </row>
    <row r="21" spans="1:16" x14ac:dyDescent="0.2">
      <c r="B21" s="362" t="s">
        <v>342</v>
      </c>
      <c r="C21" s="98"/>
      <c r="D21" s="377">
        <v>0.15</v>
      </c>
    </row>
    <row r="22" spans="1:16" x14ac:dyDescent="0.2">
      <c r="B22" s="365" t="s">
        <v>343</v>
      </c>
      <c r="C22" s="366"/>
      <c r="D22" s="378">
        <f>All!$Q$35</f>
        <v>0.30465592186932339</v>
      </c>
    </row>
    <row r="24" spans="1:16" x14ac:dyDescent="0.2">
      <c r="A24" s="291" t="s">
        <v>344</v>
      </c>
    </row>
    <row r="25" spans="1:16" x14ac:dyDescent="0.2">
      <c r="D25" s="313" t="s">
        <v>345</v>
      </c>
      <c r="E25" s="313" t="s">
        <v>346</v>
      </c>
      <c r="F25" s="313" t="s">
        <v>347</v>
      </c>
    </row>
    <row r="26" spans="1:16" ht="16" thickBot="1" x14ac:dyDescent="0.25">
      <c r="B26" t="s">
        <v>348</v>
      </c>
      <c r="D26" s="313" t="s">
        <v>349</v>
      </c>
      <c r="E26" s="313" t="s">
        <v>350</v>
      </c>
      <c r="F26" s="313" t="s">
        <v>351</v>
      </c>
    </row>
    <row r="27" spans="1:16" x14ac:dyDescent="0.2">
      <c r="B27" t="s">
        <v>352</v>
      </c>
      <c r="D27" s="379">
        <f>copay_max</f>
        <v>2500</v>
      </c>
      <c r="E27" s="380">
        <f>copay_max</f>
        <v>2500</v>
      </c>
      <c r="F27" s="381">
        <f>copay_max</f>
        <v>2500</v>
      </c>
    </row>
    <row r="28" spans="1:16" ht="16" thickBot="1" x14ac:dyDescent="0.25">
      <c r="B28" t="s">
        <v>353</v>
      </c>
      <c r="D28" s="382">
        <v>0</v>
      </c>
      <c r="E28" s="383">
        <v>0</v>
      </c>
      <c r="F28" s="384">
        <v>0</v>
      </c>
    </row>
    <row r="30" spans="1:16" x14ac:dyDescent="0.2">
      <c r="B30" s="320" t="s">
        <v>354</v>
      </c>
    </row>
    <row r="32" spans="1:16" ht="16" thickBot="1" x14ac:dyDescent="0.25">
      <c r="D32" s="313" t="s">
        <v>355</v>
      </c>
      <c r="E32" s="313" t="s">
        <v>356</v>
      </c>
      <c r="F32" s="313" t="s">
        <v>357</v>
      </c>
    </row>
    <row r="33" spans="1:9" x14ac:dyDescent="0.2">
      <c r="B33" t="s">
        <v>358</v>
      </c>
      <c r="D33" s="321">
        <f>1-D11</f>
        <v>0.14251978249525132</v>
      </c>
      <c r="E33" s="322">
        <f>IF(D33&lt;=0.4,-1.0204*D33^2+0.9161*D33+0.0018,0.205)</f>
        <v>0.11163612181799511</v>
      </c>
      <c r="F33" s="323">
        <f>(1-E33)/(1-$E$33)-1</f>
        <v>0</v>
      </c>
    </row>
    <row r="34" spans="1:9" x14ac:dyDescent="0.2">
      <c r="D34" s="324"/>
      <c r="E34" s="325"/>
      <c r="F34" s="326"/>
    </row>
    <row r="35" spans="1:9" x14ac:dyDescent="0.2">
      <c r="B35" t="s">
        <v>359</v>
      </c>
      <c r="D35" s="324">
        <f>'PPP Detail'!R16</f>
        <v>0.17481298224712941</v>
      </c>
      <c r="E35" s="325">
        <f>IF(D35&lt;=0.4,-1.0204*D35^2+0.9161*D35+0.0018,0.205)</f>
        <v>0.13076317886771252</v>
      </c>
      <c r="F35" s="326">
        <f>(1-E35)/(1-$E$33)-1</f>
        <v>-2.1530655983964642E-2</v>
      </c>
    </row>
    <row r="36" spans="1:9" x14ac:dyDescent="0.2">
      <c r="B36" t="s">
        <v>381</v>
      </c>
      <c r="D36" s="324">
        <f>'Chronic Summary'!C33</f>
        <v>0.14748874944897497</v>
      </c>
      <c r="E36" s="325">
        <f>IF(D36&lt;=0.4,-1.0204*D36^2+0.9161*D36+0.0018,0.205)</f>
        <v>0.1147177523594174</v>
      </c>
      <c r="F36" s="326">
        <f>(1-E36)/(1-$E$33)-1</f>
        <v>-3.468883210029583E-3</v>
      </c>
    </row>
    <row r="37" spans="1:9" x14ac:dyDescent="0.2">
      <c r="B37" t="s">
        <v>360</v>
      </c>
      <c r="D37" s="324">
        <f>'Shoppable Detail'!AA22</f>
        <v>3.4568171215190471E-2</v>
      </c>
      <c r="E37" s="325">
        <f>IF(D37&lt;=0.4,-1.0204*D37^2+0.9161*D37+0.0018,0.205)</f>
        <v>3.2248566036465545E-2</v>
      </c>
      <c r="F37" s="326">
        <f>(1-E37)/(1-$E$33)-1</f>
        <v>8.936378181426341E-2</v>
      </c>
    </row>
    <row r="38" spans="1:9" ht="16" thickBot="1" x14ac:dyDescent="0.25">
      <c r="B38" t="s">
        <v>361</v>
      </c>
      <c r="D38" s="324">
        <f>D22</f>
        <v>0.30465592186932339</v>
      </c>
      <c r="E38" s="325">
        <f>IF(D38&lt;=0.4,-1.0204*D38^2+0.9161*D38+0.0018,0.205)</f>
        <v>0.18618662858754695</v>
      </c>
      <c r="F38" s="326">
        <f>(1-E38)/(1-$E$33)-1</f>
        <v>-8.3918885718446856E-2</v>
      </c>
    </row>
    <row r="39" spans="1:9" ht="16" thickBot="1" x14ac:dyDescent="0.25">
      <c r="B39" t="s">
        <v>362</v>
      </c>
      <c r="D39" s="385">
        <v>2</v>
      </c>
      <c r="E39" s="328">
        <f>E38*D39</f>
        <v>0.3723732571750939</v>
      </c>
      <c r="F39" s="329">
        <f>(1-E39)/(1-$E$33)-1</f>
        <v>-0.29350263080336536</v>
      </c>
    </row>
    <row r="41" spans="1:9" ht="16" x14ac:dyDescent="0.2">
      <c r="A41" s="290" t="s">
        <v>363</v>
      </c>
    </row>
    <row r="42" spans="1:9" ht="16" thickBot="1" x14ac:dyDescent="0.25"/>
    <row r="43" spans="1:9" ht="30" x14ac:dyDescent="0.2">
      <c r="B43" s="330" t="s">
        <v>364</v>
      </c>
      <c r="C43" s="331"/>
      <c r="D43" s="332" t="s">
        <v>365</v>
      </c>
      <c r="E43" s="332" t="s">
        <v>366</v>
      </c>
      <c r="F43" s="332" t="s">
        <v>367</v>
      </c>
      <c r="G43" s="332" t="s">
        <v>368</v>
      </c>
      <c r="H43" s="332" t="s">
        <v>369</v>
      </c>
      <c r="I43" s="333" t="s">
        <v>370</v>
      </c>
    </row>
    <row r="44" spans="1:9" x14ac:dyDescent="0.2">
      <c r="B44" s="334"/>
      <c r="C44" s="335"/>
      <c r="D44" s="335"/>
      <c r="E44" s="335"/>
      <c r="F44" s="335"/>
      <c r="G44" s="335"/>
      <c r="H44" s="335"/>
      <c r="I44" s="336"/>
    </row>
    <row r="45" spans="1:9" x14ac:dyDescent="0.2">
      <c r="B45" s="334" t="str">
        <f>B35</f>
        <v>Core</v>
      </c>
      <c r="C45" s="335"/>
      <c r="D45" s="337">
        <f>('PPP Detail'!P15+('Chronic Summary'!B32-'Chronic Summary'!B36))*D10/D5+('Discretionary Detail'!H67-'Discretionary Detail'!H74)</f>
        <v>541.54353469199941</v>
      </c>
      <c r="E45" s="337">
        <f>D45*(1-$D$11)</f>
        <v>77.180666776013339</v>
      </c>
      <c r="F45" s="337">
        <f>D45-E45</f>
        <v>464.36286791598604</v>
      </c>
      <c r="G45" s="337">
        <f>F45*$D$12</f>
        <v>394.70843772858814</v>
      </c>
      <c r="H45" s="337">
        <f>F45-G45</f>
        <v>69.654430187397907</v>
      </c>
      <c r="I45" s="338">
        <f>E45+H45</f>
        <v>146.83509696341125</v>
      </c>
    </row>
    <row r="46" spans="1:9" x14ac:dyDescent="0.2">
      <c r="B46" s="334" t="str">
        <f>B36</f>
        <v>Chronic (Upgrade)</v>
      </c>
      <c r="C46" s="335"/>
      <c r="D46" s="337">
        <f>'Chronic Summary'!B36*D10/D5</f>
        <v>26.531443356942891</v>
      </c>
      <c r="E46" s="337">
        <f>D46*(1-$D$11)</f>
        <v>3.7812555365165812</v>
      </c>
      <c r="F46" s="337">
        <f>D46-E46</f>
        <v>22.750187820426309</v>
      </c>
      <c r="G46" s="337">
        <f>F46*$D$12</f>
        <v>19.337659647362361</v>
      </c>
      <c r="H46" s="337">
        <f>F46-G46</f>
        <v>3.4125281730639472</v>
      </c>
      <c r="I46" s="338">
        <f>E46+H46</f>
        <v>7.1937837095805284</v>
      </c>
    </row>
    <row r="47" spans="1:9" x14ac:dyDescent="0.2">
      <c r="B47" s="334" t="str">
        <f>B37</f>
        <v>Shoppable (Recategorized in Core)</v>
      </c>
      <c r="C47" s="335"/>
      <c r="D47" s="337">
        <f>'Shoppable Detail'!I21</f>
        <v>13.211329156669013</v>
      </c>
      <c r="E47" s="337">
        <f>D47*(1-$D$11)</f>
        <v>1.8828757578816397</v>
      </c>
      <c r="F47" s="337">
        <f>D47-E47</f>
        <v>11.328453398787373</v>
      </c>
      <c r="G47" s="337">
        <f>F47*$D$12</f>
        <v>9.6291853889692671</v>
      </c>
      <c r="H47" s="337">
        <f>F47-G47</f>
        <v>1.6992680098181054</v>
      </c>
      <c r="I47" s="338">
        <f>E47+H47</f>
        <v>3.582143767699745</v>
      </c>
    </row>
    <row r="48" spans="1:9" x14ac:dyDescent="0.2">
      <c r="B48" s="334" t="str">
        <f>B38</f>
        <v>Discretionary (i.e., Planned Services, Add-In)</v>
      </c>
      <c r="C48" s="335"/>
      <c r="D48" s="337">
        <f>'Discretionary Detail'!H74</f>
        <v>84.53573280118799</v>
      </c>
      <c r="E48" s="337">
        <f>D48*(1-$D$11)</f>
        <v>12.048014251901995</v>
      </c>
      <c r="F48" s="337">
        <f>D48-E48</f>
        <v>72.487718549286001</v>
      </c>
      <c r="G48" s="337">
        <f>F48*$D$12</f>
        <v>61.614560766893099</v>
      </c>
      <c r="H48" s="337">
        <f>F48-G48</f>
        <v>10.873157782392902</v>
      </c>
      <c r="I48" s="338">
        <f>E48+H48</f>
        <v>22.921172034294898</v>
      </c>
    </row>
    <row r="49" spans="2:9" x14ac:dyDescent="0.2">
      <c r="B49" s="334"/>
      <c r="C49" s="335"/>
      <c r="D49" s="337"/>
      <c r="E49" s="339"/>
      <c r="F49" s="339"/>
      <c r="G49" s="339"/>
      <c r="H49" s="339"/>
      <c r="I49" s="340"/>
    </row>
    <row r="50" spans="2:9" x14ac:dyDescent="0.2">
      <c r="B50" s="334" t="s">
        <v>371</v>
      </c>
      <c r="C50" s="335"/>
      <c r="D50" s="337">
        <f t="shared" ref="D50:I50" si="1">SUM(D45:D48)</f>
        <v>665.82204000679928</v>
      </c>
      <c r="E50" s="337">
        <f t="shared" si="1"/>
        <v>94.892812322313546</v>
      </c>
      <c r="F50" s="337">
        <f t="shared" si="1"/>
        <v>570.9292276844858</v>
      </c>
      <c r="G50" s="337">
        <f t="shared" si="1"/>
        <v>485.28984353181289</v>
      </c>
      <c r="H50" s="337">
        <f t="shared" si="1"/>
        <v>85.639384152672847</v>
      </c>
      <c r="I50" s="338">
        <f t="shared" si="1"/>
        <v>180.53219647498639</v>
      </c>
    </row>
    <row r="51" spans="2:9" x14ac:dyDescent="0.2">
      <c r="B51" s="334"/>
      <c r="C51" s="335"/>
      <c r="D51" s="337"/>
      <c r="E51" s="337"/>
      <c r="F51" s="337"/>
      <c r="G51" s="337"/>
      <c r="H51" s="337"/>
      <c r="I51" s="338"/>
    </row>
    <row r="52" spans="2:9" ht="16" thickBot="1" x14ac:dyDescent="0.25">
      <c r="B52" s="341" t="s">
        <v>372</v>
      </c>
      <c r="C52" s="342"/>
      <c r="D52" s="343">
        <f t="shared" ref="D52:I52" si="2">D50*$D$9*12</f>
        <v>89259570.025679499</v>
      </c>
      <c r="E52" s="343">
        <f t="shared" si="2"/>
        <v>12721254.505679496</v>
      </c>
      <c r="F52" s="343">
        <f t="shared" si="2"/>
        <v>76538315.520000011</v>
      </c>
      <c r="G52" s="343">
        <f t="shared" si="2"/>
        <v>65057568.192000002</v>
      </c>
      <c r="H52" s="343">
        <f t="shared" si="2"/>
        <v>11480747.327999998</v>
      </c>
      <c r="I52" s="344">
        <f t="shared" si="2"/>
        <v>24202001.833679494</v>
      </c>
    </row>
    <row r="53" spans="2:9" x14ac:dyDescent="0.2">
      <c r="B53" s="345"/>
      <c r="C53" s="345"/>
      <c r="D53" s="347"/>
      <c r="E53" s="347"/>
      <c r="F53" s="347"/>
      <c r="G53" s="347"/>
      <c r="H53" s="347"/>
      <c r="I53" s="347"/>
    </row>
    <row r="54" spans="2:9" x14ac:dyDescent="0.2">
      <c r="B54" s="345" t="s">
        <v>387</v>
      </c>
      <c r="C54" s="345"/>
      <c r="D54" s="347"/>
      <c r="E54" s="348">
        <f>E50/D50</f>
        <v>0.1425197824952513</v>
      </c>
      <c r="F54" s="347"/>
      <c r="G54" s="347"/>
      <c r="H54" s="348">
        <f>H50/F50</f>
        <v>0.14999999999999997</v>
      </c>
      <c r="I54" s="347"/>
    </row>
    <row r="55" spans="2:9" ht="16" thickBot="1" x14ac:dyDescent="0.25"/>
    <row r="56" spans="2:9" ht="30" x14ac:dyDescent="0.2">
      <c r="B56" s="330" t="s">
        <v>374</v>
      </c>
      <c r="C56" s="331"/>
      <c r="D56" s="332" t="s">
        <v>365</v>
      </c>
      <c r="E56" s="332" t="s">
        <v>366</v>
      </c>
      <c r="F56" s="332" t="s">
        <v>367</v>
      </c>
      <c r="G56" s="332" t="s">
        <v>368</v>
      </c>
      <c r="H56" s="332" t="s">
        <v>369</v>
      </c>
      <c r="I56" s="333" t="s">
        <v>370</v>
      </c>
    </row>
    <row r="57" spans="2:9" x14ac:dyDescent="0.2">
      <c r="B57" s="334"/>
      <c r="C57" s="335"/>
      <c r="D57" s="335"/>
      <c r="E57" s="335"/>
      <c r="F57" s="335"/>
      <c r="G57" s="335"/>
      <c r="H57" s="335"/>
      <c r="I57" s="336"/>
    </row>
    <row r="58" spans="2:9" x14ac:dyDescent="0.2">
      <c r="B58" s="334" t="str">
        <f>B45</f>
        <v>Core</v>
      </c>
      <c r="C58" s="335"/>
      <c r="D58" s="337">
        <f>'PPP Detail'!P17+('Chronic Summary'!B32-'Chronic Summary'!B36)*'Assumptions-Output Target'!D10/'Assumptions-Output Target'!D5+('Discretionary Detail'!H67-'Discretionary Detail'!H74)</f>
        <v>532.93152551609262</v>
      </c>
      <c r="E58" s="337">
        <f>'PPP Detail'!R17+(('Chronic Summary'!B32-'Chronic Summary'!B36)*'Assumptions-Output Target'!D10/'Assumptions-Output Target'!D5+('Discretionary Detail'!H67-'Discretionary Detail'!H74))*'PPP Detail'!R16</f>
        <v>93.163349308980287</v>
      </c>
      <c r="F58" s="337">
        <f>D58-E58</f>
        <v>439.76817620711233</v>
      </c>
      <c r="G58" s="337">
        <f>F58-H58</f>
        <v>373.80294977604547</v>
      </c>
      <c r="H58" s="337">
        <f>D19*F58</f>
        <v>65.965226431066853</v>
      </c>
      <c r="I58" s="338">
        <f>E58+H58</f>
        <v>159.12857574004715</v>
      </c>
    </row>
    <row r="59" spans="2:9" x14ac:dyDescent="0.2">
      <c r="B59" s="334" t="str">
        <f>B46</f>
        <v>Chronic (Upgrade)</v>
      </c>
      <c r="C59" s="335"/>
      <c r="D59" s="337">
        <f>'Chronic Summary'!B38</f>
        <v>26.439408878544139</v>
      </c>
      <c r="E59" s="337">
        <f>'Chronic Summary'!C38</f>
        <v>5.5376589793168742</v>
      </c>
      <c r="F59" s="337">
        <f>D59-E59</f>
        <v>20.901749899227266</v>
      </c>
      <c r="G59" s="337">
        <f>F59-H59</f>
        <v>17.766487414343175</v>
      </c>
      <c r="H59" s="337">
        <f>D20*F59</f>
        <v>3.1352624848840898</v>
      </c>
      <c r="I59" s="338">
        <f>E59+H59</f>
        <v>8.6729214642009644</v>
      </c>
    </row>
    <row r="60" spans="2:9" x14ac:dyDescent="0.2">
      <c r="B60" s="334" t="str">
        <f>B47</f>
        <v>Shoppable (Recategorized in Core)</v>
      </c>
      <c r="C60" s="335"/>
      <c r="D60" s="337">
        <f>'Shoppable Detail'!Y23</f>
        <v>13.409275129539306</v>
      </c>
      <c r="E60" s="337">
        <f>'Shoppable Detail'!AA23</f>
        <v>0.44804598811990221</v>
      </c>
      <c r="F60" s="337">
        <f>D60-E60</f>
        <v>12.961229141419404</v>
      </c>
      <c r="G60" s="337">
        <f>F60-H60</f>
        <v>11.017044770206493</v>
      </c>
      <c r="H60" s="337">
        <f>D21*F60</f>
        <v>1.9441843712129105</v>
      </c>
      <c r="I60" s="338">
        <f>E60+H60</f>
        <v>2.3922303593328129</v>
      </c>
    </row>
    <row r="61" spans="2:9" x14ac:dyDescent="0.2">
      <c r="B61" s="334" t="str">
        <f>B48</f>
        <v>Discretionary (i.e., Planned Services, Add-In)</v>
      </c>
      <c r="C61" s="335"/>
      <c r="D61" s="337">
        <f>'Discretionary Detail'!I74</f>
        <v>59.724272827148965</v>
      </c>
      <c r="E61" s="337">
        <v>0</v>
      </c>
      <c r="F61" s="337">
        <f>D61-E61</f>
        <v>59.724272827148965</v>
      </c>
      <c r="G61" s="337">
        <f>F61-H61</f>
        <v>41.52891943101892</v>
      </c>
      <c r="H61" s="337">
        <f>D22*F61</f>
        <v>18.195353396130049</v>
      </c>
      <c r="I61" s="338">
        <f>E61+H61</f>
        <v>18.195353396130049</v>
      </c>
    </row>
    <row r="62" spans="2:9" x14ac:dyDescent="0.2">
      <c r="B62" s="334"/>
      <c r="C62" s="335"/>
      <c r="D62" s="337"/>
      <c r="E62" s="339"/>
      <c r="F62" s="339"/>
      <c r="G62" s="339"/>
      <c r="H62" s="339"/>
      <c r="I62" s="340"/>
    </row>
    <row r="63" spans="2:9" x14ac:dyDescent="0.2">
      <c r="B63" s="334" t="s">
        <v>375</v>
      </c>
      <c r="C63" s="335"/>
      <c r="D63" s="337">
        <f t="shared" ref="D63:I63" si="3">SUM(D58:D61)</f>
        <v>632.50448235132501</v>
      </c>
      <c r="E63" s="337">
        <f t="shared" si="3"/>
        <v>99.149054276417061</v>
      </c>
      <c r="F63" s="337">
        <f t="shared" si="3"/>
        <v>533.35542807490788</v>
      </c>
      <c r="G63" s="337">
        <f t="shared" si="3"/>
        <v>444.115401391614</v>
      </c>
      <c r="H63" s="337">
        <f t="shared" si="3"/>
        <v>89.240026683293905</v>
      </c>
      <c r="I63" s="338">
        <f t="shared" si="3"/>
        <v>188.38908095971098</v>
      </c>
    </row>
    <row r="64" spans="2:9" x14ac:dyDescent="0.2">
      <c r="B64" s="334"/>
      <c r="C64" s="335"/>
      <c r="D64" s="337"/>
      <c r="E64" s="337"/>
      <c r="F64" s="337"/>
      <c r="G64" s="337"/>
      <c r="H64" s="337"/>
      <c r="I64" s="338"/>
    </row>
    <row r="65" spans="2:11" x14ac:dyDescent="0.2">
      <c r="B65" s="334" t="s">
        <v>376</v>
      </c>
      <c r="C65" s="335"/>
      <c r="D65" s="304">
        <f t="shared" ref="D65:I65" si="4">D63*$D$9*12</f>
        <v>84793044.900432736</v>
      </c>
      <c r="E65" s="304">
        <f t="shared" si="4"/>
        <v>13291842.897053048</v>
      </c>
      <c r="F65" s="304">
        <f t="shared" si="4"/>
        <v>71501202.003379688</v>
      </c>
      <c r="G65" s="304">
        <f t="shared" si="4"/>
        <v>59537755.418238647</v>
      </c>
      <c r="H65" s="304">
        <f t="shared" si="4"/>
        <v>11963446.585141033</v>
      </c>
      <c r="I65" s="305">
        <f t="shared" si="4"/>
        <v>25255289.482194085</v>
      </c>
    </row>
    <row r="66" spans="2:11" x14ac:dyDescent="0.2">
      <c r="B66" s="334"/>
      <c r="C66" s="335"/>
      <c r="D66" s="335"/>
      <c r="E66" s="335"/>
      <c r="F66" s="335"/>
      <c r="G66" s="335"/>
      <c r="H66" s="335"/>
      <c r="I66" s="336"/>
    </row>
    <row r="67" spans="2:11" x14ac:dyDescent="0.2">
      <c r="B67" s="334" t="s">
        <v>377</v>
      </c>
      <c r="C67" s="335"/>
      <c r="D67" s="353">
        <f t="shared" ref="D67:I67" si="5">D65-D52</f>
        <v>-4466525.1252467632</v>
      </c>
      <c r="E67" s="353">
        <f t="shared" si="5"/>
        <v>570588.39137355238</v>
      </c>
      <c r="F67" s="353">
        <f t="shared" si="5"/>
        <v>-5037113.5166203231</v>
      </c>
      <c r="G67" s="353">
        <f t="shared" si="5"/>
        <v>-5519812.7737613544</v>
      </c>
      <c r="H67" s="353">
        <f t="shared" si="5"/>
        <v>482699.25714103505</v>
      </c>
      <c r="I67" s="354">
        <f t="shared" si="5"/>
        <v>1053287.6485145912</v>
      </c>
    </row>
    <row r="68" spans="2:11" x14ac:dyDescent="0.2">
      <c r="B68" s="334"/>
      <c r="C68" s="335"/>
      <c r="D68" s="335"/>
      <c r="E68" s="335"/>
      <c r="F68" s="335"/>
      <c r="G68" s="335"/>
      <c r="H68" s="335"/>
      <c r="I68" s="336"/>
      <c r="K68" s="28">
        <f>I58/D58</f>
        <v>0.29859103491006</v>
      </c>
    </row>
    <row r="69" spans="2:11" ht="16" thickBot="1" x14ac:dyDescent="0.25">
      <c r="B69" s="341" t="s">
        <v>378</v>
      </c>
      <c r="C69" s="342"/>
      <c r="D69" s="355">
        <f t="shared" ref="D69:I69" si="6">D63/D50-1</f>
        <v>-5.0039733823070809E-2</v>
      </c>
      <c r="E69" s="355">
        <f t="shared" si="6"/>
        <v>4.4853154311063514E-2</v>
      </c>
      <c r="F69" s="355">
        <f t="shared" si="6"/>
        <v>-6.5811658937073081E-2</v>
      </c>
      <c r="G69" s="355">
        <f t="shared" si="6"/>
        <v>-8.4845052269262533E-2</v>
      </c>
      <c r="H69" s="355">
        <f t="shared" si="6"/>
        <v>4.2044236612001296E-2</v>
      </c>
      <c r="I69" s="356">
        <f t="shared" si="6"/>
        <v>4.3520682948169798E-2</v>
      </c>
      <c r="K69" s="28">
        <f>I59/D59</f>
        <v>0.32803008206583362</v>
      </c>
    </row>
    <row r="70" spans="2:11" x14ac:dyDescent="0.2">
      <c r="K70" s="28">
        <f>I60/D60</f>
        <v>0.17840116905819661</v>
      </c>
    </row>
    <row r="71" spans="2:11" x14ac:dyDescent="0.2">
      <c r="B71" t="s">
        <v>379</v>
      </c>
      <c r="E71" s="348">
        <f>E63/D63</f>
        <v>0.15675628717733681</v>
      </c>
      <c r="F71" s="348">
        <f>SUM(F58:F60)/F50-1</f>
        <v>-0.17042054902555615</v>
      </c>
      <c r="G71" s="348">
        <f>Chart_Data!$E$9</f>
        <v>-0.10505129781718914</v>
      </c>
      <c r="H71" s="348">
        <f>H63/F63</f>
        <v>0.16731811843632435</v>
      </c>
      <c r="K71" s="28">
        <f>I61/D61</f>
        <v>0.30465592186932339</v>
      </c>
    </row>
    <row r="72" spans="2:11" ht="16" thickBot="1" x14ac:dyDescent="0.25"/>
    <row r="73" spans="2:11" ht="16" thickBot="1" x14ac:dyDescent="0.25">
      <c r="B73" t="s">
        <v>388</v>
      </c>
      <c r="E73" s="386">
        <v>0.15</v>
      </c>
      <c r="G73" s="386">
        <f>-savings_target</f>
        <v>-0.1</v>
      </c>
    </row>
    <row r="74" spans="2:11" ht="16" thickBot="1" x14ac:dyDescent="0.25"/>
    <row r="75" spans="2:11" ht="16" thickBot="1" x14ac:dyDescent="0.25">
      <c r="B75" t="s">
        <v>389</v>
      </c>
      <c r="F75" s="387">
        <v>1018.5185313926721</v>
      </c>
      <c r="G75" s="388"/>
    </row>
  </sheetData>
  <mergeCells count="1">
    <mergeCell ref="J14:M14"/>
  </mergeCells>
  <pageMargins left="0.7" right="0.7" top="0.75" bottom="0.75" header="0.3" footer="0.3"/>
  <pageSetup scale="27"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3313" r:id="rId4" name="Button 1">
              <controlPr defaultSize="0" print="0" autoFill="0" autoPict="0" macro="[0]!Savings" altText="">
                <anchor moveWithCells="1" sizeWithCells="1">
                  <from>
                    <xdr:col>3</xdr:col>
                    <xdr:colOff>38100</xdr:colOff>
                    <xdr:row>71</xdr:row>
                    <xdr:rowOff>241300</xdr:rowOff>
                  </from>
                  <to>
                    <xdr:col>3</xdr:col>
                    <xdr:colOff>1676400</xdr:colOff>
                    <xdr:row>74</xdr:row>
                    <xdr:rowOff>63500</xdr:rowOff>
                  </to>
                </anchor>
              </controlPr>
            </control>
          </mc:Choice>
          <mc:Fallback/>
        </mc:AlternateContent>
        <mc:AlternateContent xmlns:mc="http://schemas.openxmlformats.org/markup-compatibility/2006">
          <mc:Choice Requires="x14">
            <control shapeId="13314" r:id="rId5" name="Button 2">
              <controlPr defaultSize="0" print="0" autoFill="0" autoPict="0" macro="[0]!AV">
                <anchor moveWithCells="1" sizeWithCells="1">
                  <from>
                    <xdr:col>7</xdr:col>
                    <xdr:colOff>114300</xdr:colOff>
                    <xdr:row>72</xdr:row>
                    <xdr:rowOff>25400</xdr:rowOff>
                  </from>
                  <to>
                    <xdr:col>8</xdr:col>
                    <xdr:colOff>0</xdr:colOff>
                    <xdr:row>74</xdr:row>
                    <xdr:rowOff>165100</xdr:rowOff>
                  </to>
                </anchor>
              </controlPr>
            </control>
          </mc:Choice>
          <mc:Fallback/>
        </mc:AlternateContent>
      </controls>
    </mc:Choice>
    <mc:Fallback/>
  </mc:AlternateConten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dimension ref="A1"/>
  <sheetViews>
    <sheetView zoomScale="85" zoomScaleNormal="85" zoomScalePageLayoutView="85" workbookViewId="0"/>
  </sheetViews>
  <sheetFormatPr baseColWidth="10" defaultColWidth="8.83203125" defaultRowHeight="15" x14ac:dyDescent="0.2"/>
  <cols>
    <col min="1" max="16384" width="8.83203125" style="90"/>
  </cols>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DJ111"/>
  <sheetViews>
    <sheetView zoomScale="115" zoomScaleNormal="115" zoomScalePageLayoutView="115" workbookViewId="0">
      <pane xSplit="1" ySplit="5" topLeftCell="B6" activePane="bottomRight" state="frozen"/>
      <selection pane="topRight"/>
      <selection pane="bottomLeft"/>
      <selection pane="bottomRight" activeCell="B6" sqref="B6"/>
    </sheetView>
  </sheetViews>
  <sheetFormatPr baseColWidth="10" defaultColWidth="8.83203125" defaultRowHeight="15" outlineLevelCol="1" x14ac:dyDescent="0.2"/>
  <cols>
    <col min="1" max="1" width="10.5" customWidth="1"/>
    <col min="2" max="2" width="10.83203125" style="390" customWidth="1" outlineLevel="1"/>
    <col min="3" max="3" width="14.1640625" style="370" customWidth="1" outlineLevel="1"/>
    <col min="4" max="5" width="13.5" customWidth="1"/>
    <col min="6" max="7" width="11.83203125" customWidth="1"/>
    <col min="8" max="8" width="16.1640625" customWidth="1"/>
    <col min="9" max="9" width="7.5" customWidth="1"/>
    <col min="10" max="10" width="8.5" customWidth="1"/>
    <col min="11" max="11" width="11" customWidth="1"/>
    <col min="12" max="12" width="11.83203125" customWidth="1"/>
    <col min="13" max="21" width="8.83203125" customWidth="1"/>
    <col min="22" max="22" width="10.5" customWidth="1"/>
    <col min="23" max="23" width="11" customWidth="1"/>
    <col min="24" max="24" width="14.1640625" customWidth="1"/>
    <col min="25" max="25" width="15" customWidth="1"/>
    <col min="26" max="27" width="11.83203125" customWidth="1"/>
    <col min="35" max="39" width="9.1640625" customWidth="1"/>
    <col min="40" max="40" width="10.1640625" customWidth="1"/>
    <col min="41" max="49" width="9.1640625" customWidth="1"/>
    <col min="50" max="50" width="13.1640625" customWidth="1"/>
    <col min="51" max="61" width="9.1640625" customWidth="1"/>
    <col min="62" max="62" width="13.5" customWidth="1"/>
    <col min="63" max="65" width="9.1640625" customWidth="1"/>
    <col min="66" max="66" width="14.33203125" customWidth="1"/>
    <col min="67" max="67" width="11.83203125" customWidth="1"/>
    <col min="68" max="68" width="9.33203125" customWidth="1"/>
    <col min="71" max="73" width="9.33203125" customWidth="1"/>
    <col min="76" max="76" width="10.83203125" customWidth="1"/>
    <col min="82" max="83" width="9.33203125" customWidth="1"/>
    <col min="86" max="86" width="10.1640625" customWidth="1"/>
    <col min="88" max="88" width="10.1640625" customWidth="1"/>
    <col min="89" max="89" width="9.83203125" customWidth="1"/>
    <col min="90" max="90" width="15" customWidth="1"/>
    <col min="92" max="96" width="11.1640625" customWidth="1"/>
    <col min="98" max="101" width="11" customWidth="1"/>
    <col min="104" max="108" width="11.33203125" customWidth="1"/>
    <col min="110" max="114" width="12.5" customWidth="1"/>
  </cols>
  <sheetData>
    <row r="1" spans="1:114" x14ac:dyDescent="0.2">
      <c r="A1" s="389" t="s">
        <v>390</v>
      </c>
      <c r="AJ1" s="389" t="s">
        <v>391</v>
      </c>
      <c r="CJ1" s="389" t="s">
        <v>392</v>
      </c>
      <c r="CN1" t="s">
        <v>393</v>
      </c>
      <c r="CT1" t="s">
        <v>394</v>
      </c>
      <c r="CZ1" t="s">
        <v>395</v>
      </c>
      <c r="DF1" t="s">
        <v>396</v>
      </c>
    </row>
    <row r="2" spans="1:114" x14ac:dyDescent="0.2">
      <c r="M2" s="389" t="s">
        <v>397</v>
      </c>
      <c r="O2" s="391">
        <f>'Assumptions-Output Override'!E17</f>
        <v>250</v>
      </c>
      <c r="P2" s="391">
        <v>0</v>
      </c>
      <c r="Q2" s="391">
        <f>'Assumptions-Output Override'!D17</f>
        <v>1000</v>
      </c>
      <c r="R2" s="391">
        <f>'PPP Detail Override'!K117</f>
        <v>20.762465690827167</v>
      </c>
      <c r="S2" s="391">
        <f>'Assumptions-Output Override'!G17</f>
        <v>30</v>
      </c>
      <c r="T2" s="391">
        <f>'Assumptions-Output Override'!H17</f>
        <v>60</v>
      </c>
      <c r="U2" s="352"/>
      <c r="Z2" s="389" t="s">
        <v>397</v>
      </c>
      <c r="AB2" s="391">
        <f>'Assumptions-Output Override'!E19</f>
        <v>250</v>
      </c>
      <c r="AC2" s="391">
        <v>0</v>
      </c>
      <c r="AD2" s="391">
        <f>'Assumptions-Output Override'!D19</f>
        <v>1000</v>
      </c>
      <c r="AE2" s="391">
        <f>'Cost Model -Chron Override All'!K117</f>
        <v>35.448435656496983</v>
      </c>
      <c r="AF2" s="391">
        <f>'Assumptions-Output Override'!G19</f>
        <v>30</v>
      </c>
      <c r="AG2" s="391">
        <f>'Assumptions-Output Override'!H19</f>
        <v>60</v>
      </c>
      <c r="BJ2" s="389" t="s">
        <v>398</v>
      </c>
    </row>
    <row r="3" spans="1:114" x14ac:dyDescent="0.2">
      <c r="A3" t="s">
        <v>399</v>
      </c>
    </row>
    <row r="4" spans="1:114" x14ac:dyDescent="0.2">
      <c r="D4" s="982" t="s">
        <v>400</v>
      </c>
      <c r="E4" s="982"/>
      <c r="F4" s="982"/>
      <c r="G4" s="982"/>
      <c r="H4" s="982"/>
      <c r="I4" s="982" t="s">
        <v>401</v>
      </c>
      <c r="J4" s="982"/>
      <c r="K4" s="982"/>
      <c r="L4" s="982"/>
      <c r="M4" s="982"/>
      <c r="N4" s="982"/>
      <c r="O4" s="982" t="s">
        <v>402</v>
      </c>
      <c r="P4" s="982"/>
      <c r="Q4" s="982"/>
      <c r="R4" s="982"/>
      <c r="S4" s="982"/>
      <c r="T4" s="982"/>
      <c r="U4" s="392" t="s">
        <v>403</v>
      </c>
      <c r="V4" s="982" t="s">
        <v>404</v>
      </c>
      <c r="W4" s="982"/>
      <c r="X4" s="982"/>
      <c r="Y4" s="982"/>
      <c r="Z4" s="982"/>
      <c r="AA4" s="982"/>
      <c r="AB4" s="982" t="s">
        <v>405</v>
      </c>
      <c r="AC4" s="982"/>
      <c r="AD4" s="982"/>
      <c r="AE4" s="982"/>
      <c r="AF4" s="982"/>
      <c r="AG4" s="982"/>
      <c r="AH4" s="392" t="s">
        <v>403</v>
      </c>
      <c r="AJ4" s="982" t="s">
        <v>406</v>
      </c>
      <c r="AK4" s="982"/>
      <c r="AL4" s="982"/>
      <c r="AM4" s="982"/>
      <c r="AN4" s="982"/>
      <c r="AO4" s="982" t="s">
        <v>407</v>
      </c>
      <c r="AP4" s="982"/>
      <c r="AQ4" s="982"/>
      <c r="AR4" s="982"/>
      <c r="AS4" s="982"/>
      <c r="AT4" s="982" t="s">
        <v>408</v>
      </c>
      <c r="AU4" s="982"/>
      <c r="AV4" s="982"/>
      <c r="AW4" s="982"/>
      <c r="AX4" s="982"/>
      <c r="AY4" s="982" t="s">
        <v>409</v>
      </c>
      <c r="AZ4" s="982"/>
      <c r="BA4" s="982"/>
      <c r="BB4" s="982"/>
      <c r="BC4" s="982"/>
      <c r="BD4" s="982" t="s">
        <v>410</v>
      </c>
      <c r="BE4" s="982"/>
      <c r="BF4" s="982"/>
      <c r="BG4" s="982"/>
      <c r="BH4" s="982"/>
      <c r="BI4" s="392"/>
      <c r="BJ4" s="982" t="s">
        <v>406</v>
      </c>
      <c r="BK4" s="982"/>
      <c r="BL4" s="982"/>
      <c r="BM4" s="982"/>
      <c r="BN4" s="982"/>
      <c r="BO4" s="982" t="s">
        <v>407</v>
      </c>
      <c r="BP4" s="982"/>
      <c r="BQ4" s="982"/>
      <c r="BR4" s="982"/>
      <c r="BS4" s="982"/>
      <c r="BT4" s="982" t="s">
        <v>408</v>
      </c>
      <c r="BU4" s="982"/>
      <c r="BV4" s="982"/>
      <c r="BW4" s="982"/>
      <c r="BX4" s="982"/>
      <c r="BY4" s="982" t="s">
        <v>409</v>
      </c>
      <c r="BZ4" s="982"/>
      <c r="CA4" s="982"/>
      <c r="CB4" s="982"/>
      <c r="CC4" s="982"/>
      <c r="CD4" s="982" t="s">
        <v>410</v>
      </c>
      <c r="CE4" s="982"/>
      <c r="CF4" s="982"/>
      <c r="CG4" s="982"/>
      <c r="CH4" s="982"/>
      <c r="CJ4" s="389" t="s">
        <v>411</v>
      </c>
    </row>
    <row r="5" spans="1:114" ht="16" thickBot="1" x14ac:dyDescent="0.25">
      <c r="A5" s="393" t="s">
        <v>412</v>
      </c>
      <c r="B5" s="394" t="s">
        <v>413</v>
      </c>
      <c r="C5" s="395" t="s">
        <v>414</v>
      </c>
      <c r="D5" s="395" t="s">
        <v>415</v>
      </c>
      <c r="E5" s="395" t="s">
        <v>416</v>
      </c>
      <c r="F5" s="395" t="s">
        <v>417</v>
      </c>
      <c r="G5" s="395" t="s">
        <v>418</v>
      </c>
      <c r="H5" s="395" t="s">
        <v>419</v>
      </c>
      <c r="I5" s="395" t="s">
        <v>420</v>
      </c>
      <c r="J5" s="395" t="s">
        <v>421</v>
      </c>
      <c r="K5" s="395" t="s">
        <v>422</v>
      </c>
      <c r="L5" s="395" t="s">
        <v>423</v>
      </c>
      <c r="M5" s="395" t="s">
        <v>424</v>
      </c>
      <c r="N5" s="395" t="s">
        <v>425</v>
      </c>
      <c r="O5" s="395" t="s">
        <v>420</v>
      </c>
      <c r="P5" s="395" t="s">
        <v>421</v>
      </c>
      <c r="Q5" s="395" t="s">
        <v>422</v>
      </c>
      <c r="R5" s="395" t="s">
        <v>423</v>
      </c>
      <c r="S5" s="395" t="s">
        <v>424</v>
      </c>
      <c r="T5" s="395" t="s">
        <v>425</v>
      </c>
      <c r="U5" s="395"/>
      <c r="V5" s="395" t="s">
        <v>426</v>
      </c>
      <c r="W5" s="395" t="s">
        <v>427</v>
      </c>
      <c r="X5" s="395" t="s">
        <v>428</v>
      </c>
      <c r="Y5" s="395" t="s">
        <v>429</v>
      </c>
      <c r="Z5" s="395" t="s">
        <v>430</v>
      </c>
      <c r="AA5" s="395" t="s">
        <v>431</v>
      </c>
      <c r="AB5" s="395" t="s">
        <v>426</v>
      </c>
      <c r="AC5" s="395" t="s">
        <v>427</v>
      </c>
      <c r="AD5" s="395" t="s">
        <v>428</v>
      </c>
      <c r="AE5" s="395" t="s">
        <v>429</v>
      </c>
      <c r="AF5" s="395" t="s">
        <v>430</v>
      </c>
      <c r="AG5" s="395" t="s">
        <v>431</v>
      </c>
      <c r="AH5" s="395"/>
      <c r="AJ5" s="395" t="s">
        <v>415</v>
      </c>
      <c r="AK5" s="395" t="s">
        <v>416</v>
      </c>
      <c r="AL5" s="395" t="s">
        <v>417</v>
      </c>
      <c r="AM5" s="395" t="s">
        <v>418</v>
      </c>
      <c r="AN5" s="395" t="s">
        <v>419</v>
      </c>
      <c r="AO5" s="395" t="s">
        <v>415</v>
      </c>
      <c r="AP5" s="395" t="s">
        <v>416</v>
      </c>
      <c r="AQ5" s="395" t="s">
        <v>417</v>
      </c>
      <c r="AR5" s="395" t="s">
        <v>418</v>
      </c>
      <c r="AS5" s="395" t="s">
        <v>419</v>
      </c>
      <c r="AT5" s="395" t="s">
        <v>415</v>
      </c>
      <c r="AU5" s="395" t="s">
        <v>416</v>
      </c>
      <c r="AV5" s="395" t="s">
        <v>417</v>
      </c>
      <c r="AW5" s="395" t="s">
        <v>418</v>
      </c>
      <c r="AX5" s="395" t="s">
        <v>419</v>
      </c>
      <c r="AY5" s="395" t="s">
        <v>415</v>
      </c>
      <c r="AZ5" s="395" t="s">
        <v>416</v>
      </c>
      <c r="BA5" s="395" t="s">
        <v>417</v>
      </c>
      <c r="BB5" s="395" t="s">
        <v>418</v>
      </c>
      <c r="BC5" s="395" t="s">
        <v>419</v>
      </c>
      <c r="BD5" s="395" t="s">
        <v>415</v>
      </c>
      <c r="BE5" s="395" t="s">
        <v>416</v>
      </c>
      <c r="BF5" s="395" t="s">
        <v>417</v>
      </c>
      <c r="BG5" s="395" t="s">
        <v>418</v>
      </c>
      <c r="BH5" s="395" t="s">
        <v>419</v>
      </c>
      <c r="BI5" s="395"/>
      <c r="BJ5" s="395" t="s">
        <v>415</v>
      </c>
      <c r="BK5" s="395" t="s">
        <v>416</v>
      </c>
      <c r="BL5" s="395" t="s">
        <v>417</v>
      </c>
      <c r="BM5" s="395" t="s">
        <v>418</v>
      </c>
      <c r="BN5" s="395" t="s">
        <v>419</v>
      </c>
      <c r="BO5" s="395" t="s">
        <v>415</v>
      </c>
      <c r="BP5" s="395" t="s">
        <v>416</v>
      </c>
      <c r="BQ5" s="395" t="s">
        <v>417</v>
      </c>
      <c r="BR5" s="395" t="s">
        <v>418</v>
      </c>
      <c r="BS5" s="395" t="s">
        <v>419</v>
      </c>
      <c r="BT5" s="395" t="s">
        <v>415</v>
      </c>
      <c r="BU5" s="395" t="s">
        <v>416</v>
      </c>
      <c r="BV5" s="395" t="s">
        <v>417</v>
      </c>
      <c r="BW5" s="395" t="s">
        <v>418</v>
      </c>
      <c r="BX5" s="395" t="s">
        <v>419</v>
      </c>
      <c r="BY5" s="395" t="s">
        <v>415</v>
      </c>
      <c r="BZ5" s="395" t="s">
        <v>416</v>
      </c>
      <c r="CA5" s="395" t="s">
        <v>417</v>
      </c>
      <c r="CB5" s="395" t="s">
        <v>418</v>
      </c>
      <c r="CC5" s="395" t="s">
        <v>419</v>
      </c>
      <c r="CD5" s="395" t="s">
        <v>415</v>
      </c>
      <c r="CE5" s="395" t="s">
        <v>416</v>
      </c>
      <c r="CF5" s="395" t="s">
        <v>417</v>
      </c>
      <c r="CG5" s="395" t="s">
        <v>418</v>
      </c>
      <c r="CH5" s="395" t="s">
        <v>419</v>
      </c>
      <c r="CJ5" s="396" t="s">
        <v>432</v>
      </c>
      <c r="CK5" s="396" t="s">
        <v>433</v>
      </c>
      <c r="CL5" s="396" t="s">
        <v>434</v>
      </c>
      <c r="CN5" s="395" t="s">
        <v>415</v>
      </c>
      <c r="CO5" s="395" t="s">
        <v>416</v>
      </c>
      <c r="CP5" s="395" t="s">
        <v>417</v>
      </c>
      <c r="CQ5" s="395" t="s">
        <v>418</v>
      </c>
      <c r="CR5" s="395" t="s">
        <v>403</v>
      </c>
      <c r="CT5" s="395" t="s">
        <v>415</v>
      </c>
      <c r="CU5" s="395" t="s">
        <v>416</v>
      </c>
      <c r="CV5" s="395" t="s">
        <v>417</v>
      </c>
      <c r="CW5" s="395" t="s">
        <v>418</v>
      </c>
      <c r="CX5" s="395" t="s">
        <v>403</v>
      </c>
      <c r="CZ5" s="395" t="s">
        <v>415</v>
      </c>
      <c r="DA5" s="395" t="s">
        <v>416</v>
      </c>
      <c r="DB5" s="395" t="s">
        <v>417</v>
      </c>
      <c r="DC5" s="395" t="s">
        <v>418</v>
      </c>
      <c r="DD5" s="395" t="s">
        <v>403</v>
      </c>
      <c r="DF5" s="395" t="s">
        <v>415</v>
      </c>
      <c r="DG5" s="395" t="s">
        <v>416</v>
      </c>
      <c r="DH5" s="395" t="s">
        <v>417</v>
      </c>
      <c r="DI5" s="395" t="s">
        <v>418</v>
      </c>
      <c r="DJ5" s="395" t="s">
        <v>403</v>
      </c>
    </row>
    <row r="6" spans="1:114" ht="16" thickTop="1" x14ac:dyDescent="0.2">
      <c r="A6">
        <v>1</v>
      </c>
      <c r="B6" s="397">
        <v>34308</v>
      </c>
      <c r="C6" s="398">
        <v>397997.79676138877</v>
      </c>
      <c r="D6" s="399">
        <v>0</v>
      </c>
      <c r="E6" s="399">
        <v>0</v>
      </c>
      <c r="F6" s="399">
        <v>0</v>
      </c>
      <c r="G6" s="399">
        <v>0</v>
      </c>
      <c r="H6" s="399">
        <v>0</v>
      </c>
      <c r="I6" s="400">
        <v>0</v>
      </c>
      <c r="J6" s="400">
        <v>0</v>
      </c>
      <c r="K6" s="400">
        <v>0</v>
      </c>
      <c r="L6" s="400">
        <v>0</v>
      </c>
      <c r="M6" s="400">
        <v>0</v>
      </c>
      <c r="N6" s="400">
        <v>0</v>
      </c>
      <c r="O6" s="399">
        <f t="shared" ref="O6:T21" si="0">I6*O$2</f>
        <v>0</v>
      </c>
      <c r="P6" s="399">
        <f t="shared" si="0"/>
        <v>0</v>
      </c>
      <c r="Q6" s="399">
        <f t="shared" si="0"/>
        <v>0</v>
      </c>
      <c r="R6" s="399">
        <f t="shared" si="0"/>
        <v>0</v>
      </c>
      <c r="S6" s="399">
        <f t="shared" si="0"/>
        <v>0</v>
      </c>
      <c r="T6" s="399">
        <f t="shared" si="0"/>
        <v>0</v>
      </c>
      <c r="U6" s="399">
        <f>SUM(O6:T6)</f>
        <v>0</v>
      </c>
      <c r="V6" s="400">
        <v>0</v>
      </c>
      <c r="W6" s="400">
        <v>0</v>
      </c>
      <c r="X6" s="400">
        <v>0</v>
      </c>
      <c r="Y6" s="400">
        <v>0</v>
      </c>
      <c r="Z6" s="400">
        <v>0</v>
      </c>
      <c r="AA6" s="400">
        <v>0</v>
      </c>
      <c r="AB6" s="352">
        <f t="shared" ref="AB6:AG21" si="1">V6*AB$2</f>
        <v>0</v>
      </c>
      <c r="AC6" s="352">
        <f t="shared" si="1"/>
        <v>0</v>
      </c>
      <c r="AD6" s="352">
        <f t="shared" si="1"/>
        <v>0</v>
      </c>
      <c r="AE6" s="352">
        <f t="shared" si="1"/>
        <v>0</v>
      </c>
      <c r="AF6" s="352">
        <f t="shared" si="1"/>
        <v>0</v>
      </c>
      <c r="AG6" s="352">
        <f t="shared" si="1"/>
        <v>0</v>
      </c>
      <c r="AH6" s="400">
        <f>SUM(AB6:AG6)</f>
        <v>0</v>
      </c>
      <c r="AJ6" s="352">
        <f>D6*('Assumptions-Output Override'!$D$10/'Winners-Losers Values PMPM'!$H$107)*(1+'Assumptions-Output Override'!$F$41)</f>
        <v>0</v>
      </c>
      <c r="AK6" s="352">
        <f>E6*('Assumptions-Output Override'!$D$10/'Winners-Losers Values PMPM'!$H$107)*(1+'Assumptions-Output Override'!$F$37)</f>
        <v>0</v>
      </c>
      <c r="AL6" s="352">
        <f>F6*('Assumptions-Output Override'!$D$10/'Winners-Losers Values PMPM'!$H$107)*(1+'Assumptions-Output Override'!$F$38)</f>
        <v>0</v>
      </c>
      <c r="AM6" s="352">
        <f>G6*('Shoppable Detail'!$X$21/'Shoppable Detail'!$H$21)*('Assumptions-Output Override'!$D$10/'Winners-Losers Values PMPM'!$H$107)*(1+'Assumptions-Output Override'!$F$39)</f>
        <v>0</v>
      </c>
      <c r="AN6" s="352">
        <f>SUM(AJ6:AM6)</f>
        <v>0</v>
      </c>
      <c r="AO6" s="352">
        <v>0</v>
      </c>
      <c r="AP6" s="352">
        <f>U6*'Assumptions-Output Override'!$D$10/'Winners-Losers Values PMPM'!$H$107*(1+'Assumptions-Output Override'!$F$37)</f>
        <v>0</v>
      </c>
      <c r="AQ6" s="352">
        <f>AH6*'Assumptions-Output Override'!$D$10/'Winners-Losers Values PMPM'!$H$107*(1+'Assumptions-Output Override'!$F$38)</f>
        <v>0</v>
      </c>
      <c r="AR6" s="352">
        <f>AM6*('Shoppable Detail'!$AA$23/'Shoppable Detail'!$Y$23)</f>
        <v>0</v>
      </c>
      <c r="AS6" s="352">
        <f>SUM(AO6:AR6)</f>
        <v>0</v>
      </c>
      <c r="AT6" s="352">
        <f>AJ6-AO6</f>
        <v>0</v>
      </c>
      <c r="AU6" s="352">
        <f>AK6-AP6</f>
        <v>0</v>
      </c>
      <c r="AV6" s="352">
        <f>AL6-AQ6</f>
        <v>0</v>
      </c>
      <c r="AW6" s="352">
        <f>AM6-AR6</f>
        <v>0</v>
      </c>
      <c r="AX6" s="352">
        <f>SUM(AT6:AW6)</f>
        <v>0</v>
      </c>
      <c r="AY6" s="352">
        <f>AT6*'Assumptions-Output Override'!$D$24</f>
        <v>0</v>
      </c>
      <c r="AZ6" s="352">
        <f>$AU$107*'Assumptions-Output Override'!$D$21</f>
        <v>46.041131296780591</v>
      </c>
      <c r="BA6" s="352">
        <f>AV6*'Assumptions-Output Override'!$D$22</f>
        <v>0</v>
      </c>
      <c r="BB6" s="352">
        <f>AW6*'Assumptions-Output Override'!$D$23</f>
        <v>0</v>
      </c>
      <c r="BC6" s="352">
        <f>SUM(AY6:BB6)</f>
        <v>46.041131296780591</v>
      </c>
      <c r="BD6" s="352">
        <f>AO6+AY6</f>
        <v>0</v>
      </c>
      <c r="BE6" s="352">
        <f>AP6+AZ6</f>
        <v>46.041131296780591</v>
      </c>
      <c r="BF6" s="352">
        <f>AQ6+BA6</f>
        <v>0</v>
      </c>
      <c r="BG6" s="352">
        <f>AR6+BB6</f>
        <v>0</v>
      </c>
      <c r="BH6" s="352">
        <f>SUM(BD6:BG6)</f>
        <v>46.041131296780591</v>
      </c>
      <c r="BJ6" s="401">
        <f>D6*'Assumptions-Output Override'!$D$10/'Winners-Losers Values PMPM'!$H$107</f>
        <v>0</v>
      </c>
      <c r="BK6" s="401">
        <f>E6*'Assumptions-Output Override'!$D$10/'Winners-Losers Values PMPM'!$H$107</f>
        <v>0</v>
      </c>
      <c r="BL6" s="401">
        <f>F6*'Assumptions-Output Override'!$D$10/'Winners-Losers Values PMPM'!$H$107</f>
        <v>0</v>
      </c>
      <c r="BM6" s="401">
        <f>G6*'Assumptions-Output Override'!$D$10/'Winners-Losers Values PMPM'!$H$107</f>
        <v>0</v>
      </c>
      <c r="BN6" s="401">
        <f t="shared" ref="BN6:BN69" si="2">SUM(BJ6:BM6)</f>
        <v>0</v>
      </c>
      <c r="BO6" s="401">
        <f>BJ6*(1-'Assumptions-Output Override'!$D$11)</f>
        <v>0</v>
      </c>
      <c r="BP6" s="401">
        <f>BK6*(1-'Assumptions-Output Override'!$D$11)</f>
        <v>0</v>
      </c>
      <c r="BQ6" s="401">
        <f>BL6*(1-'Assumptions-Output Override'!$D$11)</f>
        <v>0</v>
      </c>
      <c r="BR6" s="401">
        <f>BM6*(1-'Assumptions-Output Override'!$D$11)</f>
        <v>0</v>
      </c>
      <c r="BS6" s="352">
        <f t="shared" ref="BS6:BS69" si="3">SUM(BO6:BR6)</f>
        <v>0</v>
      </c>
      <c r="BT6" s="352">
        <f>BJ6-BO6</f>
        <v>0</v>
      </c>
      <c r="BU6" s="352">
        <f>BK6-BP6</f>
        <v>0</v>
      </c>
      <c r="BV6" s="352">
        <f>BL6-BQ6</f>
        <v>0</v>
      </c>
      <c r="BW6" s="352">
        <f>BM6-BR6</f>
        <v>0</v>
      </c>
      <c r="BX6" s="352">
        <f t="shared" ref="BX6:BX69" si="4">SUM(BT6:BW6)</f>
        <v>0</v>
      </c>
      <c r="BY6" s="352">
        <f>BT$107*(1-'Assumptions-Output Override'!$D$12)</f>
        <v>22.753074310428271</v>
      </c>
      <c r="BZ6" s="352">
        <f>BU$107*(1-'Assumptions-Output Override'!$D$12)</f>
        <v>51.446038369839215</v>
      </c>
      <c r="CA6" s="352">
        <f>BV$107*(1-'Assumptions-Output Override'!$D$12)</f>
        <v>9.7401900534537411</v>
      </c>
      <c r="CB6" s="352">
        <f>BW$107*(1-'Assumptions-Output Override'!$D$12)</f>
        <v>1.7000814189516649</v>
      </c>
      <c r="CC6" s="352">
        <f t="shared" ref="CC6:CC69" si="5">SUM(BY6:CB6)</f>
        <v>85.639384152672903</v>
      </c>
      <c r="CD6" s="352">
        <f>BO6+BY6</f>
        <v>22.753074310428271</v>
      </c>
      <c r="CE6" s="352">
        <f>BP6+BZ6</f>
        <v>51.446038369839215</v>
      </c>
      <c r="CF6" s="352">
        <f>BQ6+CA6</f>
        <v>9.7401900534537411</v>
      </c>
      <c r="CG6" s="352">
        <f>BR6+CB6</f>
        <v>1.7000814189516649</v>
      </c>
      <c r="CH6" s="352">
        <f t="shared" ref="CH6:CH69" si="6">SUM(CD6:CG6)</f>
        <v>85.639384152672903</v>
      </c>
      <c r="CJ6" s="352">
        <f>CH6</f>
        <v>85.639384152672903</v>
      </c>
      <c r="CK6" s="352">
        <f>BH6</f>
        <v>46.041131296780591</v>
      </c>
      <c r="CL6" s="352">
        <f>CJ6-CK6</f>
        <v>39.598252855892312</v>
      </c>
      <c r="CN6" s="352">
        <f>D6</f>
        <v>0</v>
      </c>
      <c r="CO6" s="352">
        <f>E6</f>
        <v>0</v>
      </c>
      <c r="CP6" s="352">
        <f>F6</f>
        <v>0</v>
      </c>
      <c r="CQ6" s="352">
        <f>G6</f>
        <v>0</v>
      </c>
      <c r="CR6" s="352">
        <f t="shared" ref="CR6:CR69" si="7">SUM(CN6:CQ6)</f>
        <v>0</v>
      </c>
      <c r="CT6" s="352">
        <f t="shared" ref="CT6:CW21" si="8">D6-BJ6</f>
        <v>0</v>
      </c>
      <c r="CU6" s="352">
        <f t="shared" si="8"/>
        <v>0</v>
      </c>
      <c r="CV6" s="352">
        <f t="shared" si="8"/>
        <v>0</v>
      </c>
      <c r="CW6" s="352">
        <f t="shared" si="8"/>
        <v>0</v>
      </c>
      <c r="CX6" s="352">
        <f t="shared" ref="CX6:CX69" si="9">SUM(CT6:CW6)</f>
        <v>0</v>
      </c>
      <c r="CZ6" s="352">
        <f>CD6-BD6</f>
        <v>22.753074310428271</v>
      </c>
      <c r="DA6" s="352">
        <f>CE6-BE6</f>
        <v>5.4049070730586237</v>
      </c>
      <c r="DB6" s="352">
        <f>CF6-BF6</f>
        <v>9.7401900534537411</v>
      </c>
      <c r="DC6" s="352">
        <f>CG6-BG6</f>
        <v>1.7000814189516649</v>
      </c>
      <c r="DD6" s="352">
        <f>SUM(CZ6:DC6)</f>
        <v>39.598252855892298</v>
      </c>
      <c r="DF6" s="352">
        <f>BD6</f>
        <v>0</v>
      </c>
      <c r="DG6" s="352">
        <f>BE6</f>
        <v>46.041131296780591</v>
      </c>
      <c r="DH6" s="352">
        <f>BF6</f>
        <v>0</v>
      </c>
      <c r="DI6" s="352">
        <f>BG6</f>
        <v>0</v>
      </c>
      <c r="DJ6" s="352">
        <f>SUM(DF6:DI6)</f>
        <v>46.041131296780591</v>
      </c>
    </row>
    <row r="7" spans="1:114" x14ac:dyDescent="0.2">
      <c r="A7">
        <f>A6+1</f>
        <v>2</v>
      </c>
      <c r="B7" s="397">
        <v>34308</v>
      </c>
      <c r="C7" s="398">
        <v>397997.79676138877</v>
      </c>
      <c r="D7" s="399">
        <v>0</v>
      </c>
      <c r="E7" s="399">
        <v>0</v>
      </c>
      <c r="F7" s="399">
        <v>0</v>
      </c>
      <c r="G7" s="399">
        <v>0</v>
      </c>
      <c r="H7" s="399">
        <v>0</v>
      </c>
      <c r="I7" s="400">
        <v>0</v>
      </c>
      <c r="J7" s="400">
        <v>0</v>
      </c>
      <c r="K7" s="400">
        <v>0</v>
      </c>
      <c r="L7" s="400">
        <v>0</v>
      </c>
      <c r="M7" s="400">
        <v>0</v>
      </c>
      <c r="N7" s="400">
        <v>0</v>
      </c>
      <c r="O7" s="399">
        <f t="shared" si="0"/>
        <v>0</v>
      </c>
      <c r="P7" s="399">
        <f t="shared" si="0"/>
        <v>0</v>
      </c>
      <c r="Q7" s="399">
        <f t="shared" si="0"/>
        <v>0</v>
      </c>
      <c r="R7" s="399">
        <f t="shared" si="0"/>
        <v>0</v>
      </c>
      <c r="S7" s="399">
        <f t="shared" si="0"/>
        <v>0</v>
      </c>
      <c r="T7" s="399">
        <f t="shared" si="0"/>
        <v>0</v>
      </c>
      <c r="U7" s="399">
        <f t="shared" ref="U7:U70" si="10">SUM(O7:T7)</f>
        <v>0</v>
      </c>
      <c r="V7" s="400">
        <v>0</v>
      </c>
      <c r="W7" s="400">
        <v>0</v>
      </c>
      <c r="X7" s="400">
        <v>0</v>
      </c>
      <c r="Y7" s="400">
        <v>0</v>
      </c>
      <c r="Z7" s="400">
        <v>0</v>
      </c>
      <c r="AA7" s="400">
        <v>0</v>
      </c>
      <c r="AB7" s="352">
        <f t="shared" si="1"/>
        <v>0</v>
      </c>
      <c r="AC7" s="352">
        <f t="shared" si="1"/>
        <v>0</v>
      </c>
      <c r="AD7" s="352">
        <f t="shared" si="1"/>
        <v>0</v>
      </c>
      <c r="AE7" s="352">
        <f t="shared" si="1"/>
        <v>0</v>
      </c>
      <c r="AF7" s="352">
        <f t="shared" si="1"/>
        <v>0</v>
      </c>
      <c r="AG7" s="352">
        <f t="shared" si="1"/>
        <v>0</v>
      </c>
      <c r="AH7" s="400">
        <f t="shared" ref="AH7:AH70" si="11">SUM(AB7:AG7)</f>
        <v>0</v>
      </c>
      <c r="AJ7" s="352">
        <f>D7*('Assumptions-Output Override'!$D$10/'Winners-Losers Values PMPM'!$H$107)*(1+'Assumptions-Output Override'!$F$41)</f>
        <v>0</v>
      </c>
      <c r="AK7" s="352">
        <f>E7*('Assumptions-Output Override'!$D$10/'Winners-Losers Values PMPM'!$H$107)*(1+'Assumptions-Output Override'!$F$37)</f>
        <v>0</v>
      </c>
      <c r="AL7" s="352">
        <f>F7*('Assumptions-Output Override'!$D$10/'Winners-Losers Values PMPM'!$H$107)*(1+'Assumptions-Output Override'!$F$38)</f>
        <v>0</v>
      </c>
      <c r="AM7" s="352">
        <f>G7*('Shoppable Detail'!$X$21/'Shoppable Detail'!$H$21)*('Assumptions-Output Override'!$D$10/'Winners-Losers Values PMPM'!$H$107)*(1+'Assumptions-Output Override'!$F$39)</f>
        <v>0</v>
      </c>
      <c r="AN7" s="352">
        <f t="shared" ref="AN7:AN70" si="12">SUM(AJ7:AM7)</f>
        <v>0</v>
      </c>
      <c r="AO7" s="352">
        <v>0</v>
      </c>
      <c r="AP7" s="352">
        <f>U7*'Assumptions-Output Override'!$D$10/'Winners-Losers Values PMPM'!$H$107*(1+'Assumptions-Output Override'!$F$37)</f>
        <v>0</v>
      </c>
      <c r="AQ7" s="352">
        <f>AH7*'Assumptions-Output Override'!$D$10/'Winners-Losers Values PMPM'!$H$107*(1+'Assumptions-Output Override'!$F$38)</f>
        <v>0</v>
      </c>
      <c r="AR7" s="352">
        <f>AM7*('Shoppable Detail'!$AA$23/'Shoppable Detail'!$Y$23)</f>
        <v>0</v>
      </c>
      <c r="AS7" s="352">
        <f t="shared" ref="AS7:AS70" si="13">SUM(AO7:AR7)</f>
        <v>0</v>
      </c>
      <c r="AT7" s="352">
        <f t="shared" ref="AT7:AW70" si="14">AJ7-AO7</f>
        <v>0</v>
      </c>
      <c r="AU7" s="352">
        <f t="shared" si="14"/>
        <v>0</v>
      </c>
      <c r="AV7" s="352">
        <f t="shared" si="14"/>
        <v>0</v>
      </c>
      <c r="AW7" s="352">
        <f t="shared" si="14"/>
        <v>0</v>
      </c>
      <c r="AX7" s="352">
        <f t="shared" ref="AX7:AX70" si="15">SUM(AT7:AW7)</f>
        <v>0</v>
      </c>
      <c r="AY7" s="352">
        <f>AT7*'Assumptions-Output Override'!$D$24</f>
        <v>0</v>
      </c>
      <c r="AZ7" s="352">
        <f>$AU$107*'Assumptions-Output Override'!$D$21</f>
        <v>46.041131296780591</v>
      </c>
      <c r="BA7" s="352">
        <f>AV7*'Assumptions-Output Override'!$D$22</f>
        <v>0</v>
      </c>
      <c r="BB7" s="352">
        <f>AW7*'Assumptions-Output Override'!$D$23</f>
        <v>0</v>
      </c>
      <c r="BC7" s="352">
        <f t="shared" ref="BC7:BC70" si="16">SUM(AY7:BB7)</f>
        <v>46.041131296780591</v>
      </c>
      <c r="BD7" s="352">
        <f t="shared" ref="BD7:BG70" si="17">AO7+AY7</f>
        <v>0</v>
      </c>
      <c r="BE7" s="352">
        <f t="shared" si="17"/>
        <v>46.041131296780591</v>
      </c>
      <c r="BF7" s="352">
        <f t="shared" si="17"/>
        <v>0</v>
      </c>
      <c r="BG7" s="352">
        <f t="shared" si="17"/>
        <v>0</v>
      </c>
      <c r="BH7" s="352">
        <f t="shared" ref="BH7:BH70" si="18">SUM(BD7:BG7)</f>
        <v>46.041131296780591</v>
      </c>
      <c r="BJ7" s="401">
        <f>D7*'Assumptions-Output Override'!$D$10/'Winners-Losers Values PMPM'!$H$107</f>
        <v>0</v>
      </c>
      <c r="BK7" s="401">
        <f>E7*'Assumptions-Output Override'!$D$10/'Winners-Losers Values PMPM'!$H$107</f>
        <v>0</v>
      </c>
      <c r="BL7" s="401">
        <f>F7*'Assumptions-Output Override'!$D$10/'Winners-Losers Values PMPM'!$H$107</f>
        <v>0</v>
      </c>
      <c r="BM7" s="401">
        <f>G7*'Assumptions-Output Override'!$D$10/'Winners-Losers Values PMPM'!$H$107</f>
        <v>0</v>
      </c>
      <c r="BN7" s="401">
        <f t="shared" si="2"/>
        <v>0</v>
      </c>
      <c r="BO7" s="401">
        <f>BJ7*(1-'Assumptions-Output Override'!$D$11)</f>
        <v>0</v>
      </c>
      <c r="BP7" s="401">
        <f>BK7*(1-'Assumptions-Output Override'!$D$11)</f>
        <v>0</v>
      </c>
      <c r="BQ7" s="401">
        <f>BL7*(1-'Assumptions-Output Override'!$D$11)</f>
        <v>0</v>
      </c>
      <c r="BR7" s="401">
        <f>BM7*(1-'Assumptions-Output Override'!$D$11)</f>
        <v>0</v>
      </c>
      <c r="BS7" s="352">
        <f t="shared" si="3"/>
        <v>0</v>
      </c>
      <c r="BT7" s="352">
        <f t="shared" ref="BT7:BW70" si="19">BJ7-BO7</f>
        <v>0</v>
      </c>
      <c r="BU7" s="352">
        <f t="shared" si="19"/>
        <v>0</v>
      </c>
      <c r="BV7" s="352">
        <f t="shared" si="19"/>
        <v>0</v>
      </c>
      <c r="BW7" s="352">
        <f t="shared" si="19"/>
        <v>0</v>
      </c>
      <c r="BX7" s="352">
        <f t="shared" si="4"/>
        <v>0</v>
      </c>
      <c r="BY7" s="352">
        <f>BT$107*(1-'Assumptions-Output Override'!$D$12)</f>
        <v>22.753074310428271</v>
      </c>
      <c r="BZ7" s="352">
        <f>BU$107*(1-'Assumptions-Output Override'!$D$12)</f>
        <v>51.446038369839215</v>
      </c>
      <c r="CA7" s="352">
        <f>BV$107*(1-'Assumptions-Output Override'!$D$12)</f>
        <v>9.7401900534537411</v>
      </c>
      <c r="CB7" s="352">
        <f>BW$107*(1-'Assumptions-Output Override'!$D$12)</f>
        <v>1.7000814189516649</v>
      </c>
      <c r="CC7" s="352">
        <f t="shared" si="5"/>
        <v>85.639384152672903</v>
      </c>
      <c r="CD7" s="352">
        <f t="shared" ref="CD7:CG70" si="20">BO7+BY7</f>
        <v>22.753074310428271</v>
      </c>
      <c r="CE7" s="352">
        <f t="shared" si="20"/>
        <v>51.446038369839215</v>
      </c>
      <c r="CF7" s="352">
        <f t="shared" si="20"/>
        <v>9.7401900534537411</v>
      </c>
      <c r="CG7" s="352">
        <f t="shared" si="20"/>
        <v>1.7000814189516649</v>
      </c>
      <c r="CH7" s="352">
        <f t="shared" si="6"/>
        <v>85.639384152672903</v>
      </c>
      <c r="CJ7" s="352">
        <f t="shared" ref="CJ7:CJ70" si="21">CH7</f>
        <v>85.639384152672903</v>
      </c>
      <c r="CK7" s="352">
        <f t="shared" ref="CK7:CK70" si="22">BH7</f>
        <v>46.041131296780591</v>
      </c>
      <c r="CL7" s="352">
        <f t="shared" ref="CL7:CL70" si="23">CJ7-CK7</f>
        <v>39.598252855892312</v>
      </c>
      <c r="CN7" s="352">
        <f t="shared" ref="CN7:CQ70" si="24">D7</f>
        <v>0</v>
      </c>
      <c r="CO7" s="352">
        <f t="shared" si="24"/>
        <v>0</v>
      </c>
      <c r="CP7" s="352">
        <f t="shared" si="24"/>
        <v>0</v>
      </c>
      <c r="CQ7" s="352">
        <f t="shared" si="24"/>
        <v>0</v>
      </c>
      <c r="CR7" s="352">
        <f t="shared" si="7"/>
        <v>0</v>
      </c>
      <c r="CT7" s="352">
        <f t="shared" si="8"/>
        <v>0</v>
      </c>
      <c r="CU7" s="352">
        <f t="shared" si="8"/>
        <v>0</v>
      </c>
      <c r="CV7" s="352">
        <f t="shared" si="8"/>
        <v>0</v>
      </c>
      <c r="CW7" s="352">
        <f t="shared" si="8"/>
        <v>0</v>
      </c>
      <c r="CX7" s="352">
        <f t="shared" si="9"/>
        <v>0</v>
      </c>
      <c r="CZ7" s="352">
        <f t="shared" ref="CZ7:DC70" si="25">CD7-BD7</f>
        <v>22.753074310428271</v>
      </c>
      <c r="DA7" s="352">
        <f t="shared" si="25"/>
        <v>5.4049070730586237</v>
      </c>
      <c r="DB7" s="352">
        <f t="shared" si="25"/>
        <v>9.7401900534537411</v>
      </c>
      <c r="DC7" s="352">
        <f t="shared" si="25"/>
        <v>1.7000814189516649</v>
      </c>
      <c r="DD7" s="352">
        <f t="shared" ref="DD7:DD70" si="26">SUM(CZ7:DC7)</f>
        <v>39.598252855892298</v>
      </c>
      <c r="DF7" s="352">
        <f t="shared" ref="DF7:DI70" si="27">BD7</f>
        <v>0</v>
      </c>
      <c r="DG7" s="352">
        <f t="shared" si="27"/>
        <v>46.041131296780591</v>
      </c>
      <c r="DH7" s="352">
        <f t="shared" si="27"/>
        <v>0</v>
      </c>
      <c r="DI7" s="352">
        <f t="shared" si="27"/>
        <v>0</v>
      </c>
      <c r="DJ7" s="352">
        <f t="shared" ref="DJ7:DJ70" si="28">SUM(DF7:DI7)</f>
        <v>46.041131296780591</v>
      </c>
    </row>
    <row r="8" spans="1:114" x14ac:dyDescent="0.2">
      <c r="A8">
        <f t="shared" ref="A8:A26" si="29">A7+1</f>
        <v>3</v>
      </c>
      <c r="B8" s="397">
        <v>34308</v>
      </c>
      <c r="C8" s="398">
        <v>397997.79676138877</v>
      </c>
      <c r="D8" s="399">
        <v>0</v>
      </c>
      <c r="E8" s="399">
        <v>0</v>
      </c>
      <c r="F8" s="399">
        <v>0</v>
      </c>
      <c r="G8" s="399">
        <v>0</v>
      </c>
      <c r="H8" s="399">
        <v>0</v>
      </c>
      <c r="I8" s="400">
        <v>0</v>
      </c>
      <c r="J8" s="400">
        <v>0</v>
      </c>
      <c r="K8" s="400">
        <v>0</v>
      </c>
      <c r="L8" s="400">
        <v>0</v>
      </c>
      <c r="M8" s="400">
        <v>0</v>
      </c>
      <c r="N8" s="400">
        <v>0</v>
      </c>
      <c r="O8" s="399">
        <f t="shared" si="0"/>
        <v>0</v>
      </c>
      <c r="P8" s="399">
        <f t="shared" si="0"/>
        <v>0</v>
      </c>
      <c r="Q8" s="399">
        <f t="shared" si="0"/>
        <v>0</v>
      </c>
      <c r="R8" s="399">
        <f t="shared" si="0"/>
        <v>0</v>
      </c>
      <c r="S8" s="399">
        <f t="shared" si="0"/>
        <v>0</v>
      </c>
      <c r="T8" s="399">
        <f t="shared" si="0"/>
        <v>0</v>
      </c>
      <c r="U8" s="399">
        <f t="shared" si="10"/>
        <v>0</v>
      </c>
      <c r="V8" s="400">
        <v>0</v>
      </c>
      <c r="W8" s="400">
        <v>0</v>
      </c>
      <c r="X8" s="400">
        <v>0</v>
      </c>
      <c r="Y8" s="400">
        <v>0</v>
      </c>
      <c r="Z8" s="400">
        <v>0</v>
      </c>
      <c r="AA8" s="400">
        <v>0</v>
      </c>
      <c r="AB8" s="352">
        <f t="shared" si="1"/>
        <v>0</v>
      </c>
      <c r="AC8" s="352">
        <f t="shared" si="1"/>
        <v>0</v>
      </c>
      <c r="AD8" s="352">
        <f t="shared" si="1"/>
        <v>0</v>
      </c>
      <c r="AE8" s="352">
        <f t="shared" si="1"/>
        <v>0</v>
      </c>
      <c r="AF8" s="352">
        <f t="shared" si="1"/>
        <v>0</v>
      </c>
      <c r="AG8" s="352">
        <f t="shared" si="1"/>
        <v>0</v>
      </c>
      <c r="AH8" s="400">
        <f t="shared" si="11"/>
        <v>0</v>
      </c>
      <c r="AJ8" s="352">
        <f>D8*('Assumptions-Output Override'!$D$10/'Winners-Losers Values PMPM'!$H$107)*(1+'Assumptions-Output Override'!$F$41)</f>
        <v>0</v>
      </c>
      <c r="AK8" s="352">
        <f>E8*('Assumptions-Output Override'!$D$10/'Winners-Losers Values PMPM'!$H$107)*(1+'Assumptions-Output Override'!$F$37)</f>
        <v>0</v>
      </c>
      <c r="AL8" s="352">
        <f>F8*('Assumptions-Output Override'!$D$10/'Winners-Losers Values PMPM'!$H$107)*(1+'Assumptions-Output Override'!$F$38)</f>
        <v>0</v>
      </c>
      <c r="AM8" s="352">
        <f>G8*('Shoppable Detail'!$X$21/'Shoppable Detail'!$H$21)*('Assumptions-Output Override'!$D$10/'Winners-Losers Values PMPM'!$H$107)*(1+'Assumptions-Output Override'!$F$39)</f>
        <v>0</v>
      </c>
      <c r="AN8" s="352">
        <f t="shared" si="12"/>
        <v>0</v>
      </c>
      <c r="AO8" s="352">
        <v>0</v>
      </c>
      <c r="AP8" s="352">
        <f>U8*'Assumptions-Output Override'!$D$10/'Winners-Losers Values PMPM'!$H$107*(1+'Assumptions-Output Override'!$F$37)</f>
        <v>0</v>
      </c>
      <c r="AQ8" s="352">
        <f>AH8*'Assumptions-Output Override'!$D$10/'Winners-Losers Values PMPM'!$H$107*(1+'Assumptions-Output Override'!$F$38)</f>
        <v>0</v>
      </c>
      <c r="AR8" s="352">
        <f>AM8*('Shoppable Detail'!$AA$23/'Shoppable Detail'!$Y$23)</f>
        <v>0</v>
      </c>
      <c r="AS8" s="352">
        <f t="shared" si="13"/>
        <v>0</v>
      </c>
      <c r="AT8" s="352">
        <f t="shared" si="14"/>
        <v>0</v>
      </c>
      <c r="AU8" s="352">
        <f t="shared" si="14"/>
        <v>0</v>
      </c>
      <c r="AV8" s="352">
        <f t="shared" si="14"/>
        <v>0</v>
      </c>
      <c r="AW8" s="352">
        <f t="shared" si="14"/>
        <v>0</v>
      </c>
      <c r="AX8" s="352">
        <f t="shared" si="15"/>
        <v>0</v>
      </c>
      <c r="AY8" s="352">
        <f>AT8*'Assumptions-Output Override'!$D$24</f>
        <v>0</v>
      </c>
      <c r="AZ8" s="352">
        <f>$AU$107*'Assumptions-Output Override'!$D$21</f>
        <v>46.041131296780591</v>
      </c>
      <c r="BA8" s="352">
        <f>AV8*'Assumptions-Output Override'!$D$22</f>
        <v>0</v>
      </c>
      <c r="BB8" s="352">
        <f>AW8*'Assumptions-Output Override'!$D$23</f>
        <v>0</v>
      </c>
      <c r="BC8" s="352">
        <f t="shared" si="16"/>
        <v>46.041131296780591</v>
      </c>
      <c r="BD8" s="352">
        <f t="shared" si="17"/>
        <v>0</v>
      </c>
      <c r="BE8" s="352">
        <f t="shared" si="17"/>
        <v>46.041131296780591</v>
      </c>
      <c r="BF8" s="352">
        <f t="shared" si="17"/>
        <v>0</v>
      </c>
      <c r="BG8" s="352">
        <f t="shared" si="17"/>
        <v>0</v>
      </c>
      <c r="BH8" s="352">
        <f t="shared" si="18"/>
        <v>46.041131296780591</v>
      </c>
      <c r="BJ8" s="401">
        <f>D8*'Assumptions-Output Override'!$D$10/'Winners-Losers Values PMPM'!$H$107</f>
        <v>0</v>
      </c>
      <c r="BK8" s="401">
        <f>E8*'Assumptions-Output Override'!$D$10/'Winners-Losers Values PMPM'!$H$107</f>
        <v>0</v>
      </c>
      <c r="BL8" s="401">
        <f>F8*'Assumptions-Output Override'!$D$10/'Winners-Losers Values PMPM'!$H$107</f>
        <v>0</v>
      </c>
      <c r="BM8" s="401">
        <f>G8*'Assumptions-Output Override'!$D$10/'Winners-Losers Values PMPM'!$H$107</f>
        <v>0</v>
      </c>
      <c r="BN8" s="401">
        <f t="shared" si="2"/>
        <v>0</v>
      </c>
      <c r="BO8" s="401">
        <f>BJ8*(1-'Assumptions-Output Override'!$D$11)</f>
        <v>0</v>
      </c>
      <c r="BP8" s="401">
        <f>BK8*(1-'Assumptions-Output Override'!$D$11)</f>
        <v>0</v>
      </c>
      <c r="BQ8" s="401">
        <f>BL8*(1-'Assumptions-Output Override'!$D$11)</f>
        <v>0</v>
      </c>
      <c r="BR8" s="401">
        <f>BM8*(1-'Assumptions-Output Override'!$D$11)</f>
        <v>0</v>
      </c>
      <c r="BS8" s="352">
        <f t="shared" si="3"/>
        <v>0</v>
      </c>
      <c r="BT8" s="352">
        <f t="shared" si="19"/>
        <v>0</v>
      </c>
      <c r="BU8" s="352">
        <f t="shared" si="19"/>
        <v>0</v>
      </c>
      <c r="BV8" s="352">
        <f t="shared" si="19"/>
        <v>0</v>
      </c>
      <c r="BW8" s="352">
        <f t="shared" si="19"/>
        <v>0</v>
      </c>
      <c r="BX8" s="352">
        <f t="shared" si="4"/>
        <v>0</v>
      </c>
      <c r="BY8" s="352">
        <f>BT$107*(1-'Assumptions-Output Override'!$D$12)</f>
        <v>22.753074310428271</v>
      </c>
      <c r="BZ8" s="352">
        <f>BU$107*(1-'Assumptions-Output Override'!$D$12)</f>
        <v>51.446038369839215</v>
      </c>
      <c r="CA8" s="352">
        <f>BV$107*(1-'Assumptions-Output Override'!$D$12)</f>
        <v>9.7401900534537411</v>
      </c>
      <c r="CB8" s="352">
        <f>BW$107*(1-'Assumptions-Output Override'!$D$12)</f>
        <v>1.7000814189516649</v>
      </c>
      <c r="CC8" s="352">
        <f t="shared" si="5"/>
        <v>85.639384152672903</v>
      </c>
      <c r="CD8" s="352">
        <f t="shared" si="20"/>
        <v>22.753074310428271</v>
      </c>
      <c r="CE8" s="352">
        <f t="shared" si="20"/>
        <v>51.446038369839215</v>
      </c>
      <c r="CF8" s="352">
        <f t="shared" si="20"/>
        <v>9.7401900534537411</v>
      </c>
      <c r="CG8" s="352">
        <f t="shared" si="20"/>
        <v>1.7000814189516649</v>
      </c>
      <c r="CH8" s="352">
        <f t="shared" si="6"/>
        <v>85.639384152672903</v>
      </c>
      <c r="CJ8" s="352">
        <f t="shared" si="21"/>
        <v>85.639384152672903</v>
      </c>
      <c r="CK8" s="352">
        <f t="shared" si="22"/>
        <v>46.041131296780591</v>
      </c>
      <c r="CL8" s="352">
        <f t="shared" si="23"/>
        <v>39.598252855892312</v>
      </c>
      <c r="CN8" s="352">
        <f t="shared" si="24"/>
        <v>0</v>
      </c>
      <c r="CO8" s="352">
        <f t="shared" si="24"/>
        <v>0</v>
      </c>
      <c r="CP8" s="352">
        <f t="shared" si="24"/>
        <v>0</v>
      </c>
      <c r="CQ8" s="352">
        <f t="shared" si="24"/>
        <v>0</v>
      </c>
      <c r="CR8" s="352">
        <f t="shared" si="7"/>
        <v>0</v>
      </c>
      <c r="CT8" s="352">
        <f t="shared" si="8"/>
        <v>0</v>
      </c>
      <c r="CU8" s="352">
        <f t="shared" si="8"/>
        <v>0</v>
      </c>
      <c r="CV8" s="352">
        <f t="shared" si="8"/>
        <v>0</v>
      </c>
      <c r="CW8" s="352">
        <f t="shared" si="8"/>
        <v>0</v>
      </c>
      <c r="CX8" s="352">
        <f t="shared" si="9"/>
        <v>0</v>
      </c>
      <c r="CZ8" s="352">
        <f t="shared" si="25"/>
        <v>22.753074310428271</v>
      </c>
      <c r="DA8" s="352">
        <f t="shared" si="25"/>
        <v>5.4049070730586237</v>
      </c>
      <c r="DB8" s="352">
        <f t="shared" si="25"/>
        <v>9.7401900534537411</v>
      </c>
      <c r="DC8" s="352">
        <f t="shared" si="25"/>
        <v>1.7000814189516649</v>
      </c>
      <c r="DD8" s="352">
        <f t="shared" si="26"/>
        <v>39.598252855892298</v>
      </c>
      <c r="DF8" s="352">
        <f t="shared" si="27"/>
        <v>0</v>
      </c>
      <c r="DG8" s="352">
        <f t="shared" si="27"/>
        <v>46.041131296780591</v>
      </c>
      <c r="DH8" s="352">
        <f t="shared" si="27"/>
        <v>0</v>
      </c>
      <c r="DI8" s="352">
        <f t="shared" si="27"/>
        <v>0</v>
      </c>
      <c r="DJ8" s="352">
        <f t="shared" si="28"/>
        <v>46.041131296780591</v>
      </c>
    </row>
    <row r="9" spans="1:114" x14ac:dyDescent="0.2">
      <c r="A9">
        <f t="shared" si="29"/>
        <v>4</v>
      </c>
      <c r="B9" s="397">
        <v>34308</v>
      </c>
      <c r="C9" s="398">
        <v>397997.79676138877</v>
      </c>
      <c r="D9" s="399">
        <v>0</v>
      </c>
      <c r="E9" s="399">
        <v>0</v>
      </c>
      <c r="F9" s="399">
        <v>0</v>
      </c>
      <c r="G9" s="399">
        <v>0</v>
      </c>
      <c r="H9" s="399">
        <v>0</v>
      </c>
      <c r="I9" s="400">
        <v>0</v>
      </c>
      <c r="J9" s="400">
        <v>0</v>
      </c>
      <c r="K9" s="400">
        <v>0</v>
      </c>
      <c r="L9" s="400">
        <v>0</v>
      </c>
      <c r="M9" s="400">
        <v>0</v>
      </c>
      <c r="N9" s="400">
        <v>0</v>
      </c>
      <c r="O9" s="399">
        <f t="shared" si="0"/>
        <v>0</v>
      </c>
      <c r="P9" s="399">
        <f t="shared" si="0"/>
        <v>0</v>
      </c>
      <c r="Q9" s="399">
        <f t="shared" si="0"/>
        <v>0</v>
      </c>
      <c r="R9" s="399">
        <f t="shared" si="0"/>
        <v>0</v>
      </c>
      <c r="S9" s="399">
        <f t="shared" si="0"/>
        <v>0</v>
      </c>
      <c r="T9" s="399">
        <f t="shared" si="0"/>
        <v>0</v>
      </c>
      <c r="U9" s="399">
        <f t="shared" si="10"/>
        <v>0</v>
      </c>
      <c r="V9" s="400">
        <v>0</v>
      </c>
      <c r="W9" s="400">
        <v>0</v>
      </c>
      <c r="X9" s="400">
        <v>0</v>
      </c>
      <c r="Y9" s="400">
        <v>0</v>
      </c>
      <c r="Z9" s="400">
        <v>0</v>
      </c>
      <c r="AA9" s="400">
        <v>0</v>
      </c>
      <c r="AB9" s="352">
        <f t="shared" si="1"/>
        <v>0</v>
      </c>
      <c r="AC9" s="352">
        <f t="shared" si="1"/>
        <v>0</v>
      </c>
      <c r="AD9" s="352">
        <f t="shared" si="1"/>
        <v>0</v>
      </c>
      <c r="AE9" s="352">
        <f t="shared" si="1"/>
        <v>0</v>
      </c>
      <c r="AF9" s="352">
        <f t="shared" si="1"/>
        <v>0</v>
      </c>
      <c r="AG9" s="352">
        <f t="shared" si="1"/>
        <v>0</v>
      </c>
      <c r="AH9" s="400">
        <f t="shared" si="11"/>
        <v>0</v>
      </c>
      <c r="AJ9" s="352">
        <f>D9*('Assumptions-Output Override'!$D$10/'Winners-Losers Values PMPM'!$H$107)*(1+'Assumptions-Output Override'!$F$41)</f>
        <v>0</v>
      </c>
      <c r="AK9" s="352">
        <f>E9*('Assumptions-Output Override'!$D$10/'Winners-Losers Values PMPM'!$H$107)*(1+'Assumptions-Output Override'!$F$37)</f>
        <v>0</v>
      </c>
      <c r="AL9" s="352">
        <f>F9*('Assumptions-Output Override'!$D$10/'Winners-Losers Values PMPM'!$H$107)*(1+'Assumptions-Output Override'!$F$38)</f>
        <v>0</v>
      </c>
      <c r="AM9" s="352">
        <f>G9*('Shoppable Detail'!$X$21/'Shoppable Detail'!$H$21)*('Assumptions-Output Override'!$D$10/'Winners-Losers Values PMPM'!$H$107)*(1+'Assumptions-Output Override'!$F$39)</f>
        <v>0</v>
      </c>
      <c r="AN9" s="352">
        <f t="shared" si="12"/>
        <v>0</v>
      </c>
      <c r="AO9" s="352">
        <v>0</v>
      </c>
      <c r="AP9" s="352">
        <f>U9*'Assumptions-Output Override'!$D$10/'Winners-Losers Values PMPM'!$H$107*(1+'Assumptions-Output Override'!$F$37)</f>
        <v>0</v>
      </c>
      <c r="AQ9" s="352">
        <f>AH9*'Assumptions-Output Override'!$D$10/'Winners-Losers Values PMPM'!$H$107*(1+'Assumptions-Output Override'!$F$38)</f>
        <v>0</v>
      </c>
      <c r="AR9" s="352">
        <f>AM9*('Shoppable Detail'!$AA$23/'Shoppable Detail'!$Y$23)</f>
        <v>0</v>
      </c>
      <c r="AS9" s="352">
        <f t="shared" si="13"/>
        <v>0</v>
      </c>
      <c r="AT9" s="352">
        <f t="shared" si="14"/>
        <v>0</v>
      </c>
      <c r="AU9" s="352">
        <f t="shared" si="14"/>
        <v>0</v>
      </c>
      <c r="AV9" s="352">
        <f t="shared" si="14"/>
        <v>0</v>
      </c>
      <c r="AW9" s="352">
        <f t="shared" si="14"/>
        <v>0</v>
      </c>
      <c r="AX9" s="352">
        <f t="shared" si="15"/>
        <v>0</v>
      </c>
      <c r="AY9" s="352">
        <f>AT9*'Assumptions-Output Override'!$D$24</f>
        <v>0</v>
      </c>
      <c r="AZ9" s="352">
        <f>$AU$107*'Assumptions-Output Override'!$D$21</f>
        <v>46.041131296780591</v>
      </c>
      <c r="BA9" s="352">
        <f>AV9*'Assumptions-Output Override'!$D$22</f>
        <v>0</v>
      </c>
      <c r="BB9" s="352">
        <f>AW9*'Assumptions-Output Override'!$D$23</f>
        <v>0</v>
      </c>
      <c r="BC9" s="352">
        <f t="shared" si="16"/>
        <v>46.041131296780591</v>
      </c>
      <c r="BD9" s="352">
        <f t="shared" si="17"/>
        <v>0</v>
      </c>
      <c r="BE9" s="352">
        <f t="shared" si="17"/>
        <v>46.041131296780591</v>
      </c>
      <c r="BF9" s="352">
        <f t="shared" si="17"/>
        <v>0</v>
      </c>
      <c r="BG9" s="352">
        <f t="shared" si="17"/>
        <v>0</v>
      </c>
      <c r="BH9" s="352">
        <f t="shared" si="18"/>
        <v>46.041131296780591</v>
      </c>
      <c r="BJ9" s="401">
        <f>D9*'Assumptions-Output Override'!$D$10/'Winners-Losers Values PMPM'!$H$107</f>
        <v>0</v>
      </c>
      <c r="BK9" s="401">
        <f>E9*'Assumptions-Output Override'!$D$10/'Winners-Losers Values PMPM'!$H$107</f>
        <v>0</v>
      </c>
      <c r="BL9" s="401">
        <f>F9*'Assumptions-Output Override'!$D$10/'Winners-Losers Values PMPM'!$H$107</f>
        <v>0</v>
      </c>
      <c r="BM9" s="401">
        <f>G9*'Assumptions-Output Override'!$D$10/'Winners-Losers Values PMPM'!$H$107</f>
        <v>0</v>
      </c>
      <c r="BN9" s="401">
        <f t="shared" si="2"/>
        <v>0</v>
      </c>
      <c r="BO9" s="401">
        <f>BJ9*(1-'Assumptions-Output Override'!$D$11)</f>
        <v>0</v>
      </c>
      <c r="BP9" s="401">
        <f>BK9*(1-'Assumptions-Output Override'!$D$11)</f>
        <v>0</v>
      </c>
      <c r="BQ9" s="401">
        <f>BL9*(1-'Assumptions-Output Override'!$D$11)</f>
        <v>0</v>
      </c>
      <c r="BR9" s="401">
        <f>BM9*(1-'Assumptions-Output Override'!$D$11)</f>
        <v>0</v>
      </c>
      <c r="BS9" s="352">
        <f t="shared" si="3"/>
        <v>0</v>
      </c>
      <c r="BT9" s="352">
        <f t="shared" si="19"/>
        <v>0</v>
      </c>
      <c r="BU9" s="352">
        <f t="shared" si="19"/>
        <v>0</v>
      </c>
      <c r="BV9" s="352">
        <f t="shared" si="19"/>
        <v>0</v>
      </c>
      <c r="BW9" s="352">
        <f t="shared" si="19"/>
        <v>0</v>
      </c>
      <c r="BX9" s="352">
        <f t="shared" si="4"/>
        <v>0</v>
      </c>
      <c r="BY9" s="352">
        <f>BT$107*(1-'Assumptions-Output Override'!$D$12)</f>
        <v>22.753074310428271</v>
      </c>
      <c r="BZ9" s="352">
        <f>BU$107*(1-'Assumptions-Output Override'!$D$12)</f>
        <v>51.446038369839215</v>
      </c>
      <c r="CA9" s="352">
        <f>BV$107*(1-'Assumptions-Output Override'!$D$12)</f>
        <v>9.7401900534537411</v>
      </c>
      <c r="CB9" s="352">
        <f>BW$107*(1-'Assumptions-Output Override'!$D$12)</f>
        <v>1.7000814189516649</v>
      </c>
      <c r="CC9" s="352">
        <f t="shared" si="5"/>
        <v>85.639384152672903</v>
      </c>
      <c r="CD9" s="352">
        <f t="shared" si="20"/>
        <v>22.753074310428271</v>
      </c>
      <c r="CE9" s="352">
        <f t="shared" si="20"/>
        <v>51.446038369839215</v>
      </c>
      <c r="CF9" s="352">
        <f t="shared" si="20"/>
        <v>9.7401900534537411</v>
      </c>
      <c r="CG9" s="352">
        <f t="shared" si="20"/>
        <v>1.7000814189516649</v>
      </c>
      <c r="CH9" s="352">
        <f t="shared" si="6"/>
        <v>85.639384152672903</v>
      </c>
      <c r="CJ9" s="352">
        <f t="shared" si="21"/>
        <v>85.639384152672903</v>
      </c>
      <c r="CK9" s="352">
        <f t="shared" si="22"/>
        <v>46.041131296780591</v>
      </c>
      <c r="CL9" s="352">
        <f t="shared" si="23"/>
        <v>39.598252855892312</v>
      </c>
      <c r="CN9" s="352">
        <f t="shared" si="24"/>
        <v>0</v>
      </c>
      <c r="CO9" s="352">
        <f t="shared" si="24"/>
        <v>0</v>
      </c>
      <c r="CP9" s="352">
        <f t="shared" si="24"/>
        <v>0</v>
      </c>
      <c r="CQ9" s="352">
        <f t="shared" si="24"/>
        <v>0</v>
      </c>
      <c r="CR9" s="352">
        <f t="shared" si="7"/>
        <v>0</v>
      </c>
      <c r="CT9" s="352">
        <f t="shared" si="8"/>
        <v>0</v>
      </c>
      <c r="CU9" s="352">
        <f t="shared" si="8"/>
        <v>0</v>
      </c>
      <c r="CV9" s="352">
        <f t="shared" si="8"/>
        <v>0</v>
      </c>
      <c r="CW9" s="352">
        <f t="shared" si="8"/>
        <v>0</v>
      </c>
      <c r="CX9" s="352">
        <f t="shared" si="9"/>
        <v>0</v>
      </c>
      <c r="CZ9" s="352">
        <f t="shared" si="25"/>
        <v>22.753074310428271</v>
      </c>
      <c r="DA9" s="352">
        <f t="shared" si="25"/>
        <v>5.4049070730586237</v>
      </c>
      <c r="DB9" s="352">
        <f t="shared" si="25"/>
        <v>9.7401900534537411</v>
      </c>
      <c r="DC9" s="352">
        <f t="shared" si="25"/>
        <v>1.7000814189516649</v>
      </c>
      <c r="DD9" s="352">
        <f t="shared" si="26"/>
        <v>39.598252855892298</v>
      </c>
      <c r="DF9" s="352">
        <f t="shared" si="27"/>
        <v>0</v>
      </c>
      <c r="DG9" s="352">
        <f t="shared" si="27"/>
        <v>46.041131296780591</v>
      </c>
      <c r="DH9" s="352">
        <f t="shared" si="27"/>
        <v>0</v>
      </c>
      <c r="DI9" s="352">
        <f t="shared" si="27"/>
        <v>0</v>
      </c>
      <c r="DJ9" s="352">
        <f t="shared" si="28"/>
        <v>46.041131296780591</v>
      </c>
    </row>
    <row r="10" spans="1:114" x14ac:dyDescent="0.2">
      <c r="A10">
        <f t="shared" si="29"/>
        <v>5</v>
      </c>
      <c r="B10" s="397">
        <v>34308</v>
      </c>
      <c r="C10" s="398">
        <v>397997.79676138877</v>
      </c>
      <c r="D10" s="399">
        <v>0</v>
      </c>
      <c r="E10" s="399">
        <v>0</v>
      </c>
      <c r="F10" s="399">
        <v>0</v>
      </c>
      <c r="G10" s="399">
        <v>0</v>
      </c>
      <c r="H10" s="399">
        <v>0</v>
      </c>
      <c r="I10" s="400">
        <v>0</v>
      </c>
      <c r="J10" s="400">
        <v>0</v>
      </c>
      <c r="K10" s="400">
        <v>0</v>
      </c>
      <c r="L10" s="400">
        <v>0</v>
      </c>
      <c r="M10" s="400">
        <v>0</v>
      </c>
      <c r="N10" s="400">
        <v>0</v>
      </c>
      <c r="O10" s="399">
        <f t="shared" si="0"/>
        <v>0</v>
      </c>
      <c r="P10" s="399">
        <f t="shared" si="0"/>
        <v>0</v>
      </c>
      <c r="Q10" s="399">
        <f t="shared" si="0"/>
        <v>0</v>
      </c>
      <c r="R10" s="399">
        <f t="shared" si="0"/>
        <v>0</v>
      </c>
      <c r="S10" s="399">
        <f t="shared" si="0"/>
        <v>0</v>
      </c>
      <c r="T10" s="399">
        <f t="shared" si="0"/>
        <v>0</v>
      </c>
      <c r="U10" s="399">
        <f t="shared" si="10"/>
        <v>0</v>
      </c>
      <c r="V10" s="400">
        <v>0</v>
      </c>
      <c r="W10" s="400">
        <v>0</v>
      </c>
      <c r="X10" s="400">
        <v>0</v>
      </c>
      <c r="Y10" s="400">
        <v>0</v>
      </c>
      <c r="Z10" s="400">
        <v>0</v>
      </c>
      <c r="AA10" s="400">
        <v>0</v>
      </c>
      <c r="AB10" s="352">
        <f t="shared" si="1"/>
        <v>0</v>
      </c>
      <c r="AC10" s="352">
        <f t="shared" si="1"/>
        <v>0</v>
      </c>
      <c r="AD10" s="352">
        <f t="shared" si="1"/>
        <v>0</v>
      </c>
      <c r="AE10" s="352">
        <f t="shared" si="1"/>
        <v>0</v>
      </c>
      <c r="AF10" s="352">
        <f t="shared" si="1"/>
        <v>0</v>
      </c>
      <c r="AG10" s="352">
        <f t="shared" si="1"/>
        <v>0</v>
      </c>
      <c r="AH10" s="400">
        <f t="shared" si="11"/>
        <v>0</v>
      </c>
      <c r="AJ10" s="352">
        <f>D10*('Assumptions-Output Override'!$D$10/'Winners-Losers Values PMPM'!$H$107)*(1+'Assumptions-Output Override'!$F$41)</f>
        <v>0</v>
      </c>
      <c r="AK10" s="352">
        <f>E10*('Assumptions-Output Override'!$D$10/'Winners-Losers Values PMPM'!$H$107)*(1+'Assumptions-Output Override'!$F$37)</f>
        <v>0</v>
      </c>
      <c r="AL10" s="352">
        <f>F10*('Assumptions-Output Override'!$D$10/'Winners-Losers Values PMPM'!$H$107)*(1+'Assumptions-Output Override'!$F$38)</f>
        <v>0</v>
      </c>
      <c r="AM10" s="352">
        <f>G10*('Shoppable Detail'!$X$21/'Shoppable Detail'!$H$21)*('Assumptions-Output Override'!$D$10/'Winners-Losers Values PMPM'!$H$107)*(1+'Assumptions-Output Override'!$F$39)</f>
        <v>0</v>
      </c>
      <c r="AN10" s="352">
        <f t="shared" si="12"/>
        <v>0</v>
      </c>
      <c r="AO10" s="352">
        <v>0</v>
      </c>
      <c r="AP10" s="352">
        <f>U10*'Assumptions-Output Override'!$D$10/'Winners-Losers Values PMPM'!$H$107*(1+'Assumptions-Output Override'!$F$37)</f>
        <v>0</v>
      </c>
      <c r="AQ10" s="352">
        <f>AH10*'Assumptions-Output Override'!$D$10/'Winners-Losers Values PMPM'!$H$107*(1+'Assumptions-Output Override'!$F$38)</f>
        <v>0</v>
      </c>
      <c r="AR10" s="352">
        <f>AM10*('Shoppable Detail'!$AA$23/'Shoppable Detail'!$Y$23)</f>
        <v>0</v>
      </c>
      <c r="AS10" s="352">
        <f t="shared" si="13"/>
        <v>0</v>
      </c>
      <c r="AT10" s="352">
        <f t="shared" si="14"/>
        <v>0</v>
      </c>
      <c r="AU10" s="352">
        <f t="shared" si="14"/>
        <v>0</v>
      </c>
      <c r="AV10" s="352">
        <f t="shared" si="14"/>
        <v>0</v>
      </c>
      <c r="AW10" s="352">
        <f t="shared" si="14"/>
        <v>0</v>
      </c>
      <c r="AX10" s="352">
        <f t="shared" si="15"/>
        <v>0</v>
      </c>
      <c r="AY10" s="352">
        <f>AT10*'Assumptions-Output Override'!$D$24</f>
        <v>0</v>
      </c>
      <c r="AZ10" s="352">
        <f>$AU$107*'Assumptions-Output Override'!$D$21</f>
        <v>46.041131296780591</v>
      </c>
      <c r="BA10" s="352">
        <f>AV10*'Assumptions-Output Override'!$D$22</f>
        <v>0</v>
      </c>
      <c r="BB10" s="352">
        <f>AW10*'Assumptions-Output Override'!$D$23</f>
        <v>0</v>
      </c>
      <c r="BC10" s="352">
        <f t="shared" si="16"/>
        <v>46.041131296780591</v>
      </c>
      <c r="BD10" s="352">
        <f t="shared" si="17"/>
        <v>0</v>
      </c>
      <c r="BE10" s="352">
        <f t="shared" si="17"/>
        <v>46.041131296780591</v>
      </c>
      <c r="BF10" s="352">
        <f t="shared" si="17"/>
        <v>0</v>
      </c>
      <c r="BG10" s="352">
        <f t="shared" si="17"/>
        <v>0</v>
      </c>
      <c r="BH10" s="352">
        <f t="shared" si="18"/>
        <v>46.041131296780591</v>
      </c>
      <c r="BJ10" s="401">
        <f>D10*'Assumptions-Output Override'!$D$10/'Winners-Losers Values PMPM'!$H$107</f>
        <v>0</v>
      </c>
      <c r="BK10" s="401">
        <f>E10*'Assumptions-Output Override'!$D$10/'Winners-Losers Values PMPM'!$H$107</f>
        <v>0</v>
      </c>
      <c r="BL10" s="401">
        <f>F10*'Assumptions-Output Override'!$D$10/'Winners-Losers Values PMPM'!$H$107</f>
        <v>0</v>
      </c>
      <c r="BM10" s="401">
        <f>G10*'Assumptions-Output Override'!$D$10/'Winners-Losers Values PMPM'!$H$107</f>
        <v>0</v>
      </c>
      <c r="BN10" s="401">
        <f t="shared" si="2"/>
        <v>0</v>
      </c>
      <c r="BO10" s="401">
        <f>BJ10*(1-'Assumptions-Output Override'!$D$11)</f>
        <v>0</v>
      </c>
      <c r="BP10" s="401">
        <f>BK10*(1-'Assumptions-Output Override'!$D$11)</f>
        <v>0</v>
      </c>
      <c r="BQ10" s="401">
        <f>BL10*(1-'Assumptions-Output Override'!$D$11)</f>
        <v>0</v>
      </c>
      <c r="BR10" s="401">
        <f>BM10*(1-'Assumptions-Output Override'!$D$11)</f>
        <v>0</v>
      </c>
      <c r="BS10" s="352">
        <f t="shared" si="3"/>
        <v>0</v>
      </c>
      <c r="BT10" s="352">
        <f t="shared" si="19"/>
        <v>0</v>
      </c>
      <c r="BU10" s="352">
        <f t="shared" si="19"/>
        <v>0</v>
      </c>
      <c r="BV10" s="352">
        <f t="shared" si="19"/>
        <v>0</v>
      </c>
      <c r="BW10" s="352">
        <f t="shared" si="19"/>
        <v>0</v>
      </c>
      <c r="BX10" s="352">
        <f t="shared" si="4"/>
        <v>0</v>
      </c>
      <c r="BY10" s="352">
        <f>BT$107*(1-'Assumptions-Output Override'!$D$12)</f>
        <v>22.753074310428271</v>
      </c>
      <c r="BZ10" s="352">
        <f>BU$107*(1-'Assumptions-Output Override'!$D$12)</f>
        <v>51.446038369839215</v>
      </c>
      <c r="CA10" s="352">
        <f>BV$107*(1-'Assumptions-Output Override'!$D$12)</f>
        <v>9.7401900534537411</v>
      </c>
      <c r="CB10" s="352">
        <f>BW$107*(1-'Assumptions-Output Override'!$D$12)</f>
        <v>1.7000814189516649</v>
      </c>
      <c r="CC10" s="352">
        <f t="shared" si="5"/>
        <v>85.639384152672903</v>
      </c>
      <c r="CD10" s="352">
        <f t="shared" si="20"/>
        <v>22.753074310428271</v>
      </c>
      <c r="CE10" s="352">
        <f t="shared" si="20"/>
        <v>51.446038369839215</v>
      </c>
      <c r="CF10" s="352">
        <f t="shared" si="20"/>
        <v>9.7401900534537411</v>
      </c>
      <c r="CG10" s="352">
        <f t="shared" si="20"/>
        <v>1.7000814189516649</v>
      </c>
      <c r="CH10" s="352">
        <f t="shared" si="6"/>
        <v>85.639384152672903</v>
      </c>
      <c r="CJ10" s="352">
        <f t="shared" si="21"/>
        <v>85.639384152672903</v>
      </c>
      <c r="CK10" s="352">
        <f t="shared" si="22"/>
        <v>46.041131296780591</v>
      </c>
      <c r="CL10" s="352">
        <f t="shared" si="23"/>
        <v>39.598252855892312</v>
      </c>
      <c r="CN10" s="352">
        <f t="shared" si="24"/>
        <v>0</v>
      </c>
      <c r="CO10" s="352">
        <f t="shared" si="24"/>
        <v>0</v>
      </c>
      <c r="CP10" s="352">
        <f t="shared" si="24"/>
        <v>0</v>
      </c>
      <c r="CQ10" s="352">
        <f t="shared" si="24"/>
        <v>0</v>
      </c>
      <c r="CR10" s="352">
        <f t="shared" si="7"/>
        <v>0</v>
      </c>
      <c r="CT10" s="352">
        <f t="shared" si="8"/>
        <v>0</v>
      </c>
      <c r="CU10" s="352">
        <f t="shared" si="8"/>
        <v>0</v>
      </c>
      <c r="CV10" s="352">
        <f t="shared" si="8"/>
        <v>0</v>
      </c>
      <c r="CW10" s="352">
        <f t="shared" si="8"/>
        <v>0</v>
      </c>
      <c r="CX10" s="352">
        <f t="shared" si="9"/>
        <v>0</v>
      </c>
      <c r="CZ10" s="352">
        <f t="shared" si="25"/>
        <v>22.753074310428271</v>
      </c>
      <c r="DA10" s="352">
        <f t="shared" si="25"/>
        <v>5.4049070730586237</v>
      </c>
      <c r="DB10" s="352">
        <f t="shared" si="25"/>
        <v>9.7401900534537411</v>
      </c>
      <c r="DC10" s="352">
        <f t="shared" si="25"/>
        <v>1.7000814189516649</v>
      </c>
      <c r="DD10" s="352">
        <f t="shared" si="26"/>
        <v>39.598252855892298</v>
      </c>
      <c r="DF10" s="352">
        <f t="shared" si="27"/>
        <v>0</v>
      </c>
      <c r="DG10" s="352">
        <f t="shared" si="27"/>
        <v>46.041131296780591</v>
      </c>
      <c r="DH10" s="352">
        <f t="shared" si="27"/>
        <v>0</v>
      </c>
      <c r="DI10" s="352">
        <f t="shared" si="27"/>
        <v>0</v>
      </c>
      <c r="DJ10" s="352">
        <f t="shared" si="28"/>
        <v>46.041131296780591</v>
      </c>
    </row>
    <row r="11" spans="1:114" x14ac:dyDescent="0.2">
      <c r="A11">
        <f t="shared" si="29"/>
        <v>6</v>
      </c>
      <c r="B11" s="397">
        <v>34308</v>
      </c>
      <c r="C11" s="398">
        <v>397997.79676138877</v>
      </c>
      <c r="D11" s="399">
        <v>0</v>
      </c>
      <c r="E11" s="399">
        <v>0</v>
      </c>
      <c r="F11" s="399">
        <v>0</v>
      </c>
      <c r="G11" s="399">
        <v>0</v>
      </c>
      <c r="H11" s="399">
        <v>0</v>
      </c>
      <c r="I11" s="400">
        <v>0</v>
      </c>
      <c r="J11" s="400">
        <v>0</v>
      </c>
      <c r="K11" s="400">
        <v>0</v>
      </c>
      <c r="L11" s="400">
        <v>0</v>
      </c>
      <c r="M11" s="400">
        <v>0</v>
      </c>
      <c r="N11" s="400">
        <v>0</v>
      </c>
      <c r="O11" s="399">
        <f t="shared" si="0"/>
        <v>0</v>
      </c>
      <c r="P11" s="399">
        <f t="shared" si="0"/>
        <v>0</v>
      </c>
      <c r="Q11" s="399">
        <f t="shared" si="0"/>
        <v>0</v>
      </c>
      <c r="R11" s="399">
        <f t="shared" si="0"/>
        <v>0</v>
      </c>
      <c r="S11" s="399">
        <f t="shared" si="0"/>
        <v>0</v>
      </c>
      <c r="T11" s="399">
        <f t="shared" si="0"/>
        <v>0</v>
      </c>
      <c r="U11" s="399">
        <f t="shared" si="10"/>
        <v>0</v>
      </c>
      <c r="V11" s="400">
        <v>0</v>
      </c>
      <c r="W11" s="400">
        <v>0</v>
      </c>
      <c r="X11" s="400">
        <v>0</v>
      </c>
      <c r="Y11" s="400">
        <v>0</v>
      </c>
      <c r="Z11" s="400">
        <v>0</v>
      </c>
      <c r="AA11" s="400">
        <v>0</v>
      </c>
      <c r="AB11" s="352">
        <f t="shared" si="1"/>
        <v>0</v>
      </c>
      <c r="AC11" s="352">
        <f t="shared" si="1"/>
        <v>0</v>
      </c>
      <c r="AD11" s="352">
        <f t="shared" si="1"/>
        <v>0</v>
      </c>
      <c r="AE11" s="352">
        <f t="shared" si="1"/>
        <v>0</v>
      </c>
      <c r="AF11" s="352">
        <f t="shared" si="1"/>
        <v>0</v>
      </c>
      <c r="AG11" s="352">
        <f t="shared" si="1"/>
        <v>0</v>
      </c>
      <c r="AH11" s="400">
        <f t="shared" si="11"/>
        <v>0</v>
      </c>
      <c r="AJ11" s="352">
        <f>D11*('Assumptions-Output Override'!$D$10/'Winners-Losers Values PMPM'!$H$107)*(1+'Assumptions-Output Override'!$F$41)</f>
        <v>0</v>
      </c>
      <c r="AK11" s="352">
        <f>E11*('Assumptions-Output Override'!$D$10/'Winners-Losers Values PMPM'!$H$107)*(1+'Assumptions-Output Override'!$F$37)</f>
        <v>0</v>
      </c>
      <c r="AL11" s="352">
        <f>F11*('Assumptions-Output Override'!$D$10/'Winners-Losers Values PMPM'!$H$107)*(1+'Assumptions-Output Override'!$F$38)</f>
        <v>0</v>
      </c>
      <c r="AM11" s="352">
        <f>G11*('Shoppable Detail'!$X$21/'Shoppable Detail'!$H$21)*('Assumptions-Output Override'!$D$10/'Winners-Losers Values PMPM'!$H$107)*(1+'Assumptions-Output Override'!$F$39)</f>
        <v>0</v>
      </c>
      <c r="AN11" s="352">
        <f t="shared" si="12"/>
        <v>0</v>
      </c>
      <c r="AO11" s="352">
        <v>0</v>
      </c>
      <c r="AP11" s="352">
        <f>U11*'Assumptions-Output Override'!$D$10/'Winners-Losers Values PMPM'!$H$107*(1+'Assumptions-Output Override'!$F$37)</f>
        <v>0</v>
      </c>
      <c r="AQ11" s="352">
        <f>AH11*'Assumptions-Output Override'!$D$10/'Winners-Losers Values PMPM'!$H$107*(1+'Assumptions-Output Override'!$F$38)</f>
        <v>0</v>
      </c>
      <c r="AR11" s="352">
        <f>AM11*('Shoppable Detail'!$AA$23/'Shoppable Detail'!$Y$23)</f>
        <v>0</v>
      </c>
      <c r="AS11" s="352">
        <f t="shared" si="13"/>
        <v>0</v>
      </c>
      <c r="AT11" s="352">
        <f t="shared" si="14"/>
        <v>0</v>
      </c>
      <c r="AU11" s="352">
        <f t="shared" si="14"/>
        <v>0</v>
      </c>
      <c r="AV11" s="352">
        <f t="shared" si="14"/>
        <v>0</v>
      </c>
      <c r="AW11" s="352">
        <f t="shared" si="14"/>
        <v>0</v>
      </c>
      <c r="AX11" s="352">
        <f t="shared" si="15"/>
        <v>0</v>
      </c>
      <c r="AY11" s="352">
        <f>AT11*'Assumptions-Output Override'!$D$24</f>
        <v>0</v>
      </c>
      <c r="AZ11" s="352">
        <f>$AU$107*'Assumptions-Output Override'!$D$21</f>
        <v>46.041131296780591</v>
      </c>
      <c r="BA11" s="352">
        <f>AV11*'Assumptions-Output Override'!$D$22</f>
        <v>0</v>
      </c>
      <c r="BB11" s="352">
        <f>AW11*'Assumptions-Output Override'!$D$23</f>
        <v>0</v>
      </c>
      <c r="BC11" s="352">
        <f t="shared" si="16"/>
        <v>46.041131296780591</v>
      </c>
      <c r="BD11" s="352">
        <f t="shared" si="17"/>
        <v>0</v>
      </c>
      <c r="BE11" s="352">
        <f t="shared" si="17"/>
        <v>46.041131296780591</v>
      </c>
      <c r="BF11" s="352">
        <f t="shared" si="17"/>
        <v>0</v>
      </c>
      <c r="BG11" s="352">
        <f t="shared" si="17"/>
        <v>0</v>
      </c>
      <c r="BH11" s="352">
        <f t="shared" si="18"/>
        <v>46.041131296780591</v>
      </c>
      <c r="BJ11" s="401">
        <f>D11*'Assumptions-Output Override'!$D$10/'Winners-Losers Values PMPM'!$H$107</f>
        <v>0</v>
      </c>
      <c r="BK11" s="401">
        <f>E11*'Assumptions-Output Override'!$D$10/'Winners-Losers Values PMPM'!$H$107</f>
        <v>0</v>
      </c>
      <c r="BL11" s="401">
        <f>F11*'Assumptions-Output Override'!$D$10/'Winners-Losers Values PMPM'!$H$107</f>
        <v>0</v>
      </c>
      <c r="BM11" s="401">
        <f>G11*'Assumptions-Output Override'!$D$10/'Winners-Losers Values PMPM'!$H$107</f>
        <v>0</v>
      </c>
      <c r="BN11" s="401">
        <f t="shared" si="2"/>
        <v>0</v>
      </c>
      <c r="BO11" s="401">
        <f>BJ11*(1-'Assumptions-Output Override'!$D$11)</f>
        <v>0</v>
      </c>
      <c r="BP11" s="401">
        <f>BK11*(1-'Assumptions-Output Override'!$D$11)</f>
        <v>0</v>
      </c>
      <c r="BQ11" s="401">
        <f>BL11*(1-'Assumptions-Output Override'!$D$11)</f>
        <v>0</v>
      </c>
      <c r="BR11" s="401">
        <f>BM11*(1-'Assumptions-Output Override'!$D$11)</f>
        <v>0</v>
      </c>
      <c r="BS11" s="352">
        <f t="shared" si="3"/>
        <v>0</v>
      </c>
      <c r="BT11" s="352">
        <f t="shared" si="19"/>
        <v>0</v>
      </c>
      <c r="BU11" s="352">
        <f t="shared" si="19"/>
        <v>0</v>
      </c>
      <c r="BV11" s="352">
        <f t="shared" si="19"/>
        <v>0</v>
      </c>
      <c r="BW11" s="352">
        <f t="shared" si="19"/>
        <v>0</v>
      </c>
      <c r="BX11" s="352">
        <f t="shared" si="4"/>
        <v>0</v>
      </c>
      <c r="BY11" s="352">
        <f>BT$107*(1-'Assumptions-Output Override'!$D$12)</f>
        <v>22.753074310428271</v>
      </c>
      <c r="BZ11" s="352">
        <f>BU$107*(1-'Assumptions-Output Override'!$D$12)</f>
        <v>51.446038369839215</v>
      </c>
      <c r="CA11" s="352">
        <f>BV$107*(1-'Assumptions-Output Override'!$D$12)</f>
        <v>9.7401900534537411</v>
      </c>
      <c r="CB11" s="352">
        <f>BW$107*(1-'Assumptions-Output Override'!$D$12)</f>
        <v>1.7000814189516649</v>
      </c>
      <c r="CC11" s="352">
        <f t="shared" si="5"/>
        <v>85.639384152672903</v>
      </c>
      <c r="CD11" s="352">
        <f t="shared" si="20"/>
        <v>22.753074310428271</v>
      </c>
      <c r="CE11" s="352">
        <f t="shared" si="20"/>
        <v>51.446038369839215</v>
      </c>
      <c r="CF11" s="352">
        <f t="shared" si="20"/>
        <v>9.7401900534537411</v>
      </c>
      <c r="CG11" s="352">
        <f t="shared" si="20"/>
        <v>1.7000814189516649</v>
      </c>
      <c r="CH11" s="352">
        <f t="shared" si="6"/>
        <v>85.639384152672903</v>
      </c>
      <c r="CJ11" s="352">
        <f t="shared" si="21"/>
        <v>85.639384152672903</v>
      </c>
      <c r="CK11" s="352">
        <f t="shared" si="22"/>
        <v>46.041131296780591</v>
      </c>
      <c r="CL11" s="352">
        <f t="shared" si="23"/>
        <v>39.598252855892312</v>
      </c>
      <c r="CN11" s="352">
        <f t="shared" si="24"/>
        <v>0</v>
      </c>
      <c r="CO11" s="352">
        <f t="shared" si="24"/>
        <v>0</v>
      </c>
      <c r="CP11" s="352">
        <f t="shared" si="24"/>
        <v>0</v>
      </c>
      <c r="CQ11" s="352">
        <f t="shared" si="24"/>
        <v>0</v>
      </c>
      <c r="CR11" s="352">
        <f t="shared" si="7"/>
        <v>0</v>
      </c>
      <c r="CT11" s="352">
        <f t="shared" si="8"/>
        <v>0</v>
      </c>
      <c r="CU11" s="352">
        <f t="shared" si="8"/>
        <v>0</v>
      </c>
      <c r="CV11" s="352">
        <f t="shared" si="8"/>
        <v>0</v>
      </c>
      <c r="CW11" s="352">
        <f t="shared" si="8"/>
        <v>0</v>
      </c>
      <c r="CX11" s="352">
        <f t="shared" si="9"/>
        <v>0</v>
      </c>
      <c r="CZ11" s="352">
        <f t="shared" si="25"/>
        <v>22.753074310428271</v>
      </c>
      <c r="DA11" s="352">
        <f t="shared" si="25"/>
        <v>5.4049070730586237</v>
      </c>
      <c r="DB11" s="352">
        <f t="shared" si="25"/>
        <v>9.7401900534537411</v>
      </c>
      <c r="DC11" s="352">
        <f t="shared" si="25"/>
        <v>1.7000814189516649</v>
      </c>
      <c r="DD11" s="352">
        <f t="shared" si="26"/>
        <v>39.598252855892298</v>
      </c>
      <c r="DF11" s="352">
        <f t="shared" si="27"/>
        <v>0</v>
      </c>
      <c r="DG11" s="352">
        <f t="shared" si="27"/>
        <v>46.041131296780591</v>
      </c>
      <c r="DH11" s="352">
        <f t="shared" si="27"/>
        <v>0</v>
      </c>
      <c r="DI11" s="352">
        <f t="shared" si="27"/>
        <v>0</v>
      </c>
      <c r="DJ11" s="352">
        <f t="shared" si="28"/>
        <v>46.041131296780591</v>
      </c>
    </row>
    <row r="12" spans="1:114" x14ac:dyDescent="0.2">
      <c r="A12">
        <f t="shared" si="29"/>
        <v>7</v>
      </c>
      <c r="B12" s="397">
        <v>34308</v>
      </c>
      <c r="C12" s="398">
        <v>397997.79676138877</v>
      </c>
      <c r="D12" s="399">
        <v>0</v>
      </c>
      <c r="E12" s="399">
        <v>0</v>
      </c>
      <c r="F12" s="399">
        <v>0</v>
      </c>
      <c r="G12" s="399">
        <v>0</v>
      </c>
      <c r="H12" s="399">
        <v>0</v>
      </c>
      <c r="I12" s="400">
        <v>0</v>
      </c>
      <c r="J12" s="400">
        <v>0</v>
      </c>
      <c r="K12" s="400">
        <v>0</v>
      </c>
      <c r="L12" s="400">
        <v>0</v>
      </c>
      <c r="M12" s="400">
        <v>0</v>
      </c>
      <c r="N12" s="400">
        <v>0</v>
      </c>
      <c r="O12" s="399">
        <f t="shared" si="0"/>
        <v>0</v>
      </c>
      <c r="P12" s="399">
        <f t="shared" si="0"/>
        <v>0</v>
      </c>
      <c r="Q12" s="399">
        <f t="shared" si="0"/>
        <v>0</v>
      </c>
      <c r="R12" s="399">
        <f t="shared" si="0"/>
        <v>0</v>
      </c>
      <c r="S12" s="399">
        <f t="shared" si="0"/>
        <v>0</v>
      </c>
      <c r="T12" s="399">
        <f t="shared" si="0"/>
        <v>0</v>
      </c>
      <c r="U12" s="399">
        <f t="shared" si="10"/>
        <v>0</v>
      </c>
      <c r="V12" s="400">
        <v>0</v>
      </c>
      <c r="W12" s="400">
        <v>0</v>
      </c>
      <c r="X12" s="400">
        <v>0</v>
      </c>
      <c r="Y12" s="400">
        <v>0</v>
      </c>
      <c r="Z12" s="400">
        <v>0</v>
      </c>
      <c r="AA12" s="400">
        <v>0</v>
      </c>
      <c r="AB12" s="352">
        <f t="shared" si="1"/>
        <v>0</v>
      </c>
      <c r="AC12" s="352">
        <f t="shared" si="1"/>
        <v>0</v>
      </c>
      <c r="AD12" s="352">
        <f t="shared" si="1"/>
        <v>0</v>
      </c>
      <c r="AE12" s="352">
        <f t="shared" si="1"/>
        <v>0</v>
      </c>
      <c r="AF12" s="352">
        <f t="shared" si="1"/>
        <v>0</v>
      </c>
      <c r="AG12" s="352">
        <f t="shared" si="1"/>
        <v>0</v>
      </c>
      <c r="AH12" s="400">
        <f t="shared" si="11"/>
        <v>0</v>
      </c>
      <c r="AJ12" s="352">
        <f>D12*('Assumptions-Output Override'!$D$10/'Winners-Losers Values PMPM'!$H$107)*(1+'Assumptions-Output Override'!$F$41)</f>
        <v>0</v>
      </c>
      <c r="AK12" s="352">
        <f>E12*('Assumptions-Output Override'!$D$10/'Winners-Losers Values PMPM'!$H$107)*(1+'Assumptions-Output Override'!$F$37)</f>
        <v>0</v>
      </c>
      <c r="AL12" s="352">
        <f>F12*('Assumptions-Output Override'!$D$10/'Winners-Losers Values PMPM'!$H$107)*(1+'Assumptions-Output Override'!$F$38)</f>
        <v>0</v>
      </c>
      <c r="AM12" s="352">
        <f>G12*('Shoppable Detail'!$X$21/'Shoppable Detail'!$H$21)*('Assumptions-Output Override'!$D$10/'Winners-Losers Values PMPM'!$H$107)*(1+'Assumptions-Output Override'!$F$39)</f>
        <v>0</v>
      </c>
      <c r="AN12" s="352">
        <f t="shared" si="12"/>
        <v>0</v>
      </c>
      <c r="AO12" s="352">
        <v>0</v>
      </c>
      <c r="AP12" s="352">
        <f>U12*'Assumptions-Output Override'!$D$10/'Winners-Losers Values PMPM'!$H$107*(1+'Assumptions-Output Override'!$F$37)</f>
        <v>0</v>
      </c>
      <c r="AQ12" s="352">
        <f>AH12*'Assumptions-Output Override'!$D$10/'Winners-Losers Values PMPM'!$H$107*(1+'Assumptions-Output Override'!$F$38)</f>
        <v>0</v>
      </c>
      <c r="AR12" s="352">
        <f>AM12*('Shoppable Detail'!$AA$23/'Shoppable Detail'!$Y$23)</f>
        <v>0</v>
      </c>
      <c r="AS12" s="352">
        <f t="shared" si="13"/>
        <v>0</v>
      </c>
      <c r="AT12" s="352">
        <f t="shared" si="14"/>
        <v>0</v>
      </c>
      <c r="AU12" s="352">
        <f t="shared" si="14"/>
        <v>0</v>
      </c>
      <c r="AV12" s="352">
        <f t="shared" si="14"/>
        <v>0</v>
      </c>
      <c r="AW12" s="352">
        <f t="shared" si="14"/>
        <v>0</v>
      </c>
      <c r="AX12" s="352">
        <f t="shared" si="15"/>
        <v>0</v>
      </c>
      <c r="AY12" s="352">
        <f>AT12*'Assumptions-Output Override'!$D$24</f>
        <v>0</v>
      </c>
      <c r="AZ12" s="352">
        <f>$AU$107*'Assumptions-Output Override'!$D$21</f>
        <v>46.041131296780591</v>
      </c>
      <c r="BA12" s="352">
        <f>AV12*'Assumptions-Output Override'!$D$22</f>
        <v>0</v>
      </c>
      <c r="BB12" s="352">
        <f>AW12*'Assumptions-Output Override'!$D$23</f>
        <v>0</v>
      </c>
      <c r="BC12" s="352">
        <f t="shared" si="16"/>
        <v>46.041131296780591</v>
      </c>
      <c r="BD12" s="352">
        <f t="shared" si="17"/>
        <v>0</v>
      </c>
      <c r="BE12" s="352">
        <f t="shared" si="17"/>
        <v>46.041131296780591</v>
      </c>
      <c r="BF12" s="352">
        <f t="shared" si="17"/>
        <v>0</v>
      </c>
      <c r="BG12" s="352">
        <f t="shared" si="17"/>
        <v>0</v>
      </c>
      <c r="BH12" s="352">
        <f t="shared" si="18"/>
        <v>46.041131296780591</v>
      </c>
      <c r="BJ12" s="401">
        <f>D12*'Assumptions-Output Override'!$D$10/'Winners-Losers Values PMPM'!$H$107</f>
        <v>0</v>
      </c>
      <c r="BK12" s="401">
        <f>E12*'Assumptions-Output Override'!$D$10/'Winners-Losers Values PMPM'!$H$107</f>
        <v>0</v>
      </c>
      <c r="BL12" s="401">
        <f>F12*'Assumptions-Output Override'!$D$10/'Winners-Losers Values PMPM'!$H$107</f>
        <v>0</v>
      </c>
      <c r="BM12" s="401">
        <f>G12*'Assumptions-Output Override'!$D$10/'Winners-Losers Values PMPM'!$H$107</f>
        <v>0</v>
      </c>
      <c r="BN12" s="401">
        <f t="shared" si="2"/>
        <v>0</v>
      </c>
      <c r="BO12" s="401">
        <f>BJ12*(1-'Assumptions-Output Override'!$D$11)</f>
        <v>0</v>
      </c>
      <c r="BP12" s="401">
        <f>BK12*(1-'Assumptions-Output Override'!$D$11)</f>
        <v>0</v>
      </c>
      <c r="BQ12" s="401">
        <f>BL12*(1-'Assumptions-Output Override'!$D$11)</f>
        <v>0</v>
      </c>
      <c r="BR12" s="401">
        <f>BM12*(1-'Assumptions-Output Override'!$D$11)</f>
        <v>0</v>
      </c>
      <c r="BS12" s="352">
        <f t="shared" si="3"/>
        <v>0</v>
      </c>
      <c r="BT12" s="352">
        <f t="shared" si="19"/>
        <v>0</v>
      </c>
      <c r="BU12" s="352">
        <f t="shared" si="19"/>
        <v>0</v>
      </c>
      <c r="BV12" s="352">
        <f t="shared" si="19"/>
        <v>0</v>
      </c>
      <c r="BW12" s="352">
        <f t="shared" si="19"/>
        <v>0</v>
      </c>
      <c r="BX12" s="352">
        <f t="shared" si="4"/>
        <v>0</v>
      </c>
      <c r="BY12" s="352">
        <f>BT$107*(1-'Assumptions-Output Override'!$D$12)</f>
        <v>22.753074310428271</v>
      </c>
      <c r="BZ12" s="352">
        <f>BU$107*(1-'Assumptions-Output Override'!$D$12)</f>
        <v>51.446038369839215</v>
      </c>
      <c r="CA12" s="352">
        <f>BV$107*(1-'Assumptions-Output Override'!$D$12)</f>
        <v>9.7401900534537411</v>
      </c>
      <c r="CB12" s="352">
        <f>BW$107*(1-'Assumptions-Output Override'!$D$12)</f>
        <v>1.7000814189516649</v>
      </c>
      <c r="CC12" s="352">
        <f t="shared" si="5"/>
        <v>85.639384152672903</v>
      </c>
      <c r="CD12" s="352">
        <f t="shared" si="20"/>
        <v>22.753074310428271</v>
      </c>
      <c r="CE12" s="352">
        <f t="shared" si="20"/>
        <v>51.446038369839215</v>
      </c>
      <c r="CF12" s="352">
        <f t="shared" si="20"/>
        <v>9.7401900534537411</v>
      </c>
      <c r="CG12" s="352">
        <f t="shared" si="20"/>
        <v>1.7000814189516649</v>
      </c>
      <c r="CH12" s="352">
        <f t="shared" si="6"/>
        <v>85.639384152672903</v>
      </c>
      <c r="CJ12" s="352">
        <f t="shared" si="21"/>
        <v>85.639384152672903</v>
      </c>
      <c r="CK12" s="352">
        <f t="shared" si="22"/>
        <v>46.041131296780591</v>
      </c>
      <c r="CL12" s="352">
        <f t="shared" si="23"/>
        <v>39.598252855892312</v>
      </c>
      <c r="CN12" s="352">
        <f t="shared" si="24"/>
        <v>0</v>
      </c>
      <c r="CO12" s="352">
        <f t="shared" si="24"/>
        <v>0</v>
      </c>
      <c r="CP12" s="352">
        <f t="shared" si="24"/>
        <v>0</v>
      </c>
      <c r="CQ12" s="352">
        <f t="shared" si="24"/>
        <v>0</v>
      </c>
      <c r="CR12" s="352">
        <f t="shared" si="7"/>
        <v>0</v>
      </c>
      <c r="CT12" s="352">
        <f t="shared" si="8"/>
        <v>0</v>
      </c>
      <c r="CU12" s="352">
        <f t="shared" si="8"/>
        <v>0</v>
      </c>
      <c r="CV12" s="352">
        <f t="shared" si="8"/>
        <v>0</v>
      </c>
      <c r="CW12" s="352">
        <f t="shared" si="8"/>
        <v>0</v>
      </c>
      <c r="CX12" s="352">
        <f t="shared" si="9"/>
        <v>0</v>
      </c>
      <c r="CZ12" s="352">
        <f t="shared" si="25"/>
        <v>22.753074310428271</v>
      </c>
      <c r="DA12" s="352">
        <f t="shared" si="25"/>
        <v>5.4049070730586237</v>
      </c>
      <c r="DB12" s="352">
        <f t="shared" si="25"/>
        <v>9.7401900534537411</v>
      </c>
      <c r="DC12" s="352">
        <f t="shared" si="25"/>
        <v>1.7000814189516649</v>
      </c>
      <c r="DD12" s="352">
        <f t="shared" si="26"/>
        <v>39.598252855892298</v>
      </c>
      <c r="DF12" s="352">
        <f t="shared" si="27"/>
        <v>0</v>
      </c>
      <c r="DG12" s="352">
        <f t="shared" si="27"/>
        <v>46.041131296780591</v>
      </c>
      <c r="DH12" s="352">
        <f t="shared" si="27"/>
        <v>0</v>
      </c>
      <c r="DI12" s="352">
        <f t="shared" si="27"/>
        <v>0</v>
      </c>
      <c r="DJ12" s="352">
        <f t="shared" si="28"/>
        <v>46.041131296780591</v>
      </c>
    </row>
    <row r="13" spans="1:114" x14ac:dyDescent="0.2">
      <c r="A13">
        <f t="shared" si="29"/>
        <v>8</v>
      </c>
      <c r="B13" s="397">
        <v>34308</v>
      </c>
      <c r="C13" s="398">
        <v>397997.79676138877</v>
      </c>
      <c r="D13" s="399">
        <v>0</v>
      </c>
      <c r="E13" s="399">
        <v>0</v>
      </c>
      <c r="F13" s="399">
        <v>0</v>
      </c>
      <c r="G13" s="399">
        <v>0</v>
      </c>
      <c r="H13" s="399">
        <v>0</v>
      </c>
      <c r="I13" s="400">
        <v>0</v>
      </c>
      <c r="J13" s="400">
        <v>0</v>
      </c>
      <c r="K13" s="400">
        <v>0</v>
      </c>
      <c r="L13" s="400">
        <v>0</v>
      </c>
      <c r="M13" s="400">
        <v>0</v>
      </c>
      <c r="N13" s="400">
        <v>0</v>
      </c>
      <c r="O13" s="399">
        <f t="shared" si="0"/>
        <v>0</v>
      </c>
      <c r="P13" s="399">
        <f t="shared" si="0"/>
        <v>0</v>
      </c>
      <c r="Q13" s="399">
        <f t="shared" si="0"/>
        <v>0</v>
      </c>
      <c r="R13" s="399">
        <f t="shared" si="0"/>
        <v>0</v>
      </c>
      <c r="S13" s="399">
        <f t="shared" si="0"/>
        <v>0</v>
      </c>
      <c r="T13" s="399">
        <f t="shared" si="0"/>
        <v>0</v>
      </c>
      <c r="U13" s="399">
        <f t="shared" si="10"/>
        <v>0</v>
      </c>
      <c r="V13" s="400">
        <v>0</v>
      </c>
      <c r="W13" s="400">
        <v>0</v>
      </c>
      <c r="X13" s="400">
        <v>0</v>
      </c>
      <c r="Y13" s="400">
        <v>0</v>
      </c>
      <c r="Z13" s="400">
        <v>0</v>
      </c>
      <c r="AA13" s="400">
        <v>0</v>
      </c>
      <c r="AB13" s="352">
        <f t="shared" si="1"/>
        <v>0</v>
      </c>
      <c r="AC13" s="352">
        <f t="shared" si="1"/>
        <v>0</v>
      </c>
      <c r="AD13" s="352">
        <f t="shared" si="1"/>
        <v>0</v>
      </c>
      <c r="AE13" s="352">
        <f t="shared" si="1"/>
        <v>0</v>
      </c>
      <c r="AF13" s="352">
        <f t="shared" si="1"/>
        <v>0</v>
      </c>
      <c r="AG13" s="352">
        <f t="shared" si="1"/>
        <v>0</v>
      </c>
      <c r="AH13" s="400">
        <f t="shared" si="11"/>
        <v>0</v>
      </c>
      <c r="AJ13" s="352">
        <f>D13*('Assumptions-Output Override'!$D$10/'Winners-Losers Values PMPM'!$H$107)*(1+'Assumptions-Output Override'!$F$41)</f>
        <v>0</v>
      </c>
      <c r="AK13" s="352">
        <f>E13*('Assumptions-Output Override'!$D$10/'Winners-Losers Values PMPM'!$H$107)*(1+'Assumptions-Output Override'!$F$37)</f>
        <v>0</v>
      </c>
      <c r="AL13" s="352">
        <f>F13*('Assumptions-Output Override'!$D$10/'Winners-Losers Values PMPM'!$H$107)*(1+'Assumptions-Output Override'!$F$38)</f>
        <v>0</v>
      </c>
      <c r="AM13" s="352">
        <f>G13*('Shoppable Detail'!$X$21/'Shoppable Detail'!$H$21)*('Assumptions-Output Override'!$D$10/'Winners-Losers Values PMPM'!$H$107)*(1+'Assumptions-Output Override'!$F$39)</f>
        <v>0</v>
      </c>
      <c r="AN13" s="352">
        <f t="shared" si="12"/>
        <v>0</v>
      </c>
      <c r="AO13" s="352">
        <v>0</v>
      </c>
      <c r="AP13" s="352">
        <f>U13*'Assumptions-Output Override'!$D$10/'Winners-Losers Values PMPM'!$H$107*(1+'Assumptions-Output Override'!$F$37)</f>
        <v>0</v>
      </c>
      <c r="AQ13" s="352">
        <f>AH13*'Assumptions-Output Override'!$D$10/'Winners-Losers Values PMPM'!$H$107*(1+'Assumptions-Output Override'!$F$38)</f>
        <v>0</v>
      </c>
      <c r="AR13" s="352">
        <f>AM13*('Shoppable Detail'!$AA$23/'Shoppable Detail'!$Y$23)</f>
        <v>0</v>
      </c>
      <c r="AS13" s="352">
        <f t="shared" si="13"/>
        <v>0</v>
      </c>
      <c r="AT13" s="352">
        <f t="shared" si="14"/>
        <v>0</v>
      </c>
      <c r="AU13" s="352">
        <f t="shared" si="14"/>
        <v>0</v>
      </c>
      <c r="AV13" s="352">
        <f t="shared" si="14"/>
        <v>0</v>
      </c>
      <c r="AW13" s="352">
        <f t="shared" si="14"/>
        <v>0</v>
      </c>
      <c r="AX13" s="352">
        <f t="shared" si="15"/>
        <v>0</v>
      </c>
      <c r="AY13" s="352">
        <f>AT13*'Assumptions-Output Override'!$D$24</f>
        <v>0</v>
      </c>
      <c r="AZ13" s="352">
        <f>$AU$107*'Assumptions-Output Override'!$D$21</f>
        <v>46.041131296780591</v>
      </c>
      <c r="BA13" s="352">
        <f>AV13*'Assumptions-Output Override'!$D$22</f>
        <v>0</v>
      </c>
      <c r="BB13" s="352">
        <f>AW13*'Assumptions-Output Override'!$D$23</f>
        <v>0</v>
      </c>
      <c r="BC13" s="352">
        <f t="shared" si="16"/>
        <v>46.041131296780591</v>
      </c>
      <c r="BD13" s="352">
        <f t="shared" si="17"/>
        <v>0</v>
      </c>
      <c r="BE13" s="352">
        <f t="shared" si="17"/>
        <v>46.041131296780591</v>
      </c>
      <c r="BF13" s="352">
        <f t="shared" si="17"/>
        <v>0</v>
      </c>
      <c r="BG13" s="352">
        <f t="shared" si="17"/>
        <v>0</v>
      </c>
      <c r="BH13" s="352">
        <f t="shared" si="18"/>
        <v>46.041131296780591</v>
      </c>
      <c r="BJ13" s="401">
        <f>D13*'Assumptions-Output Override'!$D$10/'Winners-Losers Values PMPM'!$H$107</f>
        <v>0</v>
      </c>
      <c r="BK13" s="401">
        <f>E13*'Assumptions-Output Override'!$D$10/'Winners-Losers Values PMPM'!$H$107</f>
        <v>0</v>
      </c>
      <c r="BL13" s="401">
        <f>F13*'Assumptions-Output Override'!$D$10/'Winners-Losers Values PMPM'!$H$107</f>
        <v>0</v>
      </c>
      <c r="BM13" s="401">
        <f>G13*'Assumptions-Output Override'!$D$10/'Winners-Losers Values PMPM'!$H$107</f>
        <v>0</v>
      </c>
      <c r="BN13" s="401">
        <f t="shared" si="2"/>
        <v>0</v>
      </c>
      <c r="BO13" s="401">
        <f>BJ13*(1-'Assumptions-Output Override'!$D$11)</f>
        <v>0</v>
      </c>
      <c r="BP13" s="401">
        <f>BK13*(1-'Assumptions-Output Override'!$D$11)</f>
        <v>0</v>
      </c>
      <c r="BQ13" s="401">
        <f>BL13*(1-'Assumptions-Output Override'!$D$11)</f>
        <v>0</v>
      </c>
      <c r="BR13" s="401">
        <f>BM13*(1-'Assumptions-Output Override'!$D$11)</f>
        <v>0</v>
      </c>
      <c r="BS13" s="352">
        <f t="shared" si="3"/>
        <v>0</v>
      </c>
      <c r="BT13" s="352">
        <f t="shared" si="19"/>
        <v>0</v>
      </c>
      <c r="BU13" s="352">
        <f t="shared" si="19"/>
        <v>0</v>
      </c>
      <c r="BV13" s="352">
        <f t="shared" si="19"/>
        <v>0</v>
      </c>
      <c r="BW13" s="352">
        <f t="shared" si="19"/>
        <v>0</v>
      </c>
      <c r="BX13" s="352">
        <f t="shared" si="4"/>
        <v>0</v>
      </c>
      <c r="BY13" s="352">
        <f>BT$107*(1-'Assumptions-Output Override'!$D$12)</f>
        <v>22.753074310428271</v>
      </c>
      <c r="BZ13" s="352">
        <f>BU$107*(1-'Assumptions-Output Override'!$D$12)</f>
        <v>51.446038369839215</v>
      </c>
      <c r="CA13" s="352">
        <f>BV$107*(1-'Assumptions-Output Override'!$D$12)</f>
        <v>9.7401900534537411</v>
      </c>
      <c r="CB13" s="352">
        <f>BW$107*(1-'Assumptions-Output Override'!$D$12)</f>
        <v>1.7000814189516649</v>
      </c>
      <c r="CC13" s="352">
        <f t="shared" si="5"/>
        <v>85.639384152672903</v>
      </c>
      <c r="CD13" s="352">
        <f t="shared" si="20"/>
        <v>22.753074310428271</v>
      </c>
      <c r="CE13" s="352">
        <f t="shared" si="20"/>
        <v>51.446038369839215</v>
      </c>
      <c r="CF13" s="352">
        <f t="shared" si="20"/>
        <v>9.7401900534537411</v>
      </c>
      <c r="CG13" s="352">
        <f t="shared" si="20"/>
        <v>1.7000814189516649</v>
      </c>
      <c r="CH13" s="352">
        <f t="shared" si="6"/>
        <v>85.639384152672903</v>
      </c>
      <c r="CJ13" s="352">
        <f t="shared" si="21"/>
        <v>85.639384152672903</v>
      </c>
      <c r="CK13" s="352">
        <f t="shared" si="22"/>
        <v>46.041131296780591</v>
      </c>
      <c r="CL13" s="352">
        <f t="shared" si="23"/>
        <v>39.598252855892312</v>
      </c>
      <c r="CN13" s="352">
        <f t="shared" si="24"/>
        <v>0</v>
      </c>
      <c r="CO13" s="352">
        <f t="shared" si="24"/>
        <v>0</v>
      </c>
      <c r="CP13" s="352">
        <f t="shared" si="24"/>
        <v>0</v>
      </c>
      <c r="CQ13" s="352">
        <f t="shared" si="24"/>
        <v>0</v>
      </c>
      <c r="CR13" s="352">
        <f t="shared" si="7"/>
        <v>0</v>
      </c>
      <c r="CT13" s="352">
        <f t="shared" si="8"/>
        <v>0</v>
      </c>
      <c r="CU13" s="352">
        <f t="shared" si="8"/>
        <v>0</v>
      </c>
      <c r="CV13" s="352">
        <f t="shared" si="8"/>
        <v>0</v>
      </c>
      <c r="CW13" s="352">
        <f t="shared" si="8"/>
        <v>0</v>
      </c>
      <c r="CX13" s="352">
        <f t="shared" si="9"/>
        <v>0</v>
      </c>
      <c r="CZ13" s="352">
        <f t="shared" si="25"/>
        <v>22.753074310428271</v>
      </c>
      <c r="DA13" s="352">
        <f t="shared" si="25"/>
        <v>5.4049070730586237</v>
      </c>
      <c r="DB13" s="352">
        <f t="shared" si="25"/>
        <v>9.7401900534537411</v>
      </c>
      <c r="DC13" s="352">
        <f t="shared" si="25"/>
        <v>1.7000814189516649</v>
      </c>
      <c r="DD13" s="352">
        <f t="shared" si="26"/>
        <v>39.598252855892298</v>
      </c>
      <c r="DF13" s="352">
        <f t="shared" si="27"/>
        <v>0</v>
      </c>
      <c r="DG13" s="352">
        <f t="shared" si="27"/>
        <v>46.041131296780591</v>
      </c>
      <c r="DH13" s="352">
        <f t="shared" si="27"/>
        <v>0</v>
      </c>
      <c r="DI13" s="352">
        <f t="shared" si="27"/>
        <v>0</v>
      </c>
      <c r="DJ13" s="352">
        <f t="shared" si="28"/>
        <v>46.041131296780591</v>
      </c>
    </row>
    <row r="14" spans="1:114" x14ac:dyDescent="0.2">
      <c r="A14">
        <f t="shared" si="29"/>
        <v>9</v>
      </c>
      <c r="B14" s="397">
        <v>34308</v>
      </c>
      <c r="C14" s="398">
        <v>397997.79676138877</v>
      </c>
      <c r="D14" s="399">
        <v>0</v>
      </c>
      <c r="E14" s="399">
        <v>0</v>
      </c>
      <c r="F14" s="399">
        <v>0</v>
      </c>
      <c r="G14" s="399">
        <v>0</v>
      </c>
      <c r="H14" s="399">
        <v>0</v>
      </c>
      <c r="I14" s="400">
        <v>0</v>
      </c>
      <c r="J14" s="400">
        <v>0</v>
      </c>
      <c r="K14" s="400">
        <v>0</v>
      </c>
      <c r="L14" s="400">
        <v>0</v>
      </c>
      <c r="M14" s="400">
        <v>0</v>
      </c>
      <c r="N14" s="400">
        <v>0</v>
      </c>
      <c r="O14" s="399">
        <f t="shared" si="0"/>
        <v>0</v>
      </c>
      <c r="P14" s="399">
        <f t="shared" si="0"/>
        <v>0</v>
      </c>
      <c r="Q14" s="399">
        <f t="shared" si="0"/>
        <v>0</v>
      </c>
      <c r="R14" s="399">
        <f t="shared" si="0"/>
        <v>0</v>
      </c>
      <c r="S14" s="399">
        <f t="shared" si="0"/>
        <v>0</v>
      </c>
      <c r="T14" s="399">
        <f t="shared" si="0"/>
        <v>0</v>
      </c>
      <c r="U14" s="399">
        <f t="shared" si="10"/>
        <v>0</v>
      </c>
      <c r="V14" s="400">
        <v>0</v>
      </c>
      <c r="W14" s="400">
        <v>0</v>
      </c>
      <c r="X14" s="400">
        <v>0</v>
      </c>
      <c r="Y14" s="400">
        <v>0</v>
      </c>
      <c r="Z14" s="400">
        <v>0</v>
      </c>
      <c r="AA14" s="400">
        <v>0</v>
      </c>
      <c r="AB14" s="352">
        <f t="shared" si="1"/>
        <v>0</v>
      </c>
      <c r="AC14" s="352">
        <f t="shared" si="1"/>
        <v>0</v>
      </c>
      <c r="AD14" s="352">
        <f t="shared" si="1"/>
        <v>0</v>
      </c>
      <c r="AE14" s="352">
        <f t="shared" si="1"/>
        <v>0</v>
      </c>
      <c r="AF14" s="352">
        <f t="shared" si="1"/>
        <v>0</v>
      </c>
      <c r="AG14" s="352">
        <f t="shared" si="1"/>
        <v>0</v>
      </c>
      <c r="AH14" s="400">
        <f t="shared" si="11"/>
        <v>0</v>
      </c>
      <c r="AJ14" s="352">
        <f>D14*('Assumptions-Output Override'!$D$10/'Winners-Losers Values PMPM'!$H$107)*(1+'Assumptions-Output Override'!$F$41)</f>
        <v>0</v>
      </c>
      <c r="AK14" s="352">
        <f>E14*('Assumptions-Output Override'!$D$10/'Winners-Losers Values PMPM'!$H$107)*(1+'Assumptions-Output Override'!$F$37)</f>
        <v>0</v>
      </c>
      <c r="AL14" s="352">
        <f>F14*('Assumptions-Output Override'!$D$10/'Winners-Losers Values PMPM'!$H$107)*(1+'Assumptions-Output Override'!$F$38)</f>
        <v>0</v>
      </c>
      <c r="AM14" s="352">
        <f>G14*('Shoppable Detail'!$X$21/'Shoppable Detail'!$H$21)*('Assumptions-Output Override'!$D$10/'Winners-Losers Values PMPM'!$H$107)*(1+'Assumptions-Output Override'!$F$39)</f>
        <v>0</v>
      </c>
      <c r="AN14" s="352">
        <f t="shared" si="12"/>
        <v>0</v>
      </c>
      <c r="AO14" s="352">
        <v>0</v>
      </c>
      <c r="AP14" s="352">
        <f>U14*'Assumptions-Output Override'!$D$10/'Winners-Losers Values PMPM'!$H$107*(1+'Assumptions-Output Override'!$F$37)</f>
        <v>0</v>
      </c>
      <c r="AQ14" s="352">
        <f>AH14*'Assumptions-Output Override'!$D$10/'Winners-Losers Values PMPM'!$H$107*(1+'Assumptions-Output Override'!$F$38)</f>
        <v>0</v>
      </c>
      <c r="AR14" s="352">
        <f>AM14*('Shoppable Detail'!$AA$23/'Shoppable Detail'!$Y$23)</f>
        <v>0</v>
      </c>
      <c r="AS14" s="352">
        <f t="shared" si="13"/>
        <v>0</v>
      </c>
      <c r="AT14" s="352">
        <f t="shared" si="14"/>
        <v>0</v>
      </c>
      <c r="AU14" s="352">
        <f t="shared" si="14"/>
        <v>0</v>
      </c>
      <c r="AV14" s="352">
        <f t="shared" si="14"/>
        <v>0</v>
      </c>
      <c r="AW14" s="352">
        <f t="shared" si="14"/>
        <v>0</v>
      </c>
      <c r="AX14" s="352">
        <f t="shared" si="15"/>
        <v>0</v>
      </c>
      <c r="AY14" s="352">
        <f>AT14*'Assumptions-Output Override'!$D$24</f>
        <v>0</v>
      </c>
      <c r="AZ14" s="352">
        <f>$AU$107*'Assumptions-Output Override'!$D$21</f>
        <v>46.041131296780591</v>
      </c>
      <c r="BA14" s="352">
        <f>AV14*'Assumptions-Output Override'!$D$22</f>
        <v>0</v>
      </c>
      <c r="BB14" s="352">
        <f>AW14*'Assumptions-Output Override'!$D$23</f>
        <v>0</v>
      </c>
      <c r="BC14" s="352">
        <f t="shared" si="16"/>
        <v>46.041131296780591</v>
      </c>
      <c r="BD14" s="352">
        <f t="shared" si="17"/>
        <v>0</v>
      </c>
      <c r="BE14" s="352">
        <f t="shared" si="17"/>
        <v>46.041131296780591</v>
      </c>
      <c r="BF14" s="352">
        <f t="shared" si="17"/>
        <v>0</v>
      </c>
      <c r="BG14" s="352">
        <f t="shared" si="17"/>
        <v>0</v>
      </c>
      <c r="BH14" s="352">
        <f t="shared" si="18"/>
        <v>46.041131296780591</v>
      </c>
      <c r="BJ14" s="401">
        <f>D14*'Assumptions-Output Override'!$D$10/'Winners-Losers Values PMPM'!$H$107</f>
        <v>0</v>
      </c>
      <c r="BK14" s="401">
        <f>E14*'Assumptions-Output Override'!$D$10/'Winners-Losers Values PMPM'!$H$107</f>
        <v>0</v>
      </c>
      <c r="BL14" s="401">
        <f>F14*'Assumptions-Output Override'!$D$10/'Winners-Losers Values PMPM'!$H$107</f>
        <v>0</v>
      </c>
      <c r="BM14" s="401">
        <f>G14*'Assumptions-Output Override'!$D$10/'Winners-Losers Values PMPM'!$H$107</f>
        <v>0</v>
      </c>
      <c r="BN14" s="401">
        <f t="shared" si="2"/>
        <v>0</v>
      </c>
      <c r="BO14" s="401">
        <f>BJ14*(1-'Assumptions-Output Override'!$D$11)</f>
        <v>0</v>
      </c>
      <c r="BP14" s="401">
        <f>BK14*(1-'Assumptions-Output Override'!$D$11)</f>
        <v>0</v>
      </c>
      <c r="BQ14" s="401">
        <f>BL14*(1-'Assumptions-Output Override'!$D$11)</f>
        <v>0</v>
      </c>
      <c r="BR14" s="401">
        <f>BM14*(1-'Assumptions-Output Override'!$D$11)</f>
        <v>0</v>
      </c>
      <c r="BS14" s="352">
        <f t="shared" si="3"/>
        <v>0</v>
      </c>
      <c r="BT14" s="352">
        <f t="shared" si="19"/>
        <v>0</v>
      </c>
      <c r="BU14" s="352">
        <f t="shared" si="19"/>
        <v>0</v>
      </c>
      <c r="BV14" s="352">
        <f t="shared" si="19"/>
        <v>0</v>
      </c>
      <c r="BW14" s="352">
        <f t="shared" si="19"/>
        <v>0</v>
      </c>
      <c r="BX14" s="352">
        <f t="shared" si="4"/>
        <v>0</v>
      </c>
      <c r="BY14" s="352">
        <f>BT$107*(1-'Assumptions-Output Override'!$D$12)</f>
        <v>22.753074310428271</v>
      </c>
      <c r="BZ14" s="352">
        <f>BU$107*(1-'Assumptions-Output Override'!$D$12)</f>
        <v>51.446038369839215</v>
      </c>
      <c r="CA14" s="352">
        <f>BV$107*(1-'Assumptions-Output Override'!$D$12)</f>
        <v>9.7401900534537411</v>
      </c>
      <c r="CB14" s="352">
        <f>BW$107*(1-'Assumptions-Output Override'!$D$12)</f>
        <v>1.7000814189516649</v>
      </c>
      <c r="CC14" s="352">
        <f t="shared" si="5"/>
        <v>85.639384152672903</v>
      </c>
      <c r="CD14" s="352">
        <f t="shared" si="20"/>
        <v>22.753074310428271</v>
      </c>
      <c r="CE14" s="352">
        <f t="shared" si="20"/>
        <v>51.446038369839215</v>
      </c>
      <c r="CF14" s="352">
        <f t="shared" si="20"/>
        <v>9.7401900534537411</v>
      </c>
      <c r="CG14" s="352">
        <f t="shared" si="20"/>
        <v>1.7000814189516649</v>
      </c>
      <c r="CH14" s="352">
        <f t="shared" si="6"/>
        <v>85.639384152672903</v>
      </c>
      <c r="CJ14" s="352">
        <f t="shared" si="21"/>
        <v>85.639384152672903</v>
      </c>
      <c r="CK14" s="352">
        <f t="shared" si="22"/>
        <v>46.041131296780591</v>
      </c>
      <c r="CL14" s="352">
        <f t="shared" si="23"/>
        <v>39.598252855892312</v>
      </c>
      <c r="CN14" s="352">
        <f t="shared" si="24"/>
        <v>0</v>
      </c>
      <c r="CO14" s="352">
        <f t="shared" si="24"/>
        <v>0</v>
      </c>
      <c r="CP14" s="352">
        <f t="shared" si="24"/>
        <v>0</v>
      </c>
      <c r="CQ14" s="352">
        <f t="shared" si="24"/>
        <v>0</v>
      </c>
      <c r="CR14" s="352">
        <f t="shared" si="7"/>
        <v>0</v>
      </c>
      <c r="CT14" s="352">
        <f t="shared" si="8"/>
        <v>0</v>
      </c>
      <c r="CU14" s="352">
        <f t="shared" si="8"/>
        <v>0</v>
      </c>
      <c r="CV14" s="352">
        <f t="shared" si="8"/>
        <v>0</v>
      </c>
      <c r="CW14" s="352">
        <f t="shared" si="8"/>
        <v>0</v>
      </c>
      <c r="CX14" s="352">
        <f t="shared" si="9"/>
        <v>0</v>
      </c>
      <c r="CZ14" s="352">
        <f t="shared" si="25"/>
        <v>22.753074310428271</v>
      </c>
      <c r="DA14" s="352">
        <f t="shared" si="25"/>
        <v>5.4049070730586237</v>
      </c>
      <c r="DB14" s="352">
        <f t="shared" si="25"/>
        <v>9.7401900534537411</v>
      </c>
      <c r="DC14" s="352">
        <f t="shared" si="25"/>
        <v>1.7000814189516649</v>
      </c>
      <c r="DD14" s="352">
        <f t="shared" si="26"/>
        <v>39.598252855892298</v>
      </c>
      <c r="DF14" s="352">
        <f t="shared" si="27"/>
        <v>0</v>
      </c>
      <c r="DG14" s="352">
        <f t="shared" si="27"/>
        <v>46.041131296780591</v>
      </c>
      <c r="DH14" s="352">
        <f t="shared" si="27"/>
        <v>0</v>
      </c>
      <c r="DI14" s="352">
        <f t="shared" si="27"/>
        <v>0</v>
      </c>
      <c r="DJ14" s="352">
        <f t="shared" si="28"/>
        <v>46.041131296780591</v>
      </c>
    </row>
    <row r="15" spans="1:114" x14ac:dyDescent="0.2">
      <c r="A15">
        <f t="shared" si="29"/>
        <v>10</v>
      </c>
      <c r="B15" s="397">
        <v>34308</v>
      </c>
      <c r="C15" s="398">
        <v>397997.79676138877</v>
      </c>
      <c r="D15" s="399">
        <v>0</v>
      </c>
      <c r="E15" s="399">
        <v>0</v>
      </c>
      <c r="F15" s="399">
        <v>0</v>
      </c>
      <c r="G15" s="399">
        <v>0</v>
      </c>
      <c r="H15" s="399">
        <v>0</v>
      </c>
      <c r="I15" s="400">
        <v>0</v>
      </c>
      <c r="J15" s="400">
        <v>0</v>
      </c>
      <c r="K15" s="400">
        <v>0</v>
      </c>
      <c r="L15" s="400">
        <v>0</v>
      </c>
      <c r="M15" s="400">
        <v>0</v>
      </c>
      <c r="N15" s="400">
        <v>0</v>
      </c>
      <c r="O15" s="399">
        <f t="shared" si="0"/>
        <v>0</v>
      </c>
      <c r="P15" s="399">
        <f t="shared" si="0"/>
        <v>0</v>
      </c>
      <c r="Q15" s="399">
        <f t="shared" si="0"/>
        <v>0</v>
      </c>
      <c r="R15" s="399">
        <f t="shared" si="0"/>
        <v>0</v>
      </c>
      <c r="S15" s="399">
        <f t="shared" si="0"/>
        <v>0</v>
      </c>
      <c r="T15" s="399">
        <f t="shared" si="0"/>
        <v>0</v>
      </c>
      <c r="U15" s="399">
        <f t="shared" si="10"/>
        <v>0</v>
      </c>
      <c r="V15" s="400">
        <v>0</v>
      </c>
      <c r="W15" s="400">
        <v>0</v>
      </c>
      <c r="X15" s="400">
        <v>0</v>
      </c>
      <c r="Y15" s="400">
        <v>0</v>
      </c>
      <c r="Z15" s="400">
        <v>0</v>
      </c>
      <c r="AA15" s="400">
        <v>0</v>
      </c>
      <c r="AB15" s="352">
        <f t="shared" si="1"/>
        <v>0</v>
      </c>
      <c r="AC15" s="352">
        <f t="shared" si="1"/>
        <v>0</v>
      </c>
      <c r="AD15" s="352">
        <f t="shared" si="1"/>
        <v>0</v>
      </c>
      <c r="AE15" s="352">
        <f t="shared" si="1"/>
        <v>0</v>
      </c>
      <c r="AF15" s="352">
        <f t="shared" si="1"/>
        <v>0</v>
      </c>
      <c r="AG15" s="352">
        <f t="shared" si="1"/>
        <v>0</v>
      </c>
      <c r="AH15" s="400">
        <f t="shared" si="11"/>
        <v>0</v>
      </c>
      <c r="AJ15" s="352">
        <f>D15*('Assumptions-Output Override'!$D$10/'Winners-Losers Values PMPM'!$H$107)*(1+'Assumptions-Output Override'!$F$41)</f>
        <v>0</v>
      </c>
      <c r="AK15" s="352">
        <f>E15*('Assumptions-Output Override'!$D$10/'Winners-Losers Values PMPM'!$H$107)*(1+'Assumptions-Output Override'!$F$37)</f>
        <v>0</v>
      </c>
      <c r="AL15" s="352">
        <f>F15*('Assumptions-Output Override'!$D$10/'Winners-Losers Values PMPM'!$H$107)*(1+'Assumptions-Output Override'!$F$38)</f>
        <v>0</v>
      </c>
      <c r="AM15" s="352">
        <f>G15*('Shoppable Detail'!$X$21/'Shoppable Detail'!$H$21)*('Assumptions-Output Override'!$D$10/'Winners-Losers Values PMPM'!$H$107)*(1+'Assumptions-Output Override'!$F$39)</f>
        <v>0</v>
      </c>
      <c r="AN15" s="352">
        <f t="shared" si="12"/>
        <v>0</v>
      </c>
      <c r="AO15" s="352">
        <v>0</v>
      </c>
      <c r="AP15" s="352">
        <f>U15*'Assumptions-Output Override'!$D$10/'Winners-Losers Values PMPM'!$H$107*(1+'Assumptions-Output Override'!$F$37)</f>
        <v>0</v>
      </c>
      <c r="AQ15" s="352">
        <f>AH15*'Assumptions-Output Override'!$D$10/'Winners-Losers Values PMPM'!$H$107*(1+'Assumptions-Output Override'!$F$38)</f>
        <v>0</v>
      </c>
      <c r="AR15" s="352">
        <f>AM15*('Shoppable Detail'!$AA$23/'Shoppable Detail'!$Y$23)</f>
        <v>0</v>
      </c>
      <c r="AS15" s="352">
        <f t="shared" si="13"/>
        <v>0</v>
      </c>
      <c r="AT15" s="352">
        <f t="shared" si="14"/>
        <v>0</v>
      </c>
      <c r="AU15" s="352">
        <f t="shared" si="14"/>
        <v>0</v>
      </c>
      <c r="AV15" s="352">
        <f t="shared" si="14"/>
        <v>0</v>
      </c>
      <c r="AW15" s="352">
        <f t="shared" si="14"/>
        <v>0</v>
      </c>
      <c r="AX15" s="352">
        <f t="shared" si="15"/>
        <v>0</v>
      </c>
      <c r="AY15" s="352">
        <f>AT15*'Assumptions-Output Override'!$D$24</f>
        <v>0</v>
      </c>
      <c r="AZ15" s="352">
        <f>$AU$107*'Assumptions-Output Override'!$D$21</f>
        <v>46.041131296780591</v>
      </c>
      <c r="BA15" s="352">
        <f>AV15*'Assumptions-Output Override'!$D$22</f>
        <v>0</v>
      </c>
      <c r="BB15" s="352">
        <f>AW15*'Assumptions-Output Override'!$D$23</f>
        <v>0</v>
      </c>
      <c r="BC15" s="352">
        <f t="shared" si="16"/>
        <v>46.041131296780591</v>
      </c>
      <c r="BD15" s="352">
        <f t="shared" si="17"/>
        <v>0</v>
      </c>
      <c r="BE15" s="352">
        <f t="shared" si="17"/>
        <v>46.041131296780591</v>
      </c>
      <c r="BF15" s="352">
        <f t="shared" si="17"/>
        <v>0</v>
      </c>
      <c r="BG15" s="352">
        <f t="shared" si="17"/>
        <v>0</v>
      </c>
      <c r="BH15" s="352">
        <f t="shared" si="18"/>
        <v>46.041131296780591</v>
      </c>
      <c r="BJ15" s="401">
        <f>D15*'Assumptions-Output Override'!$D$10/'Winners-Losers Values PMPM'!$H$107</f>
        <v>0</v>
      </c>
      <c r="BK15" s="401">
        <f>E15*'Assumptions-Output Override'!$D$10/'Winners-Losers Values PMPM'!$H$107</f>
        <v>0</v>
      </c>
      <c r="BL15" s="401">
        <f>F15*'Assumptions-Output Override'!$D$10/'Winners-Losers Values PMPM'!$H$107</f>
        <v>0</v>
      </c>
      <c r="BM15" s="401">
        <f>G15*'Assumptions-Output Override'!$D$10/'Winners-Losers Values PMPM'!$H$107</f>
        <v>0</v>
      </c>
      <c r="BN15" s="401">
        <f t="shared" si="2"/>
        <v>0</v>
      </c>
      <c r="BO15" s="401">
        <f>BJ15*(1-'Assumptions-Output Override'!$D$11)</f>
        <v>0</v>
      </c>
      <c r="BP15" s="401">
        <f>BK15*(1-'Assumptions-Output Override'!$D$11)</f>
        <v>0</v>
      </c>
      <c r="BQ15" s="401">
        <f>BL15*(1-'Assumptions-Output Override'!$D$11)</f>
        <v>0</v>
      </c>
      <c r="BR15" s="401">
        <f>BM15*(1-'Assumptions-Output Override'!$D$11)</f>
        <v>0</v>
      </c>
      <c r="BS15" s="352">
        <f t="shared" si="3"/>
        <v>0</v>
      </c>
      <c r="BT15" s="352">
        <f t="shared" si="19"/>
        <v>0</v>
      </c>
      <c r="BU15" s="352">
        <f t="shared" si="19"/>
        <v>0</v>
      </c>
      <c r="BV15" s="352">
        <f t="shared" si="19"/>
        <v>0</v>
      </c>
      <c r="BW15" s="352">
        <f t="shared" si="19"/>
        <v>0</v>
      </c>
      <c r="BX15" s="352">
        <f t="shared" si="4"/>
        <v>0</v>
      </c>
      <c r="BY15" s="352">
        <f>BT$107*(1-'Assumptions-Output Override'!$D$12)</f>
        <v>22.753074310428271</v>
      </c>
      <c r="BZ15" s="352">
        <f>BU$107*(1-'Assumptions-Output Override'!$D$12)</f>
        <v>51.446038369839215</v>
      </c>
      <c r="CA15" s="352">
        <f>BV$107*(1-'Assumptions-Output Override'!$D$12)</f>
        <v>9.7401900534537411</v>
      </c>
      <c r="CB15" s="352">
        <f>BW$107*(1-'Assumptions-Output Override'!$D$12)</f>
        <v>1.7000814189516649</v>
      </c>
      <c r="CC15" s="352">
        <f t="shared" si="5"/>
        <v>85.639384152672903</v>
      </c>
      <c r="CD15" s="352">
        <f t="shared" si="20"/>
        <v>22.753074310428271</v>
      </c>
      <c r="CE15" s="352">
        <f t="shared" si="20"/>
        <v>51.446038369839215</v>
      </c>
      <c r="CF15" s="352">
        <f t="shared" si="20"/>
        <v>9.7401900534537411</v>
      </c>
      <c r="CG15" s="352">
        <f t="shared" si="20"/>
        <v>1.7000814189516649</v>
      </c>
      <c r="CH15" s="352">
        <f t="shared" si="6"/>
        <v>85.639384152672903</v>
      </c>
      <c r="CJ15" s="352">
        <f t="shared" si="21"/>
        <v>85.639384152672903</v>
      </c>
      <c r="CK15" s="352">
        <f t="shared" si="22"/>
        <v>46.041131296780591</v>
      </c>
      <c r="CL15" s="352">
        <f t="shared" si="23"/>
        <v>39.598252855892312</v>
      </c>
      <c r="CN15" s="352">
        <f t="shared" si="24"/>
        <v>0</v>
      </c>
      <c r="CO15" s="352">
        <f t="shared" si="24"/>
        <v>0</v>
      </c>
      <c r="CP15" s="352">
        <f t="shared" si="24"/>
        <v>0</v>
      </c>
      <c r="CQ15" s="352">
        <f t="shared" si="24"/>
        <v>0</v>
      </c>
      <c r="CR15" s="352">
        <f t="shared" si="7"/>
        <v>0</v>
      </c>
      <c r="CT15" s="352">
        <f t="shared" si="8"/>
        <v>0</v>
      </c>
      <c r="CU15" s="352">
        <f t="shared" si="8"/>
        <v>0</v>
      </c>
      <c r="CV15" s="352">
        <f t="shared" si="8"/>
        <v>0</v>
      </c>
      <c r="CW15" s="352">
        <f t="shared" si="8"/>
        <v>0</v>
      </c>
      <c r="CX15" s="352">
        <f t="shared" si="9"/>
        <v>0</v>
      </c>
      <c r="CZ15" s="352">
        <f t="shared" si="25"/>
        <v>22.753074310428271</v>
      </c>
      <c r="DA15" s="352">
        <f t="shared" si="25"/>
        <v>5.4049070730586237</v>
      </c>
      <c r="DB15" s="352">
        <f t="shared" si="25"/>
        <v>9.7401900534537411</v>
      </c>
      <c r="DC15" s="352">
        <f t="shared" si="25"/>
        <v>1.7000814189516649</v>
      </c>
      <c r="DD15" s="352">
        <f t="shared" si="26"/>
        <v>39.598252855892298</v>
      </c>
      <c r="DF15" s="352">
        <f t="shared" si="27"/>
        <v>0</v>
      </c>
      <c r="DG15" s="352">
        <f t="shared" si="27"/>
        <v>46.041131296780591</v>
      </c>
      <c r="DH15" s="352">
        <f t="shared" si="27"/>
        <v>0</v>
      </c>
      <c r="DI15" s="352">
        <f t="shared" si="27"/>
        <v>0</v>
      </c>
      <c r="DJ15" s="352">
        <f t="shared" si="28"/>
        <v>46.041131296780591</v>
      </c>
    </row>
    <row r="16" spans="1:114" x14ac:dyDescent="0.2">
      <c r="A16">
        <f t="shared" si="29"/>
        <v>11</v>
      </c>
      <c r="B16" s="397">
        <v>34308</v>
      </c>
      <c r="C16" s="398">
        <v>397997.79676138877</v>
      </c>
      <c r="D16" s="399">
        <v>0</v>
      </c>
      <c r="E16" s="399">
        <v>0</v>
      </c>
      <c r="F16" s="399">
        <v>0</v>
      </c>
      <c r="G16" s="399">
        <v>0</v>
      </c>
      <c r="H16" s="399">
        <v>0</v>
      </c>
      <c r="I16" s="400">
        <v>0</v>
      </c>
      <c r="J16" s="400">
        <v>0</v>
      </c>
      <c r="K16" s="400">
        <v>0</v>
      </c>
      <c r="L16" s="400">
        <v>0</v>
      </c>
      <c r="M16" s="400">
        <v>0</v>
      </c>
      <c r="N16" s="400">
        <v>0</v>
      </c>
      <c r="O16" s="399">
        <f t="shared" si="0"/>
        <v>0</v>
      </c>
      <c r="P16" s="399">
        <f t="shared" si="0"/>
        <v>0</v>
      </c>
      <c r="Q16" s="399">
        <f t="shared" si="0"/>
        <v>0</v>
      </c>
      <c r="R16" s="399">
        <f t="shared" si="0"/>
        <v>0</v>
      </c>
      <c r="S16" s="399">
        <f t="shared" si="0"/>
        <v>0</v>
      </c>
      <c r="T16" s="399">
        <f t="shared" si="0"/>
        <v>0</v>
      </c>
      <c r="U16" s="399">
        <f t="shared" si="10"/>
        <v>0</v>
      </c>
      <c r="V16" s="400">
        <v>0</v>
      </c>
      <c r="W16" s="400">
        <v>0</v>
      </c>
      <c r="X16" s="400">
        <v>0</v>
      </c>
      <c r="Y16" s="400">
        <v>0</v>
      </c>
      <c r="Z16" s="400">
        <v>0</v>
      </c>
      <c r="AA16" s="400">
        <v>0</v>
      </c>
      <c r="AB16" s="352">
        <f t="shared" si="1"/>
        <v>0</v>
      </c>
      <c r="AC16" s="352">
        <f t="shared" si="1"/>
        <v>0</v>
      </c>
      <c r="AD16" s="352">
        <f t="shared" si="1"/>
        <v>0</v>
      </c>
      <c r="AE16" s="352">
        <f t="shared" si="1"/>
        <v>0</v>
      </c>
      <c r="AF16" s="352">
        <f t="shared" si="1"/>
        <v>0</v>
      </c>
      <c r="AG16" s="352">
        <f t="shared" si="1"/>
        <v>0</v>
      </c>
      <c r="AH16" s="400">
        <f t="shared" si="11"/>
        <v>0</v>
      </c>
      <c r="AJ16" s="352">
        <f>D16*('Assumptions-Output Override'!$D$10/'Winners-Losers Values PMPM'!$H$107)*(1+'Assumptions-Output Override'!$F$41)</f>
        <v>0</v>
      </c>
      <c r="AK16" s="352">
        <f>E16*('Assumptions-Output Override'!$D$10/'Winners-Losers Values PMPM'!$H$107)*(1+'Assumptions-Output Override'!$F$37)</f>
        <v>0</v>
      </c>
      <c r="AL16" s="352">
        <f>F16*('Assumptions-Output Override'!$D$10/'Winners-Losers Values PMPM'!$H$107)*(1+'Assumptions-Output Override'!$F$38)</f>
        <v>0</v>
      </c>
      <c r="AM16" s="352">
        <f>G16*('Shoppable Detail'!$X$21/'Shoppable Detail'!$H$21)*('Assumptions-Output Override'!$D$10/'Winners-Losers Values PMPM'!$H$107)*(1+'Assumptions-Output Override'!$F$39)</f>
        <v>0</v>
      </c>
      <c r="AN16" s="352">
        <f t="shared" si="12"/>
        <v>0</v>
      </c>
      <c r="AO16" s="352">
        <v>0</v>
      </c>
      <c r="AP16" s="352">
        <f>U16*'Assumptions-Output Override'!$D$10/'Winners-Losers Values PMPM'!$H$107*(1+'Assumptions-Output Override'!$F$37)</f>
        <v>0</v>
      </c>
      <c r="AQ16" s="352">
        <f>AH16*'Assumptions-Output Override'!$D$10/'Winners-Losers Values PMPM'!$H$107*(1+'Assumptions-Output Override'!$F$38)</f>
        <v>0</v>
      </c>
      <c r="AR16" s="352">
        <f>AM16*('Shoppable Detail'!$AA$23/'Shoppable Detail'!$Y$23)</f>
        <v>0</v>
      </c>
      <c r="AS16" s="352">
        <f t="shared" si="13"/>
        <v>0</v>
      </c>
      <c r="AT16" s="352">
        <f t="shared" si="14"/>
        <v>0</v>
      </c>
      <c r="AU16" s="352">
        <f t="shared" si="14"/>
        <v>0</v>
      </c>
      <c r="AV16" s="352">
        <f t="shared" si="14"/>
        <v>0</v>
      </c>
      <c r="AW16" s="352">
        <f t="shared" si="14"/>
        <v>0</v>
      </c>
      <c r="AX16" s="352">
        <f t="shared" si="15"/>
        <v>0</v>
      </c>
      <c r="AY16" s="352">
        <f>AT16*'Assumptions-Output Override'!$D$24</f>
        <v>0</v>
      </c>
      <c r="AZ16" s="352">
        <f>$AU$107*'Assumptions-Output Override'!$D$21</f>
        <v>46.041131296780591</v>
      </c>
      <c r="BA16" s="352">
        <f>AV16*'Assumptions-Output Override'!$D$22</f>
        <v>0</v>
      </c>
      <c r="BB16" s="352">
        <f>AW16*'Assumptions-Output Override'!$D$23</f>
        <v>0</v>
      </c>
      <c r="BC16" s="352">
        <f t="shared" si="16"/>
        <v>46.041131296780591</v>
      </c>
      <c r="BD16" s="352">
        <f t="shared" si="17"/>
        <v>0</v>
      </c>
      <c r="BE16" s="352">
        <f t="shared" si="17"/>
        <v>46.041131296780591</v>
      </c>
      <c r="BF16" s="352">
        <f t="shared" si="17"/>
        <v>0</v>
      </c>
      <c r="BG16" s="352">
        <f t="shared" si="17"/>
        <v>0</v>
      </c>
      <c r="BH16" s="352">
        <f t="shared" si="18"/>
        <v>46.041131296780591</v>
      </c>
      <c r="BJ16" s="401">
        <f>D16*'Assumptions-Output Override'!$D$10/'Winners-Losers Values PMPM'!$H$107</f>
        <v>0</v>
      </c>
      <c r="BK16" s="401">
        <f>E16*'Assumptions-Output Override'!$D$10/'Winners-Losers Values PMPM'!$H$107</f>
        <v>0</v>
      </c>
      <c r="BL16" s="401">
        <f>F16*'Assumptions-Output Override'!$D$10/'Winners-Losers Values PMPM'!$H$107</f>
        <v>0</v>
      </c>
      <c r="BM16" s="401">
        <f>G16*'Assumptions-Output Override'!$D$10/'Winners-Losers Values PMPM'!$H$107</f>
        <v>0</v>
      </c>
      <c r="BN16" s="401">
        <f t="shared" si="2"/>
        <v>0</v>
      </c>
      <c r="BO16" s="401">
        <f>BJ16*(1-'Assumptions-Output Override'!$D$11)</f>
        <v>0</v>
      </c>
      <c r="BP16" s="401">
        <f>BK16*(1-'Assumptions-Output Override'!$D$11)</f>
        <v>0</v>
      </c>
      <c r="BQ16" s="401">
        <f>BL16*(1-'Assumptions-Output Override'!$D$11)</f>
        <v>0</v>
      </c>
      <c r="BR16" s="401">
        <f>BM16*(1-'Assumptions-Output Override'!$D$11)</f>
        <v>0</v>
      </c>
      <c r="BS16" s="352">
        <f t="shared" si="3"/>
        <v>0</v>
      </c>
      <c r="BT16" s="352">
        <f t="shared" si="19"/>
        <v>0</v>
      </c>
      <c r="BU16" s="352">
        <f t="shared" si="19"/>
        <v>0</v>
      </c>
      <c r="BV16" s="352">
        <f t="shared" si="19"/>
        <v>0</v>
      </c>
      <c r="BW16" s="352">
        <f t="shared" si="19"/>
        <v>0</v>
      </c>
      <c r="BX16" s="352">
        <f t="shared" si="4"/>
        <v>0</v>
      </c>
      <c r="BY16" s="352">
        <f>BT$107*(1-'Assumptions-Output Override'!$D$12)</f>
        <v>22.753074310428271</v>
      </c>
      <c r="BZ16" s="352">
        <f>BU$107*(1-'Assumptions-Output Override'!$D$12)</f>
        <v>51.446038369839215</v>
      </c>
      <c r="CA16" s="352">
        <f>BV$107*(1-'Assumptions-Output Override'!$D$12)</f>
        <v>9.7401900534537411</v>
      </c>
      <c r="CB16" s="352">
        <f>BW$107*(1-'Assumptions-Output Override'!$D$12)</f>
        <v>1.7000814189516649</v>
      </c>
      <c r="CC16" s="352">
        <f t="shared" si="5"/>
        <v>85.639384152672903</v>
      </c>
      <c r="CD16" s="352">
        <f t="shared" si="20"/>
        <v>22.753074310428271</v>
      </c>
      <c r="CE16" s="352">
        <f t="shared" si="20"/>
        <v>51.446038369839215</v>
      </c>
      <c r="CF16" s="352">
        <f t="shared" si="20"/>
        <v>9.7401900534537411</v>
      </c>
      <c r="CG16" s="352">
        <f t="shared" si="20"/>
        <v>1.7000814189516649</v>
      </c>
      <c r="CH16" s="352">
        <f t="shared" si="6"/>
        <v>85.639384152672903</v>
      </c>
      <c r="CJ16" s="352">
        <f t="shared" si="21"/>
        <v>85.639384152672903</v>
      </c>
      <c r="CK16" s="352">
        <f t="shared" si="22"/>
        <v>46.041131296780591</v>
      </c>
      <c r="CL16" s="352">
        <f t="shared" si="23"/>
        <v>39.598252855892312</v>
      </c>
      <c r="CN16" s="352">
        <f t="shared" si="24"/>
        <v>0</v>
      </c>
      <c r="CO16" s="352">
        <f t="shared" si="24"/>
        <v>0</v>
      </c>
      <c r="CP16" s="352">
        <f t="shared" si="24"/>
        <v>0</v>
      </c>
      <c r="CQ16" s="352">
        <f t="shared" si="24"/>
        <v>0</v>
      </c>
      <c r="CR16" s="352">
        <f t="shared" si="7"/>
        <v>0</v>
      </c>
      <c r="CT16" s="352">
        <f t="shared" si="8"/>
        <v>0</v>
      </c>
      <c r="CU16" s="352">
        <f t="shared" si="8"/>
        <v>0</v>
      </c>
      <c r="CV16" s="352">
        <f t="shared" si="8"/>
        <v>0</v>
      </c>
      <c r="CW16" s="352">
        <f t="shared" si="8"/>
        <v>0</v>
      </c>
      <c r="CX16" s="352">
        <f t="shared" si="9"/>
        <v>0</v>
      </c>
      <c r="CZ16" s="352">
        <f t="shared" si="25"/>
        <v>22.753074310428271</v>
      </c>
      <c r="DA16" s="352">
        <f t="shared" si="25"/>
        <v>5.4049070730586237</v>
      </c>
      <c r="DB16" s="352">
        <f t="shared" si="25"/>
        <v>9.7401900534537411</v>
      </c>
      <c r="DC16" s="352">
        <f t="shared" si="25"/>
        <v>1.7000814189516649</v>
      </c>
      <c r="DD16" s="352">
        <f t="shared" si="26"/>
        <v>39.598252855892298</v>
      </c>
      <c r="DF16" s="352">
        <f t="shared" si="27"/>
        <v>0</v>
      </c>
      <c r="DG16" s="352">
        <f t="shared" si="27"/>
        <v>46.041131296780591</v>
      </c>
      <c r="DH16" s="352">
        <f t="shared" si="27"/>
        <v>0</v>
      </c>
      <c r="DI16" s="352">
        <f t="shared" si="27"/>
        <v>0</v>
      </c>
      <c r="DJ16" s="352">
        <f t="shared" si="28"/>
        <v>46.041131296780591</v>
      </c>
    </row>
    <row r="17" spans="1:114" x14ac:dyDescent="0.2">
      <c r="A17">
        <f t="shared" si="29"/>
        <v>12</v>
      </c>
      <c r="B17" s="397">
        <v>34308</v>
      </c>
      <c r="C17" s="398">
        <v>397997.79676138877</v>
      </c>
      <c r="D17" s="399">
        <v>0</v>
      </c>
      <c r="E17" s="399">
        <v>0</v>
      </c>
      <c r="F17" s="399">
        <v>0</v>
      </c>
      <c r="G17" s="399">
        <v>0</v>
      </c>
      <c r="H17" s="399">
        <v>0</v>
      </c>
      <c r="I17" s="400">
        <v>0</v>
      </c>
      <c r="J17" s="400">
        <v>0</v>
      </c>
      <c r="K17" s="400">
        <v>0</v>
      </c>
      <c r="L17" s="400">
        <v>0</v>
      </c>
      <c r="M17" s="400">
        <v>0</v>
      </c>
      <c r="N17" s="400">
        <v>0</v>
      </c>
      <c r="O17" s="399">
        <f t="shared" si="0"/>
        <v>0</v>
      </c>
      <c r="P17" s="399">
        <f t="shared" si="0"/>
        <v>0</v>
      </c>
      <c r="Q17" s="399">
        <f t="shared" si="0"/>
        <v>0</v>
      </c>
      <c r="R17" s="399">
        <f t="shared" si="0"/>
        <v>0</v>
      </c>
      <c r="S17" s="399">
        <f t="shared" si="0"/>
        <v>0</v>
      </c>
      <c r="T17" s="399">
        <f t="shared" si="0"/>
        <v>0</v>
      </c>
      <c r="U17" s="399">
        <f t="shared" si="10"/>
        <v>0</v>
      </c>
      <c r="V17" s="400">
        <v>0</v>
      </c>
      <c r="W17" s="400">
        <v>0</v>
      </c>
      <c r="X17" s="400">
        <v>0</v>
      </c>
      <c r="Y17" s="400">
        <v>0</v>
      </c>
      <c r="Z17" s="400">
        <v>0</v>
      </c>
      <c r="AA17" s="400">
        <v>0</v>
      </c>
      <c r="AB17" s="352">
        <f t="shared" si="1"/>
        <v>0</v>
      </c>
      <c r="AC17" s="352">
        <f t="shared" si="1"/>
        <v>0</v>
      </c>
      <c r="AD17" s="352">
        <f t="shared" si="1"/>
        <v>0</v>
      </c>
      <c r="AE17" s="352">
        <f t="shared" si="1"/>
        <v>0</v>
      </c>
      <c r="AF17" s="352">
        <f t="shared" si="1"/>
        <v>0</v>
      </c>
      <c r="AG17" s="352">
        <f t="shared" si="1"/>
        <v>0</v>
      </c>
      <c r="AH17" s="400">
        <f t="shared" si="11"/>
        <v>0</v>
      </c>
      <c r="AJ17" s="352">
        <f>D17*('Assumptions-Output Override'!$D$10/'Winners-Losers Values PMPM'!$H$107)*(1+'Assumptions-Output Override'!$F$41)</f>
        <v>0</v>
      </c>
      <c r="AK17" s="352">
        <f>E17*('Assumptions-Output Override'!$D$10/'Winners-Losers Values PMPM'!$H$107)*(1+'Assumptions-Output Override'!$F$37)</f>
        <v>0</v>
      </c>
      <c r="AL17" s="352">
        <f>F17*('Assumptions-Output Override'!$D$10/'Winners-Losers Values PMPM'!$H$107)*(1+'Assumptions-Output Override'!$F$38)</f>
        <v>0</v>
      </c>
      <c r="AM17" s="352">
        <f>G17*('Shoppable Detail'!$X$21/'Shoppable Detail'!$H$21)*('Assumptions-Output Override'!$D$10/'Winners-Losers Values PMPM'!$H$107)*(1+'Assumptions-Output Override'!$F$39)</f>
        <v>0</v>
      </c>
      <c r="AN17" s="352">
        <f t="shared" si="12"/>
        <v>0</v>
      </c>
      <c r="AO17" s="352">
        <v>0</v>
      </c>
      <c r="AP17" s="352">
        <f>U17*'Assumptions-Output Override'!$D$10/'Winners-Losers Values PMPM'!$H$107*(1+'Assumptions-Output Override'!$F$37)</f>
        <v>0</v>
      </c>
      <c r="AQ17" s="352">
        <f>AH17*'Assumptions-Output Override'!$D$10/'Winners-Losers Values PMPM'!$H$107*(1+'Assumptions-Output Override'!$F$38)</f>
        <v>0</v>
      </c>
      <c r="AR17" s="352">
        <f>AM17*('Shoppable Detail'!$AA$23/'Shoppable Detail'!$Y$23)</f>
        <v>0</v>
      </c>
      <c r="AS17" s="352">
        <f t="shared" si="13"/>
        <v>0</v>
      </c>
      <c r="AT17" s="352">
        <f t="shared" si="14"/>
        <v>0</v>
      </c>
      <c r="AU17" s="352">
        <f t="shared" si="14"/>
        <v>0</v>
      </c>
      <c r="AV17" s="352">
        <f t="shared" si="14"/>
        <v>0</v>
      </c>
      <c r="AW17" s="352">
        <f t="shared" si="14"/>
        <v>0</v>
      </c>
      <c r="AX17" s="352">
        <f t="shared" si="15"/>
        <v>0</v>
      </c>
      <c r="AY17" s="352">
        <f>AT17*'Assumptions-Output Override'!$D$24</f>
        <v>0</v>
      </c>
      <c r="AZ17" s="352">
        <f>$AU$107*'Assumptions-Output Override'!$D$21</f>
        <v>46.041131296780591</v>
      </c>
      <c r="BA17" s="352">
        <f>AV17*'Assumptions-Output Override'!$D$22</f>
        <v>0</v>
      </c>
      <c r="BB17" s="352">
        <f>AW17*'Assumptions-Output Override'!$D$23</f>
        <v>0</v>
      </c>
      <c r="BC17" s="352">
        <f t="shared" si="16"/>
        <v>46.041131296780591</v>
      </c>
      <c r="BD17" s="352">
        <f t="shared" si="17"/>
        <v>0</v>
      </c>
      <c r="BE17" s="352">
        <f t="shared" si="17"/>
        <v>46.041131296780591</v>
      </c>
      <c r="BF17" s="352">
        <f t="shared" si="17"/>
        <v>0</v>
      </c>
      <c r="BG17" s="352">
        <f t="shared" si="17"/>
        <v>0</v>
      </c>
      <c r="BH17" s="352">
        <f t="shared" si="18"/>
        <v>46.041131296780591</v>
      </c>
      <c r="BJ17" s="401">
        <f>D17*'Assumptions-Output Override'!$D$10/'Winners-Losers Values PMPM'!$H$107</f>
        <v>0</v>
      </c>
      <c r="BK17" s="401">
        <f>E17*'Assumptions-Output Override'!$D$10/'Winners-Losers Values PMPM'!$H$107</f>
        <v>0</v>
      </c>
      <c r="BL17" s="401">
        <f>F17*'Assumptions-Output Override'!$D$10/'Winners-Losers Values PMPM'!$H$107</f>
        <v>0</v>
      </c>
      <c r="BM17" s="401">
        <f>G17*'Assumptions-Output Override'!$D$10/'Winners-Losers Values PMPM'!$H$107</f>
        <v>0</v>
      </c>
      <c r="BN17" s="401">
        <f t="shared" si="2"/>
        <v>0</v>
      </c>
      <c r="BO17" s="401">
        <f>BJ17*(1-'Assumptions-Output Override'!$D$11)</f>
        <v>0</v>
      </c>
      <c r="BP17" s="401">
        <f>BK17*(1-'Assumptions-Output Override'!$D$11)</f>
        <v>0</v>
      </c>
      <c r="BQ17" s="401">
        <f>BL17*(1-'Assumptions-Output Override'!$D$11)</f>
        <v>0</v>
      </c>
      <c r="BR17" s="401">
        <f>BM17*(1-'Assumptions-Output Override'!$D$11)</f>
        <v>0</v>
      </c>
      <c r="BS17" s="352">
        <f t="shared" si="3"/>
        <v>0</v>
      </c>
      <c r="BT17" s="352">
        <f t="shared" si="19"/>
        <v>0</v>
      </c>
      <c r="BU17" s="352">
        <f t="shared" si="19"/>
        <v>0</v>
      </c>
      <c r="BV17" s="352">
        <f t="shared" si="19"/>
        <v>0</v>
      </c>
      <c r="BW17" s="352">
        <f t="shared" si="19"/>
        <v>0</v>
      </c>
      <c r="BX17" s="352">
        <f t="shared" si="4"/>
        <v>0</v>
      </c>
      <c r="BY17" s="352">
        <f>BT$107*(1-'Assumptions-Output Override'!$D$12)</f>
        <v>22.753074310428271</v>
      </c>
      <c r="BZ17" s="352">
        <f>BU$107*(1-'Assumptions-Output Override'!$D$12)</f>
        <v>51.446038369839215</v>
      </c>
      <c r="CA17" s="352">
        <f>BV$107*(1-'Assumptions-Output Override'!$D$12)</f>
        <v>9.7401900534537411</v>
      </c>
      <c r="CB17" s="352">
        <f>BW$107*(1-'Assumptions-Output Override'!$D$12)</f>
        <v>1.7000814189516649</v>
      </c>
      <c r="CC17" s="352">
        <f t="shared" si="5"/>
        <v>85.639384152672903</v>
      </c>
      <c r="CD17" s="352">
        <f t="shared" si="20"/>
        <v>22.753074310428271</v>
      </c>
      <c r="CE17" s="352">
        <f t="shared" si="20"/>
        <v>51.446038369839215</v>
      </c>
      <c r="CF17" s="352">
        <f t="shared" si="20"/>
        <v>9.7401900534537411</v>
      </c>
      <c r="CG17" s="352">
        <f t="shared" si="20"/>
        <v>1.7000814189516649</v>
      </c>
      <c r="CH17" s="352">
        <f t="shared" si="6"/>
        <v>85.639384152672903</v>
      </c>
      <c r="CJ17" s="352">
        <f t="shared" si="21"/>
        <v>85.639384152672903</v>
      </c>
      <c r="CK17" s="352">
        <f t="shared" si="22"/>
        <v>46.041131296780591</v>
      </c>
      <c r="CL17" s="352">
        <f t="shared" si="23"/>
        <v>39.598252855892312</v>
      </c>
      <c r="CN17" s="352">
        <f t="shared" si="24"/>
        <v>0</v>
      </c>
      <c r="CO17" s="352">
        <f t="shared" si="24"/>
        <v>0</v>
      </c>
      <c r="CP17" s="352">
        <f t="shared" si="24"/>
        <v>0</v>
      </c>
      <c r="CQ17" s="352">
        <f t="shared" si="24"/>
        <v>0</v>
      </c>
      <c r="CR17" s="352">
        <f t="shared" si="7"/>
        <v>0</v>
      </c>
      <c r="CT17" s="352">
        <f t="shared" si="8"/>
        <v>0</v>
      </c>
      <c r="CU17" s="352">
        <f t="shared" si="8"/>
        <v>0</v>
      </c>
      <c r="CV17" s="352">
        <f t="shared" si="8"/>
        <v>0</v>
      </c>
      <c r="CW17" s="352">
        <f t="shared" si="8"/>
        <v>0</v>
      </c>
      <c r="CX17" s="352">
        <f t="shared" si="9"/>
        <v>0</v>
      </c>
      <c r="CZ17" s="352">
        <f t="shared" si="25"/>
        <v>22.753074310428271</v>
      </c>
      <c r="DA17" s="352">
        <f t="shared" si="25"/>
        <v>5.4049070730586237</v>
      </c>
      <c r="DB17" s="352">
        <f t="shared" si="25"/>
        <v>9.7401900534537411</v>
      </c>
      <c r="DC17" s="352">
        <f t="shared" si="25"/>
        <v>1.7000814189516649</v>
      </c>
      <c r="DD17" s="352">
        <f t="shared" si="26"/>
        <v>39.598252855892298</v>
      </c>
      <c r="DF17" s="352">
        <f t="shared" si="27"/>
        <v>0</v>
      </c>
      <c r="DG17" s="352">
        <f t="shared" si="27"/>
        <v>46.041131296780591</v>
      </c>
      <c r="DH17" s="352">
        <f t="shared" si="27"/>
        <v>0</v>
      </c>
      <c r="DI17" s="352">
        <f t="shared" si="27"/>
        <v>0</v>
      </c>
      <c r="DJ17" s="352">
        <f t="shared" si="28"/>
        <v>46.041131296780591</v>
      </c>
    </row>
    <row r="18" spans="1:114" x14ac:dyDescent="0.2">
      <c r="A18">
        <f t="shared" si="29"/>
        <v>13</v>
      </c>
      <c r="B18" s="397">
        <v>34308</v>
      </c>
      <c r="C18" s="398">
        <v>397997.79676138877</v>
      </c>
      <c r="D18" s="399">
        <v>0</v>
      </c>
      <c r="E18" s="399">
        <v>0</v>
      </c>
      <c r="F18" s="399">
        <v>0</v>
      </c>
      <c r="G18" s="399">
        <v>0</v>
      </c>
      <c r="H18" s="399">
        <v>0</v>
      </c>
      <c r="I18" s="400">
        <v>0</v>
      </c>
      <c r="J18" s="400">
        <v>0</v>
      </c>
      <c r="K18" s="400">
        <v>0</v>
      </c>
      <c r="L18" s="400">
        <v>0</v>
      </c>
      <c r="M18" s="400">
        <v>0</v>
      </c>
      <c r="N18" s="400">
        <v>0</v>
      </c>
      <c r="O18" s="399">
        <f t="shared" si="0"/>
        <v>0</v>
      </c>
      <c r="P18" s="399">
        <f t="shared" si="0"/>
        <v>0</v>
      </c>
      <c r="Q18" s="399">
        <f t="shared" si="0"/>
        <v>0</v>
      </c>
      <c r="R18" s="399">
        <f t="shared" si="0"/>
        <v>0</v>
      </c>
      <c r="S18" s="399">
        <f t="shared" si="0"/>
        <v>0</v>
      </c>
      <c r="T18" s="399">
        <f t="shared" si="0"/>
        <v>0</v>
      </c>
      <c r="U18" s="399">
        <f t="shared" si="10"/>
        <v>0</v>
      </c>
      <c r="V18" s="400">
        <v>0</v>
      </c>
      <c r="W18" s="400">
        <v>0</v>
      </c>
      <c r="X18" s="400">
        <v>0</v>
      </c>
      <c r="Y18" s="400">
        <v>0</v>
      </c>
      <c r="Z18" s="400">
        <v>0</v>
      </c>
      <c r="AA18" s="400">
        <v>0</v>
      </c>
      <c r="AB18" s="352">
        <f t="shared" si="1"/>
        <v>0</v>
      </c>
      <c r="AC18" s="352">
        <f t="shared" si="1"/>
        <v>0</v>
      </c>
      <c r="AD18" s="352">
        <f t="shared" si="1"/>
        <v>0</v>
      </c>
      <c r="AE18" s="352">
        <f t="shared" si="1"/>
        <v>0</v>
      </c>
      <c r="AF18" s="352">
        <f t="shared" si="1"/>
        <v>0</v>
      </c>
      <c r="AG18" s="352">
        <f t="shared" si="1"/>
        <v>0</v>
      </c>
      <c r="AH18" s="400">
        <f t="shared" si="11"/>
        <v>0</v>
      </c>
      <c r="AJ18" s="352">
        <f>D18*('Assumptions-Output Override'!$D$10/'Winners-Losers Values PMPM'!$H$107)*(1+'Assumptions-Output Override'!$F$41)</f>
        <v>0</v>
      </c>
      <c r="AK18" s="352">
        <f>E18*('Assumptions-Output Override'!$D$10/'Winners-Losers Values PMPM'!$H$107)*(1+'Assumptions-Output Override'!$F$37)</f>
        <v>0</v>
      </c>
      <c r="AL18" s="352">
        <f>F18*('Assumptions-Output Override'!$D$10/'Winners-Losers Values PMPM'!$H$107)*(1+'Assumptions-Output Override'!$F$38)</f>
        <v>0</v>
      </c>
      <c r="AM18" s="352">
        <f>G18*('Shoppable Detail'!$X$21/'Shoppable Detail'!$H$21)*('Assumptions-Output Override'!$D$10/'Winners-Losers Values PMPM'!$H$107)*(1+'Assumptions-Output Override'!$F$39)</f>
        <v>0</v>
      </c>
      <c r="AN18" s="352">
        <f t="shared" si="12"/>
        <v>0</v>
      </c>
      <c r="AO18" s="352">
        <v>0</v>
      </c>
      <c r="AP18" s="352">
        <f>U18*'Assumptions-Output Override'!$D$10/'Winners-Losers Values PMPM'!$H$107*(1+'Assumptions-Output Override'!$F$37)</f>
        <v>0</v>
      </c>
      <c r="AQ18" s="352">
        <f>AH18*'Assumptions-Output Override'!$D$10/'Winners-Losers Values PMPM'!$H$107*(1+'Assumptions-Output Override'!$F$38)</f>
        <v>0</v>
      </c>
      <c r="AR18" s="352">
        <f>AM18*('Shoppable Detail'!$AA$23/'Shoppable Detail'!$Y$23)</f>
        <v>0</v>
      </c>
      <c r="AS18" s="352">
        <f t="shared" si="13"/>
        <v>0</v>
      </c>
      <c r="AT18" s="352">
        <f t="shared" si="14"/>
        <v>0</v>
      </c>
      <c r="AU18" s="352">
        <f t="shared" si="14"/>
        <v>0</v>
      </c>
      <c r="AV18" s="352">
        <f t="shared" si="14"/>
        <v>0</v>
      </c>
      <c r="AW18" s="352">
        <f t="shared" si="14"/>
        <v>0</v>
      </c>
      <c r="AX18" s="352">
        <f t="shared" si="15"/>
        <v>0</v>
      </c>
      <c r="AY18" s="352">
        <f>AT18*'Assumptions-Output Override'!$D$24</f>
        <v>0</v>
      </c>
      <c r="AZ18" s="352">
        <f>$AU$107*'Assumptions-Output Override'!$D$21</f>
        <v>46.041131296780591</v>
      </c>
      <c r="BA18" s="352">
        <f>AV18*'Assumptions-Output Override'!$D$22</f>
        <v>0</v>
      </c>
      <c r="BB18" s="352">
        <f>AW18*'Assumptions-Output Override'!$D$23</f>
        <v>0</v>
      </c>
      <c r="BC18" s="352">
        <f t="shared" si="16"/>
        <v>46.041131296780591</v>
      </c>
      <c r="BD18" s="352">
        <f t="shared" si="17"/>
        <v>0</v>
      </c>
      <c r="BE18" s="352">
        <f t="shared" si="17"/>
        <v>46.041131296780591</v>
      </c>
      <c r="BF18" s="352">
        <f t="shared" si="17"/>
        <v>0</v>
      </c>
      <c r="BG18" s="352">
        <f t="shared" si="17"/>
        <v>0</v>
      </c>
      <c r="BH18" s="352">
        <f t="shared" si="18"/>
        <v>46.041131296780591</v>
      </c>
      <c r="BJ18" s="401">
        <f>D18*'Assumptions-Output Override'!$D$10/'Winners-Losers Values PMPM'!$H$107</f>
        <v>0</v>
      </c>
      <c r="BK18" s="401">
        <f>E18*'Assumptions-Output Override'!$D$10/'Winners-Losers Values PMPM'!$H$107</f>
        <v>0</v>
      </c>
      <c r="BL18" s="401">
        <f>F18*'Assumptions-Output Override'!$D$10/'Winners-Losers Values PMPM'!$H$107</f>
        <v>0</v>
      </c>
      <c r="BM18" s="401">
        <f>G18*'Assumptions-Output Override'!$D$10/'Winners-Losers Values PMPM'!$H$107</f>
        <v>0</v>
      </c>
      <c r="BN18" s="401">
        <f t="shared" si="2"/>
        <v>0</v>
      </c>
      <c r="BO18" s="401">
        <f>BJ18*(1-'Assumptions-Output Override'!$D$11)</f>
        <v>0</v>
      </c>
      <c r="BP18" s="401">
        <f>BK18*(1-'Assumptions-Output Override'!$D$11)</f>
        <v>0</v>
      </c>
      <c r="BQ18" s="401">
        <f>BL18*(1-'Assumptions-Output Override'!$D$11)</f>
        <v>0</v>
      </c>
      <c r="BR18" s="401">
        <f>BM18*(1-'Assumptions-Output Override'!$D$11)</f>
        <v>0</v>
      </c>
      <c r="BS18" s="352">
        <f t="shared" si="3"/>
        <v>0</v>
      </c>
      <c r="BT18" s="352">
        <f t="shared" si="19"/>
        <v>0</v>
      </c>
      <c r="BU18" s="352">
        <f t="shared" si="19"/>
        <v>0</v>
      </c>
      <c r="BV18" s="352">
        <f t="shared" si="19"/>
        <v>0</v>
      </c>
      <c r="BW18" s="352">
        <f t="shared" si="19"/>
        <v>0</v>
      </c>
      <c r="BX18" s="352">
        <f t="shared" si="4"/>
        <v>0</v>
      </c>
      <c r="BY18" s="352">
        <f>BT$107*(1-'Assumptions-Output Override'!$D$12)</f>
        <v>22.753074310428271</v>
      </c>
      <c r="BZ18" s="352">
        <f>BU$107*(1-'Assumptions-Output Override'!$D$12)</f>
        <v>51.446038369839215</v>
      </c>
      <c r="CA18" s="352">
        <f>BV$107*(1-'Assumptions-Output Override'!$D$12)</f>
        <v>9.7401900534537411</v>
      </c>
      <c r="CB18" s="352">
        <f>BW$107*(1-'Assumptions-Output Override'!$D$12)</f>
        <v>1.7000814189516649</v>
      </c>
      <c r="CC18" s="352">
        <f t="shared" si="5"/>
        <v>85.639384152672903</v>
      </c>
      <c r="CD18" s="352">
        <f t="shared" si="20"/>
        <v>22.753074310428271</v>
      </c>
      <c r="CE18" s="352">
        <f t="shared" si="20"/>
        <v>51.446038369839215</v>
      </c>
      <c r="CF18" s="352">
        <f t="shared" si="20"/>
        <v>9.7401900534537411</v>
      </c>
      <c r="CG18" s="352">
        <f t="shared" si="20"/>
        <v>1.7000814189516649</v>
      </c>
      <c r="CH18" s="352">
        <f t="shared" si="6"/>
        <v>85.639384152672903</v>
      </c>
      <c r="CJ18" s="352">
        <f t="shared" si="21"/>
        <v>85.639384152672903</v>
      </c>
      <c r="CK18" s="352">
        <f t="shared" si="22"/>
        <v>46.041131296780591</v>
      </c>
      <c r="CL18" s="352">
        <f t="shared" si="23"/>
        <v>39.598252855892312</v>
      </c>
      <c r="CN18" s="352">
        <f t="shared" si="24"/>
        <v>0</v>
      </c>
      <c r="CO18" s="352">
        <f t="shared" si="24"/>
        <v>0</v>
      </c>
      <c r="CP18" s="352">
        <f t="shared" si="24"/>
        <v>0</v>
      </c>
      <c r="CQ18" s="352">
        <f t="shared" si="24"/>
        <v>0</v>
      </c>
      <c r="CR18" s="352">
        <f t="shared" si="7"/>
        <v>0</v>
      </c>
      <c r="CT18" s="352">
        <f t="shared" si="8"/>
        <v>0</v>
      </c>
      <c r="CU18" s="352">
        <f t="shared" si="8"/>
        <v>0</v>
      </c>
      <c r="CV18" s="352">
        <f t="shared" si="8"/>
        <v>0</v>
      </c>
      <c r="CW18" s="352">
        <f t="shared" si="8"/>
        <v>0</v>
      </c>
      <c r="CX18" s="352">
        <f t="shared" si="9"/>
        <v>0</v>
      </c>
      <c r="CZ18" s="352">
        <f t="shared" si="25"/>
        <v>22.753074310428271</v>
      </c>
      <c r="DA18" s="352">
        <f t="shared" si="25"/>
        <v>5.4049070730586237</v>
      </c>
      <c r="DB18" s="352">
        <f t="shared" si="25"/>
        <v>9.7401900534537411</v>
      </c>
      <c r="DC18" s="352">
        <f t="shared" si="25"/>
        <v>1.7000814189516649</v>
      </c>
      <c r="DD18" s="352">
        <f t="shared" si="26"/>
        <v>39.598252855892298</v>
      </c>
      <c r="DF18" s="352">
        <f t="shared" si="27"/>
        <v>0</v>
      </c>
      <c r="DG18" s="352">
        <f t="shared" si="27"/>
        <v>46.041131296780591</v>
      </c>
      <c r="DH18" s="352">
        <f t="shared" si="27"/>
        <v>0</v>
      </c>
      <c r="DI18" s="352">
        <f t="shared" si="27"/>
        <v>0</v>
      </c>
      <c r="DJ18" s="352">
        <f t="shared" si="28"/>
        <v>46.041131296780591</v>
      </c>
    </row>
    <row r="19" spans="1:114" x14ac:dyDescent="0.2">
      <c r="A19">
        <f t="shared" si="29"/>
        <v>14</v>
      </c>
      <c r="B19" s="397">
        <v>34308</v>
      </c>
      <c r="C19" s="398">
        <v>397997.79676138877</v>
      </c>
      <c r="D19" s="399">
        <v>0</v>
      </c>
      <c r="E19" s="399">
        <v>0</v>
      </c>
      <c r="F19" s="399">
        <v>0</v>
      </c>
      <c r="G19" s="399">
        <v>0</v>
      </c>
      <c r="H19" s="399">
        <v>0</v>
      </c>
      <c r="I19" s="400">
        <v>0</v>
      </c>
      <c r="J19" s="400">
        <v>0</v>
      </c>
      <c r="K19" s="400">
        <v>0</v>
      </c>
      <c r="L19" s="400">
        <v>0</v>
      </c>
      <c r="M19" s="400">
        <v>0</v>
      </c>
      <c r="N19" s="400">
        <v>0</v>
      </c>
      <c r="O19" s="399">
        <f t="shared" si="0"/>
        <v>0</v>
      </c>
      <c r="P19" s="399">
        <f t="shared" si="0"/>
        <v>0</v>
      </c>
      <c r="Q19" s="399">
        <f t="shared" si="0"/>
        <v>0</v>
      </c>
      <c r="R19" s="399">
        <f t="shared" si="0"/>
        <v>0</v>
      </c>
      <c r="S19" s="399">
        <f t="shared" si="0"/>
        <v>0</v>
      </c>
      <c r="T19" s="399">
        <f t="shared" si="0"/>
        <v>0</v>
      </c>
      <c r="U19" s="399">
        <f t="shared" si="10"/>
        <v>0</v>
      </c>
      <c r="V19" s="400">
        <v>0</v>
      </c>
      <c r="W19" s="400">
        <v>0</v>
      </c>
      <c r="X19" s="400">
        <v>0</v>
      </c>
      <c r="Y19" s="400">
        <v>0</v>
      </c>
      <c r="Z19" s="400">
        <v>0</v>
      </c>
      <c r="AA19" s="400">
        <v>0</v>
      </c>
      <c r="AB19" s="352">
        <f t="shared" si="1"/>
        <v>0</v>
      </c>
      <c r="AC19" s="352">
        <f t="shared" si="1"/>
        <v>0</v>
      </c>
      <c r="AD19" s="352">
        <f t="shared" si="1"/>
        <v>0</v>
      </c>
      <c r="AE19" s="352">
        <f t="shared" si="1"/>
        <v>0</v>
      </c>
      <c r="AF19" s="352">
        <f t="shared" si="1"/>
        <v>0</v>
      </c>
      <c r="AG19" s="352">
        <f t="shared" si="1"/>
        <v>0</v>
      </c>
      <c r="AH19" s="400">
        <f t="shared" si="11"/>
        <v>0</v>
      </c>
      <c r="AJ19" s="352">
        <f>D19*('Assumptions-Output Override'!$D$10/'Winners-Losers Values PMPM'!$H$107)*(1+'Assumptions-Output Override'!$F$41)</f>
        <v>0</v>
      </c>
      <c r="AK19" s="352">
        <f>E19*('Assumptions-Output Override'!$D$10/'Winners-Losers Values PMPM'!$H$107)*(1+'Assumptions-Output Override'!$F$37)</f>
        <v>0</v>
      </c>
      <c r="AL19" s="352">
        <f>F19*('Assumptions-Output Override'!$D$10/'Winners-Losers Values PMPM'!$H$107)*(1+'Assumptions-Output Override'!$F$38)</f>
        <v>0</v>
      </c>
      <c r="AM19" s="352">
        <f>G19*('Shoppable Detail'!$X$21/'Shoppable Detail'!$H$21)*('Assumptions-Output Override'!$D$10/'Winners-Losers Values PMPM'!$H$107)*(1+'Assumptions-Output Override'!$F$39)</f>
        <v>0</v>
      </c>
      <c r="AN19" s="352">
        <f t="shared" si="12"/>
        <v>0</v>
      </c>
      <c r="AO19" s="352">
        <v>0</v>
      </c>
      <c r="AP19" s="352">
        <f>U19*'Assumptions-Output Override'!$D$10/'Winners-Losers Values PMPM'!$H$107*(1+'Assumptions-Output Override'!$F$37)</f>
        <v>0</v>
      </c>
      <c r="AQ19" s="352">
        <f>AH19*'Assumptions-Output Override'!$D$10/'Winners-Losers Values PMPM'!$H$107*(1+'Assumptions-Output Override'!$F$38)</f>
        <v>0</v>
      </c>
      <c r="AR19" s="352">
        <f>AM19*('Shoppable Detail'!$AA$23/'Shoppable Detail'!$Y$23)</f>
        <v>0</v>
      </c>
      <c r="AS19" s="352">
        <f t="shared" si="13"/>
        <v>0</v>
      </c>
      <c r="AT19" s="352">
        <f t="shared" si="14"/>
        <v>0</v>
      </c>
      <c r="AU19" s="352">
        <f t="shared" si="14"/>
        <v>0</v>
      </c>
      <c r="AV19" s="352">
        <f t="shared" si="14"/>
        <v>0</v>
      </c>
      <c r="AW19" s="352">
        <f t="shared" si="14"/>
        <v>0</v>
      </c>
      <c r="AX19" s="352">
        <f t="shared" si="15"/>
        <v>0</v>
      </c>
      <c r="AY19" s="352">
        <f>AT19*'Assumptions-Output Override'!$D$24</f>
        <v>0</v>
      </c>
      <c r="AZ19" s="352">
        <f>$AU$107*'Assumptions-Output Override'!$D$21</f>
        <v>46.041131296780591</v>
      </c>
      <c r="BA19" s="352">
        <f>AV19*'Assumptions-Output Override'!$D$22</f>
        <v>0</v>
      </c>
      <c r="BB19" s="352">
        <f>AW19*'Assumptions-Output Override'!$D$23</f>
        <v>0</v>
      </c>
      <c r="BC19" s="352">
        <f t="shared" si="16"/>
        <v>46.041131296780591</v>
      </c>
      <c r="BD19" s="352">
        <f t="shared" si="17"/>
        <v>0</v>
      </c>
      <c r="BE19" s="352">
        <f t="shared" si="17"/>
        <v>46.041131296780591</v>
      </c>
      <c r="BF19" s="352">
        <f t="shared" si="17"/>
        <v>0</v>
      </c>
      <c r="BG19" s="352">
        <f t="shared" si="17"/>
        <v>0</v>
      </c>
      <c r="BH19" s="352">
        <f t="shared" si="18"/>
        <v>46.041131296780591</v>
      </c>
      <c r="BJ19" s="401">
        <f>D19*'Assumptions-Output Override'!$D$10/'Winners-Losers Values PMPM'!$H$107</f>
        <v>0</v>
      </c>
      <c r="BK19" s="401">
        <f>E19*'Assumptions-Output Override'!$D$10/'Winners-Losers Values PMPM'!$H$107</f>
        <v>0</v>
      </c>
      <c r="BL19" s="401">
        <f>F19*'Assumptions-Output Override'!$D$10/'Winners-Losers Values PMPM'!$H$107</f>
        <v>0</v>
      </c>
      <c r="BM19" s="401">
        <f>G19*'Assumptions-Output Override'!$D$10/'Winners-Losers Values PMPM'!$H$107</f>
        <v>0</v>
      </c>
      <c r="BN19" s="401">
        <f t="shared" si="2"/>
        <v>0</v>
      </c>
      <c r="BO19" s="401">
        <f>BJ19*(1-'Assumptions-Output Override'!$D$11)</f>
        <v>0</v>
      </c>
      <c r="BP19" s="401">
        <f>BK19*(1-'Assumptions-Output Override'!$D$11)</f>
        <v>0</v>
      </c>
      <c r="BQ19" s="401">
        <f>BL19*(1-'Assumptions-Output Override'!$D$11)</f>
        <v>0</v>
      </c>
      <c r="BR19" s="401">
        <f>BM19*(1-'Assumptions-Output Override'!$D$11)</f>
        <v>0</v>
      </c>
      <c r="BS19" s="352">
        <f t="shared" si="3"/>
        <v>0</v>
      </c>
      <c r="BT19" s="352">
        <f t="shared" si="19"/>
        <v>0</v>
      </c>
      <c r="BU19" s="352">
        <f t="shared" si="19"/>
        <v>0</v>
      </c>
      <c r="BV19" s="352">
        <f t="shared" si="19"/>
        <v>0</v>
      </c>
      <c r="BW19" s="352">
        <f t="shared" si="19"/>
        <v>0</v>
      </c>
      <c r="BX19" s="352">
        <f t="shared" si="4"/>
        <v>0</v>
      </c>
      <c r="BY19" s="352">
        <f>BT$107*(1-'Assumptions-Output Override'!$D$12)</f>
        <v>22.753074310428271</v>
      </c>
      <c r="BZ19" s="352">
        <f>BU$107*(1-'Assumptions-Output Override'!$D$12)</f>
        <v>51.446038369839215</v>
      </c>
      <c r="CA19" s="352">
        <f>BV$107*(1-'Assumptions-Output Override'!$D$12)</f>
        <v>9.7401900534537411</v>
      </c>
      <c r="CB19" s="352">
        <f>BW$107*(1-'Assumptions-Output Override'!$D$12)</f>
        <v>1.7000814189516649</v>
      </c>
      <c r="CC19" s="352">
        <f t="shared" si="5"/>
        <v>85.639384152672903</v>
      </c>
      <c r="CD19" s="352">
        <f t="shared" si="20"/>
        <v>22.753074310428271</v>
      </c>
      <c r="CE19" s="352">
        <f t="shared" si="20"/>
        <v>51.446038369839215</v>
      </c>
      <c r="CF19" s="352">
        <f t="shared" si="20"/>
        <v>9.7401900534537411</v>
      </c>
      <c r="CG19" s="352">
        <f t="shared" si="20"/>
        <v>1.7000814189516649</v>
      </c>
      <c r="CH19" s="352">
        <f t="shared" si="6"/>
        <v>85.639384152672903</v>
      </c>
      <c r="CJ19" s="352">
        <f t="shared" si="21"/>
        <v>85.639384152672903</v>
      </c>
      <c r="CK19" s="352">
        <f t="shared" si="22"/>
        <v>46.041131296780591</v>
      </c>
      <c r="CL19" s="352">
        <f t="shared" si="23"/>
        <v>39.598252855892312</v>
      </c>
      <c r="CN19" s="352">
        <f t="shared" si="24"/>
        <v>0</v>
      </c>
      <c r="CO19" s="352">
        <f t="shared" si="24"/>
        <v>0</v>
      </c>
      <c r="CP19" s="352">
        <f t="shared" si="24"/>
        <v>0</v>
      </c>
      <c r="CQ19" s="352">
        <f t="shared" si="24"/>
        <v>0</v>
      </c>
      <c r="CR19" s="352">
        <f t="shared" si="7"/>
        <v>0</v>
      </c>
      <c r="CT19" s="352">
        <f t="shared" si="8"/>
        <v>0</v>
      </c>
      <c r="CU19" s="352">
        <f t="shared" si="8"/>
        <v>0</v>
      </c>
      <c r="CV19" s="352">
        <f t="shared" si="8"/>
        <v>0</v>
      </c>
      <c r="CW19" s="352">
        <f t="shared" si="8"/>
        <v>0</v>
      </c>
      <c r="CX19" s="352">
        <f t="shared" si="9"/>
        <v>0</v>
      </c>
      <c r="CZ19" s="352">
        <f t="shared" si="25"/>
        <v>22.753074310428271</v>
      </c>
      <c r="DA19" s="352">
        <f t="shared" si="25"/>
        <v>5.4049070730586237</v>
      </c>
      <c r="DB19" s="352">
        <f t="shared" si="25"/>
        <v>9.7401900534537411</v>
      </c>
      <c r="DC19" s="352">
        <f t="shared" si="25"/>
        <v>1.7000814189516649</v>
      </c>
      <c r="DD19" s="352">
        <f t="shared" si="26"/>
        <v>39.598252855892298</v>
      </c>
      <c r="DF19" s="352">
        <f t="shared" si="27"/>
        <v>0</v>
      </c>
      <c r="DG19" s="352">
        <f t="shared" si="27"/>
        <v>46.041131296780591</v>
      </c>
      <c r="DH19" s="352">
        <f t="shared" si="27"/>
        <v>0</v>
      </c>
      <c r="DI19" s="352">
        <f t="shared" si="27"/>
        <v>0</v>
      </c>
      <c r="DJ19" s="352">
        <f t="shared" si="28"/>
        <v>46.041131296780591</v>
      </c>
    </row>
    <row r="20" spans="1:114" x14ac:dyDescent="0.2">
      <c r="A20">
        <f t="shared" si="29"/>
        <v>15</v>
      </c>
      <c r="B20" s="397">
        <v>34308</v>
      </c>
      <c r="C20" s="398">
        <v>397997.79676138877</v>
      </c>
      <c r="D20" s="399">
        <v>0</v>
      </c>
      <c r="E20" s="399">
        <v>0</v>
      </c>
      <c r="F20" s="399">
        <v>0</v>
      </c>
      <c r="G20" s="399">
        <v>0</v>
      </c>
      <c r="H20" s="399">
        <v>0</v>
      </c>
      <c r="I20" s="400">
        <v>0</v>
      </c>
      <c r="J20" s="400">
        <v>0</v>
      </c>
      <c r="K20" s="400">
        <v>0</v>
      </c>
      <c r="L20" s="400">
        <v>0</v>
      </c>
      <c r="M20" s="400">
        <v>0</v>
      </c>
      <c r="N20" s="400">
        <v>0</v>
      </c>
      <c r="O20" s="399">
        <f t="shared" si="0"/>
        <v>0</v>
      </c>
      <c r="P20" s="399">
        <f t="shared" si="0"/>
        <v>0</v>
      </c>
      <c r="Q20" s="399">
        <f t="shared" si="0"/>
        <v>0</v>
      </c>
      <c r="R20" s="399">
        <f t="shared" si="0"/>
        <v>0</v>
      </c>
      <c r="S20" s="399">
        <f t="shared" si="0"/>
        <v>0</v>
      </c>
      <c r="T20" s="399">
        <f t="shared" si="0"/>
        <v>0</v>
      </c>
      <c r="U20" s="399">
        <f t="shared" si="10"/>
        <v>0</v>
      </c>
      <c r="V20" s="400">
        <v>0</v>
      </c>
      <c r="W20" s="400">
        <v>0</v>
      </c>
      <c r="X20" s="400">
        <v>0</v>
      </c>
      <c r="Y20" s="400">
        <v>0</v>
      </c>
      <c r="Z20" s="400">
        <v>0</v>
      </c>
      <c r="AA20" s="400">
        <v>0</v>
      </c>
      <c r="AB20" s="352">
        <f t="shared" si="1"/>
        <v>0</v>
      </c>
      <c r="AC20" s="352">
        <f t="shared" si="1"/>
        <v>0</v>
      </c>
      <c r="AD20" s="352">
        <f t="shared" si="1"/>
        <v>0</v>
      </c>
      <c r="AE20" s="352">
        <f t="shared" si="1"/>
        <v>0</v>
      </c>
      <c r="AF20" s="352">
        <f t="shared" si="1"/>
        <v>0</v>
      </c>
      <c r="AG20" s="352">
        <f t="shared" si="1"/>
        <v>0</v>
      </c>
      <c r="AH20" s="400">
        <f t="shared" si="11"/>
        <v>0</v>
      </c>
      <c r="AJ20" s="352">
        <f>D20*('Assumptions-Output Override'!$D$10/'Winners-Losers Values PMPM'!$H$107)*(1+'Assumptions-Output Override'!$F$41)</f>
        <v>0</v>
      </c>
      <c r="AK20" s="352">
        <f>E20*('Assumptions-Output Override'!$D$10/'Winners-Losers Values PMPM'!$H$107)*(1+'Assumptions-Output Override'!$F$37)</f>
        <v>0</v>
      </c>
      <c r="AL20" s="352">
        <f>F20*('Assumptions-Output Override'!$D$10/'Winners-Losers Values PMPM'!$H$107)*(1+'Assumptions-Output Override'!$F$38)</f>
        <v>0</v>
      </c>
      <c r="AM20" s="352">
        <f>G20*('Shoppable Detail'!$X$21/'Shoppable Detail'!$H$21)*('Assumptions-Output Override'!$D$10/'Winners-Losers Values PMPM'!$H$107)*(1+'Assumptions-Output Override'!$F$39)</f>
        <v>0</v>
      </c>
      <c r="AN20" s="352">
        <f t="shared" si="12"/>
        <v>0</v>
      </c>
      <c r="AO20" s="352">
        <v>0</v>
      </c>
      <c r="AP20" s="352">
        <f>U20*'Assumptions-Output Override'!$D$10/'Winners-Losers Values PMPM'!$H$107*(1+'Assumptions-Output Override'!$F$37)</f>
        <v>0</v>
      </c>
      <c r="AQ20" s="352">
        <f>AH20*'Assumptions-Output Override'!$D$10/'Winners-Losers Values PMPM'!$H$107*(1+'Assumptions-Output Override'!$F$38)</f>
        <v>0</v>
      </c>
      <c r="AR20" s="352">
        <f>AM20*('Shoppable Detail'!$AA$23/'Shoppable Detail'!$Y$23)</f>
        <v>0</v>
      </c>
      <c r="AS20" s="352">
        <f t="shared" si="13"/>
        <v>0</v>
      </c>
      <c r="AT20" s="352">
        <f t="shared" si="14"/>
        <v>0</v>
      </c>
      <c r="AU20" s="352">
        <f t="shared" si="14"/>
        <v>0</v>
      </c>
      <c r="AV20" s="352">
        <f t="shared" si="14"/>
        <v>0</v>
      </c>
      <c r="AW20" s="352">
        <f t="shared" si="14"/>
        <v>0</v>
      </c>
      <c r="AX20" s="352">
        <f t="shared" si="15"/>
        <v>0</v>
      </c>
      <c r="AY20" s="352">
        <f>AT20*'Assumptions-Output Override'!$D$24</f>
        <v>0</v>
      </c>
      <c r="AZ20" s="352">
        <f>$AU$107*'Assumptions-Output Override'!$D$21</f>
        <v>46.041131296780591</v>
      </c>
      <c r="BA20" s="352">
        <f>AV20*'Assumptions-Output Override'!$D$22</f>
        <v>0</v>
      </c>
      <c r="BB20" s="352">
        <f>AW20*'Assumptions-Output Override'!$D$23</f>
        <v>0</v>
      </c>
      <c r="BC20" s="352">
        <f t="shared" si="16"/>
        <v>46.041131296780591</v>
      </c>
      <c r="BD20" s="352">
        <f t="shared" si="17"/>
        <v>0</v>
      </c>
      <c r="BE20" s="352">
        <f t="shared" si="17"/>
        <v>46.041131296780591</v>
      </c>
      <c r="BF20" s="352">
        <f t="shared" si="17"/>
        <v>0</v>
      </c>
      <c r="BG20" s="352">
        <f t="shared" si="17"/>
        <v>0</v>
      </c>
      <c r="BH20" s="352">
        <f t="shared" si="18"/>
        <v>46.041131296780591</v>
      </c>
      <c r="BJ20" s="401">
        <f>D20*'Assumptions-Output Override'!$D$10/'Winners-Losers Values PMPM'!$H$107</f>
        <v>0</v>
      </c>
      <c r="BK20" s="401">
        <f>E20*'Assumptions-Output Override'!$D$10/'Winners-Losers Values PMPM'!$H$107</f>
        <v>0</v>
      </c>
      <c r="BL20" s="401">
        <f>F20*'Assumptions-Output Override'!$D$10/'Winners-Losers Values PMPM'!$H$107</f>
        <v>0</v>
      </c>
      <c r="BM20" s="401">
        <f>G20*'Assumptions-Output Override'!$D$10/'Winners-Losers Values PMPM'!$H$107</f>
        <v>0</v>
      </c>
      <c r="BN20" s="401">
        <f t="shared" si="2"/>
        <v>0</v>
      </c>
      <c r="BO20" s="401">
        <f>BJ20*(1-'Assumptions-Output Override'!$D$11)</f>
        <v>0</v>
      </c>
      <c r="BP20" s="401">
        <f>BK20*(1-'Assumptions-Output Override'!$D$11)</f>
        <v>0</v>
      </c>
      <c r="BQ20" s="401">
        <f>BL20*(1-'Assumptions-Output Override'!$D$11)</f>
        <v>0</v>
      </c>
      <c r="BR20" s="401">
        <f>BM20*(1-'Assumptions-Output Override'!$D$11)</f>
        <v>0</v>
      </c>
      <c r="BS20" s="352">
        <f t="shared" si="3"/>
        <v>0</v>
      </c>
      <c r="BT20" s="352">
        <f t="shared" si="19"/>
        <v>0</v>
      </c>
      <c r="BU20" s="352">
        <f t="shared" si="19"/>
        <v>0</v>
      </c>
      <c r="BV20" s="352">
        <f t="shared" si="19"/>
        <v>0</v>
      </c>
      <c r="BW20" s="352">
        <f t="shared" si="19"/>
        <v>0</v>
      </c>
      <c r="BX20" s="352">
        <f t="shared" si="4"/>
        <v>0</v>
      </c>
      <c r="BY20" s="352">
        <f>BT$107*(1-'Assumptions-Output Override'!$D$12)</f>
        <v>22.753074310428271</v>
      </c>
      <c r="BZ20" s="352">
        <f>BU$107*(1-'Assumptions-Output Override'!$D$12)</f>
        <v>51.446038369839215</v>
      </c>
      <c r="CA20" s="352">
        <f>BV$107*(1-'Assumptions-Output Override'!$D$12)</f>
        <v>9.7401900534537411</v>
      </c>
      <c r="CB20" s="352">
        <f>BW$107*(1-'Assumptions-Output Override'!$D$12)</f>
        <v>1.7000814189516649</v>
      </c>
      <c r="CC20" s="352">
        <f t="shared" si="5"/>
        <v>85.639384152672903</v>
      </c>
      <c r="CD20" s="352">
        <f t="shared" si="20"/>
        <v>22.753074310428271</v>
      </c>
      <c r="CE20" s="352">
        <f t="shared" si="20"/>
        <v>51.446038369839215</v>
      </c>
      <c r="CF20" s="352">
        <f t="shared" si="20"/>
        <v>9.7401900534537411</v>
      </c>
      <c r="CG20" s="352">
        <f t="shared" si="20"/>
        <v>1.7000814189516649</v>
      </c>
      <c r="CH20" s="352">
        <f t="shared" si="6"/>
        <v>85.639384152672903</v>
      </c>
      <c r="CJ20" s="352">
        <f t="shared" si="21"/>
        <v>85.639384152672903</v>
      </c>
      <c r="CK20" s="352">
        <f t="shared" si="22"/>
        <v>46.041131296780591</v>
      </c>
      <c r="CL20" s="352">
        <f t="shared" si="23"/>
        <v>39.598252855892312</v>
      </c>
      <c r="CN20" s="352">
        <f t="shared" si="24"/>
        <v>0</v>
      </c>
      <c r="CO20" s="352">
        <f t="shared" si="24"/>
        <v>0</v>
      </c>
      <c r="CP20" s="352">
        <f t="shared" si="24"/>
        <v>0</v>
      </c>
      <c r="CQ20" s="352">
        <f t="shared" si="24"/>
        <v>0</v>
      </c>
      <c r="CR20" s="352">
        <f t="shared" si="7"/>
        <v>0</v>
      </c>
      <c r="CT20" s="352">
        <f t="shared" si="8"/>
        <v>0</v>
      </c>
      <c r="CU20" s="352">
        <f t="shared" si="8"/>
        <v>0</v>
      </c>
      <c r="CV20" s="352">
        <f t="shared" si="8"/>
        <v>0</v>
      </c>
      <c r="CW20" s="352">
        <f t="shared" si="8"/>
        <v>0</v>
      </c>
      <c r="CX20" s="352">
        <f t="shared" si="9"/>
        <v>0</v>
      </c>
      <c r="CZ20" s="352">
        <f t="shared" si="25"/>
        <v>22.753074310428271</v>
      </c>
      <c r="DA20" s="352">
        <f t="shared" si="25"/>
        <v>5.4049070730586237</v>
      </c>
      <c r="DB20" s="352">
        <f t="shared" si="25"/>
        <v>9.7401900534537411</v>
      </c>
      <c r="DC20" s="352">
        <f t="shared" si="25"/>
        <v>1.7000814189516649</v>
      </c>
      <c r="DD20" s="352">
        <f t="shared" si="26"/>
        <v>39.598252855892298</v>
      </c>
      <c r="DF20" s="352">
        <f t="shared" si="27"/>
        <v>0</v>
      </c>
      <c r="DG20" s="352">
        <f t="shared" si="27"/>
        <v>46.041131296780591</v>
      </c>
      <c r="DH20" s="352">
        <f t="shared" si="27"/>
        <v>0</v>
      </c>
      <c r="DI20" s="352">
        <f t="shared" si="27"/>
        <v>0</v>
      </c>
      <c r="DJ20" s="352">
        <f t="shared" si="28"/>
        <v>46.041131296780591</v>
      </c>
    </row>
    <row r="21" spans="1:114" x14ac:dyDescent="0.2">
      <c r="A21">
        <f t="shared" si="29"/>
        <v>16</v>
      </c>
      <c r="B21" s="397">
        <v>34308</v>
      </c>
      <c r="C21" s="398">
        <v>397997.79676138877</v>
      </c>
      <c r="D21" s="399">
        <v>0</v>
      </c>
      <c r="E21" s="399">
        <v>0</v>
      </c>
      <c r="F21" s="399">
        <v>0</v>
      </c>
      <c r="G21" s="399">
        <v>0</v>
      </c>
      <c r="H21" s="399">
        <v>0</v>
      </c>
      <c r="I21" s="400">
        <v>0</v>
      </c>
      <c r="J21" s="400">
        <v>0</v>
      </c>
      <c r="K21" s="400">
        <v>0</v>
      </c>
      <c r="L21" s="400">
        <v>0</v>
      </c>
      <c r="M21" s="400">
        <v>0</v>
      </c>
      <c r="N21" s="400">
        <v>0</v>
      </c>
      <c r="O21" s="399">
        <f t="shared" si="0"/>
        <v>0</v>
      </c>
      <c r="P21" s="399">
        <f t="shared" si="0"/>
        <v>0</v>
      </c>
      <c r="Q21" s="399">
        <f t="shared" si="0"/>
        <v>0</v>
      </c>
      <c r="R21" s="399">
        <f t="shared" si="0"/>
        <v>0</v>
      </c>
      <c r="S21" s="399">
        <f t="shared" si="0"/>
        <v>0</v>
      </c>
      <c r="T21" s="399">
        <f t="shared" si="0"/>
        <v>0</v>
      </c>
      <c r="U21" s="399">
        <f t="shared" si="10"/>
        <v>0</v>
      </c>
      <c r="V21" s="400">
        <v>0</v>
      </c>
      <c r="W21" s="400">
        <v>0</v>
      </c>
      <c r="X21" s="400">
        <v>0</v>
      </c>
      <c r="Y21" s="400">
        <v>0</v>
      </c>
      <c r="Z21" s="400">
        <v>0</v>
      </c>
      <c r="AA21" s="400">
        <v>0</v>
      </c>
      <c r="AB21" s="352">
        <f t="shared" si="1"/>
        <v>0</v>
      </c>
      <c r="AC21" s="352">
        <f t="shared" si="1"/>
        <v>0</v>
      </c>
      <c r="AD21" s="352">
        <f t="shared" si="1"/>
        <v>0</v>
      </c>
      <c r="AE21" s="352">
        <f t="shared" si="1"/>
        <v>0</v>
      </c>
      <c r="AF21" s="352">
        <f t="shared" si="1"/>
        <v>0</v>
      </c>
      <c r="AG21" s="352">
        <f t="shared" si="1"/>
        <v>0</v>
      </c>
      <c r="AH21" s="400">
        <f t="shared" si="11"/>
        <v>0</v>
      </c>
      <c r="AJ21" s="352">
        <f>D21*('Assumptions-Output Override'!$D$10/'Winners-Losers Values PMPM'!$H$107)*(1+'Assumptions-Output Override'!$F$41)</f>
        <v>0</v>
      </c>
      <c r="AK21" s="352">
        <f>E21*('Assumptions-Output Override'!$D$10/'Winners-Losers Values PMPM'!$H$107)*(1+'Assumptions-Output Override'!$F$37)</f>
        <v>0</v>
      </c>
      <c r="AL21" s="352">
        <f>F21*('Assumptions-Output Override'!$D$10/'Winners-Losers Values PMPM'!$H$107)*(1+'Assumptions-Output Override'!$F$38)</f>
        <v>0</v>
      </c>
      <c r="AM21" s="352">
        <f>G21*('Shoppable Detail'!$X$21/'Shoppable Detail'!$H$21)*('Assumptions-Output Override'!$D$10/'Winners-Losers Values PMPM'!$H$107)*(1+'Assumptions-Output Override'!$F$39)</f>
        <v>0</v>
      </c>
      <c r="AN21" s="352">
        <f t="shared" si="12"/>
        <v>0</v>
      </c>
      <c r="AO21" s="352">
        <v>0</v>
      </c>
      <c r="AP21" s="352">
        <f>U21*'Assumptions-Output Override'!$D$10/'Winners-Losers Values PMPM'!$H$107*(1+'Assumptions-Output Override'!$F$37)</f>
        <v>0</v>
      </c>
      <c r="AQ21" s="352">
        <f>AH21*'Assumptions-Output Override'!$D$10/'Winners-Losers Values PMPM'!$H$107*(1+'Assumptions-Output Override'!$F$38)</f>
        <v>0</v>
      </c>
      <c r="AR21" s="352">
        <f>AM21*('Shoppable Detail'!$AA$23/'Shoppable Detail'!$Y$23)</f>
        <v>0</v>
      </c>
      <c r="AS21" s="352">
        <f t="shared" si="13"/>
        <v>0</v>
      </c>
      <c r="AT21" s="352">
        <f t="shared" si="14"/>
        <v>0</v>
      </c>
      <c r="AU21" s="352">
        <f t="shared" si="14"/>
        <v>0</v>
      </c>
      <c r="AV21" s="352">
        <f t="shared" si="14"/>
        <v>0</v>
      </c>
      <c r="AW21" s="352">
        <f t="shared" si="14"/>
        <v>0</v>
      </c>
      <c r="AX21" s="352">
        <f t="shared" si="15"/>
        <v>0</v>
      </c>
      <c r="AY21" s="352">
        <f>AT21*'Assumptions-Output Override'!$D$24</f>
        <v>0</v>
      </c>
      <c r="AZ21" s="352">
        <f>$AU$107*'Assumptions-Output Override'!$D$21</f>
        <v>46.041131296780591</v>
      </c>
      <c r="BA21" s="352">
        <f>AV21*'Assumptions-Output Override'!$D$22</f>
        <v>0</v>
      </c>
      <c r="BB21" s="352">
        <f>AW21*'Assumptions-Output Override'!$D$23</f>
        <v>0</v>
      </c>
      <c r="BC21" s="352">
        <f t="shared" si="16"/>
        <v>46.041131296780591</v>
      </c>
      <c r="BD21" s="352">
        <f t="shared" si="17"/>
        <v>0</v>
      </c>
      <c r="BE21" s="352">
        <f t="shared" si="17"/>
        <v>46.041131296780591</v>
      </c>
      <c r="BF21" s="352">
        <f t="shared" si="17"/>
        <v>0</v>
      </c>
      <c r="BG21" s="352">
        <f t="shared" si="17"/>
        <v>0</v>
      </c>
      <c r="BH21" s="352">
        <f t="shared" si="18"/>
        <v>46.041131296780591</v>
      </c>
      <c r="BJ21" s="401">
        <f>D21*'Assumptions-Output Override'!$D$10/'Winners-Losers Values PMPM'!$H$107</f>
        <v>0</v>
      </c>
      <c r="BK21" s="401">
        <f>E21*'Assumptions-Output Override'!$D$10/'Winners-Losers Values PMPM'!$H$107</f>
        <v>0</v>
      </c>
      <c r="BL21" s="401">
        <f>F21*'Assumptions-Output Override'!$D$10/'Winners-Losers Values PMPM'!$H$107</f>
        <v>0</v>
      </c>
      <c r="BM21" s="401">
        <f>G21*'Assumptions-Output Override'!$D$10/'Winners-Losers Values PMPM'!$H$107</f>
        <v>0</v>
      </c>
      <c r="BN21" s="401">
        <f t="shared" si="2"/>
        <v>0</v>
      </c>
      <c r="BO21" s="401">
        <f>BJ21*(1-'Assumptions-Output Override'!$D$11)</f>
        <v>0</v>
      </c>
      <c r="BP21" s="401">
        <f>BK21*(1-'Assumptions-Output Override'!$D$11)</f>
        <v>0</v>
      </c>
      <c r="BQ21" s="401">
        <f>BL21*(1-'Assumptions-Output Override'!$D$11)</f>
        <v>0</v>
      </c>
      <c r="BR21" s="401">
        <f>BM21*(1-'Assumptions-Output Override'!$D$11)</f>
        <v>0</v>
      </c>
      <c r="BS21" s="352">
        <f t="shared" si="3"/>
        <v>0</v>
      </c>
      <c r="BT21" s="352">
        <f t="shared" si="19"/>
        <v>0</v>
      </c>
      <c r="BU21" s="352">
        <f t="shared" si="19"/>
        <v>0</v>
      </c>
      <c r="BV21" s="352">
        <f t="shared" si="19"/>
        <v>0</v>
      </c>
      <c r="BW21" s="352">
        <f t="shared" si="19"/>
        <v>0</v>
      </c>
      <c r="BX21" s="352">
        <f t="shared" si="4"/>
        <v>0</v>
      </c>
      <c r="BY21" s="352">
        <f>BT$107*(1-'Assumptions-Output Override'!$D$12)</f>
        <v>22.753074310428271</v>
      </c>
      <c r="BZ21" s="352">
        <f>BU$107*(1-'Assumptions-Output Override'!$D$12)</f>
        <v>51.446038369839215</v>
      </c>
      <c r="CA21" s="352">
        <f>BV$107*(1-'Assumptions-Output Override'!$D$12)</f>
        <v>9.7401900534537411</v>
      </c>
      <c r="CB21" s="352">
        <f>BW$107*(1-'Assumptions-Output Override'!$D$12)</f>
        <v>1.7000814189516649</v>
      </c>
      <c r="CC21" s="352">
        <f t="shared" si="5"/>
        <v>85.639384152672903</v>
      </c>
      <c r="CD21" s="352">
        <f t="shared" si="20"/>
        <v>22.753074310428271</v>
      </c>
      <c r="CE21" s="352">
        <f t="shared" si="20"/>
        <v>51.446038369839215</v>
      </c>
      <c r="CF21" s="352">
        <f t="shared" si="20"/>
        <v>9.7401900534537411</v>
      </c>
      <c r="CG21" s="352">
        <f t="shared" si="20"/>
        <v>1.7000814189516649</v>
      </c>
      <c r="CH21" s="352">
        <f t="shared" si="6"/>
        <v>85.639384152672903</v>
      </c>
      <c r="CJ21" s="352">
        <f t="shared" si="21"/>
        <v>85.639384152672903</v>
      </c>
      <c r="CK21" s="352">
        <f t="shared" si="22"/>
        <v>46.041131296780591</v>
      </c>
      <c r="CL21" s="352">
        <f t="shared" si="23"/>
        <v>39.598252855892312</v>
      </c>
      <c r="CN21" s="352">
        <f t="shared" si="24"/>
        <v>0</v>
      </c>
      <c r="CO21" s="352">
        <f t="shared" si="24"/>
        <v>0</v>
      </c>
      <c r="CP21" s="352">
        <f t="shared" si="24"/>
        <v>0</v>
      </c>
      <c r="CQ21" s="352">
        <f t="shared" si="24"/>
        <v>0</v>
      </c>
      <c r="CR21" s="352">
        <f t="shared" si="7"/>
        <v>0</v>
      </c>
      <c r="CT21" s="352">
        <f t="shared" si="8"/>
        <v>0</v>
      </c>
      <c r="CU21" s="352">
        <f t="shared" si="8"/>
        <v>0</v>
      </c>
      <c r="CV21" s="352">
        <f t="shared" si="8"/>
        <v>0</v>
      </c>
      <c r="CW21" s="352">
        <f t="shared" si="8"/>
        <v>0</v>
      </c>
      <c r="CX21" s="352">
        <f t="shared" si="9"/>
        <v>0</v>
      </c>
      <c r="CZ21" s="352">
        <f t="shared" si="25"/>
        <v>22.753074310428271</v>
      </c>
      <c r="DA21" s="352">
        <f t="shared" si="25"/>
        <v>5.4049070730586237</v>
      </c>
      <c r="DB21" s="352">
        <f t="shared" si="25"/>
        <v>9.7401900534537411</v>
      </c>
      <c r="DC21" s="352">
        <f t="shared" si="25"/>
        <v>1.7000814189516649</v>
      </c>
      <c r="DD21" s="352">
        <f t="shared" si="26"/>
        <v>39.598252855892298</v>
      </c>
      <c r="DF21" s="352">
        <f t="shared" si="27"/>
        <v>0</v>
      </c>
      <c r="DG21" s="352">
        <f t="shared" si="27"/>
        <v>46.041131296780591</v>
      </c>
      <c r="DH21" s="352">
        <f t="shared" si="27"/>
        <v>0</v>
      </c>
      <c r="DI21" s="352">
        <f t="shared" si="27"/>
        <v>0</v>
      </c>
      <c r="DJ21" s="352">
        <f t="shared" si="28"/>
        <v>46.041131296780591</v>
      </c>
    </row>
    <row r="22" spans="1:114" x14ac:dyDescent="0.2">
      <c r="A22">
        <f t="shared" si="29"/>
        <v>17</v>
      </c>
      <c r="B22" s="397">
        <v>34308</v>
      </c>
      <c r="C22" s="398">
        <v>397997.79676138877</v>
      </c>
      <c r="D22" s="399">
        <v>0</v>
      </c>
      <c r="E22" s="399">
        <v>0</v>
      </c>
      <c r="F22" s="399">
        <v>0</v>
      </c>
      <c r="G22" s="399">
        <v>0</v>
      </c>
      <c r="H22" s="399">
        <v>0</v>
      </c>
      <c r="I22" s="400">
        <v>0</v>
      </c>
      <c r="J22" s="400">
        <v>0</v>
      </c>
      <c r="K22" s="400">
        <v>0</v>
      </c>
      <c r="L22" s="400">
        <v>0</v>
      </c>
      <c r="M22" s="400">
        <v>0</v>
      </c>
      <c r="N22" s="400">
        <v>0</v>
      </c>
      <c r="O22" s="399">
        <f t="shared" ref="O22:T64" si="30">I22*O$2</f>
        <v>0</v>
      </c>
      <c r="P22" s="399">
        <f t="shared" si="30"/>
        <v>0</v>
      </c>
      <c r="Q22" s="399">
        <f t="shared" si="30"/>
        <v>0</v>
      </c>
      <c r="R22" s="399">
        <f t="shared" si="30"/>
        <v>0</v>
      </c>
      <c r="S22" s="399">
        <f t="shared" si="30"/>
        <v>0</v>
      </c>
      <c r="T22" s="399">
        <f t="shared" si="30"/>
        <v>0</v>
      </c>
      <c r="U22" s="399">
        <f t="shared" si="10"/>
        <v>0</v>
      </c>
      <c r="V22" s="400">
        <v>0</v>
      </c>
      <c r="W22" s="400">
        <v>0</v>
      </c>
      <c r="X22" s="400">
        <v>0</v>
      </c>
      <c r="Y22" s="400">
        <v>0</v>
      </c>
      <c r="Z22" s="400">
        <v>0</v>
      </c>
      <c r="AA22" s="400">
        <v>0</v>
      </c>
      <c r="AB22" s="352">
        <f t="shared" ref="AB22:AG64" si="31">V22*AB$2</f>
        <v>0</v>
      </c>
      <c r="AC22" s="352">
        <f t="shared" si="31"/>
        <v>0</v>
      </c>
      <c r="AD22" s="352">
        <f t="shared" si="31"/>
        <v>0</v>
      </c>
      <c r="AE22" s="352">
        <f t="shared" si="31"/>
        <v>0</v>
      </c>
      <c r="AF22" s="352">
        <f t="shared" si="31"/>
        <v>0</v>
      </c>
      <c r="AG22" s="352">
        <f t="shared" si="31"/>
        <v>0</v>
      </c>
      <c r="AH22" s="400">
        <f t="shared" si="11"/>
        <v>0</v>
      </c>
      <c r="AJ22" s="352">
        <f>D22*('Assumptions-Output Override'!$D$10/'Winners-Losers Values PMPM'!$H$107)*(1+'Assumptions-Output Override'!$F$41)</f>
        <v>0</v>
      </c>
      <c r="AK22" s="352">
        <f>E22*('Assumptions-Output Override'!$D$10/'Winners-Losers Values PMPM'!$H$107)*(1+'Assumptions-Output Override'!$F$37)</f>
        <v>0</v>
      </c>
      <c r="AL22" s="352">
        <f>F22*('Assumptions-Output Override'!$D$10/'Winners-Losers Values PMPM'!$H$107)*(1+'Assumptions-Output Override'!$F$38)</f>
        <v>0</v>
      </c>
      <c r="AM22" s="352">
        <f>G22*('Shoppable Detail'!$X$21/'Shoppable Detail'!$H$21)*('Assumptions-Output Override'!$D$10/'Winners-Losers Values PMPM'!$H$107)*(1+'Assumptions-Output Override'!$F$39)</f>
        <v>0</v>
      </c>
      <c r="AN22" s="352">
        <f t="shared" si="12"/>
        <v>0</v>
      </c>
      <c r="AO22" s="352">
        <v>0</v>
      </c>
      <c r="AP22" s="352">
        <f>U22*'Assumptions-Output Override'!$D$10/'Winners-Losers Values PMPM'!$H$107*(1+'Assumptions-Output Override'!$F$37)</f>
        <v>0</v>
      </c>
      <c r="AQ22" s="352">
        <f>AH22*'Assumptions-Output Override'!$D$10/'Winners-Losers Values PMPM'!$H$107*(1+'Assumptions-Output Override'!$F$38)</f>
        <v>0</v>
      </c>
      <c r="AR22" s="352">
        <f>AM22*('Shoppable Detail'!$AA$23/'Shoppable Detail'!$Y$23)</f>
        <v>0</v>
      </c>
      <c r="AS22" s="352">
        <f t="shared" si="13"/>
        <v>0</v>
      </c>
      <c r="AT22" s="352">
        <f t="shared" si="14"/>
        <v>0</v>
      </c>
      <c r="AU22" s="352">
        <f t="shared" si="14"/>
        <v>0</v>
      </c>
      <c r="AV22" s="352">
        <f t="shared" si="14"/>
        <v>0</v>
      </c>
      <c r="AW22" s="352">
        <f t="shared" si="14"/>
        <v>0</v>
      </c>
      <c r="AX22" s="352">
        <f t="shared" si="15"/>
        <v>0</v>
      </c>
      <c r="AY22" s="352">
        <f>AT22*'Assumptions-Output Override'!$D$24</f>
        <v>0</v>
      </c>
      <c r="AZ22" s="352">
        <f>$AU$107*'Assumptions-Output Override'!$D$21</f>
        <v>46.041131296780591</v>
      </c>
      <c r="BA22" s="352">
        <f>AV22*'Assumptions-Output Override'!$D$22</f>
        <v>0</v>
      </c>
      <c r="BB22" s="352">
        <f>AW22*'Assumptions-Output Override'!$D$23</f>
        <v>0</v>
      </c>
      <c r="BC22" s="352">
        <f t="shared" si="16"/>
        <v>46.041131296780591</v>
      </c>
      <c r="BD22" s="352">
        <f t="shared" si="17"/>
        <v>0</v>
      </c>
      <c r="BE22" s="352">
        <f t="shared" si="17"/>
        <v>46.041131296780591</v>
      </c>
      <c r="BF22" s="352">
        <f t="shared" si="17"/>
        <v>0</v>
      </c>
      <c r="BG22" s="352">
        <f t="shared" si="17"/>
        <v>0</v>
      </c>
      <c r="BH22" s="352">
        <f t="shared" si="18"/>
        <v>46.041131296780591</v>
      </c>
      <c r="BJ22" s="401">
        <f>D22*'Assumptions-Output Override'!$D$10/'Winners-Losers Values PMPM'!$H$107</f>
        <v>0</v>
      </c>
      <c r="BK22" s="401">
        <f>E22*'Assumptions-Output Override'!$D$10/'Winners-Losers Values PMPM'!$H$107</f>
        <v>0</v>
      </c>
      <c r="BL22" s="401">
        <f>F22*'Assumptions-Output Override'!$D$10/'Winners-Losers Values PMPM'!$H$107</f>
        <v>0</v>
      </c>
      <c r="BM22" s="401">
        <f>G22*'Assumptions-Output Override'!$D$10/'Winners-Losers Values PMPM'!$H$107</f>
        <v>0</v>
      </c>
      <c r="BN22" s="401">
        <f t="shared" si="2"/>
        <v>0</v>
      </c>
      <c r="BO22" s="401">
        <f>BJ22*(1-'Assumptions-Output Override'!$D$11)</f>
        <v>0</v>
      </c>
      <c r="BP22" s="401">
        <f>BK22*(1-'Assumptions-Output Override'!$D$11)</f>
        <v>0</v>
      </c>
      <c r="BQ22" s="401">
        <f>BL22*(1-'Assumptions-Output Override'!$D$11)</f>
        <v>0</v>
      </c>
      <c r="BR22" s="401">
        <f>BM22*(1-'Assumptions-Output Override'!$D$11)</f>
        <v>0</v>
      </c>
      <c r="BS22" s="352">
        <f t="shared" si="3"/>
        <v>0</v>
      </c>
      <c r="BT22" s="352">
        <f t="shared" si="19"/>
        <v>0</v>
      </c>
      <c r="BU22" s="352">
        <f t="shared" si="19"/>
        <v>0</v>
      </c>
      <c r="BV22" s="352">
        <f t="shared" si="19"/>
        <v>0</v>
      </c>
      <c r="BW22" s="352">
        <f t="shared" si="19"/>
        <v>0</v>
      </c>
      <c r="BX22" s="352">
        <f t="shared" si="4"/>
        <v>0</v>
      </c>
      <c r="BY22" s="352">
        <f>BT$107*(1-'Assumptions-Output Override'!$D$12)</f>
        <v>22.753074310428271</v>
      </c>
      <c r="BZ22" s="352">
        <f>BU$107*(1-'Assumptions-Output Override'!$D$12)</f>
        <v>51.446038369839215</v>
      </c>
      <c r="CA22" s="352">
        <f>BV$107*(1-'Assumptions-Output Override'!$D$12)</f>
        <v>9.7401900534537411</v>
      </c>
      <c r="CB22" s="352">
        <f>BW$107*(1-'Assumptions-Output Override'!$D$12)</f>
        <v>1.7000814189516649</v>
      </c>
      <c r="CC22" s="352">
        <f t="shared" si="5"/>
        <v>85.639384152672903</v>
      </c>
      <c r="CD22" s="352">
        <f t="shared" si="20"/>
        <v>22.753074310428271</v>
      </c>
      <c r="CE22" s="352">
        <f t="shared" si="20"/>
        <v>51.446038369839215</v>
      </c>
      <c r="CF22" s="352">
        <f t="shared" si="20"/>
        <v>9.7401900534537411</v>
      </c>
      <c r="CG22" s="352">
        <f t="shared" si="20"/>
        <v>1.7000814189516649</v>
      </c>
      <c r="CH22" s="352">
        <f t="shared" si="6"/>
        <v>85.639384152672903</v>
      </c>
      <c r="CJ22" s="352">
        <f t="shared" si="21"/>
        <v>85.639384152672903</v>
      </c>
      <c r="CK22" s="352">
        <f t="shared" si="22"/>
        <v>46.041131296780591</v>
      </c>
      <c r="CL22" s="352">
        <f t="shared" si="23"/>
        <v>39.598252855892312</v>
      </c>
      <c r="CN22" s="352">
        <f t="shared" si="24"/>
        <v>0</v>
      </c>
      <c r="CO22" s="352">
        <f t="shared" si="24"/>
        <v>0</v>
      </c>
      <c r="CP22" s="352">
        <f t="shared" si="24"/>
        <v>0</v>
      </c>
      <c r="CQ22" s="352">
        <f t="shared" si="24"/>
        <v>0</v>
      </c>
      <c r="CR22" s="352">
        <f t="shared" si="7"/>
        <v>0</v>
      </c>
      <c r="CT22" s="352">
        <f t="shared" ref="CT22:CW85" si="32">D22-BJ22</f>
        <v>0</v>
      </c>
      <c r="CU22" s="352">
        <f t="shared" si="32"/>
        <v>0</v>
      </c>
      <c r="CV22" s="352">
        <f t="shared" si="32"/>
        <v>0</v>
      </c>
      <c r="CW22" s="352">
        <f t="shared" si="32"/>
        <v>0</v>
      </c>
      <c r="CX22" s="352">
        <f t="shared" si="9"/>
        <v>0</v>
      </c>
      <c r="CZ22" s="352">
        <f t="shared" si="25"/>
        <v>22.753074310428271</v>
      </c>
      <c r="DA22" s="352">
        <f t="shared" si="25"/>
        <v>5.4049070730586237</v>
      </c>
      <c r="DB22" s="352">
        <f t="shared" si="25"/>
        <v>9.7401900534537411</v>
      </c>
      <c r="DC22" s="352">
        <f t="shared" si="25"/>
        <v>1.7000814189516649</v>
      </c>
      <c r="DD22" s="352">
        <f t="shared" si="26"/>
        <v>39.598252855892298</v>
      </c>
      <c r="DF22" s="352">
        <f t="shared" si="27"/>
        <v>0</v>
      </c>
      <c r="DG22" s="352">
        <f t="shared" si="27"/>
        <v>46.041131296780591</v>
      </c>
      <c r="DH22" s="352">
        <f t="shared" si="27"/>
        <v>0</v>
      </c>
      <c r="DI22" s="352">
        <f t="shared" si="27"/>
        <v>0</v>
      </c>
      <c r="DJ22" s="352">
        <f t="shared" si="28"/>
        <v>46.041131296780591</v>
      </c>
    </row>
    <row r="23" spans="1:114" x14ac:dyDescent="0.2">
      <c r="A23">
        <f t="shared" si="29"/>
        <v>18</v>
      </c>
      <c r="B23" s="397">
        <v>34308</v>
      </c>
      <c r="C23" s="398">
        <v>397997.79676138877</v>
      </c>
      <c r="D23" s="399">
        <v>0</v>
      </c>
      <c r="E23" s="399">
        <v>0</v>
      </c>
      <c r="F23" s="399">
        <v>0</v>
      </c>
      <c r="G23" s="399">
        <v>0</v>
      </c>
      <c r="H23" s="399">
        <v>0</v>
      </c>
      <c r="I23" s="400">
        <v>0</v>
      </c>
      <c r="J23" s="400">
        <v>0</v>
      </c>
      <c r="K23" s="400">
        <v>0</v>
      </c>
      <c r="L23" s="400">
        <v>0</v>
      </c>
      <c r="M23" s="400">
        <v>0</v>
      </c>
      <c r="N23" s="400">
        <v>0</v>
      </c>
      <c r="O23" s="399">
        <f t="shared" si="30"/>
        <v>0</v>
      </c>
      <c r="P23" s="399">
        <f t="shared" si="30"/>
        <v>0</v>
      </c>
      <c r="Q23" s="399">
        <f t="shared" si="30"/>
        <v>0</v>
      </c>
      <c r="R23" s="399">
        <f t="shared" si="30"/>
        <v>0</v>
      </c>
      <c r="S23" s="399">
        <f t="shared" si="30"/>
        <v>0</v>
      </c>
      <c r="T23" s="399">
        <f t="shared" si="30"/>
        <v>0</v>
      </c>
      <c r="U23" s="399">
        <f t="shared" si="10"/>
        <v>0</v>
      </c>
      <c r="V23" s="400">
        <v>0</v>
      </c>
      <c r="W23" s="400">
        <v>0</v>
      </c>
      <c r="X23" s="400">
        <v>0</v>
      </c>
      <c r="Y23" s="400">
        <v>0</v>
      </c>
      <c r="Z23" s="400">
        <v>0</v>
      </c>
      <c r="AA23" s="400">
        <v>0</v>
      </c>
      <c r="AB23" s="352">
        <f t="shared" si="31"/>
        <v>0</v>
      </c>
      <c r="AC23" s="352">
        <f t="shared" si="31"/>
        <v>0</v>
      </c>
      <c r="AD23" s="352">
        <f t="shared" si="31"/>
        <v>0</v>
      </c>
      <c r="AE23" s="352">
        <f t="shared" si="31"/>
        <v>0</v>
      </c>
      <c r="AF23" s="352">
        <f t="shared" si="31"/>
        <v>0</v>
      </c>
      <c r="AG23" s="352">
        <f t="shared" si="31"/>
        <v>0</v>
      </c>
      <c r="AH23" s="400">
        <f t="shared" si="11"/>
        <v>0</v>
      </c>
      <c r="AJ23" s="352">
        <f>D23*('Assumptions-Output Override'!$D$10/'Winners-Losers Values PMPM'!$H$107)*(1+'Assumptions-Output Override'!$F$41)</f>
        <v>0</v>
      </c>
      <c r="AK23" s="352">
        <f>E23*('Assumptions-Output Override'!$D$10/'Winners-Losers Values PMPM'!$H$107)*(1+'Assumptions-Output Override'!$F$37)</f>
        <v>0</v>
      </c>
      <c r="AL23" s="352">
        <f>F23*('Assumptions-Output Override'!$D$10/'Winners-Losers Values PMPM'!$H$107)*(1+'Assumptions-Output Override'!$F$38)</f>
        <v>0</v>
      </c>
      <c r="AM23" s="352">
        <f>G23*('Shoppable Detail'!$X$21/'Shoppable Detail'!$H$21)*('Assumptions-Output Override'!$D$10/'Winners-Losers Values PMPM'!$H$107)*(1+'Assumptions-Output Override'!$F$39)</f>
        <v>0</v>
      </c>
      <c r="AN23" s="352">
        <f t="shared" si="12"/>
        <v>0</v>
      </c>
      <c r="AO23" s="352">
        <v>0</v>
      </c>
      <c r="AP23" s="352">
        <f>U23*'Assumptions-Output Override'!$D$10/'Winners-Losers Values PMPM'!$H$107*(1+'Assumptions-Output Override'!$F$37)</f>
        <v>0</v>
      </c>
      <c r="AQ23" s="352">
        <f>AH23*'Assumptions-Output Override'!$D$10/'Winners-Losers Values PMPM'!$H$107*(1+'Assumptions-Output Override'!$F$38)</f>
        <v>0</v>
      </c>
      <c r="AR23" s="352">
        <f>AM23*('Shoppable Detail'!$AA$23/'Shoppable Detail'!$Y$23)</f>
        <v>0</v>
      </c>
      <c r="AS23" s="352">
        <f t="shared" si="13"/>
        <v>0</v>
      </c>
      <c r="AT23" s="352">
        <f t="shared" si="14"/>
        <v>0</v>
      </c>
      <c r="AU23" s="352">
        <f t="shared" si="14"/>
        <v>0</v>
      </c>
      <c r="AV23" s="352">
        <f t="shared" si="14"/>
        <v>0</v>
      </c>
      <c r="AW23" s="352">
        <f t="shared" si="14"/>
        <v>0</v>
      </c>
      <c r="AX23" s="352">
        <f t="shared" si="15"/>
        <v>0</v>
      </c>
      <c r="AY23" s="352">
        <f>AT23*'Assumptions-Output Override'!$D$24</f>
        <v>0</v>
      </c>
      <c r="AZ23" s="352">
        <f>$AU$107*'Assumptions-Output Override'!$D$21</f>
        <v>46.041131296780591</v>
      </c>
      <c r="BA23" s="352">
        <f>AV23*'Assumptions-Output Override'!$D$22</f>
        <v>0</v>
      </c>
      <c r="BB23" s="352">
        <f>AW23*'Assumptions-Output Override'!$D$23</f>
        <v>0</v>
      </c>
      <c r="BC23" s="352">
        <f t="shared" si="16"/>
        <v>46.041131296780591</v>
      </c>
      <c r="BD23" s="352">
        <f t="shared" si="17"/>
        <v>0</v>
      </c>
      <c r="BE23" s="352">
        <f t="shared" si="17"/>
        <v>46.041131296780591</v>
      </c>
      <c r="BF23" s="352">
        <f t="shared" si="17"/>
        <v>0</v>
      </c>
      <c r="BG23" s="352">
        <f t="shared" si="17"/>
        <v>0</v>
      </c>
      <c r="BH23" s="352">
        <f t="shared" si="18"/>
        <v>46.041131296780591</v>
      </c>
      <c r="BJ23" s="401">
        <f>D23*'Assumptions-Output Override'!$D$10/'Winners-Losers Values PMPM'!$H$107</f>
        <v>0</v>
      </c>
      <c r="BK23" s="401">
        <f>E23*'Assumptions-Output Override'!$D$10/'Winners-Losers Values PMPM'!$H$107</f>
        <v>0</v>
      </c>
      <c r="BL23" s="401">
        <f>F23*'Assumptions-Output Override'!$D$10/'Winners-Losers Values PMPM'!$H$107</f>
        <v>0</v>
      </c>
      <c r="BM23" s="401">
        <f>G23*'Assumptions-Output Override'!$D$10/'Winners-Losers Values PMPM'!$H$107</f>
        <v>0</v>
      </c>
      <c r="BN23" s="401">
        <f t="shared" si="2"/>
        <v>0</v>
      </c>
      <c r="BO23" s="401">
        <f>BJ23*(1-'Assumptions-Output Override'!$D$11)</f>
        <v>0</v>
      </c>
      <c r="BP23" s="401">
        <f>BK23*(1-'Assumptions-Output Override'!$D$11)</f>
        <v>0</v>
      </c>
      <c r="BQ23" s="401">
        <f>BL23*(1-'Assumptions-Output Override'!$D$11)</f>
        <v>0</v>
      </c>
      <c r="BR23" s="401">
        <f>BM23*(1-'Assumptions-Output Override'!$D$11)</f>
        <v>0</v>
      </c>
      <c r="BS23" s="352">
        <f t="shared" si="3"/>
        <v>0</v>
      </c>
      <c r="BT23" s="352">
        <f t="shared" si="19"/>
        <v>0</v>
      </c>
      <c r="BU23" s="352">
        <f t="shared" si="19"/>
        <v>0</v>
      </c>
      <c r="BV23" s="352">
        <f t="shared" si="19"/>
        <v>0</v>
      </c>
      <c r="BW23" s="352">
        <f t="shared" si="19"/>
        <v>0</v>
      </c>
      <c r="BX23" s="352">
        <f t="shared" si="4"/>
        <v>0</v>
      </c>
      <c r="BY23" s="352">
        <f>BT$107*(1-'Assumptions-Output Override'!$D$12)</f>
        <v>22.753074310428271</v>
      </c>
      <c r="BZ23" s="352">
        <f>BU$107*(1-'Assumptions-Output Override'!$D$12)</f>
        <v>51.446038369839215</v>
      </c>
      <c r="CA23" s="352">
        <f>BV$107*(1-'Assumptions-Output Override'!$D$12)</f>
        <v>9.7401900534537411</v>
      </c>
      <c r="CB23" s="352">
        <f>BW$107*(1-'Assumptions-Output Override'!$D$12)</f>
        <v>1.7000814189516649</v>
      </c>
      <c r="CC23" s="352">
        <f t="shared" si="5"/>
        <v>85.639384152672903</v>
      </c>
      <c r="CD23" s="352">
        <f t="shared" si="20"/>
        <v>22.753074310428271</v>
      </c>
      <c r="CE23" s="352">
        <f t="shared" si="20"/>
        <v>51.446038369839215</v>
      </c>
      <c r="CF23" s="352">
        <f t="shared" si="20"/>
        <v>9.7401900534537411</v>
      </c>
      <c r="CG23" s="352">
        <f t="shared" si="20"/>
        <v>1.7000814189516649</v>
      </c>
      <c r="CH23" s="352">
        <f t="shared" si="6"/>
        <v>85.639384152672903</v>
      </c>
      <c r="CJ23" s="352">
        <f t="shared" si="21"/>
        <v>85.639384152672903</v>
      </c>
      <c r="CK23" s="352">
        <f t="shared" si="22"/>
        <v>46.041131296780591</v>
      </c>
      <c r="CL23" s="352">
        <f t="shared" si="23"/>
        <v>39.598252855892312</v>
      </c>
      <c r="CN23" s="352">
        <f t="shared" si="24"/>
        <v>0</v>
      </c>
      <c r="CO23" s="352">
        <f t="shared" si="24"/>
        <v>0</v>
      </c>
      <c r="CP23" s="352">
        <f t="shared" si="24"/>
        <v>0</v>
      </c>
      <c r="CQ23" s="352">
        <f t="shared" si="24"/>
        <v>0</v>
      </c>
      <c r="CR23" s="352">
        <f t="shared" si="7"/>
        <v>0</v>
      </c>
      <c r="CT23" s="352">
        <f t="shared" si="32"/>
        <v>0</v>
      </c>
      <c r="CU23" s="352">
        <f t="shared" si="32"/>
        <v>0</v>
      </c>
      <c r="CV23" s="352">
        <f t="shared" si="32"/>
        <v>0</v>
      </c>
      <c r="CW23" s="352">
        <f t="shared" si="32"/>
        <v>0</v>
      </c>
      <c r="CX23" s="352">
        <f t="shared" si="9"/>
        <v>0</v>
      </c>
      <c r="CZ23" s="352">
        <f t="shared" si="25"/>
        <v>22.753074310428271</v>
      </c>
      <c r="DA23" s="352">
        <f t="shared" si="25"/>
        <v>5.4049070730586237</v>
      </c>
      <c r="DB23" s="352">
        <f t="shared" si="25"/>
        <v>9.7401900534537411</v>
      </c>
      <c r="DC23" s="352">
        <f t="shared" si="25"/>
        <v>1.7000814189516649</v>
      </c>
      <c r="DD23" s="352">
        <f t="shared" si="26"/>
        <v>39.598252855892298</v>
      </c>
      <c r="DF23" s="352">
        <f t="shared" si="27"/>
        <v>0</v>
      </c>
      <c r="DG23" s="352">
        <f t="shared" si="27"/>
        <v>46.041131296780591</v>
      </c>
      <c r="DH23" s="352">
        <f t="shared" si="27"/>
        <v>0</v>
      </c>
      <c r="DI23" s="352">
        <f t="shared" si="27"/>
        <v>0</v>
      </c>
      <c r="DJ23" s="352">
        <f t="shared" si="28"/>
        <v>46.041131296780591</v>
      </c>
    </row>
    <row r="24" spans="1:114" x14ac:dyDescent="0.2">
      <c r="A24">
        <f t="shared" si="29"/>
        <v>19</v>
      </c>
      <c r="B24" s="397">
        <v>34308</v>
      </c>
      <c r="C24" s="398">
        <v>397997.79676138877</v>
      </c>
      <c r="D24" s="399">
        <v>0</v>
      </c>
      <c r="E24" s="399">
        <v>0</v>
      </c>
      <c r="F24" s="399">
        <v>0</v>
      </c>
      <c r="G24" s="399">
        <v>0</v>
      </c>
      <c r="H24" s="399">
        <v>0</v>
      </c>
      <c r="I24" s="400">
        <v>0</v>
      </c>
      <c r="J24" s="400">
        <v>0</v>
      </c>
      <c r="K24" s="400">
        <v>0</v>
      </c>
      <c r="L24" s="400">
        <v>0</v>
      </c>
      <c r="M24" s="400">
        <v>0</v>
      </c>
      <c r="N24" s="400">
        <v>0</v>
      </c>
      <c r="O24" s="399">
        <f t="shared" si="30"/>
        <v>0</v>
      </c>
      <c r="P24" s="399">
        <f t="shared" si="30"/>
        <v>0</v>
      </c>
      <c r="Q24" s="399">
        <f t="shared" si="30"/>
        <v>0</v>
      </c>
      <c r="R24" s="399">
        <f t="shared" si="30"/>
        <v>0</v>
      </c>
      <c r="S24" s="399">
        <f t="shared" si="30"/>
        <v>0</v>
      </c>
      <c r="T24" s="399">
        <f t="shared" si="30"/>
        <v>0</v>
      </c>
      <c r="U24" s="399">
        <f t="shared" si="10"/>
        <v>0</v>
      </c>
      <c r="V24" s="400">
        <v>0</v>
      </c>
      <c r="W24" s="400">
        <v>0</v>
      </c>
      <c r="X24" s="400">
        <v>0</v>
      </c>
      <c r="Y24" s="400">
        <v>0</v>
      </c>
      <c r="Z24" s="400">
        <v>0</v>
      </c>
      <c r="AA24" s="400">
        <v>0</v>
      </c>
      <c r="AB24" s="352">
        <f t="shared" si="31"/>
        <v>0</v>
      </c>
      <c r="AC24" s="352">
        <f t="shared" si="31"/>
        <v>0</v>
      </c>
      <c r="AD24" s="352">
        <f t="shared" si="31"/>
        <v>0</v>
      </c>
      <c r="AE24" s="352">
        <f t="shared" si="31"/>
        <v>0</v>
      </c>
      <c r="AF24" s="352">
        <f t="shared" si="31"/>
        <v>0</v>
      </c>
      <c r="AG24" s="352">
        <f t="shared" si="31"/>
        <v>0</v>
      </c>
      <c r="AH24" s="400">
        <f t="shared" si="11"/>
        <v>0</v>
      </c>
      <c r="AJ24" s="352">
        <f>D24*('Assumptions-Output Override'!$D$10/'Winners-Losers Values PMPM'!$H$107)*(1+'Assumptions-Output Override'!$F$41)</f>
        <v>0</v>
      </c>
      <c r="AK24" s="352">
        <f>E24*('Assumptions-Output Override'!$D$10/'Winners-Losers Values PMPM'!$H$107)*(1+'Assumptions-Output Override'!$F$37)</f>
        <v>0</v>
      </c>
      <c r="AL24" s="352">
        <f>F24*('Assumptions-Output Override'!$D$10/'Winners-Losers Values PMPM'!$H$107)*(1+'Assumptions-Output Override'!$F$38)</f>
        <v>0</v>
      </c>
      <c r="AM24" s="352">
        <f>G24*('Shoppable Detail'!$X$21/'Shoppable Detail'!$H$21)*('Assumptions-Output Override'!$D$10/'Winners-Losers Values PMPM'!$H$107)*(1+'Assumptions-Output Override'!$F$39)</f>
        <v>0</v>
      </c>
      <c r="AN24" s="352">
        <f t="shared" si="12"/>
        <v>0</v>
      </c>
      <c r="AO24" s="352">
        <v>0</v>
      </c>
      <c r="AP24" s="352">
        <f>U24*'Assumptions-Output Override'!$D$10/'Winners-Losers Values PMPM'!$H$107*(1+'Assumptions-Output Override'!$F$37)</f>
        <v>0</v>
      </c>
      <c r="AQ24" s="352">
        <f>AH24*'Assumptions-Output Override'!$D$10/'Winners-Losers Values PMPM'!$H$107*(1+'Assumptions-Output Override'!$F$38)</f>
        <v>0</v>
      </c>
      <c r="AR24" s="352">
        <f>AM24*('Shoppable Detail'!$AA$23/'Shoppable Detail'!$Y$23)</f>
        <v>0</v>
      </c>
      <c r="AS24" s="352">
        <f t="shared" si="13"/>
        <v>0</v>
      </c>
      <c r="AT24" s="352">
        <f t="shared" si="14"/>
        <v>0</v>
      </c>
      <c r="AU24" s="352">
        <f t="shared" si="14"/>
        <v>0</v>
      </c>
      <c r="AV24" s="352">
        <f t="shared" si="14"/>
        <v>0</v>
      </c>
      <c r="AW24" s="352">
        <f t="shared" si="14"/>
        <v>0</v>
      </c>
      <c r="AX24" s="352">
        <f t="shared" si="15"/>
        <v>0</v>
      </c>
      <c r="AY24" s="352">
        <f>AT24*'Assumptions-Output Override'!$D$24</f>
        <v>0</v>
      </c>
      <c r="AZ24" s="352">
        <f>$AU$107*'Assumptions-Output Override'!$D$21</f>
        <v>46.041131296780591</v>
      </c>
      <c r="BA24" s="352">
        <f>AV24*'Assumptions-Output Override'!$D$22</f>
        <v>0</v>
      </c>
      <c r="BB24" s="352">
        <f>AW24*'Assumptions-Output Override'!$D$23</f>
        <v>0</v>
      </c>
      <c r="BC24" s="352">
        <f t="shared" si="16"/>
        <v>46.041131296780591</v>
      </c>
      <c r="BD24" s="352">
        <f t="shared" si="17"/>
        <v>0</v>
      </c>
      <c r="BE24" s="352">
        <f t="shared" si="17"/>
        <v>46.041131296780591</v>
      </c>
      <c r="BF24" s="352">
        <f t="shared" si="17"/>
        <v>0</v>
      </c>
      <c r="BG24" s="352">
        <f t="shared" si="17"/>
        <v>0</v>
      </c>
      <c r="BH24" s="352">
        <f t="shared" si="18"/>
        <v>46.041131296780591</v>
      </c>
      <c r="BJ24" s="401">
        <f>D24*'Assumptions-Output Override'!$D$10/'Winners-Losers Values PMPM'!$H$107</f>
        <v>0</v>
      </c>
      <c r="BK24" s="401">
        <f>E24*'Assumptions-Output Override'!$D$10/'Winners-Losers Values PMPM'!$H$107</f>
        <v>0</v>
      </c>
      <c r="BL24" s="401">
        <f>F24*'Assumptions-Output Override'!$D$10/'Winners-Losers Values PMPM'!$H$107</f>
        <v>0</v>
      </c>
      <c r="BM24" s="401">
        <f>G24*'Assumptions-Output Override'!$D$10/'Winners-Losers Values PMPM'!$H$107</f>
        <v>0</v>
      </c>
      <c r="BN24" s="401">
        <f t="shared" si="2"/>
        <v>0</v>
      </c>
      <c r="BO24" s="401">
        <f>BJ24*(1-'Assumptions-Output Override'!$D$11)</f>
        <v>0</v>
      </c>
      <c r="BP24" s="401">
        <f>BK24*(1-'Assumptions-Output Override'!$D$11)</f>
        <v>0</v>
      </c>
      <c r="BQ24" s="401">
        <f>BL24*(1-'Assumptions-Output Override'!$D$11)</f>
        <v>0</v>
      </c>
      <c r="BR24" s="401">
        <f>BM24*(1-'Assumptions-Output Override'!$D$11)</f>
        <v>0</v>
      </c>
      <c r="BS24" s="352">
        <f t="shared" si="3"/>
        <v>0</v>
      </c>
      <c r="BT24" s="352">
        <f t="shared" si="19"/>
        <v>0</v>
      </c>
      <c r="BU24" s="352">
        <f t="shared" si="19"/>
        <v>0</v>
      </c>
      <c r="BV24" s="352">
        <f t="shared" si="19"/>
        <v>0</v>
      </c>
      <c r="BW24" s="352">
        <f t="shared" si="19"/>
        <v>0</v>
      </c>
      <c r="BX24" s="352">
        <f t="shared" si="4"/>
        <v>0</v>
      </c>
      <c r="BY24" s="352">
        <f>BT$107*(1-'Assumptions-Output Override'!$D$12)</f>
        <v>22.753074310428271</v>
      </c>
      <c r="BZ24" s="352">
        <f>BU$107*(1-'Assumptions-Output Override'!$D$12)</f>
        <v>51.446038369839215</v>
      </c>
      <c r="CA24" s="352">
        <f>BV$107*(1-'Assumptions-Output Override'!$D$12)</f>
        <v>9.7401900534537411</v>
      </c>
      <c r="CB24" s="352">
        <f>BW$107*(1-'Assumptions-Output Override'!$D$12)</f>
        <v>1.7000814189516649</v>
      </c>
      <c r="CC24" s="352">
        <f t="shared" si="5"/>
        <v>85.639384152672903</v>
      </c>
      <c r="CD24" s="352">
        <f t="shared" si="20"/>
        <v>22.753074310428271</v>
      </c>
      <c r="CE24" s="352">
        <f t="shared" si="20"/>
        <v>51.446038369839215</v>
      </c>
      <c r="CF24" s="352">
        <f t="shared" si="20"/>
        <v>9.7401900534537411</v>
      </c>
      <c r="CG24" s="352">
        <f t="shared" si="20"/>
        <v>1.7000814189516649</v>
      </c>
      <c r="CH24" s="352">
        <f t="shared" si="6"/>
        <v>85.639384152672903</v>
      </c>
      <c r="CJ24" s="352">
        <f t="shared" si="21"/>
        <v>85.639384152672903</v>
      </c>
      <c r="CK24" s="352">
        <f t="shared" si="22"/>
        <v>46.041131296780591</v>
      </c>
      <c r="CL24" s="352">
        <f t="shared" si="23"/>
        <v>39.598252855892312</v>
      </c>
      <c r="CN24" s="352">
        <f t="shared" si="24"/>
        <v>0</v>
      </c>
      <c r="CO24" s="352">
        <f t="shared" si="24"/>
        <v>0</v>
      </c>
      <c r="CP24" s="352">
        <f t="shared" si="24"/>
        <v>0</v>
      </c>
      <c r="CQ24" s="352">
        <f t="shared" si="24"/>
        <v>0</v>
      </c>
      <c r="CR24" s="352">
        <f t="shared" si="7"/>
        <v>0</v>
      </c>
      <c r="CT24" s="352">
        <f t="shared" si="32"/>
        <v>0</v>
      </c>
      <c r="CU24" s="352">
        <f t="shared" si="32"/>
        <v>0</v>
      </c>
      <c r="CV24" s="352">
        <f t="shared" si="32"/>
        <v>0</v>
      </c>
      <c r="CW24" s="352">
        <f t="shared" si="32"/>
        <v>0</v>
      </c>
      <c r="CX24" s="352">
        <f t="shared" si="9"/>
        <v>0</v>
      </c>
      <c r="CZ24" s="352">
        <f t="shared" si="25"/>
        <v>22.753074310428271</v>
      </c>
      <c r="DA24" s="352">
        <f t="shared" si="25"/>
        <v>5.4049070730586237</v>
      </c>
      <c r="DB24" s="352">
        <f t="shared" si="25"/>
        <v>9.7401900534537411</v>
      </c>
      <c r="DC24" s="352">
        <f t="shared" si="25"/>
        <v>1.7000814189516649</v>
      </c>
      <c r="DD24" s="352">
        <f t="shared" si="26"/>
        <v>39.598252855892298</v>
      </c>
      <c r="DF24" s="352">
        <f t="shared" si="27"/>
        <v>0</v>
      </c>
      <c r="DG24" s="352">
        <f t="shared" si="27"/>
        <v>46.041131296780591</v>
      </c>
      <c r="DH24" s="352">
        <f t="shared" si="27"/>
        <v>0</v>
      </c>
      <c r="DI24" s="352">
        <f t="shared" si="27"/>
        <v>0</v>
      </c>
      <c r="DJ24" s="352">
        <f t="shared" si="28"/>
        <v>46.041131296780591</v>
      </c>
    </row>
    <row r="25" spans="1:114" x14ac:dyDescent="0.2">
      <c r="A25">
        <f t="shared" si="29"/>
        <v>20</v>
      </c>
      <c r="B25" s="397">
        <v>34308</v>
      </c>
      <c r="C25" s="398">
        <v>397997.79676138877</v>
      </c>
      <c r="D25" s="399">
        <v>0</v>
      </c>
      <c r="E25" s="399">
        <v>0</v>
      </c>
      <c r="F25" s="399">
        <v>0</v>
      </c>
      <c r="G25" s="399">
        <v>0</v>
      </c>
      <c r="H25" s="399">
        <v>0</v>
      </c>
      <c r="I25" s="400">
        <v>0</v>
      </c>
      <c r="J25" s="400">
        <v>0</v>
      </c>
      <c r="K25" s="400">
        <v>0</v>
      </c>
      <c r="L25" s="400">
        <v>0</v>
      </c>
      <c r="M25" s="400">
        <v>0</v>
      </c>
      <c r="N25" s="400">
        <v>0</v>
      </c>
      <c r="O25" s="399">
        <f t="shared" si="30"/>
        <v>0</v>
      </c>
      <c r="P25" s="399">
        <f t="shared" si="30"/>
        <v>0</v>
      </c>
      <c r="Q25" s="399">
        <f t="shared" si="30"/>
        <v>0</v>
      </c>
      <c r="R25" s="399">
        <f t="shared" si="30"/>
        <v>0</v>
      </c>
      <c r="S25" s="399">
        <f t="shared" si="30"/>
        <v>0</v>
      </c>
      <c r="T25" s="399">
        <f t="shared" si="30"/>
        <v>0</v>
      </c>
      <c r="U25" s="399">
        <f t="shared" si="10"/>
        <v>0</v>
      </c>
      <c r="V25" s="400">
        <v>0</v>
      </c>
      <c r="W25" s="400">
        <v>0</v>
      </c>
      <c r="X25" s="400">
        <v>0</v>
      </c>
      <c r="Y25" s="400">
        <v>0</v>
      </c>
      <c r="Z25" s="400">
        <v>0</v>
      </c>
      <c r="AA25" s="400">
        <v>0</v>
      </c>
      <c r="AB25" s="352">
        <f t="shared" si="31"/>
        <v>0</v>
      </c>
      <c r="AC25" s="352">
        <f t="shared" si="31"/>
        <v>0</v>
      </c>
      <c r="AD25" s="352">
        <f t="shared" si="31"/>
        <v>0</v>
      </c>
      <c r="AE25" s="352">
        <f t="shared" si="31"/>
        <v>0</v>
      </c>
      <c r="AF25" s="352">
        <f t="shared" si="31"/>
        <v>0</v>
      </c>
      <c r="AG25" s="352">
        <f t="shared" si="31"/>
        <v>0</v>
      </c>
      <c r="AH25" s="400">
        <f t="shared" si="11"/>
        <v>0</v>
      </c>
      <c r="AJ25" s="352">
        <f>D25*('Assumptions-Output Override'!$D$10/'Winners-Losers Values PMPM'!$H$107)*(1+'Assumptions-Output Override'!$F$41)</f>
        <v>0</v>
      </c>
      <c r="AK25" s="352">
        <f>E25*('Assumptions-Output Override'!$D$10/'Winners-Losers Values PMPM'!$H$107)*(1+'Assumptions-Output Override'!$F$37)</f>
        <v>0</v>
      </c>
      <c r="AL25" s="352">
        <f>F25*('Assumptions-Output Override'!$D$10/'Winners-Losers Values PMPM'!$H$107)*(1+'Assumptions-Output Override'!$F$38)</f>
        <v>0</v>
      </c>
      <c r="AM25" s="352">
        <f>G25*('Shoppable Detail'!$X$21/'Shoppable Detail'!$H$21)*('Assumptions-Output Override'!$D$10/'Winners-Losers Values PMPM'!$H$107)*(1+'Assumptions-Output Override'!$F$39)</f>
        <v>0</v>
      </c>
      <c r="AN25" s="352">
        <f t="shared" si="12"/>
        <v>0</v>
      </c>
      <c r="AO25" s="352">
        <v>0</v>
      </c>
      <c r="AP25" s="352">
        <f>U25*'Assumptions-Output Override'!$D$10/'Winners-Losers Values PMPM'!$H$107*(1+'Assumptions-Output Override'!$F$37)</f>
        <v>0</v>
      </c>
      <c r="AQ25" s="352">
        <f>AH25*'Assumptions-Output Override'!$D$10/'Winners-Losers Values PMPM'!$H$107*(1+'Assumptions-Output Override'!$F$38)</f>
        <v>0</v>
      </c>
      <c r="AR25" s="352">
        <f>AM25*('Shoppable Detail'!$AA$23/'Shoppable Detail'!$Y$23)</f>
        <v>0</v>
      </c>
      <c r="AS25" s="352">
        <f t="shared" si="13"/>
        <v>0</v>
      </c>
      <c r="AT25" s="352">
        <f t="shared" si="14"/>
        <v>0</v>
      </c>
      <c r="AU25" s="352">
        <f t="shared" si="14"/>
        <v>0</v>
      </c>
      <c r="AV25" s="352">
        <f t="shared" si="14"/>
        <v>0</v>
      </c>
      <c r="AW25" s="352">
        <f t="shared" si="14"/>
        <v>0</v>
      </c>
      <c r="AX25" s="352">
        <f t="shared" si="15"/>
        <v>0</v>
      </c>
      <c r="AY25" s="352">
        <f>AT25*'Assumptions-Output Override'!$D$24</f>
        <v>0</v>
      </c>
      <c r="AZ25" s="352">
        <f>$AU$107*'Assumptions-Output Override'!$D$21</f>
        <v>46.041131296780591</v>
      </c>
      <c r="BA25" s="352">
        <f>AV25*'Assumptions-Output Override'!$D$22</f>
        <v>0</v>
      </c>
      <c r="BB25" s="352">
        <f>AW25*'Assumptions-Output Override'!$D$23</f>
        <v>0</v>
      </c>
      <c r="BC25" s="352">
        <f t="shared" si="16"/>
        <v>46.041131296780591</v>
      </c>
      <c r="BD25" s="352">
        <f t="shared" si="17"/>
        <v>0</v>
      </c>
      <c r="BE25" s="352">
        <f t="shared" si="17"/>
        <v>46.041131296780591</v>
      </c>
      <c r="BF25" s="352">
        <f t="shared" si="17"/>
        <v>0</v>
      </c>
      <c r="BG25" s="352">
        <f t="shared" si="17"/>
        <v>0</v>
      </c>
      <c r="BH25" s="352">
        <f t="shared" si="18"/>
        <v>46.041131296780591</v>
      </c>
      <c r="BJ25" s="401">
        <f>D25*'Assumptions-Output Override'!$D$10/'Winners-Losers Values PMPM'!$H$107</f>
        <v>0</v>
      </c>
      <c r="BK25" s="401">
        <f>E25*'Assumptions-Output Override'!$D$10/'Winners-Losers Values PMPM'!$H$107</f>
        <v>0</v>
      </c>
      <c r="BL25" s="401">
        <f>F25*'Assumptions-Output Override'!$D$10/'Winners-Losers Values PMPM'!$H$107</f>
        <v>0</v>
      </c>
      <c r="BM25" s="401">
        <f>G25*'Assumptions-Output Override'!$D$10/'Winners-Losers Values PMPM'!$H$107</f>
        <v>0</v>
      </c>
      <c r="BN25" s="401">
        <f t="shared" si="2"/>
        <v>0</v>
      </c>
      <c r="BO25" s="401">
        <f>BJ25*(1-'Assumptions-Output Override'!$D$11)</f>
        <v>0</v>
      </c>
      <c r="BP25" s="401">
        <f>BK25*(1-'Assumptions-Output Override'!$D$11)</f>
        <v>0</v>
      </c>
      <c r="BQ25" s="401">
        <f>BL25*(1-'Assumptions-Output Override'!$D$11)</f>
        <v>0</v>
      </c>
      <c r="BR25" s="401">
        <f>BM25*(1-'Assumptions-Output Override'!$D$11)</f>
        <v>0</v>
      </c>
      <c r="BS25" s="352">
        <f t="shared" si="3"/>
        <v>0</v>
      </c>
      <c r="BT25" s="352">
        <f t="shared" si="19"/>
        <v>0</v>
      </c>
      <c r="BU25" s="352">
        <f t="shared" si="19"/>
        <v>0</v>
      </c>
      <c r="BV25" s="352">
        <f t="shared" si="19"/>
        <v>0</v>
      </c>
      <c r="BW25" s="352">
        <f t="shared" si="19"/>
        <v>0</v>
      </c>
      <c r="BX25" s="352">
        <f t="shared" si="4"/>
        <v>0</v>
      </c>
      <c r="BY25" s="352">
        <f>BT$107*(1-'Assumptions-Output Override'!$D$12)</f>
        <v>22.753074310428271</v>
      </c>
      <c r="BZ25" s="352">
        <f>BU$107*(1-'Assumptions-Output Override'!$D$12)</f>
        <v>51.446038369839215</v>
      </c>
      <c r="CA25" s="352">
        <f>BV$107*(1-'Assumptions-Output Override'!$D$12)</f>
        <v>9.7401900534537411</v>
      </c>
      <c r="CB25" s="352">
        <f>BW$107*(1-'Assumptions-Output Override'!$D$12)</f>
        <v>1.7000814189516649</v>
      </c>
      <c r="CC25" s="352">
        <f t="shared" si="5"/>
        <v>85.639384152672903</v>
      </c>
      <c r="CD25" s="352">
        <f t="shared" si="20"/>
        <v>22.753074310428271</v>
      </c>
      <c r="CE25" s="352">
        <f t="shared" si="20"/>
        <v>51.446038369839215</v>
      </c>
      <c r="CF25" s="352">
        <f t="shared" si="20"/>
        <v>9.7401900534537411</v>
      </c>
      <c r="CG25" s="352">
        <f t="shared" si="20"/>
        <v>1.7000814189516649</v>
      </c>
      <c r="CH25" s="352">
        <f t="shared" si="6"/>
        <v>85.639384152672903</v>
      </c>
      <c r="CJ25" s="352">
        <f t="shared" si="21"/>
        <v>85.639384152672903</v>
      </c>
      <c r="CK25" s="352">
        <f t="shared" si="22"/>
        <v>46.041131296780591</v>
      </c>
      <c r="CL25" s="352">
        <f t="shared" si="23"/>
        <v>39.598252855892312</v>
      </c>
      <c r="CN25" s="352">
        <f t="shared" si="24"/>
        <v>0</v>
      </c>
      <c r="CO25" s="352">
        <f t="shared" si="24"/>
        <v>0</v>
      </c>
      <c r="CP25" s="352">
        <f t="shared" si="24"/>
        <v>0</v>
      </c>
      <c r="CQ25" s="352">
        <f t="shared" si="24"/>
        <v>0</v>
      </c>
      <c r="CR25" s="352">
        <f t="shared" si="7"/>
        <v>0</v>
      </c>
      <c r="CT25" s="352">
        <f t="shared" si="32"/>
        <v>0</v>
      </c>
      <c r="CU25" s="352">
        <f t="shared" si="32"/>
        <v>0</v>
      </c>
      <c r="CV25" s="352">
        <f t="shared" si="32"/>
        <v>0</v>
      </c>
      <c r="CW25" s="352">
        <f t="shared" si="32"/>
        <v>0</v>
      </c>
      <c r="CX25" s="352">
        <f t="shared" si="9"/>
        <v>0</v>
      </c>
      <c r="CZ25" s="352">
        <f t="shared" si="25"/>
        <v>22.753074310428271</v>
      </c>
      <c r="DA25" s="352">
        <f t="shared" si="25"/>
        <v>5.4049070730586237</v>
      </c>
      <c r="DB25" s="352">
        <f t="shared" si="25"/>
        <v>9.7401900534537411</v>
      </c>
      <c r="DC25" s="352">
        <f t="shared" si="25"/>
        <v>1.7000814189516649</v>
      </c>
      <c r="DD25" s="352">
        <f t="shared" si="26"/>
        <v>39.598252855892298</v>
      </c>
      <c r="DF25" s="352">
        <f t="shared" si="27"/>
        <v>0</v>
      </c>
      <c r="DG25" s="352">
        <f t="shared" si="27"/>
        <v>46.041131296780591</v>
      </c>
      <c r="DH25" s="352">
        <f t="shared" si="27"/>
        <v>0</v>
      </c>
      <c r="DI25" s="352">
        <f t="shared" si="27"/>
        <v>0</v>
      </c>
      <c r="DJ25" s="352">
        <f t="shared" si="28"/>
        <v>46.041131296780591</v>
      </c>
    </row>
    <row r="26" spans="1:114" x14ac:dyDescent="0.2">
      <c r="A26">
        <f t="shared" si="29"/>
        <v>21</v>
      </c>
      <c r="B26" s="397">
        <v>34308</v>
      </c>
      <c r="C26" s="398">
        <v>397997.79676138877</v>
      </c>
      <c r="D26" s="399">
        <v>0</v>
      </c>
      <c r="E26" s="399">
        <v>0</v>
      </c>
      <c r="F26" s="399">
        <v>0</v>
      </c>
      <c r="G26" s="399">
        <v>0</v>
      </c>
      <c r="H26" s="399">
        <v>0</v>
      </c>
      <c r="I26" s="400">
        <v>0</v>
      </c>
      <c r="J26" s="400">
        <v>0</v>
      </c>
      <c r="K26" s="400">
        <v>0</v>
      </c>
      <c r="L26" s="400">
        <v>0</v>
      </c>
      <c r="M26" s="400">
        <v>0</v>
      </c>
      <c r="N26" s="400">
        <v>0</v>
      </c>
      <c r="O26" s="399">
        <f t="shared" si="30"/>
        <v>0</v>
      </c>
      <c r="P26" s="399">
        <f t="shared" si="30"/>
        <v>0</v>
      </c>
      <c r="Q26" s="399">
        <f t="shared" si="30"/>
        <v>0</v>
      </c>
      <c r="R26" s="399">
        <f t="shared" si="30"/>
        <v>0</v>
      </c>
      <c r="S26" s="399">
        <f t="shared" si="30"/>
        <v>0</v>
      </c>
      <c r="T26" s="399">
        <f t="shared" si="30"/>
        <v>0</v>
      </c>
      <c r="U26" s="399">
        <f t="shared" si="10"/>
        <v>0</v>
      </c>
      <c r="V26" s="400">
        <v>0</v>
      </c>
      <c r="W26" s="400">
        <v>0</v>
      </c>
      <c r="X26" s="400">
        <v>0</v>
      </c>
      <c r="Y26" s="400">
        <v>0</v>
      </c>
      <c r="Z26" s="400">
        <v>0</v>
      </c>
      <c r="AA26" s="400">
        <v>0</v>
      </c>
      <c r="AB26" s="352">
        <f t="shared" si="31"/>
        <v>0</v>
      </c>
      <c r="AC26" s="352">
        <f t="shared" si="31"/>
        <v>0</v>
      </c>
      <c r="AD26" s="352">
        <f t="shared" si="31"/>
        <v>0</v>
      </c>
      <c r="AE26" s="352">
        <f t="shared" si="31"/>
        <v>0</v>
      </c>
      <c r="AF26" s="352">
        <f t="shared" si="31"/>
        <v>0</v>
      </c>
      <c r="AG26" s="352">
        <f t="shared" si="31"/>
        <v>0</v>
      </c>
      <c r="AH26" s="400">
        <f t="shared" si="11"/>
        <v>0</v>
      </c>
      <c r="AJ26" s="352">
        <f>D26*('Assumptions-Output Override'!$D$10/'Winners-Losers Values PMPM'!$H$107)*(1+'Assumptions-Output Override'!$F$41)</f>
        <v>0</v>
      </c>
      <c r="AK26" s="352">
        <f>E26*('Assumptions-Output Override'!$D$10/'Winners-Losers Values PMPM'!$H$107)*(1+'Assumptions-Output Override'!$F$37)</f>
        <v>0</v>
      </c>
      <c r="AL26" s="352">
        <f>F26*('Assumptions-Output Override'!$D$10/'Winners-Losers Values PMPM'!$H$107)*(1+'Assumptions-Output Override'!$F$38)</f>
        <v>0</v>
      </c>
      <c r="AM26" s="352">
        <f>G26*('Shoppable Detail'!$X$21/'Shoppable Detail'!$H$21)*('Assumptions-Output Override'!$D$10/'Winners-Losers Values PMPM'!$H$107)*(1+'Assumptions-Output Override'!$F$39)</f>
        <v>0</v>
      </c>
      <c r="AN26" s="352">
        <f t="shared" si="12"/>
        <v>0</v>
      </c>
      <c r="AO26" s="352">
        <v>0</v>
      </c>
      <c r="AP26" s="352">
        <f>U26*'Assumptions-Output Override'!$D$10/'Winners-Losers Values PMPM'!$H$107*(1+'Assumptions-Output Override'!$F$37)</f>
        <v>0</v>
      </c>
      <c r="AQ26" s="352">
        <f>AH26*'Assumptions-Output Override'!$D$10/'Winners-Losers Values PMPM'!$H$107*(1+'Assumptions-Output Override'!$F$38)</f>
        <v>0</v>
      </c>
      <c r="AR26" s="352">
        <f>AM26*('Shoppable Detail'!$AA$23/'Shoppable Detail'!$Y$23)</f>
        <v>0</v>
      </c>
      <c r="AS26" s="352">
        <f t="shared" si="13"/>
        <v>0</v>
      </c>
      <c r="AT26" s="352">
        <f t="shared" si="14"/>
        <v>0</v>
      </c>
      <c r="AU26" s="352">
        <f t="shared" si="14"/>
        <v>0</v>
      </c>
      <c r="AV26" s="352">
        <f t="shared" si="14"/>
        <v>0</v>
      </c>
      <c r="AW26" s="352">
        <f t="shared" si="14"/>
        <v>0</v>
      </c>
      <c r="AX26" s="352">
        <f t="shared" si="15"/>
        <v>0</v>
      </c>
      <c r="AY26" s="352">
        <f>AT26*'Assumptions-Output Override'!$D$24</f>
        <v>0</v>
      </c>
      <c r="AZ26" s="352">
        <f>$AU$107*'Assumptions-Output Override'!$D$21</f>
        <v>46.041131296780591</v>
      </c>
      <c r="BA26" s="352">
        <f>AV26*'Assumptions-Output Override'!$D$22</f>
        <v>0</v>
      </c>
      <c r="BB26" s="352">
        <f>AW26*'Assumptions-Output Override'!$D$23</f>
        <v>0</v>
      </c>
      <c r="BC26" s="352">
        <f t="shared" si="16"/>
        <v>46.041131296780591</v>
      </c>
      <c r="BD26" s="352">
        <f t="shared" si="17"/>
        <v>0</v>
      </c>
      <c r="BE26" s="352">
        <f t="shared" si="17"/>
        <v>46.041131296780591</v>
      </c>
      <c r="BF26" s="352">
        <f t="shared" si="17"/>
        <v>0</v>
      </c>
      <c r="BG26" s="352">
        <f t="shared" si="17"/>
        <v>0</v>
      </c>
      <c r="BH26" s="352">
        <f t="shared" si="18"/>
        <v>46.041131296780591</v>
      </c>
      <c r="BJ26" s="401">
        <f>D26*'Assumptions-Output Override'!$D$10/'Winners-Losers Values PMPM'!$H$107</f>
        <v>0</v>
      </c>
      <c r="BK26" s="401">
        <f>E26*'Assumptions-Output Override'!$D$10/'Winners-Losers Values PMPM'!$H$107</f>
        <v>0</v>
      </c>
      <c r="BL26" s="401">
        <f>F26*'Assumptions-Output Override'!$D$10/'Winners-Losers Values PMPM'!$H$107</f>
        <v>0</v>
      </c>
      <c r="BM26" s="401">
        <f>G26*'Assumptions-Output Override'!$D$10/'Winners-Losers Values PMPM'!$H$107</f>
        <v>0</v>
      </c>
      <c r="BN26" s="401">
        <f t="shared" si="2"/>
        <v>0</v>
      </c>
      <c r="BO26" s="401">
        <f>BJ26*(1-'Assumptions-Output Override'!$D$11)</f>
        <v>0</v>
      </c>
      <c r="BP26" s="401">
        <f>BK26*(1-'Assumptions-Output Override'!$D$11)</f>
        <v>0</v>
      </c>
      <c r="BQ26" s="401">
        <f>BL26*(1-'Assumptions-Output Override'!$D$11)</f>
        <v>0</v>
      </c>
      <c r="BR26" s="401">
        <f>BM26*(1-'Assumptions-Output Override'!$D$11)</f>
        <v>0</v>
      </c>
      <c r="BS26" s="352">
        <f t="shared" si="3"/>
        <v>0</v>
      </c>
      <c r="BT26" s="352">
        <f t="shared" si="19"/>
        <v>0</v>
      </c>
      <c r="BU26" s="352">
        <f t="shared" si="19"/>
        <v>0</v>
      </c>
      <c r="BV26" s="352">
        <f t="shared" si="19"/>
        <v>0</v>
      </c>
      <c r="BW26" s="352">
        <f t="shared" si="19"/>
        <v>0</v>
      </c>
      <c r="BX26" s="352">
        <f t="shared" si="4"/>
        <v>0</v>
      </c>
      <c r="BY26" s="352">
        <f>BT$107*(1-'Assumptions-Output Override'!$D$12)</f>
        <v>22.753074310428271</v>
      </c>
      <c r="BZ26" s="352">
        <f>BU$107*(1-'Assumptions-Output Override'!$D$12)</f>
        <v>51.446038369839215</v>
      </c>
      <c r="CA26" s="352">
        <f>BV$107*(1-'Assumptions-Output Override'!$D$12)</f>
        <v>9.7401900534537411</v>
      </c>
      <c r="CB26" s="352">
        <f>BW$107*(1-'Assumptions-Output Override'!$D$12)</f>
        <v>1.7000814189516649</v>
      </c>
      <c r="CC26" s="352">
        <f t="shared" si="5"/>
        <v>85.639384152672903</v>
      </c>
      <c r="CD26" s="352">
        <f t="shared" si="20"/>
        <v>22.753074310428271</v>
      </c>
      <c r="CE26" s="352">
        <f t="shared" si="20"/>
        <v>51.446038369839215</v>
      </c>
      <c r="CF26" s="352">
        <f t="shared" si="20"/>
        <v>9.7401900534537411</v>
      </c>
      <c r="CG26" s="352">
        <f t="shared" si="20"/>
        <v>1.7000814189516649</v>
      </c>
      <c r="CH26" s="352">
        <f t="shared" si="6"/>
        <v>85.639384152672903</v>
      </c>
      <c r="CJ26" s="352">
        <f t="shared" si="21"/>
        <v>85.639384152672903</v>
      </c>
      <c r="CK26" s="352">
        <f t="shared" si="22"/>
        <v>46.041131296780591</v>
      </c>
      <c r="CL26" s="352">
        <f t="shared" si="23"/>
        <v>39.598252855892312</v>
      </c>
      <c r="CN26" s="352">
        <f t="shared" si="24"/>
        <v>0</v>
      </c>
      <c r="CO26" s="352">
        <f t="shared" si="24"/>
        <v>0</v>
      </c>
      <c r="CP26" s="352">
        <f t="shared" si="24"/>
        <v>0</v>
      </c>
      <c r="CQ26" s="352">
        <f t="shared" si="24"/>
        <v>0</v>
      </c>
      <c r="CR26" s="352">
        <f t="shared" si="7"/>
        <v>0</v>
      </c>
      <c r="CT26" s="352">
        <f t="shared" si="32"/>
        <v>0</v>
      </c>
      <c r="CU26" s="352">
        <f t="shared" si="32"/>
        <v>0</v>
      </c>
      <c r="CV26" s="352">
        <f t="shared" si="32"/>
        <v>0</v>
      </c>
      <c r="CW26" s="352">
        <f t="shared" si="32"/>
        <v>0</v>
      </c>
      <c r="CX26" s="352">
        <f t="shared" si="9"/>
        <v>0</v>
      </c>
      <c r="CZ26" s="352">
        <f t="shared" si="25"/>
        <v>22.753074310428271</v>
      </c>
      <c r="DA26" s="352">
        <f t="shared" si="25"/>
        <v>5.4049070730586237</v>
      </c>
      <c r="DB26" s="352">
        <f t="shared" si="25"/>
        <v>9.7401900534537411</v>
      </c>
      <c r="DC26" s="352">
        <f t="shared" si="25"/>
        <v>1.7000814189516649</v>
      </c>
      <c r="DD26" s="352">
        <f t="shared" si="26"/>
        <v>39.598252855892298</v>
      </c>
      <c r="DF26" s="352">
        <f t="shared" si="27"/>
        <v>0</v>
      </c>
      <c r="DG26" s="352">
        <f t="shared" si="27"/>
        <v>46.041131296780591</v>
      </c>
      <c r="DH26" s="352">
        <f t="shared" si="27"/>
        <v>0</v>
      </c>
      <c r="DI26" s="352">
        <f t="shared" si="27"/>
        <v>0</v>
      </c>
      <c r="DJ26" s="352">
        <f t="shared" si="28"/>
        <v>46.041131296780591</v>
      </c>
    </row>
    <row r="27" spans="1:114" x14ac:dyDescent="0.2">
      <c r="A27">
        <v>22</v>
      </c>
      <c r="B27" s="397">
        <v>33967</v>
      </c>
      <c r="C27" s="398">
        <v>394041.94830926001</v>
      </c>
      <c r="D27" s="399">
        <v>0</v>
      </c>
      <c r="E27" s="399">
        <v>0</v>
      </c>
      <c r="F27" s="399">
        <v>1.2897230908483435</v>
      </c>
      <c r="G27" s="399">
        <v>0</v>
      </c>
      <c r="H27" s="399">
        <v>1.2897230908483435</v>
      </c>
      <c r="I27" s="400">
        <v>0</v>
      </c>
      <c r="J27" s="400">
        <v>0</v>
      </c>
      <c r="K27" s="400">
        <v>0</v>
      </c>
      <c r="L27" s="400">
        <v>0</v>
      </c>
      <c r="M27" s="400">
        <v>0</v>
      </c>
      <c r="N27" s="400">
        <v>0</v>
      </c>
      <c r="O27" s="399">
        <f t="shared" si="30"/>
        <v>0</v>
      </c>
      <c r="P27" s="399">
        <f t="shared" si="30"/>
        <v>0</v>
      </c>
      <c r="Q27" s="399">
        <f t="shared" si="30"/>
        <v>0</v>
      </c>
      <c r="R27" s="399">
        <f t="shared" si="30"/>
        <v>0</v>
      </c>
      <c r="S27" s="399">
        <f t="shared" si="30"/>
        <v>0</v>
      </c>
      <c r="T27" s="399">
        <f t="shared" si="30"/>
        <v>0</v>
      </c>
      <c r="U27" s="399">
        <f t="shared" si="10"/>
        <v>0</v>
      </c>
      <c r="V27" s="400">
        <v>7.5617806104033211E-4</v>
      </c>
      <c r="W27" s="400">
        <v>5.0148525142624835E-3</v>
      </c>
      <c r="X27" s="400">
        <v>1.0404983574952164E-4</v>
      </c>
      <c r="Y27" s="400">
        <v>6.9688178520606214E-2</v>
      </c>
      <c r="Z27" s="400">
        <v>1.035209580478102E-2</v>
      </c>
      <c r="AA27" s="400">
        <v>1.1304075667862781E-2</v>
      </c>
      <c r="AB27" s="352">
        <f t="shared" si="31"/>
        <v>0.18904451526008303</v>
      </c>
      <c r="AC27" s="352">
        <f t="shared" si="31"/>
        <v>0</v>
      </c>
      <c r="AD27" s="352">
        <f t="shared" si="31"/>
        <v>0.10404983574952163</v>
      </c>
      <c r="AE27" s="352">
        <f t="shared" si="31"/>
        <v>2.4703369123061845</v>
      </c>
      <c r="AF27" s="352">
        <f t="shared" si="31"/>
        <v>0.31056287414343059</v>
      </c>
      <c r="AG27" s="352">
        <f t="shared" si="31"/>
        <v>0.67824454007176682</v>
      </c>
      <c r="AH27" s="400">
        <f t="shared" si="11"/>
        <v>3.7522386775309866</v>
      </c>
      <c r="AJ27" s="352">
        <f>D27*('Assumptions-Output Override'!$D$10/'Winners-Losers Values PMPM'!$H$107)*(1+'Assumptions-Output Override'!$F$41)</f>
        <v>0</v>
      </c>
      <c r="AK27" s="352">
        <f>E27*('Assumptions-Output Override'!$D$10/'Winners-Losers Values PMPM'!$H$107)*(1+'Assumptions-Output Override'!$F$37)</f>
        <v>0</v>
      </c>
      <c r="AL27" s="352">
        <f>F27*('Assumptions-Output Override'!$D$10/'Winners-Losers Values PMPM'!$H$107)*(1+'Assumptions-Output Override'!$F$38)</f>
        <v>2.1665361226380013</v>
      </c>
      <c r="AM27" s="352">
        <f>G27*('Shoppable Detail'!$X$21/'Shoppable Detail'!$H$21)*('Assumptions-Output Override'!$D$10/'Winners-Losers Values PMPM'!$H$107)*(1+'Assumptions-Output Override'!$F$39)</f>
        <v>0</v>
      </c>
      <c r="AN27" s="352">
        <f t="shared" si="12"/>
        <v>2.1665361226380013</v>
      </c>
      <c r="AO27" s="352">
        <v>0</v>
      </c>
      <c r="AP27" s="352">
        <f>U27*'Assumptions-Output Override'!$D$10/'Winners-Losers Values PMPM'!$H$107*(1+'Assumptions-Output Override'!$F$37)</f>
        <v>0</v>
      </c>
      <c r="AQ27" s="352">
        <f>AH27*'Assumptions-Output Override'!$D$10/'Winners-Losers Values PMPM'!$H$107*(1+'Assumptions-Output Override'!$F$38)</f>
        <v>6.3031829803737649</v>
      </c>
      <c r="AR27" s="352">
        <f>AM27*('Shoppable Detail'!$AA$23/'Shoppable Detail'!$Y$23)</f>
        <v>0</v>
      </c>
      <c r="AS27" s="352">
        <f t="shared" si="13"/>
        <v>6.3031829803737649</v>
      </c>
      <c r="AT27" s="352">
        <f t="shared" si="14"/>
        <v>0</v>
      </c>
      <c r="AU27" s="352">
        <f t="shared" si="14"/>
        <v>0</v>
      </c>
      <c r="AV27" s="352">
        <f t="shared" si="14"/>
        <v>-4.136646857735764</v>
      </c>
      <c r="AW27" s="352">
        <f t="shared" si="14"/>
        <v>0</v>
      </c>
      <c r="AX27" s="352">
        <f t="shared" si="15"/>
        <v>-4.136646857735764</v>
      </c>
      <c r="AY27" s="352">
        <f>AT27*'Assumptions-Output Override'!$D$24</f>
        <v>0</v>
      </c>
      <c r="AZ27" s="352">
        <f>$AU$107*'Assumptions-Output Override'!$D$21</f>
        <v>46.041131296780591</v>
      </c>
      <c r="BA27" s="352">
        <f>AV27*'Assumptions-Output Override'!$D$22</f>
        <v>-0.6204970286603646</v>
      </c>
      <c r="BB27" s="352">
        <f>AW27*'Assumptions-Output Override'!$D$23</f>
        <v>0</v>
      </c>
      <c r="BC27" s="352">
        <f t="shared" si="16"/>
        <v>45.420634268120224</v>
      </c>
      <c r="BD27" s="352">
        <f t="shared" si="17"/>
        <v>0</v>
      </c>
      <c r="BE27" s="352">
        <f t="shared" si="17"/>
        <v>46.041131296780591</v>
      </c>
      <c r="BF27" s="352">
        <f t="shared" si="17"/>
        <v>5.6826859517134007</v>
      </c>
      <c r="BG27" s="352">
        <f t="shared" si="17"/>
        <v>0</v>
      </c>
      <c r="BH27" s="352">
        <f t="shared" si="18"/>
        <v>51.723817248493994</v>
      </c>
      <c r="BJ27" s="401">
        <f>D27*'Assumptions-Output Override'!$D$10/'Winners-Losers Values PMPM'!$H$107</f>
        <v>0</v>
      </c>
      <c r="BK27" s="401">
        <f>E27*'Assumptions-Output Override'!$D$10/'Winners-Losers Values PMPM'!$H$107</f>
        <v>0</v>
      </c>
      <c r="BL27" s="401">
        <f>F27*'Assumptions-Output Override'!$D$10/'Winners-Losers Values PMPM'!$H$107</f>
        <v>2.1789592135664679</v>
      </c>
      <c r="BM27" s="401">
        <f>G27*'Assumptions-Output Override'!$D$10/'Winners-Losers Values PMPM'!$H$107</f>
        <v>0</v>
      </c>
      <c r="BN27" s="401">
        <f t="shared" si="2"/>
        <v>2.1789592135664679</v>
      </c>
      <c r="BO27" s="401">
        <f>BJ27*(1-'Assumptions-Output Override'!$D$11)</f>
        <v>0</v>
      </c>
      <c r="BP27" s="401">
        <f>BK27*(1-'Assumptions-Output Override'!$D$11)</f>
        <v>0</v>
      </c>
      <c r="BQ27" s="401">
        <f>BL27*(1-'Assumptions-Output Override'!$D$11)</f>
        <v>0.31054479318351691</v>
      </c>
      <c r="BR27" s="401">
        <f>BM27*(1-'Assumptions-Output Override'!$D$11)</f>
        <v>0</v>
      </c>
      <c r="BS27" s="352">
        <f t="shared" si="3"/>
        <v>0.31054479318351691</v>
      </c>
      <c r="BT27" s="352">
        <f t="shared" si="19"/>
        <v>0</v>
      </c>
      <c r="BU27" s="352">
        <f t="shared" si="19"/>
        <v>0</v>
      </c>
      <c r="BV27" s="352">
        <f t="shared" si="19"/>
        <v>1.8684144203829511</v>
      </c>
      <c r="BW27" s="352">
        <f t="shared" si="19"/>
        <v>0</v>
      </c>
      <c r="BX27" s="352">
        <f t="shared" si="4"/>
        <v>1.8684144203829511</v>
      </c>
      <c r="BY27" s="352">
        <f>BT$107*(1-'Assumptions-Output Override'!$D$12)</f>
        <v>22.753074310428271</v>
      </c>
      <c r="BZ27" s="352">
        <f>BU$107*(1-'Assumptions-Output Override'!$D$12)</f>
        <v>51.446038369839215</v>
      </c>
      <c r="CA27" s="352">
        <f>BV$107*(1-'Assumptions-Output Override'!$D$12)</f>
        <v>9.7401900534537411</v>
      </c>
      <c r="CB27" s="352">
        <f>BW$107*(1-'Assumptions-Output Override'!$D$12)</f>
        <v>1.7000814189516649</v>
      </c>
      <c r="CC27" s="352">
        <f t="shared" si="5"/>
        <v>85.639384152672903</v>
      </c>
      <c r="CD27" s="352">
        <f t="shared" si="20"/>
        <v>22.753074310428271</v>
      </c>
      <c r="CE27" s="352">
        <f t="shared" si="20"/>
        <v>51.446038369839215</v>
      </c>
      <c r="CF27" s="352">
        <f t="shared" si="20"/>
        <v>10.050734846637258</v>
      </c>
      <c r="CG27" s="352">
        <f t="shared" si="20"/>
        <v>1.7000814189516649</v>
      </c>
      <c r="CH27" s="352">
        <f t="shared" si="6"/>
        <v>85.949928945856414</v>
      </c>
      <c r="CJ27" s="352">
        <f t="shared" si="21"/>
        <v>85.949928945856414</v>
      </c>
      <c r="CK27" s="352">
        <f t="shared" si="22"/>
        <v>51.723817248493994</v>
      </c>
      <c r="CL27" s="352">
        <f t="shared" si="23"/>
        <v>34.22611169736242</v>
      </c>
      <c r="CN27" s="352">
        <f t="shared" si="24"/>
        <v>0</v>
      </c>
      <c r="CO27" s="352">
        <f t="shared" si="24"/>
        <v>0</v>
      </c>
      <c r="CP27" s="352">
        <f t="shared" si="24"/>
        <v>1.2897230908483435</v>
      </c>
      <c r="CQ27" s="352">
        <f t="shared" si="24"/>
        <v>0</v>
      </c>
      <c r="CR27" s="352">
        <f t="shared" si="7"/>
        <v>1.2897230908483435</v>
      </c>
      <c r="CT27" s="352">
        <f t="shared" si="32"/>
        <v>0</v>
      </c>
      <c r="CU27" s="352">
        <f t="shared" si="32"/>
        <v>0</v>
      </c>
      <c r="CV27" s="352">
        <f t="shared" si="32"/>
        <v>-0.88923612271812447</v>
      </c>
      <c r="CW27" s="352">
        <f t="shared" si="32"/>
        <v>0</v>
      </c>
      <c r="CX27" s="352">
        <f t="shared" si="9"/>
        <v>-0.88923612271812447</v>
      </c>
      <c r="CZ27" s="352">
        <f t="shared" si="25"/>
        <v>22.753074310428271</v>
      </c>
      <c r="DA27" s="352">
        <f t="shared" si="25"/>
        <v>5.4049070730586237</v>
      </c>
      <c r="DB27" s="352">
        <f t="shared" si="25"/>
        <v>4.3680488949238576</v>
      </c>
      <c r="DC27" s="352">
        <f t="shared" si="25"/>
        <v>1.7000814189516649</v>
      </c>
      <c r="DD27" s="352">
        <f t="shared" si="26"/>
        <v>34.226111697362413</v>
      </c>
      <c r="DF27" s="352">
        <f t="shared" si="27"/>
        <v>0</v>
      </c>
      <c r="DG27" s="352">
        <f t="shared" si="27"/>
        <v>46.041131296780591</v>
      </c>
      <c r="DH27" s="352">
        <f t="shared" si="27"/>
        <v>5.6826859517134007</v>
      </c>
      <c r="DI27" s="352">
        <f t="shared" si="27"/>
        <v>0</v>
      </c>
      <c r="DJ27" s="352">
        <f t="shared" si="28"/>
        <v>51.723817248493994</v>
      </c>
    </row>
    <row r="28" spans="1:114" x14ac:dyDescent="0.2">
      <c r="A28">
        <v>23</v>
      </c>
      <c r="B28" s="397">
        <v>34308</v>
      </c>
      <c r="C28" s="398">
        <v>397997.79676138877</v>
      </c>
      <c r="D28" s="399">
        <v>1.0640629547361423E-4</v>
      </c>
      <c r="E28" s="399">
        <v>4.5844975250992475</v>
      </c>
      <c r="F28" s="399">
        <v>7.5238657093725037</v>
      </c>
      <c r="G28" s="399">
        <v>9.9964324982007406E-4</v>
      </c>
      <c r="H28" s="399">
        <v>12.109469284017045</v>
      </c>
      <c r="I28" s="400">
        <v>1.9711339281594132E-4</v>
      </c>
      <c r="J28" s="400">
        <v>2.2543284861924404E-3</v>
      </c>
      <c r="K28" s="400">
        <v>5.0251534462615584E-6</v>
      </c>
      <c r="L28" s="400">
        <v>0.10582614011248612</v>
      </c>
      <c r="M28" s="400">
        <v>6.0338926987563067E-2</v>
      </c>
      <c r="N28" s="400">
        <v>5.9761838365796141E-2</v>
      </c>
      <c r="O28" s="399">
        <f t="shared" si="30"/>
        <v>4.9278348203985328E-2</v>
      </c>
      <c r="P28" s="399">
        <f t="shared" si="30"/>
        <v>0</v>
      </c>
      <c r="Q28" s="399">
        <f t="shared" si="30"/>
        <v>5.0251534462615582E-3</v>
      </c>
      <c r="R28" s="399">
        <f t="shared" si="30"/>
        <v>2.1972116032781615</v>
      </c>
      <c r="S28" s="399">
        <f t="shared" si="30"/>
        <v>1.8101678096268921</v>
      </c>
      <c r="T28" s="399">
        <f t="shared" si="30"/>
        <v>3.5857103019477683</v>
      </c>
      <c r="U28" s="399">
        <f t="shared" si="10"/>
        <v>7.6473932165030689</v>
      </c>
      <c r="V28" s="400">
        <v>2.6072810338464424E-5</v>
      </c>
      <c r="W28" s="400">
        <v>2.6706007160969669E-3</v>
      </c>
      <c r="X28" s="400">
        <v>0</v>
      </c>
      <c r="Y28" s="400">
        <v>7.3013430318507336E-2</v>
      </c>
      <c r="Z28" s="400">
        <v>3.0475344584059996E-2</v>
      </c>
      <c r="AA28" s="400">
        <v>2.3587366755268398E-2</v>
      </c>
      <c r="AB28" s="352">
        <f t="shared" si="31"/>
        <v>6.5182025846161062E-3</v>
      </c>
      <c r="AC28" s="352">
        <f t="shared" si="31"/>
        <v>0</v>
      </c>
      <c r="AD28" s="352">
        <f t="shared" si="31"/>
        <v>0</v>
      </c>
      <c r="AE28" s="352">
        <f t="shared" si="31"/>
        <v>2.5882118867057331</v>
      </c>
      <c r="AF28" s="352">
        <f t="shared" si="31"/>
        <v>0.91426033752179992</v>
      </c>
      <c r="AG28" s="352">
        <f t="shared" si="31"/>
        <v>1.4152420053161039</v>
      </c>
      <c r="AH28" s="400">
        <f t="shared" si="11"/>
        <v>4.9242324321282531</v>
      </c>
      <c r="AJ28" s="352">
        <f>D28*('Assumptions-Output Override'!$D$10/'Winners-Losers Values PMPM'!$H$107)*(1+'Assumptions-Output Override'!$F$41)</f>
        <v>1.2700783066260145E-4</v>
      </c>
      <c r="AK28" s="352">
        <f>E28*('Assumptions-Output Override'!$D$10/'Winners-Losers Values PMPM'!$H$107)*(1+'Assumptions-Output Override'!$F$37)</f>
        <v>7.54506835980549</v>
      </c>
      <c r="AL28" s="352">
        <f>F28*('Assumptions-Output Override'!$D$10/'Winners-Losers Values PMPM'!$H$107)*(1+'Assumptions-Output Override'!$F$38)</f>
        <v>12.638935409391454</v>
      </c>
      <c r="AM28" s="352">
        <f>G28*('Shoppable Detail'!$X$21/'Shoppable Detail'!$H$21)*('Assumptions-Output Override'!$D$10/'Winners-Losers Values PMPM'!$H$107)*(1+'Assumptions-Output Override'!$F$39)</f>
        <v>1.7141801117401155E-3</v>
      </c>
      <c r="AN28" s="352">
        <f t="shared" si="12"/>
        <v>20.185844957139345</v>
      </c>
      <c r="AO28" s="352">
        <v>0</v>
      </c>
      <c r="AP28" s="352">
        <f>U28*'Assumptions-Output Override'!$D$10/'Winners-Losers Values PMPM'!$H$107*(1+'Assumptions-Output Override'!$F$37)</f>
        <v>12.58591683754466</v>
      </c>
      <c r="AQ28" s="352">
        <f>AH28*'Assumptions-Output Override'!$D$10/'Winners-Losers Values PMPM'!$H$107*(1+'Assumptions-Output Override'!$F$38)</f>
        <v>8.2719519532320565</v>
      </c>
      <c r="AR28" s="352">
        <f>AM28*('Shoppable Detail'!$AA$23/'Shoppable Detail'!$Y$23)</f>
        <v>5.7276140176152172E-5</v>
      </c>
      <c r="AS28" s="352">
        <f t="shared" si="13"/>
        <v>20.857926066916892</v>
      </c>
      <c r="AT28" s="352">
        <f t="shared" si="14"/>
        <v>1.2700783066260145E-4</v>
      </c>
      <c r="AU28" s="352">
        <f t="shared" si="14"/>
        <v>-5.0408484777391704</v>
      </c>
      <c r="AV28" s="352">
        <f t="shared" si="14"/>
        <v>4.3669834561593976</v>
      </c>
      <c r="AW28" s="352">
        <f t="shared" si="14"/>
        <v>1.6569039715639633E-3</v>
      </c>
      <c r="AX28" s="352">
        <f t="shared" si="15"/>
        <v>-0.67208110977754654</v>
      </c>
      <c r="AY28" s="352">
        <f>AT28*'Assumptions-Output Override'!$D$24</f>
        <v>3.8693687735137763E-5</v>
      </c>
      <c r="AZ28" s="352">
        <f>$AU$107*'Assumptions-Output Override'!$D$21</f>
        <v>46.041131296780591</v>
      </c>
      <c r="BA28" s="352">
        <f>AV28*'Assumptions-Output Override'!$D$22</f>
        <v>0.65504751842390962</v>
      </c>
      <c r="BB28" s="352">
        <f>AW28*'Assumptions-Output Override'!$D$23</f>
        <v>2.485355957345945E-4</v>
      </c>
      <c r="BC28" s="352">
        <f t="shared" si="16"/>
        <v>46.69646604448797</v>
      </c>
      <c r="BD28" s="352">
        <f t="shared" si="17"/>
        <v>3.8693687735137763E-5</v>
      </c>
      <c r="BE28" s="352">
        <f t="shared" si="17"/>
        <v>58.62704813432525</v>
      </c>
      <c r="BF28" s="352">
        <f t="shared" si="17"/>
        <v>8.9269994716559662</v>
      </c>
      <c r="BG28" s="352">
        <f t="shared" si="17"/>
        <v>3.0581173591074669E-4</v>
      </c>
      <c r="BH28" s="352">
        <f t="shared" si="18"/>
        <v>67.554392111404866</v>
      </c>
      <c r="BJ28" s="401">
        <f>D28*'Assumptions-Output Override'!$D$10/'Winners-Losers Values PMPM'!$H$107</f>
        <v>1.7977113036814749E-4</v>
      </c>
      <c r="BK28" s="401">
        <f>E28*'Assumptions-Output Override'!$D$10/'Winners-Losers Values PMPM'!$H$107</f>
        <v>7.7454092221586173</v>
      </c>
      <c r="BL28" s="401">
        <f>F28*'Assumptions-Output Override'!$D$10/'Winners-Losers Values PMPM'!$H$107</f>
        <v>12.711408073100705</v>
      </c>
      <c r="BM28" s="401">
        <f>G28*'Assumptions-Output Override'!$D$10/'Winners-Losers Values PMPM'!$H$107</f>
        <v>1.6888756082068983E-3</v>
      </c>
      <c r="BN28" s="401">
        <f t="shared" si="2"/>
        <v>20.458685941997896</v>
      </c>
      <c r="BO28" s="401">
        <f>BJ28*(1-'Assumptions-Output Override'!$D$11)</f>
        <v>2.5620942398993852E-5</v>
      </c>
      <c r="BP28" s="401">
        <f>BK28*(1-'Assumptions-Output Override'!$D$11)</f>
        <v>1.1038740376787599</v>
      </c>
      <c r="BQ28" s="401">
        <f>BL28*(1-'Assumptions-Output Override'!$D$11)</f>
        <v>1.8116271137866942</v>
      </c>
      <c r="BR28" s="401">
        <f>BM28*(1-'Assumptions-Output Override'!$D$11)</f>
        <v>2.4069818434318245E-4</v>
      </c>
      <c r="BS28" s="352">
        <f t="shared" si="3"/>
        <v>2.9157674705921961</v>
      </c>
      <c r="BT28" s="352">
        <f t="shared" si="19"/>
        <v>1.5415018796915365E-4</v>
      </c>
      <c r="BU28" s="352">
        <f t="shared" si="19"/>
        <v>6.6415351844798574</v>
      </c>
      <c r="BV28" s="352">
        <f t="shared" si="19"/>
        <v>10.899780959314011</v>
      </c>
      <c r="BW28" s="352">
        <f t="shared" si="19"/>
        <v>1.448177423863716E-3</v>
      </c>
      <c r="BX28" s="352">
        <f t="shared" si="4"/>
        <v>17.542918471405702</v>
      </c>
      <c r="BY28" s="352">
        <f>BT$107*(1-'Assumptions-Output Override'!$D$12)</f>
        <v>22.753074310428271</v>
      </c>
      <c r="BZ28" s="352">
        <f>BU$107*(1-'Assumptions-Output Override'!$D$12)</f>
        <v>51.446038369839215</v>
      </c>
      <c r="CA28" s="352">
        <f>BV$107*(1-'Assumptions-Output Override'!$D$12)</f>
        <v>9.7401900534537411</v>
      </c>
      <c r="CB28" s="352">
        <f>BW$107*(1-'Assumptions-Output Override'!$D$12)</f>
        <v>1.7000814189516649</v>
      </c>
      <c r="CC28" s="352">
        <f t="shared" si="5"/>
        <v>85.639384152672903</v>
      </c>
      <c r="CD28" s="352">
        <f t="shared" si="20"/>
        <v>22.75309993137067</v>
      </c>
      <c r="CE28" s="352">
        <f t="shared" si="20"/>
        <v>52.549912407517972</v>
      </c>
      <c r="CF28" s="352">
        <f t="shared" si="20"/>
        <v>11.551817167240435</v>
      </c>
      <c r="CG28" s="352">
        <f t="shared" si="20"/>
        <v>1.7003221171360081</v>
      </c>
      <c r="CH28" s="352">
        <f t="shared" si="6"/>
        <v>88.555151623265076</v>
      </c>
      <c r="CJ28" s="352">
        <f t="shared" si="21"/>
        <v>88.555151623265076</v>
      </c>
      <c r="CK28" s="352">
        <f t="shared" si="22"/>
        <v>67.554392111404866</v>
      </c>
      <c r="CL28" s="352">
        <f t="shared" si="23"/>
        <v>21.00075951186021</v>
      </c>
      <c r="CN28" s="352">
        <f t="shared" si="24"/>
        <v>1.0640629547361423E-4</v>
      </c>
      <c r="CO28" s="352">
        <f t="shared" si="24"/>
        <v>4.5844975250992475</v>
      </c>
      <c r="CP28" s="352">
        <f t="shared" si="24"/>
        <v>7.5238657093725037</v>
      </c>
      <c r="CQ28" s="352">
        <f t="shared" si="24"/>
        <v>9.9964324982007406E-4</v>
      </c>
      <c r="CR28" s="352">
        <f t="shared" si="7"/>
        <v>12.109469284017045</v>
      </c>
      <c r="CT28" s="352">
        <f t="shared" si="32"/>
        <v>-7.3364834894533266E-5</v>
      </c>
      <c r="CU28" s="352">
        <f t="shared" si="32"/>
        <v>-3.1609116970593698</v>
      </c>
      <c r="CV28" s="352">
        <f t="shared" si="32"/>
        <v>-5.187542363728201</v>
      </c>
      <c r="CW28" s="352">
        <f t="shared" si="32"/>
        <v>-6.8923235838682425E-4</v>
      </c>
      <c r="CX28" s="352">
        <f t="shared" si="9"/>
        <v>-8.3492166579808522</v>
      </c>
      <c r="CZ28" s="352">
        <f t="shared" si="25"/>
        <v>22.753061237682935</v>
      </c>
      <c r="DA28" s="352">
        <f t="shared" si="25"/>
        <v>-6.0771357268072776</v>
      </c>
      <c r="DB28" s="352">
        <f t="shared" si="25"/>
        <v>2.6248176955844684</v>
      </c>
      <c r="DC28" s="352">
        <f t="shared" si="25"/>
        <v>1.7000163054000974</v>
      </c>
      <c r="DD28" s="352">
        <f t="shared" si="26"/>
        <v>21.000759511860224</v>
      </c>
      <c r="DF28" s="352">
        <f t="shared" si="27"/>
        <v>3.8693687735137763E-5</v>
      </c>
      <c r="DG28" s="352">
        <f t="shared" si="27"/>
        <v>58.62704813432525</v>
      </c>
      <c r="DH28" s="352">
        <f t="shared" si="27"/>
        <v>8.9269994716559662</v>
      </c>
      <c r="DI28" s="352">
        <f t="shared" si="27"/>
        <v>3.0581173591074669E-4</v>
      </c>
      <c r="DJ28" s="352">
        <f t="shared" si="28"/>
        <v>67.554392111404866</v>
      </c>
    </row>
    <row r="29" spans="1:114" x14ac:dyDescent="0.2">
      <c r="A29">
        <v>24</v>
      </c>
      <c r="B29" s="397">
        <v>34308</v>
      </c>
      <c r="C29" s="398">
        <v>397997.79676138877</v>
      </c>
      <c r="D29" s="399">
        <v>4.1943898761649383E-2</v>
      </c>
      <c r="E29" s="399">
        <v>15.245344600533455</v>
      </c>
      <c r="F29" s="399">
        <v>1.1408960277026146</v>
      </c>
      <c r="G29" s="399">
        <v>0</v>
      </c>
      <c r="H29" s="399">
        <v>16.428184526997718</v>
      </c>
      <c r="I29" s="400">
        <v>2.1208403024500013E-4</v>
      </c>
      <c r="J29" s="400">
        <v>2.8905805769274522E-3</v>
      </c>
      <c r="K29" s="400">
        <v>1.0050306892523117E-5</v>
      </c>
      <c r="L29" s="400">
        <v>0.10966147328882139</v>
      </c>
      <c r="M29" s="400">
        <v>0.11134991289053175</v>
      </c>
      <c r="N29" s="400">
        <v>9.4543035931821576E-2</v>
      </c>
      <c r="O29" s="399">
        <f t="shared" si="30"/>
        <v>5.3021007561250035E-2</v>
      </c>
      <c r="P29" s="399">
        <f t="shared" si="30"/>
        <v>0</v>
      </c>
      <c r="Q29" s="399">
        <f t="shared" si="30"/>
        <v>1.0050306892523116E-2</v>
      </c>
      <c r="R29" s="399">
        <f t="shared" si="30"/>
        <v>2.276842576764714</v>
      </c>
      <c r="S29" s="399">
        <f t="shared" si="30"/>
        <v>3.3404973867159526</v>
      </c>
      <c r="T29" s="399">
        <f t="shared" si="30"/>
        <v>5.6725821559092946</v>
      </c>
      <c r="U29" s="399">
        <f t="shared" si="10"/>
        <v>11.352993433843734</v>
      </c>
      <c r="V29" s="400">
        <v>2.4831247941394571E-6</v>
      </c>
      <c r="W29" s="400">
        <v>6.4809557127039796E-4</v>
      </c>
      <c r="X29" s="400">
        <v>0</v>
      </c>
      <c r="Y29" s="400">
        <v>1.1027549471173246E-2</v>
      </c>
      <c r="Z29" s="400">
        <v>4.5832414521972909E-3</v>
      </c>
      <c r="AA29" s="400">
        <v>3.3331842809053163E-3</v>
      </c>
      <c r="AB29" s="352">
        <f t="shared" si="31"/>
        <v>6.2078119853486427E-4</v>
      </c>
      <c r="AC29" s="352">
        <f t="shared" si="31"/>
        <v>0</v>
      </c>
      <c r="AD29" s="352">
        <f t="shared" si="31"/>
        <v>0</v>
      </c>
      <c r="AE29" s="352">
        <f t="shared" si="31"/>
        <v>0.39090937787772212</v>
      </c>
      <c r="AF29" s="352">
        <f t="shared" si="31"/>
        <v>0.13749724356591872</v>
      </c>
      <c r="AG29" s="352">
        <f t="shared" si="31"/>
        <v>0.19999105685431898</v>
      </c>
      <c r="AH29" s="400">
        <f t="shared" si="11"/>
        <v>0.72901845949649469</v>
      </c>
      <c r="AJ29" s="352">
        <f>D29*('Assumptions-Output Override'!$D$10/'Winners-Losers Values PMPM'!$H$107)*(1+'Assumptions-Output Override'!$F$41)</f>
        <v>5.0064740695439959E-2</v>
      </c>
      <c r="AK29" s="352">
        <f>E29*('Assumptions-Output Override'!$D$10/'Winners-Losers Values PMPM'!$H$107)*(1+'Assumptions-Output Override'!$F$37)</f>
        <v>25.090463360502365</v>
      </c>
      <c r="AL29" s="352">
        <f>F29*('Assumptions-Output Override'!$D$10/'Winners-Losers Values PMPM'!$H$107)*(1+'Assumptions-Output Override'!$F$38)</f>
        <v>1.9165295819942598</v>
      </c>
      <c r="AM29" s="352">
        <f>G29*('Shoppable Detail'!$X$21/'Shoppable Detail'!$H$21)*('Assumptions-Output Override'!$D$10/'Winners-Losers Values PMPM'!$H$107)*(1+'Assumptions-Output Override'!$F$39)</f>
        <v>0</v>
      </c>
      <c r="AN29" s="352">
        <f t="shared" si="12"/>
        <v>27.057057683192067</v>
      </c>
      <c r="AO29" s="352">
        <v>0</v>
      </c>
      <c r="AP29" s="352">
        <f>U29*'Assumptions-Output Override'!$D$10/'Winners-Losers Values PMPM'!$H$107*(1+'Assumptions-Output Override'!$F$37)</f>
        <v>18.684514732052222</v>
      </c>
      <c r="AQ29" s="352">
        <f>AH29*'Assumptions-Output Override'!$D$10/'Winners-Losers Values PMPM'!$H$107*(1+'Assumptions-Output Override'!$F$38)</f>
        <v>1.2246387133614471</v>
      </c>
      <c r="AR29" s="352">
        <f>AM29*('Shoppable Detail'!$AA$23/'Shoppable Detail'!$Y$23)</f>
        <v>0</v>
      </c>
      <c r="AS29" s="352">
        <f t="shared" si="13"/>
        <v>19.909153445413668</v>
      </c>
      <c r="AT29" s="352">
        <f t="shared" si="14"/>
        <v>5.0064740695439959E-2</v>
      </c>
      <c r="AU29" s="352">
        <f t="shared" si="14"/>
        <v>6.4059486284501439</v>
      </c>
      <c r="AV29" s="352">
        <f t="shared" si="14"/>
        <v>0.69189086863281268</v>
      </c>
      <c r="AW29" s="352">
        <f t="shared" si="14"/>
        <v>0</v>
      </c>
      <c r="AX29" s="352">
        <f t="shared" si="15"/>
        <v>7.1479042377783966</v>
      </c>
      <c r="AY29" s="352">
        <f>AT29*'Assumptions-Output Override'!$D$24</f>
        <v>1.5252519729717891E-2</v>
      </c>
      <c r="AZ29" s="352">
        <f>$AU$107*'Assumptions-Output Override'!$D$21</f>
        <v>46.041131296780591</v>
      </c>
      <c r="BA29" s="352">
        <f>AV29*'Assumptions-Output Override'!$D$22</f>
        <v>0.10378363029492189</v>
      </c>
      <c r="BB29" s="352">
        <f>AW29*'Assumptions-Output Override'!$D$23</f>
        <v>0</v>
      </c>
      <c r="BC29" s="352">
        <f t="shared" si="16"/>
        <v>46.160167446805232</v>
      </c>
      <c r="BD29" s="352">
        <f t="shared" si="17"/>
        <v>1.5252519729717891E-2</v>
      </c>
      <c r="BE29" s="352">
        <f t="shared" si="17"/>
        <v>64.725646028832813</v>
      </c>
      <c r="BF29" s="352">
        <f t="shared" si="17"/>
        <v>1.3284223436563691</v>
      </c>
      <c r="BG29" s="352">
        <f t="shared" si="17"/>
        <v>0</v>
      </c>
      <c r="BH29" s="352">
        <f t="shared" si="18"/>
        <v>66.069320892218897</v>
      </c>
      <c r="BJ29" s="401">
        <f>D29*'Assumptions-Output Override'!$D$10/'Winners-Losers Values PMPM'!$H$107</f>
        <v>7.0863308029538857E-2</v>
      </c>
      <c r="BK29" s="401">
        <f>E29*'Assumptions-Output Override'!$D$10/'Winners-Losers Values PMPM'!$H$107</f>
        <v>25.756679334536585</v>
      </c>
      <c r="BL29" s="401">
        <f>F29*'Assumptions-Output Override'!$D$10/'Winners-Losers Values PMPM'!$H$107</f>
        <v>1.9275191154783451</v>
      </c>
      <c r="BM29" s="401">
        <f>G29*'Assumptions-Output Override'!$D$10/'Winners-Losers Values PMPM'!$H$107</f>
        <v>0</v>
      </c>
      <c r="BN29" s="401">
        <f t="shared" si="2"/>
        <v>27.755061758044466</v>
      </c>
      <c r="BO29" s="401">
        <f>BJ29*(1-'Assumptions-Output Override'!$D$11)</f>
        <v>1.0099423247263874E-2</v>
      </c>
      <c r="BP29" s="401">
        <f>BK29*(1-'Assumptions-Output Override'!$D$11)</f>
        <v>3.6708363365580889</v>
      </c>
      <c r="BQ29" s="401">
        <f>BL29*(1-'Assumptions-Output Override'!$D$11)</f>
        <v>0.27470960509341297</v>
      </c>
      <c r="BR29" s="401">
        <f>BM29*(1-'Assumptions-Output Override'!$D$11)</f>
        <v>0</v>
      </c>
      <c r="BS29" s="352">
        <f t="shared" si="3"/>
        <v>3.9556453648987655</v>
      </c>
      <c r="BT29" s="352">
        <f t="shared" si="19"/>
        <v>6.0763884782274985E-2</v>
      </c>
      <c r="BU29" s="352">
        <f t="shared" si="19"/>
        <v>22.085842997978496</v>
      </c>
      <c r="BV29" s="352">
        <f t="shared" si="19"/>
        <v>1.6528095103849321</v>
      </c>
      <c r="BW29" s="352">
        <f t="shared" si="19"/>
        <v>0</v>
      </c>
      <c r="BX29" s="352">
        <f t="shared" si="4"/>
        <v>23.799416393145705</v>
      </c>
      <c r="BY29" s="352">
        <f>BT$107*(1-'Assumptions-Output Override'!$D$12)</f>
        <v>22.753074310428271</v>
      </c>
      <c r="BZ29" s="352">
        <f>BU$107*(1-'Assumptions-Output Override'!$D$12)</f>
        <v>51.446038369839215</v>
      </c>
      <c r="CA29" s="352">
        <f>BV$107*(1-'Assumptions-Output Override'!$D$12)</f>
        <v>9.7401900534537411</v>
      </c>
      <c r="CB29" s="352">
        <f>BW$107*(1-'Assumptions-Output Override'!$D$12)</f>
        <v>1.7000814189516649</v>
      </c>
      <c r="CC29" s="352">
        <f t="shared" si="5"/>
        <v>85.639384152672903</v>
      </c>
      <c r="CD29" s="352">
        <f t="shared" si="20"/>
        <v>22.763173733675536</v>
      </c>
      <c r="CE29" s="352">
        <f t="shared" si="20"/>
        <v>55.116874706397304</v>
      </c>
      <c r="CF29" s="352">
        <f t="shared" si="20"/>
        <v>10.014899658547154</v>
      </c>
      <c r="CG29" s="352">
        <f t="shared" si="20"/>
        <v>1.7000814189516649</v>
      </c>
      <c r="CH29" s="352">
        <f t="shared" si="6"/>
        <v>89.59502951757166</v>
      </c>
      <c r="CJ29" s="352">
        <f t="shared" si="21"/>
        <v>89.59502951757166</v>
      </c>
      <c r="CK29" s="352">
        <f t="shared" si="22"/>
        <v>66.069320892218897</v>
      </c>
      <c r="CL29" s="352">
        <f t="shared" si="23"/>
        <v>23.525708625352763</v>
      </c>
      <c r="CN29" s="352">
        <f t="shared" si="24"/>
        <v>4.1943898761649383E-2</v>
      </c>
      <c r="CO29" s="352">
        <f t="shared" si="24"/>
        <v>15.245344600533455</v>
      </c>
      <c r="CP29" s="352">
        <f t="shared" si="24"/>
        <v>1.1408960277026146</v>
      </c>
      <c r="CQ29" s="352">
        <f t="shared" si="24"/>
        <v>0</v>
      </c>
      <c r="CR29" s="352">
        <f t="shared" si="7"/>
        <v>16.428184526997718</v>
      </c>
      <c r="CT29" s="352">
        <f t="shared" si="32"/>
        <v>-2.8919409267889475E-2</v>
      </c>
      <c r="CU29" s="352">
        <f t="shared" si="32"/>
        <v>-10.51133473400313</v>
      </c>
      <c r="CV29" s="352">
        <f t="shared" si="32"/>
        <v>-0.78662308777573053</v>
      </c>
      <c r="CW29" s="352">
        <f t="shared" si="32"/>
        <v>0</v>
      </c>
      <c r="CX29" s="352">
        <f t="shared" si="9"/>
        <v>-11.326877231046749</v>
      </c>
      <c r="CZ29" s="352">
        <f t="shared" si="25"/>
        <v>22.747921213945819</v>
      </c>
      <c r="DA29" s="352">
        <f t="shared" si="25"/>
        <v>-9.6087713224355085</v>
      </c>
      <c r="DB29" s="352">
        <f t="shared" si="25"/>
        <v>8.6864773148907855</v>
      </c>
      <c r="DC29" s="352">
        <f t="shared" si="25"/>
        <v>1.7000814189516649</v>
      </c>
      <c r="DD29" s="352">
        <f t="shared" si="26"/>
        <v>23.52570862535276</v>
      </c>
      <c r="DF29" s="352">
        <f t="shared" si="27"/>
        <v>1.5252519729717891E-2</v>
      </c>
      <c r="DG29" s="352">
        <f t="shared" si="27"/>
        <v>64.725646028832813</v>
      </c>
      <c r="DH29" s="352">
        <f t="shared" si="27"/>
        <v>1.3284223436563691</v>
      </c>
      <c r="DI29" s="352">
        <f t="shared" si="27"/>
        <v>0</v>
      </c>
      <c r="DJ29" s="352">
        <f t="shared" si="28"/>
        <v>66.069320892218897</v>
      </c>
    </row>
    <row r="30" spans="1:114" x14ac:dyDescent="0.2">
      <c r="A30">
        <v>25</v>
      </c>
      <c r="B30" s="397">
        <v>34308</v>
      </c>
      <c r="C30" s="398">
        <v>397997.79676138877</v>
      </c>
      <c r="D30" s="399">
        <v>0.2035765797044225</v>
      </c>
      <c r="E30" s="399">
        <v>16.252418150596949</v>
      </c>
      <c r="F30" s="399">
        <v>1.2283915700824823</v>
      </c>
      <c r="G30" s="399">
        <v>0</v>
      </c>
      <c r="H30" s="399">
        <v>17.684386300383853</v>
      </c>
      <c r="I30" s="400">
        <v>3.4432466086835333E-4</v>
      </c>
      <c r="J30" s="400">
        <v>3.4370088430880912E-3</v>
      </c>
      <c r="K30" s="400">
        <v>0</v>
      </c>
      <c r="L30" s="400">
        <v>0.11752003222639344</v>
      </c>
      <c r="M30" s="400">
        <v>0.11535802553080721</v>
      </c>
      <c r="N30" s="400">
        <v>0.10054608423873368</v>
      </c>
      <c r="O30" s="399">
        <f t="shared" si="30"/>
        <v>8.6081165217088335E-2</v>
      </c>
      <c r="P30" s="399">
        <f t="shared" si="30"/>
        <v>0</v>
      </c>
      <c r="Q30" s="399">
        <f t="shared" si="30"/>
        <v>0</v>
      </c>
      <c r="R30" s="399">
        <f t="shared" si="30"/>
        <v>2.4400056370853966</v>
      </c>
      <c r="S30" s="399">
        <f t="shared" si="30"/>
        <v>3.460740765924216</v>
      </c>
      <c r="T30" s="399">
        <f t="shared" si="30"/>
        <v>6.0327650543240203</v>
      </c>
      <c r="U30" s="399">
        <f t="shared" si="10"/>
        <v>12.019592622550721</v>
      </c>
      <c r="V30" s="400">
        <v>3.7246871912091819E-6</v>
      </c>
      <c r="W30" s="400">
        <v>5.8601745141691165E-4</v>
      </c>
      <c r="X30" s="400">
        <v>0</v>
      </c>
      <c r="Y30" s="400">
        <v>1.2242700384306438E-2</v>
      </c>
      <c r="Z30" s="400">
        <v>4.8663585973596421E-3</v>
      </c>
      <c r="AA30" s="400">
        <v>3.7646439558013086E-3</v>
      </c>
      <c r="AB30" s="352">
        <f t="shared" si="31"/>
        <v>9.3117179780229542E-4</v>
      </c>
      <c r="AC30" s="352">
        <f t="shared" si="31"/>
        <v>0</v>
      </c>
      <c r="AD30" s="352">
        <f t="shared" si="31"/>
        <v>0</v>
      </c>
      <c r="AE30" s="352">
        <f t="shared" si="31"/>
        <v>0.43398457683485764</v>
      </c>
      <c r="AF30" s="352">
        <f t="shared" si="31"/>
        <v>0.14599075792078925</v>
      </c>
      <c r="AG30" s="352">
        <f t="shared" si="31"/>
        <v>0.2258786373480785</v>
      </c>
      <c r="AH30" s="400">
        <f t="shared" si="11"/>
        <v>0.80678514390152767</v>
      </c>
      <c r="AJ30" s="352">
        <f>D30*('Assumptions-Output Override'!$D$10/'Winners-Losers Values PMPM'!$H$107)*(1+'Assumptions-Output Override'!$F$41)</f>
        <v>0.24299144751620824</v>
      </c>
      <c r="AK30" s="352">
        <f>E30*('Assumptions-Output Override'!$D$10/'Winners-Losers Values PMPM'!$H$107)*(1+'Assumptions-Output Override'!$F$37)</f>
        <v>26.747883554750711</v>
      </c>
      <c r="AL30" s="352">
        <f>F30*('Assumptions-Output Override'!$D$10/'Winners-Losers Values PMPM'!$H$107)*(1+'Assumptions-Output Override'!$F$38)</f>
        <v>2.063508615308379</v>
      </c>
      <c r="AM30" s="352">
        <f>G30*('Shoppable Detail'!$X$21/'Shoppable Detail'!$H$21)*('Assumptions-Output Override'!$D$10/'Winners-Losers Values PMPM'!$H$107)*(1+'Assumptions-Output Override'!$F$39)</f>
        <v>0</v>
      </c>
      <c r="AN30" s="352">
        <f t="shared" si="12"/>
        <v>29.054383617575297</v>
      </c>
      <c r="AO30" s="352">
        <v>0</v>
      </c>
      <c r="AP30" s="352">
        <f>U30*'Assumptions-Output Override'!$D$10/'Winners-Losers Values PMPM'!$H$107*(1+'Assumptions-Output Override'!$F$37)</f>
        <v>19.781589475761724</v>
      </c>
      <c r="AQ30" s="352">
        <f>AH30*'Assumptions-Output Override'!$D$10/'Winners-Losers Values PMPM'!$H$107*(1+'Assumptions-Output Override'!$F$38)</f>
        <v>1.355274763918989</v>
      </c>
      <c r="AR30" s="352">
        <f>AM30*('Shoppable Detail'!$AA$23/'Shoppable Detail'!$Y$23)</f>
        <v>0</v>
      </c>
      <c r="AS30" s="352">
        <f t="shared" si="13"/>
        <v>21.136864239680712</v>
      </c>
      <c r="AT30" s="352">
        <f t="shared" si="14"/>
        <v>0.24299144751620824</v>
      </c>
      <c r="AU30" s="352">
        <f t="shared" si="14"/>
        <v>6.9662940789889873</v>
      </c>
      <c r="AV30" s="352">
        <f t="shared" si="14"/>
        <v>0.70823385138938999</v>
      </c>
      <c r="AW30" s="352">
        <f t="shared" si="14"/>
        <v>0</v>
      </c>
      <c r="AX30" s="352">
        <f t="shared" si="15"/>
        <v>7.9175193778945854</v>
      </c>
      <c r="AY30" s="352">
        <f>AT30*'Assumptions-Output Override'!$D$24</f>
        <v>7.4028783449411731E-2</v>
      </c>
      <c r="AZ30" s="352">
        <f>$AU$107*'Assumptions-Output Override'!$D$21</f>
        <v>46.041131296780591</v>
      </c>
      <c r="BA30" s="352">
        <f>AV30*'Assumptions-Output Override'!$D$22</f>
        <v>0.1062350777084085</v>
      </c>
      <c r="BB30" s="352">
        <f>AW30*'Assumptions-Output Override'!$D$23</f>
        <v>0</v>
      </c>
      <c r="BC30" s="352">
        <f t="shared" si="16"/>
        <v>46.221395157938417</v>
      </c>
      <c r="BD30" s="352">
        <f t="shared" si="17"/>
        <v>7.4028783449411731E-2</v>
      </c>
      <c r="BE30" s="352">
        <f t="shared" si="17"/>
        <v>65.822720772542311</v>
      </c>
      <c r="BF30" s="352">
        <f t="shared" si="17"/>
        <v>1.4615098416273975</v>
      </c>
      <c r="BG30" s="352">
        <f t="shared" si="17"/>
        <v>0</v>
      </c>
      <c r="BH30" s="352">
        <f t="shared" si="18"/>
        <v>67.358259397619122</v>
      </c>
      <c r="BJ30" s="401">
        <f>D30*'Assumptions-Output Override'!$D$10/'Winners-Losers Values PMPM'!$H$107</f>
        <v>0.34393821988681467</v>
      </c>
      <c r="BK30" s="401">
        <f>E30*'Assumptions-Output Override'!$D$10/'Winners-Losers Values PMPM'!$H$107</f>
        <v>27.458108273989428</v>
      </c>
      <c r="BL30" s="401">
        <f>F30*'Assumptions-Output Override'!$D$10/'Winners-Losers Values PMPM'!$H$107</f>
        <v>2.0753409382924226</v>
      </c>
      <c r="BM30" s="401">
        <f>G30*'Assumptions-Output Override'!$D$10/'Winners-Losers Values PMPM'!$H$107</f>
        <v>0</v>
      </c>
      <c r="BN30" s="401">
        <f t="shared" si="2"/>
        <v>29.877387432168668</v>
      </c>
      <c r="BO30" s="401">
        <f>BJ30*(1-'Assumptions-Output Override'!$D$11)</f>
        <v>4.901800029007275E-2</v>
      </c>
      <c r="BP30" s="401">
        <f>BK30*(1-'Assumptions-Output Override'!$D$11)</f>
        <v>3.913323618940034</v>
      </c>
      <c r="BQ30" s="401">
        <f>BL30*(1-'Assumptions-Output Override'!$D$11)</f>
        <v>0.29577713912892689</v>
      </c>
      <c r="BR30" s="401">
        <f>BM30*(1-'Assumptions-Output Override'!$D$11)</f>
        <v>0</v>
      </c>
      <c r="BS30" s="352">
        <f t="shared" si="3"/>
        <v>4.2581187583590339</v>
      </c>
      <c r="BT30" s="352">
        <f t="shared" si="19"/>
        <v>0.29492021959674192</v>
      </c>
      <c r="BU30" s="352">
        <f t="shared" si="19"/>
        <v>23.544784655049394</v>
      </c>
      <c r="BV30" s="352">
        <f t="shared" si="19"/>
        <v>1.7795637991634958</v>
      </c>
      <c r="BW30" s="352">
        <f t="shared" si="19"/>
        <v>0</v>
      </c>
      <c r="BX30" s="352">
        <f t="shared" si="4"/>
        <v>25.619268673809628</v>
      </c>
      <c r="BY30" s="352">
        <f>BT$107*(1-'Assumptions-Output Override'!$D$12)</f>
        <v>22.753074310428271</v>
      </c>
      <c r="BZ30" s="352">
        <f>BU$107*(1-'Assumptions-Output Override'!$D$12)</f>
        <v>51.446038369839215</v>
      </c>
      <c r="CA30" s="352">
        <f>BV$107*(1-'Assumptions-Output Override'!$D$12)</f>
        <v>9.7401900534537411</v>
      </c>
      <c r="CB30" s="352">
        <f>BW$107*(1-'Assumptions-Output Override'!$D$12)</f>
        <v>1.7000814189516649</v>
      </c>
      <c r="CC30" s="352">
        <f t="shared" si="5"/>
        <v>85.639384152672903</v>
      </c>
      <c r="CD30" s="352">
        <f t="shared" si="20"/>
        <v>22.802092310718344</v>
      </c>
      <c r="CE30" s="352">
        <f t="shared" si="20"/>
        <v>55.359361988779249</v>
      </c>
      <c r="CF30" s="352">
        <f t="shared" si="20"/>
        <v>10.035967192582667</v>
      </c>
      <c r="CG30" s="352">
        <f t="shared" si="20"/>
        <v>1.7000814189516649</v>
      </c>
      <c r="CH30" s="352">
        <f t="shared" si="6"/>
        <v>89.897502911031921</v>
      </c>
      <c r="CJ30" s="352">
        <f t="shared" si="21"/>
        <v>89.897502911031921</v>
      </c>
      <c r="CK30" s="352">
        <f t="shared" si="22"/>
        <v>67.358259397619122</v>
      </c>
      <c r="CL30" s="352">
        <f t="shared" si="23"/>
        <v>22.539243513412799</v>
      </c>
      <c r="CN30" s="352">
        <f t="shared" si="24"/>
        <v>0.2035765797044225</v>
      </c>
      <c r="CO30" s="352">
        <f t="shared" si="24"/>
        <v>16.252418150596949</v>
      </c>
      <c r="CP30" s="352">
        <f t="shared" si="24"/>
        <v>1.2283915700824823</v>
      </c>
      <c r="CQ30" s="352">
        <f t="shared" si="24"/>
        <v>0</v>
      </c>
      <c r="CR30" s="352">
        <f t="shared" si="7"/>
        <v>17.684386300383853</v>
      </c>
      <c r="CT30" s="352">
        <f t="shared" si="32"/>
        <v>-0.14036164018239217</v>
      </c>
      <c r="CU30" s="352">
        <f t="shared" si="32"/>
        <v>-11.205690123392479</v>
      </c>
      <c r="CV30" s="352">
        <f t="shared" si="32"/>
        <v>-0.84694936820994027</v>
      </c>
      <c r="CW30" s="352">
        <f t="shared" si="32"/>
        <v>0</v>
      </c>
      <c r="CX30" s="352">
        <f t="shared" si="9"/>
        <v>-12.193001131784811</v>
      </c>
      <c r="CZ30" s="352">
        <f t="shared" si="25"/>
        <v>22.728063527268933</v>
      </c>
      <c r="DA30" s="352">
        <f t="shared" si="25"/>
        <v>-10.463358783763063</v>
      </c>
      <c r="DB30" s="352">
        <f t="shared" si="25"/>
        <v>8.5744573509552708</v>
      </c>
      <c r="DC30" s="352">
        <f t="shared" si="25"/>
        <v>1.7000814189516649</v>
      </c>
      <c r="DD30" s="352">
        <f t="shared" si="26"/>
        <v>22.539243513412806</v>
      </c>
      <c r="DF30" s="352">
        <f t="shared" si="27"/>
        <v>7.4028783449411731E-2</v>
      </c>
      <c r="DG30" s="352">
        <f t="shared" si="27"/>
        <v>65.822720772542311</v>
      </c>
      <c r="DH30" s="352">
        <f t="shared" si="27"/>
        <v>1.4615098416273975</v>
      </c>
      <c r="DI30" s="352">
        <f t="shared" si="27"/>
        <v>0</v>
      </c>
      <c r="DJ30" s="352">
        <f t="shared" si="28"/>
        <v>67.358259397619122</v>
      </c>
    </row>
    <row r="31" spans="1:114" x14ac:dyDescent="0.2">
      <c r="A31">
        <v>26</v>
      </c>
      <c r="B31" s="397">
        <v>34308</v>
      </c>
      <c r="C31" s="398">
        <v>397997.79676138877</v>
      </c>
      <c r="D31" s="399">
        <v>0.48903963530837924</v>
      </c>
      <c r="E31" s="399">
        <v>17.231784757205268</v>
      </c>
      <c r="F31" s="399">
        <v>1.2357659305111521</v>
      </c>
      <c r="G31" s="399">
        <v>5.4281236415077978E-4</v>
      </c>
      <c r="H31" s="399">
        <v>18.957133135388954</v>
      </c>
      <c r="I31" s="400">
        <v>3.1937359848658941E-4</v>
      </c>
      <c r="J31" s="400">
        <v>3.4756829897798331E-3</v>
      </c>
      <c r="K31" s="400">
        <v>0</v>
      </c>
      <c r="L31" s="400">
        <v>0.12261637646221882</v>
      </c>
      <c r="M31" s="400">
        <v>0.1227009807526247</v>
      </c>
      <c r="N31" s="400">
        <v>0.11174293014155282</v>
      </c>
      <c r="O31" s="399">
        <f t="shared" si="30"/>
        <v>7.9843399621647354E-2</v>
      </c>
      <c r="P31" s="399">
        <f t="shared" si="30"/>
        <v>0</v>
      </c>
      <c r="Q31" s="399">
        <f t="shared" si="30"/>
        <v>0</v>
      </c>
      <c r="R31" s="399">
        <f t="shared" si="30"/>
        <v>2.5458183094303659</v>
      </c>
      <c r="S31" s="399">
        <f t="shared" si="30"/>
        <v>3.681029422578741</v>
      </c>
      <c r="T31" s="399">
        <f t="shared" si="30"/>
        <v>6.7045758084931686</v>
      </c>
      <c r="U31" s="399">
        <f t="shared" si="10"/>
        <v>13.011266940123923</v>
      </c>
      <c r="V31" s="400">
        <v>1.2415623970697298E-6</v>
      </c>
      <c r="W31" s="400">
        <v>6.2823057291728395E-4</v>
      </c>
      <c r="X31" s="400">
        <v>0</v>
      </c>
      <c r="Y31" s="400">
        <v>1.2514076763640879E-2</v>
      </c>
      <c r="Z31" s="400">
        <v>4.6836440180535975E-3</v>
      </c>
      <c r="AA31" s="400">
        <v>4.0224343275945271E-3</v>
      </c>
      <c r="AB31" s="352">
        <f t="shared" si="31"/>
        <v>3.1039059926743246E-4</v>
      </c>
      <c r="AC31" s="352">
        <f t="shared" si="31"/>
        <v>0</v>
      </c>
      <c r="AD31" s="352">
        <f t="shared" si="31"/>
        <v>0</v>
      </c>
      <c r="AE31" s="352">
        <f t="shared" si="31"/>
        <v>0.44360444495638768</v>
      </c>
      <c r="AF31" s="352">
        <f t="shared" si="31"/>
        <v>0.14050932054160792</v>
      </c>
      <c r="AG31" s="352">
        <f t="shared" si="31"/>
        <v>0.24134605965567163</v>
      </c>
      <c r="AH31" s="400">
        <f t="shared" si="11"/>
        <v>0.82577021575293452</v>
      </c>
      <c r="AJ31" s="352">
        <f>D31*('Assumptions-Output Override'!$D$10/'Winners-Losers Values PMPM'!$H$107)*(1+'Assumptions-Output Override'!$F$41)</f>
        <v>0.58372357492653237</v>
      </c>
      <c r="AK31" s="352">
        <f>E31*('Assumptions-Output Override'!$D$10/'Winners-Losers Values PMPM'!$H$107)*(1+'Assumptions-Output Override'!$F$37)</f>
        <v>28.359704251722412</v>
      </c>
      <c r="AL31" s="352">
        <f>F31*('Assumptions-Output Override'!$D$10/'Winners-Losers Values PMPM'!$H$107)*(1+'Assumptions-Output Override'!$F$38)</f>
        <v>2.0758964048761039</v>
      </c>
      <c r="AM31" s="352">
        <f>G31*('Shoppable Detail'!$X$21/'Shoppable Detail'!$H$21)*('Assumptions-Output Override'!$D$10/'Winners-Losers Values PMPM'!$H$107)*(1+'Assumptions-Output Override'!$F$39)</f>
        <v>9.3081022574941288E-4</v>
      </c>
      <c r="AN31" s="352">
        <f t="shared" si="12"/>
        <v>31.020255041750801</v>
      </c>
      <c r="AO31" s="352">
        <v>0</v>
      </c>
      <c r="AP31" s="352">
        <f>U31*'Assumptions-Output Override'!$D$10/'Winners-Losers Values PMPM'!$H$107*(1+'Assumptions-Output Override'!$F$37)</f>
        <v>21.413665941238989</v>
      </c>
      <c r="AQ31" s="352">
        <f>AH31*'Assumptions-Output Override'!$D$10/'Winners-Losers Values PMPM'!$H$107*(1+'Assumptions-Output Override'!$F$38)</f>
        <v>1.3871667601535413</v>
      </c>
      <c r="AR31" s="352">
        <f>AM31*('Shoppable Detail'!$AA$23/'Shoppable Detail'!$Y$23)</f>
        <v>3.1101292450126134E-5</v>
      </c>
      <c r="AS31" s="352">
        <f t="shared" si="13"/>
        <v>22.800863802684979</v>
      </c>
      <c r="AT31" s="352">
        <f t="shared" si="14"/>
        <v>0.58372357492653237</v>
      </c>
      <c r="AU31" s="352">
        <f t="shared" si="14"/>
        <v>6.9460383104834236</v>
      </c>
      <c r="AV31" s="352">
        <f t="shared" si="14"/>
        <v>0.6887296447225626</v>
      </c>
      <c r="AW31" s="352">
        <f t="shared" si="14"/>
        <v>8.9970893329928674E-4</v>
      </c>
      <c r="AX31" s="352">
        <f t="shared" si="15"/>
        <v>8.2193912390658177</v>
      </c>
      <c r="AY31" s="352">
        <f>AT31*'Assumptions-Output Override'!$D$24</f>
        <v>0.17783484383609979</v>
      </c>
      <c r="AZ31" s="352">
        <f>$AU$107*'Assumptions-Output Override'!$D$21</f>
        <v>46.041131296780591</v>
      </c>
      <c r="BA31" s="352">
        <f>AV31*'Assumptions-Output Override'!$D$22</f>
        <v>0.10330944670838439</v>
      </c>
      <c r="BB31" s="352">
        <f>AW31*'Assumptions-Output Override'!$D$23</f>
        <v>1.3495633999489301E-4</v>
      </c>
      <c r="BC31" s="352">
        <f t="shared" si="16"/>
        <v>46.322410543665079</v>
      </c>
      <c r="BD31" s="352">
        <f t="shared" si="17"/>
        <v>0.17783484383609979</v>
      </c>
      <c r="BE31" s="352">
        <f t="shared" si="17"/>
        <v>67.45479723801958</v>
      </c>
      <c r="BF31" s="352">
        <f t="shared" si="17"/>
        <v>1.4904762068619257</v>
      </c>
      <c r="BG31" s="352">
        <f t="shared" si="17"/>
        <v>1.6605763244501915E-4</v>
      </c>
      <c r="BH31" s="352">
        <f t="shared" si="18"/>
        <v>69.123274346350044</v>
      </c>
      <c r="BJ31" s="401">
        <f>D31*'Assumptions-Output Override'!$D$10/'Winners-Losers Values PMPM'!$H$107</f>
        <v>0.8262218663181865</v>
      </c>
      <c r="BK31" s="401">
        <f>E31*'Assumptions-Output Override'!$D$10/'Winners-Losers Values PMPM'!$H$107</f>
        <v>29.112726932886847</v>
      </c>
      <c r="BL31" s="401">
        <f>F31*'Assumptions-Output Override'!$D$10/'Winners-Losers Values PMPM'!$H$107</f>
        <v>2.0877997604335699</v>
      </c>
      <c r="BM31" s="401">
        <f>G31*'Assumptions-Output Override'!$D$10/'Winners-Losers Values PMPM'!$H$107</f>
        <v>9.1706972643728376E-4</v>
      </c>
      <c r="BN31" s="401">
        <f t="shared" si="2"/>
        <v>32.027665629365039</v>
      </c>
      <c r="BO31" s="401">
        <f>BJ31*(1-'Assumptions-Output Override'!$D$11)</f>
        <v>0.11775296068048856</v>
      </c>
      <c r="BP31" s="401">
        <f>BK31*(1-'Assumptions-Output Override'!$D$11)</f>
        <v>4.1491395103186788</v>
      </c>
      <c r="BQ31" s="401">
        <f>BL31*(1-'Assumptions-Output Override'!$D$11)</f>
        <v>0.29755276775063022</v>
      </c>
      <c r="BR31" s="401">
        <f>BM31*(1-'Assumptions-Output Override'!$D$11)</f>
        <v>1.3070057794482132E-4</v>
      </c>
      <c r="BS31" s="352">
        <f t="shared" si="3"/>
        <v>4.5645759393277423</v>
      </c>
      <c r="BT31" s="352">
        <f t="shared" si="19"/>
        <v>0.70846890563769793</v>
      </c>
      <c r="BU31" s="352">
        <f t="shared" si="19"/>
        <v>24.963587422568168</v>
      </c>
      <c r="BV31" s="352">
        <f t="shared" si="19"/>
        <v>1.7902469926829396</v>
      </c>
      <c r="BW31" s="352">
        <f t="shared" si="19"/>
        <v>7.8636914849246245E-4</v>
      </c>
      <c r="BX31" s="352">
        <f t="shared" si="4"/>
        <v>27.463089690037297</v>
      </c>
      <c r="BY31" s="352">
        <f>BT$107*(1-'Assumptions-Output Override'!$D$12)</f>
        <v>22.753074310428271</v>
      </c>
      <c r="BZ31" s="352">
        <f>BU$107*(1-'Assumptions-Output Override'!$D$12)</f>
        <v>51.446038369839215</v>
      </c>
      <c r="CA31" s="352">
        <f>BV$107*(1-'Assumptions-Output Override'!$D$12)</f>
        <v>9.7401900534537411</v>
      </c>
      <c r="CB31" s="352">
        <f>BW$107*(1-'Assumptions-Output Override'!$D$12)</f>
        <v>1.7000814189516649</v>
      </c>
      <c r="CC31" s="352">
        <f t="shared" si="5"/>
        <v>85.639384152672903</v>
      </c>
      <c r="CD31" s="352">
        <f t="shared" si="20"/>
        <v>22.870827271108759</v>
      </c>
      <c r="CE31" s="352">
        <f t="shared" si="20"/>
        <v>55.595177880157891</v>
      </c>
      <c r="CF31" s="352">
        <f t="shared" si="20"/>
        <v>10.037742821204372</v>
      </c>
      <c r="CG31" s="352">
        <f t="shared" si="20"/>
        <v>1.7002121195296096</v>
      </c>
      <c r="CH31" s="352">
        <f t="shared" si="6"/>
        <v>90.203960092000628</v>
      </c>
      <c r="CJ31" s="352">
        <f t="shared" si="21"/>
        <v>90.203960092000628</v>
      </c>
      <c r="CK31" s="352">
        <f t="shared" si="22"/>
        <v>69.123274346350044</v>
      </c>
      <c r="CL31" s="352">
        <f t="shared" si="23"/>
        <v>21.080685745650584</v>
      </c>
      <c r="CN31" s="352">
        <f t="shared" si="24"/>
        <v>0.48903963530837924</v>
      </c>
      <c r="CO31" s="352">
        <f t="shared" si="24"/>
        <v>17.231784757205268</v>
      </c>
      <c r="CP31" s="352">
        <f t="shared" si="24"/>
        <v>1.2357659305111521</v>
      </c>
      <c r="CQ31" s="352">
        <f t="shared" si="24"/>
        <v>5.4281236415077978E-4</v>
      </c>
      <c r="CR31" s="352">
        <f t="shared" si="7"/>
        <v>18.957133135388954</v>
      </c>
      <c r="CT31" s="352">
        <f t="shared" si="32"/>
        <v>-0.33718223100980727</v>
      </c>
      <c r="CU31" s="352">
        <f t="shared" si="32"/>
        <v>-11.880942175681579</v>
      </c>
      <c r="CV31" s="352">
        <f t="shared" si="32"/>
        <v>-0.85203382992241772</v>
      </c>
      <c r="CW31" s="352">
        <f t="shared" si="32"/>
        <v>-3.7425736228650398E-4</v>
      </c>
      <c r="CX31" s="352">
        <f t="shared" si="9"/>
        <v>-13.07053249397609</v>
      </c>
      <c r="CZ31" s="352">
        <f t="shared" si="25"/>
        <v>22.69299242727266</v>
      </c>
      <c r="DA31" s="352">
        <f t="shared" si="25"/>
        <v>-11.859619357861689</v>
      </c>
      <c r="DB31" s="352">
        <f t="shared" si="25"/>
        <v>8.5472666143424458</v>
      </c>
      <c r="DC31" s="352">
        <f t="shared" si="25"/>
        <v>1.7000460618971647</v>
      </c>
      <c r="DD31" s="352">
        <f t="shared" si="26"/>
        <v>21.08068574565058</v>
      </c>
      <c r="DF31" s="352">
        <f t="shared" si="27"/>
        <v>0.17783484383609979</v>
      </c>
      <c r="DG31" s="352">
        <f t="shared" si="27"/>
        <v>67.45479723801958</v>
      </c>
      <c r="DH31" s="352">
        <f t="shared" si="27"/>
        <v>1.4904762068619257</v>
      </c>
      <c r="DI31" s="352">
        <f t="shared" si="27"/>
        <v>1.6605763244501915E-4</v>
      </c>
      <c r="DJ31" s="352">
        <f t="shared" si="28"/>
        <v>69.123274346350044</v>
      </c>
    </row>
    <row r="32" spans="1:114" x14ac:dyDescent="0.2">
      <c r="A32">
        <v>27</v>
      </c>
      <c r="B32" s="397">
        <v>34308</v>
      </c>
      <c r="C32" s="398">
        <v>397997.79676138877</v>
      </c>
      <c r="D32" s="399">
        <v>0.7217364300353889</v>
      </c>
      <c r="E32" s="399">
        <v>18.243451192057659</v>
      </c>
      <c r="F32" s="399">
        <v>1.2958957366735131</v>
      </c>
      <c r="G32" s="399">
        <v>0</v>
      </c>
      <c r="H32" s="399">
        <v>20.261083358766562</v>
      </c>
      <c r="I32" s="400">
        <v>4.3664359168088074E-4</v>
      </c>
      <c r="J32" s="400">
        <v>4.0757560400612744E-3</v>
      </c>
      <c r="K32" s="400">
        <v>7.5377301693923375E-6</v>
      </c>
      <c r="L32" s="400">
        <v>0.1308759020500434</v>
      </c>
      <c r="M32" s="400">
        <v>0.13118816341416123</v>
      </c>
      <c r="N32" s="400">
        <v>0.11157046687528792</v>
      </c>
      <c r="O32" s="399">
        <f t="shared" si="30"/>
        <v>0.10916089792022018</v>
      </c>
      <c r="P32" s="399">
        <f t="shared" si="30"/>
        <v>0</v>
      </c>
      <c r="Q32" s="399">
        <f t="shared" si="30"/>
        <v>7.5377301693923373E-3</v>
      </c>
      <c r="R32" s="399">
        <f t="shared" si="30"/>
        <v>2.717306426070083</v>
      </c>
      <c r="S32" s="399">
        <f t="shared" si="30"/>
        <v>3.935644902424837</v>
      </c>
      <c r="T32" s="399">
        <f t="shared" si="30"/>
        <v>6.6942280125172751</v>
      </c>
      <c r="U32" s="399">
        <f t="shared" si="10"/>
        <v>13.463877969101809</v>
      </c>
      <c r="V32" s="400">
        <v>2.2348123147255119E-5</v>
      </c>
      <c r="W32" s="400">
        <v>7.834258725510011E-4</v>
      </c>
      <c r="X32" s="400">
        <v>0</v>
      </c>
      <c r="Y32" s="400">
        <v>1.3599582280978639E-2</v>
      </c>
      <c r="Z32" s="400">
        <v>5.0210328204355727E-3</v>
      </c>
      <c r="AA32" s="400">
        <v>3.9202227064975672E-3</v>
      </c>
      <c r="AB32" s="352">
        <f t="shared" si="31"/>
        <v>5.5870307868137797E-3</v>
      </c>
      <c r="AC32" s="352">
        <f t="shared" si="31"/>
        <v>0</v>
      </c>
      <c r="AD32" s="352">
        <f t="shared" si="31"/>
        <v>0</v>
      </c>
      <c r="AE32" s="352">
        <f t="shared" si="31"/>
        <v>0.48208391744250773</v>
      </c>
      <c r="AF32" s="352">
        <f t="shared" si="31"/>
        <v>0.15063098461306718</v>
      </c>
      <c r="AG32" s="352">
        <f t="shared" si="31"/>
        <v>0.23521336238985402</v>
      </c>
      <c r="AH32" s="400">
        <f t="shared" si="11"/>
        <v>0.87351529523224269</v>
      </c>
      <c r="AJ32" s="352">
        <f>D32*('Assumptions-Output Override'!$D$10/'Winners-Losers Values PMPM'!$H$107)*(1+'Assumptions-Output Override'!$F$41)</f>
        <v>0.86147326040211414</v>
      </c>
      <c r="AK32" s="352">
        <f>E32*('Assumptions-Output Override'!$D$10/'Winners-Losers Values PMPM'!$H$107)*(1+'Assumptions-Output Override'!$F$37)</f>
        <v>30.024683317910643</v>
      </c>
      <c r="AL32" s="352">
        <f>F32*('Assumptions-Output Override'!$D$10/'Winners-Losers Values PMPM'!$H$107)*(1+'Assumptions-Output Override'!$F$38)</f>
        <v>2.176905216784935</v>
      </c>
      <c r="AM32" s="352">
        <f>G32*('Shoppable Detail'!$X$21/'Shoppable Detail'!$H$21)*('Assumptions-Output Override'!$D$10/'Winners-Losers Values PMPM'!$H$107)*(1+'Assumptions-Output Override'!$F$39)</f>
        <v>0</v>
      </c>
      <c r="AN32" s="352">
        <f t="shared" si="12"/>
        <v>33.063061795097695</v>
      </c>
      <c r="AO32" s="352">
        <v>0</v>
      </c>
      <c r="AP32" s="352">
        <f>U32*'Assumptions-Output Override'!$D$10/'Winners-Losers Values PMPM'!$H$107*(1+'Assumptions-Output Override'!$F$37)</f>
        <v>22.158563530417236</v>
      </c>
      <c r="AQ32" s="352">
        <f>AH32*'Assumptions-Output Override'!$D$10/'Winners-Losers Values PMPM'!$H$107*(1+'Assumptions-Output Override'!$F$38)</f>
        <v>1.4673711389881507</v>
      </c>
      <c r="AR32" s="352">
        <f>AM32*('Shoppable Detail'!$AA$23/'Shoppable Detail'!$Y$23)</f>
        <v>0</v>
      </c>
      <c r="AS32" s="352">
        <f t="shared" si="13"/>
        <v>23.625934669405389</v>
      </c>
      <c r="AT32" s="352">
        <f t="shared" si="14"/>
        <v>0.86147326040211414</v>
      </c>
      <c r="AU32" s="352">
        <f t="shared" si="14"/>
        <v>7.8661197874934068</v>
      </c>
      <c r="AV32" s="352">
        <f t="shared" si="14"/>
        <v>0.70953407779678423</v>
      </c>
      <c r="AW32" s="352">
        <f t="shared" si="14"/>
        <v>0</v>
      </c>
      <c r="AX32" s="352">
        <f t="shared" si="15"/>
        <v>9.4371271256923048</v>
      </c>
      <c r="AY32" s="352">
        <f>AT32*'Assumptions-Output Override'!$D$24</f>
        <v>0.26245293031357775</v>
      </c>
      <c r="AZ32" s="352">
        <f>$AU$107*'Assumptions-Output Override'!$D$21</f>
        <v>46.041131296780591</v>
      </c>
      <c r="BA32" s="352">
        <f>AV32*'Assumptions-Output Override'!$D$22</f>
        <v>0.10643011166951763</v>
      </c>
      <c r="BB32" s="352">
        <f>AW32*'Assumptions-Output Override'!$D$23</f>
        <v>0</v>
      </c>
      <c r="BC32" s="352">
        <f t="shared" si="16"/>
        <v>46.410014338763688</v>
      </c>
      <c r="BD32" s="352">
        <f t="shared" si="17"/>
        <v>0.26245293031357775</v>
      </c>
      <c r="BE32" s="352">
        <f t="shared" si="17"/>
        <v>68.199694827197831</v>
      </c>
      <c r="BF32" s="352">
        <f t="shared" si="17"/>
        <v>1.5738012506576684</v>
      </c>
      <c r="BG32" s="352">
        <f t="shared" si="17"/>
        <v>0</v>
      </c>
      <c r="BH32" s="352">
        <f t="shared" si="18"/>
        <v>70.035949008169069</v>
      </c>
      <c r="BJ32" s="401">
        <f>D32*'Assumptions-Output Override'!$D$10/'Winners-Losers Values PMPM'!$H$107</f>
        <v>1.2193580584478383</v>
      </c>
      <c r="BK32" s="401">
        <f>E32*'Assumptions-Output Override'!$D$10/'Winners-Losers Values PMPM'!$H$107</f>
        <v>30.821915451662285</v>
      </c>
      <c r="BL32" s="401">
        <f>F32*'Assumptions-Output Override'!$D$10/'Winners-Losers Values PMPM'!$H$107</f>
        <v>2.1893877649262712</v>
      </c>
      <c r="BM32" s="401">
        <f>G32*'Assumptions-Output Override'!$D$10/'Winners-Losers Values PMPM'!$H$107</f>
        <v>0</v>
      </c>
      <c r="BN32" s="401">
        <f t="shared" si="2"/>
        <v>34.230661275036397</v>
      </c>
      <c r="BO32" s="401">
        <f>BJ32*(1-'Assumptions-Output Override'!$D$11)</f>
        <v>0.17378264527381787</v>
      </c>
      <c r="BP32" s="401">
        <f>BK32*(1-'Assumptions-Output Override'!$D$11)</f>
        <v>4.3927326862579346</v>
      </c>
      <c r="BQ32" s="401">
        <f>BL32*(1-'Assumptions-Output Override'!$D$11)</f>
        <v>0.31203106805505659</v>
      </c>
      <c r="BR32" s="401">
        <f>BM32*(1-'Assumptions-Output Override'!$D$11)</f>
        <v>0</v>
      </c>
      <c r="BS32" s="352">
        <f t="shared" si="3"/>
        <v>4.878546399586809</v>
      </c>
      <c r="BT32" s="352">
        <f t="shared" si="19"/>
        <v>1.0455754131740205</v>
      </c>
      <c r="BU32" s="352">
        <f t="shared" si="19"/>
        <v>26.429182765404349</v>
      </c>
      <c r="BV32" s="352">
        <f t="shared" si="19"/>
        <v>1.8773566968712145</v>
      </c>
      <c r="BW32" s="352">
        <f t="shared" si="19"/>
        <v>0</v>
      </c>
      <c r="BX32" s="352">
        <f t="shared" si="4"/>
        <v>29.352114875449583</v>
      </c>
      <c r="BY32" s="352">
        <f>BT$107*(1-'Assumptions-Output Override'!$D$12)</f>
        <v>22.753074310428271</v>
      </c>
      <c r="BZ32" s="352">
        <f>BU$107*(1-'Assumptions-Output Override'!$D$12)</f>
        <v>51.446038369839215</v>
      </c>
      <c r="CA32" s="352">
        <f>BV$107*(1-'Assumptions-Output Override'!$D$12)</f>
        <v>9.7401900534537411</v>
      </c>
      <c r="CB32" s="352">
        <f>BW$107*(1-'Assumptions-Output Override'!$D$12)</f>
        <v>1.7000814189516649</v>
      </c>
      <c r="CC32" s="352">
        <f t="shared" si="5"/>
        <v>85.639384152672903</v>
      </c>
      <c r="CD32" s="352">
        <f t="shared" si="20"/>
        <v>22.926856955702089</v>
      </c>
      <c r="CE32" s="352">
        <f t="shared" si="20"/>
        <v>55.838771056097151</v>
      </c>
      <c r="CF32" s="352">
        <f t="shared" si="20"/>
        <v>10.052221121508797</v>
      </c>
      <c r="CG32" s="352">
        <f t="shared" si="20"/>
        <v>1.7000814189516649</v>
      </c>
      <c r="CH32" s="352">
        <f t="shared" si="6"/>
        <v>90.517930552259699</v>
      </c>
      <c r="CJ32" s="352">
        <f t="shared" si="21"/>
        <v>90.517930552259699</v>
      </c>
      <c r="CK32" s="352">
        <f t="shared" si="22"/>
        <v>70.035949008169069</v>
      </c>
      <c r="CL32" s="352">
        <f t="shared" si="23"/>
        <v>20.48198154409063</v>
      </c>
      <c r="CN32" s="352">
        <f t="shared" si="24"/>
        <v>0.7217364300353889</v>
      </c>
      <c r="CO32" s="352">
        <f t="shared" si="24"/>
        <v>18.243451192057659</v>
      </c>
      <c r="CP32" s="352">
        <f t="shared" si="24"/>
        <v>1.2958957366735131</v>
      </c>
      <c r="CQ32" s="352">
        <f t="shared" si="24"/>
        <v>0</v>
      </c>
      <c r="CR32" s="352">
        <f t="shared" si="7"/>
        <v>20.261083358766562</v>
      </c>
      <c r="CT32" s="352">
        <f t="shared" si="32"/>
        <v>-0.49762162841244939</v>
      </c>
      <c r="CU32" s="352">
        <f t="shared" si="32"/>
        <v>-12.578464259604626</v>
      </c>
      <c r="CV32" s="352">
        <f t="shared" si="32"/>
        <v>-0.89349202825275809</v>
      </c>
      <c r="CW32" s="352">
        <f t="shared" si="32"/>
        <v>0</v>
      </c>
      <c r="CX32" s="352">
        <f t="shared" si="9"/>
        <v>-13.969577916269834</v>
      </c>
      <c r="CZ32" s="352">
        <f t="shared" si="25"/>
        <v>22.66440402538851</v>
      </c>
      <c r="DA32" s="352">
        <f t="shared" si="25"/>
        <v>-12.36092377110068</v>
      </c>
      <c r="DB32" s="352">
        <f t="shared" si="25"/>
        <v>8.4784198708511287</v>
      </c>
      <c r="DC32" s="352">
        <f t="shared" si="25"/>
        <v>1.7000814189516649</v>
      </c>
      <c r="DD32" s="352">
        <f t="shared" si="26"/>
        <v>20.481981544090626</v>
      </c>
      <c r="DF32" s="352">
        <f t="shared" si="27"/>
        <v>0.26245293031357775</v>
      </c>
      <c r="DG32" s="352">
        <f t="shared" si="27"/>
        <v>68.199694827197831</v>
      </c>
      <c r="DH32" s="352">
        <f t="shared" si="27"/>
        <v>1.5738012506576684</v>
      </c>
      <c r="DI32" s="352">
        <f t="shared" si="27"/>
        <v>0</v>
      </c>
      <c r="DJ32" s="352">
        <f t="shared" si="28"/>
        <v>70.035949008169069</v>
      </c>
    </row>
    <row r="33" spans="1:114" x14ac:dyDescent="0.2">
      <c r="A33">
        <v>28</v>
      </c>
      <c r="B33" s="397">
        <v>34308</v>
      </c>
      <c r="C33" s="398">
        <v>397997.79676138877</v>
      </c>
      <c r="D33" s="399">
        <v>0.67664740407847701</v>
      </c>
      <c r="E33" s="399">
        <v>19.506307852577269</v>
      </c>
      <c r="F33" s="399">
        <v>1.4347748976511028</v>
      </c>
      <c r="G33" s="399">
        <v>0</v>
      </c>
      <c r="H33" s="399">
        <v>21.617730154306848</v>
      </c>
      <c r="I33" s="400">
        <v>5.2397231001705688E-4</v>
      </c>
      <c r="J33" s="400">
        <v>5.0837789602845634E-3</v>
      </c>
      <c r="K33" s="400">
        <v>0</v>
      </c>
      <c r="L33" s="400">
        <v>0.13885068320507973</v>
      </c>
      <c r="M33" s="400">
        <v>0.13979806032285119</v>
      </c>
      <c r="N33" s="400">
        <v>0.11596662186467389</v>
      </c>
      <c r="O33" s="399">
        <f t="shared" si="30"/>
        <v>0.13099307750426423</v>
      </c>
      <c r="P33" s="399">
        <f t="shared" si="30"/>
        <v>0</v>
      </c>
      <c r="Q33" s="399">
        <f t="shared" si="30"/>
        <v>0</v>
      </c>
      <c r="R33" s="399">
        <f t="shared" si="30"/>
        <v>2.8828825461933798</v>
      </c>
      <c r="S33" s="399">
        <f t="shared" si="30"/>
        <v>4.1939418096855361</v>
      </c>
      <c r="T33" s="399">
        <f t="shared" si="30"/>
        <v>6.9579973118804332</v>
      </c>
      <c r="U33" s="399">
        <f t="shared" si="10"/>
        <v>14.165814745263614</v>
      </c>
      <c r="V33" s="400">
        <v>1.8623435956045936E-5</v>
      </c>
      <c r="W33" s="400">
        <v>7.4742056303597813E-4</v>
      </c>
      <c r="X33" s="400">
        <v>0</v>
      </c>
      <c r="Y33" s="400">
        <v>1.5364078091549943E-2</v>
      </c>
      <c r="Z33" s="400">
        <v>5.1521893253829998E-3</v>
      </c>
      <c r="AA33" s="400">
        <v>4.3887680138269946E-3</v>
      </c>
      <c r="AB33" s="352">
        <f t="shared" si="31"/>
        <v>4.6558589890114844E-3</v>
      </c>
      <c r="AC33" s="352">
        <f t="shared" si="31"/>
        <v>0</v>
      </c>
      <c r="AD33" s="352">
        <f t="shared" si="31"/>
        <v>0</v>
      </c>
      <c r="AE33" s="352">
        <f t="shared" si="31"/>
        <v>0.5446325336497031</v>
      </c>
      <c r="AF33" s="352">
        <f t="shared" si="31"/>
        <v>0.15456567976148999</v>
      </c>
      <c r="AG33" s="352">
        <f t="shared" si="31"/>
        <v>0.26332608082961967</v>
      </c>
      <c r="AH33" s="400">
        <f t="shared" si="11"/>
        <v>0.96718015322982409</v>
      </c>
      <c r="AJ33" s="352">
        <f>D33*('Assumptions-Output Override'!$D$10/'Winners-Losers Values PMPM'!$H$107)*(1+'Assumptions-Output Override'!$F$41)</f>
        <v>0.8076544581593732</v>
      </c>
      <c r="AK33" s="352">
        <f>E33*('Assumptions-Output Override'!$D$10/'Winners-Losers Values PMPM'!$H$107)*(1+'Assumptions-Output Override'!$F$37)</f>
        <v>32.103065906207462</v>
      </c>
      <c r="AL33" s="352">
        <f>F33*('Assumptions-Output Override'!$D$10/'Winners-Losers Values PMPM'!$H$107)*(1+'Assumptions-Output Override'!$F$38)</f>
        <v>2.4102008141690923</v>
      </c>
      <c r="AM33" s="352">
        <f>G33*('Shoppable Detail'!$X$21/'Shoppable Detail'!$H$21)*('Assumptions-Output Override'!$D$10/'Winners-Losers Values PMPM'!$H$107)*(1+'Assumptions-Output Override'!$F$39)</f>
        <v>0</v>
      </c>
      <c r="AN33" s="352">
        <f t="shared" si="12"/>
        <v>35.320921178535933</v>
      </c>
      <c r="AO33" s="352">
        <v>0</v>
      </c>
      <c r="AP33" s="352">
        <f>U33*'Assumptions-Output Override'!$D$10/'Winners-Losers Values PMPM'!$H$107*(1+'Assumptions-Output Override'!$F$37)</f>
        <v>23.313796122736637</v>
      </c>
      <c r="AQ33" s="352">
        <f>AH33*'Assumptions-Output Override'!$D$10/'Winners-Losers Values PMPM'!$H$107*(1+'Assumptions-Output Override'!$F$38)</f>
        <v>1.6247136722136655</v>
      </c>
      <c r="AR33" s="352">
        <f>AM33*('Shoppable Detail'!$AA$23/'Shoppable Detail'!$Y$23)</f>
        <v>0</v>
      </c>
      <c r="AS33" s="352">
        <f t="shared" si="13"/>
        <v>24.938509794950303</v>
      </c>
      <c r="AT33" s="352">
        <f t="shared" si="14"/>
        <v>0.8076544581593732</v>
      </c>
      <c r="AU33" s="352">
        <f t="shared" si="14"/>
        <v>8.7892697834708251</v>
      </c>
      <c r="AV33" s="352">
        <f t="shared" si="14"/>
        <v>0.78548714195542679</v>
      </c>
      <c r="AW33" s="352">
        <f t="shared" si="14"/>
        <v>0</v>
      </c>
      <c r="AX33" s="352">
        <f t="shared" si="15"/>
        <v>10.382411383585625</v>
      </c>
      <c r="AY33" s="352">
        <f>AT33*'Assumptions-Output Override'!$D$24</f>
        <v>0.24605671350241271</v>
      </c>
      <c r="AZ33" s="352">
        <f>$AU$107*'Assumptions-Output Override'!$D$21</f>
        <v>46.041131296780591</v>
      </c>
      <c r="BA33" s="352">
        <f>AV33*'Assumptions-Output Override'!$D$22</f>
        <v>0.11782307129331401</v>
      </c>
      <c r="BB33" s="352">
        <f>AW33*'Assumptions-Output Override'!$D$23</f>
        <v>0</v>
      </c>
      <c r="BC33" s="352">
        <f t="shared" si="16"/>
        <v>46.405011081576319</v>
      </c>
      <c r="BD33" s="352">
        <f t="shared" si="17"/>
        <v>0.24605671350241271</v>
      </c>
      <c r="BE33" s="352">
        <f t="shared" si="17"/>
        <v>69.354927419517225</v>
      </c>
      <c r="BF33" s="352">
        <f t="shared" si="17"/>
        <v>1.7425367435069794</v>
      </c>
      <c r="BG33" s="352">
        <f t="shared" si="17"/>
        <v>0</v>
      </c>
      <c r="BH33" s="352">
        <f t="shared" si="18"/>
        <v>71.343520876526611</v>
      </c>
      <c r="BJ33" s="401">
        <f>D33*'Assumptions-Output Override'!$D$10/'Winners-Losers Values PMPM'!$H$107</f>
        <v>1.1431811261771085</v>
      </c>
      <c r="BK33" s="401">
        <f>E33*'Assumptions-Output Override'!$D$10/'Winners-Losers Values PMPM'!$H$107</f>
        <v>32.955484413386451</v>
      </c>
      <c r="BL33" s="401">
        <f>F33*'Assumptions-Output Override'!$D$10/'Winners-Losers Values PMPM'!$H$107</f>
        <v>2.4240210978733074</v>
      </c>
      <c r="BM33" s="401">
        <f>G33*'Assumptions-Output Override'!$D$10/'Winners-Losers Values PMPM'!$H$107</f>
        <v>0</v>
      </c>
      <c r="BN33" s="401">
        <f t="shared" si="2"/>
        <v>36.52268663743687</v>
      </c>
      <c r="BO33" s="401">
        <f>BJ33*(1-'Assumptions-Output Override'!$D$11)</f>
        <v>0.16292592545543796</v>
      </c>
      <c r="BP33" s="401">
        <f>BK33*(1-'Assumptions-Output Override'!$D$11)</f>
        <v>4.6968084706214821</v>
      </c>
      <c r="BQ33" s="401">
        <f>BL33*(1-'Assumptions-Output Override'!$D$11)</f>
        <v>0.34547095963280411</v>
      </c>
      <c r="BR33" s="401">
        <f>BM33*(1-'Assumptions-Output Override'!$D$11)</f>
        <v>0</v>
      </c>
      <c r="BS33" s="352">
        <f t="shared" si="3"/>
        <v>5.2052053557097242</v>
      </c>
      <c r="BT33" s="352">
        <f t="shared" si="19"/>
        <v>0.98025520072167061</v>
      </c>
      <c r="BU33" s="352">
        <f t="shared" si="19"/>
        <v>28.258675942764967</v>
      </c>
      <c r="BV33" s="352">
        <f t="shared" si="19"/>
        <v>2.0785501382405034</v>
      </c>
      <c r="BW33" s="352">
        <f t="shared" si="19"/>
        <v>0</v>
      </c>
      <c r="BX33" s="352">
        <f t="shared" si="4"/>
        <v>31.31748128172714</v>
      </c>
      <c r="BY33" s="352">
        <f>BT$107*(1-'Assumptions-Output Override'!$D$12)</f>
        <v>22.753074310428271</v>
      </c>
      <c r="BZ33" s="352">
        <f>BU$107*(1-'Assumptions-Output Override'!$D$12)</f>
        <v>51.446038369839215</v>
      </c>
      <c r="CA33" s="352">
        <f>BV$107*(1-'Assumptions-Output Override'!$D$12)</f>
        <v>9.7401900534537411</v>
      </c>
      <c r="CB33" s="352">
        <f>BW$107*(1-'Assumptions-Output Override'!$D$12)</f>
        <v>1.7000814189516649</v>
      </c>
      <c r="CC33" s="352">
        <f t="shared" si="5"/>
        <v>85.639384152672903</v>
      </c>
      <c r="CD33" s="352">
        <f t="shared" si="20"/>
        <v>22.916000235883708</v>
      </c>
      <c r="CE33" s="352">
        <f t="shared" si="20"/>
        <v>56.142846840460699</v>
      </c>
      <c r="CF33" s="352">
        <f t="shared" si="20"/>
        <v>10.085661013086545</v>
      </c>
      <c r="CG33" s="352">
        <f t="shared" si="20"/>
        <v>1.7000814189516649</v>
      </c>
      <c r="CH33" s="352">
        <f t="shared" si="6"/>
        <v>90.844589508382626</v>
      </c>
      <c r="CJ33" s="352">
        <f t="shared" si="21"/>
        <v>90.844589508382626</v>
      </c>
      <c r="CK33" s="352">
        <f t="shared" si="22"/>
        <v>71.343520876526611</v>
      </c>
      <c r="CL33" s="352">
        <f t="shared" si="23"/>
        <v>19.501068631856015</v>
      </c>
      <c r="CN33" s="352">
        <f t="shared" si="24"/>
        <v>0.67664740407847701</v>
      </c>
      <c r="CO33" s="352">
        <f t="shared" si="24"/>
        <v>19.506307852577269</v>
      </c>
      <c r="CP33" s="352">
        <f t="shared" si="24"/>
        <v>1.4347748976511028</v>
      </c>
      <c r="CQ33" s="352">
        <f t="shared" si="24"/>
        <v>0</v>
      </c>
      <c r="CR33" s="352">
        <f t="shared" si="7"/>
        <v>21.617730154306848</v>
      </c>
      <c r="CT33" s="352">
        <f t="shared" si="32"/>
        <v>-0.46653372209863153</v>
      </c>
      <c r="CU33" s="352">
        <f t="shared" si="32"/>
        <v>-13.449176560809182</v>
      </c>
      <c r="CV33" s="352">
        <f t="shared" si="32"/>
        <v>-0.98924620022220466</v>
      </c>
      <c r="CW33" s="352">
        <f t="shared" si="32"/>
        <v>0</v>
      </c>
      <c r="CX33" s="352">
        <f t="shared" si="9"/>
        <v>-14.904956483130018</v>
      </c>
      <c r="CZ33" s="352">
        <f t="shared" si="25"/>
        <v>22.669943522381296</v>
      </c>
      <c r="DA33" s="352">
        <f t="shared" si="25"/>
        <v>-13.212080579056526</v>
      </c>
      <c r="DB33" s="352">
        <f t="shared" si="25"/>
        <v>8.3431242695795653</v>
      </c>
      <c r="DC33" s="352">
        <f t="shared" si="25"/>
        <v>1.7000814189516649</v>
      </c>
      <c r="DD33" s="352">
        <f t="shared" si="26"/>
        <v>19.501068631856</v>
      </c>
      <c r="DF33" s="352">
        <f t="shared" si="27"/>
        <v>0.24605671350241271</v>
      </c>
      <c r="DG33" s="352">
        <f t="shared" si="27"/>
        <v>69.354927419517225</v>
      </c>
      <c r="DH33" s="352">
        <f t="shared" si="27"/>
        <v>1.7425367435069794</v>
      </c>
      <c r="DI33" s="352">
        <f t="shared" si="27"/>
        <v>0</v>
      </c>
      <c r="DJ33" s="352">
        <f t="shared" si="28"/>
        <v>71.343520876526611</v>
      </c>
    </row>
    <row r="34" spans="1:114" x14ac:dyDescent="0.2">
      <c r="A34">
        <v>29</v>
      </c>
      <c r="B34" s="397">
        <v>34308</v>
      </c>
      <c r="C34" s="398">
        <v>397997.79676138877</v>
      </c>
      <c r="D34" s="399">
        <v>0.7139492557444439</v>
      </c>
      <c r="E34" s="399">
        <v>20.792561197684464</v>
      </c>
      <c r="F34" s="399">
        <v>1.5422297987779925</v>
      </c>
      <c r="G34" s="399">
        <v>0</v>
      </c>
      <c r="H34" s="399">
        <v>23.048740252206901</v>
      </c>
      <c r="I34" s="400">
        <v>5.6888422230423098E-4</v>
      </c>
      <c r="J34" s="400">
        <v>5.5640869111335403E-3</v>
      </c>
      <c r="K34" s="400">
        <v>7.5377301693923375E-6</v>
      </c>
      <c r="L34" s="400">
        <v>0.14353250153194808</v>
      </c>
      <c r="M34" s="400">
        <v>0.15072128662053019</v>
      </c>
      <c r="N34" s="400">
        <v>0.12168610076261872</v>
      </c>
      <c r="O34" s="399">
        <f t="shared" si="30"/>
        <v>0.14222105557605774</v>
      </c>
      <c r="P34" s="399">
        <f t="shared" si="30"/>
        <v>0</v>
      </c>
      <c r="Q34" s="399">
        <f t="shared" si="30"/>
        <v>7.5377301693923373E-3</v>
      </c>
      <c r="R34" s="399">
        <f t="shared" si="30"/>
        <v>2.9800886385756695</v>
      </c>
      <c r="S34" s="399">
        <f t="shared" si="30"/>
        <v>4.5216385986159056</v>
      </c>
      <c r="T34" s="399">
        <f t="shared" si="30"/>
        <v>7.3011660457571237</v>
      </c>
      <c r="U34" s="399">
        <f t="shared" si="10"/>
        <v>14.95265206869415</v>
      </c>
      <c r="V34" s="400">
        <v>2.855593513260368E-5</v>
      </c>
      <c r="W34" s="400">
        <v>8.8771711390485722E-4</v>
      </c>
      <c r="X34" s="400">
        <v>0</v>
      </c>
      <c r="Y34" s="400">
        <v>1.5850797670680091E-2</v>
      </c>
      <c r="Z34" s="400">
        <v>5.6216391603327552E-3</v>
      </c>
      <c r="AA34" s="400">
        <v>4.5380150711809624E-3</v>
      </c>
      <c r="AB34" s="352">
        <f t="shared" si="31"/>
        <v>7.1389837831509198E-3</v>
      </c>
      <c r="AC34" s="352">
        <f t="shared" si="31"/>
        <v>0</v>
      </c>
      <c r="AD34" s="352">
        <f t="shared" si="31"/>
        <v>0</v>
      </c>
      <c r="AE34" s="352">
        <f t="shared" si="31"/>
        <v>0.56188598133325551</v>
      </c>
      <c r="AF34" s="352">
        <f t="shared" si="31"/>
        <v>0.16864917480998265</v>
      </c>
      <c r="AG34" s="352">
        <f t="shared" si="31"/>
        <v>0.27228090427085777</v>
      </c>
      <c r="AH34" s="400">
        <f t="shared" si="11"/>
        <v>1.0099550441972469</v>
      </c>
      <c r="AJ34" s="352">
        <f>D34*('Assumptions-Output Override'!$D$10/'Winners-Losers Values PMPM'!$H$107)*(1+'Assumptions-Output Override'!$F$41)</f>
        <v>0.85217839575822885</v>
      </c>
      <c r="AK34" s="352">
        <f>E34*('Assumptions-Output Override'!$D$10/'Winners-Losers Values PMPM'!$H$107)*(1+'Assumptions-Output Override'!$F$37)</f>
        <v>34.219954259561334</v>
      </c>
      <c r="AL34" s="352">
        <f>F34*('Assumptions-Output Override'!$D$10/'Winners-Losers Values PMPM'!$H$107)*(1+'Assumptions-Output Override'!$F$38)</f>
        <v>2.5907084956224566</v>
      </c>
      <c r="AM34" s="352">
        <f>G34*('Shoppable Detail'!$X$21/'Shoppable Detail'!$H$21)*('Assumptions-Output Override'!$D$10/'Winners-Losers Values PMPM'!$H$107)*(1+'Assumptions-Output Override'!$F$39)</f>
        <v>0</v>
      </c>
      <c r="AN34" s="352">
        <f t="shared" si="12"/>
        <v>37.662841150942022</v>
      </c>
      <c r="AO34" s="352">
        <v>0</v>
      </c>
      <c r="AP34" s="352">
        <f>U34*'Assumptions-Output Override'!$D$10/'Winners-Losers Values PMPM'!$H$107*(1+'Assumptions-Output Override'!$F$37)</f>
        <v>24.608756227050634</v>
      </c>
      <c r="AQ34" s="352">
        <f>AH34*'Assumptions-Output Override'!$D$10/'Winners-Losers Values PMPM'!$H$107*(1+'Assumptions-Output Override'!$F$38)</f>
        <v>1.696568899960162</v>
      </c>
      <c r="AR34" s="352">
        <f>AM34*('Shoppable Detail'!$AA$23/'Shoppable Detail'!$Y$23)</f>
        <v>0</v>
      </c>
      <c r="AS34" s="352">
        <f t="shared" si="13"/>
        <v>26.305325127010796</v>
      </c>
      <c r="AT34" s="352">
        <f t="shared" si="14"/>
        <v>0.85217839575822885</v>
      </c>
      <c r="AU34" s="352">
        <f t="shared" si="14"/>
        <v>9.6111980325106998</v>
      </c>
      <c r="AV34" s="352">
        <f t="shared" si="14"/>
        <v>0.89413959566229462</v>
      </c>
      <c r="AW34" s="352">
        <f t="shared" si="14"/>
        <v>0</v>
      </c>
      <c r="AX34" s="352">
        <f t="shared" si="15"/>
        <v>11.357516023931222</v>
      </c>
      <c r="AY34" s="352">
        <f>AT34*'Assumptions-Output Override'!$D$24</f>
        <v>0.25962119475684431</v>
      </c>
      <c r="AZ34" s="352">
        <f>$AU$107*'Assumptions-Output Override'!$D$21</f>
        <v>46.041131296780591</v>
      </c>
      <c r="BA34" s="352">
        <f>AV34*'Assumptions-Output Override'!$D$22</f>
        <v>0.13412093934934419</v>
      </c>
      <c r="BB34" s="352">
        <f>AW34*'Assumptions-Output Override'!$D$23</f>
        <v>0</v>
      </c>
      <c r="BC34" s="352">
        <f t="shared" si="16"/>
        <v>46.434873430886782</v>
      </c>
      <c r="BD34" s="352">
        <f t="shared" si="17"/>
        <v>0.25962119475684431</v>
      </c>
      <c r="BE34" s="352">
        <f t="shared" si="17"/>
        <v>70.649887523831225</v>
      </c>
      <c r="BF34" s="352">
        <f t="shared" si="17"/>
        <v>1.8306898393095061</v>
      </c>
      <c r="BG34" s="352">
        <f t="shared" si="17"/>
        <v>0</v>
      </c>
      <c r="BH34" s="352">
        <f t="shared" si="18"/>
        <v>72.740198557897571</v>
      </c>
      <c r="BJ34" s="401">
        <f>D34*'Assumptions-Output Override'!$D$10/'Winners-Losers Values PMPM'!$H$107</f>
        <v>1.206201796232093</v>
      </c>
      <c r="BK34" s="401">
        <f>E34*'Assumptions-Output Override'!$D$10/'Winners-Losers Values PMPM'!$H$107</f>
        <v>35.128581566712974</v>
      </c>
      <c r="BL34" s="401">
        <f>F34*'Assumptions-Output Override'!$D$10/'Winners-Losers Values PMPM'!$H$107</f>
        <v>2.6055638247692792</v>
      </c>
      <c r="BM34" s="401">
        <f>G34*'Assumptions-Output Override'!$D$10/'Winners-Losers Values PMPM'!$H$107</f>
        <v>0</v>
      </c>
      <c r="BN34" s="401">
        <f t="shared" si="2"/>
        <v>38.940347187714345</v>
      </c>
      <c r="BO34" s="401">
        <f>BJ34*(1-'Assumptions-Output Override'!$D$11)</f>
        <v>0.17190761764437934</v>
      </c>
      <c r="BP34" s="401">
        <f>BK34*(1-'Assumptions-Output Override'!$D$11)</f>
        <v>5.0065178042546279</v>
      </c>
      <c r="BQ34" s="401">
        <f>BL34*(1-'Assumptions-Output Override'!$D$11)</f>
        <v>0.37134438958361282</v>
      </c>
      <c r="BR34" s="401">
        <f>BM34*(1-'Assumptions-Output Override'!$D$11)</f>
        <v>0</v>
      </c>
      <c r="BS34" s="352">
        <f t="shared" si="3"/>
        <v>5.5497698114826202</v>
      </c>
      <c r="BT34" s="352">
        <f t="shared" si="19"/>
        <v>1.0342941785877136</v>
      </c>
      <c r="BU34" s="352">
        <f t="shared" si="19"/>
        <v>30.122063762458346</v>
      </c>
      <c r="BV34" s="352">
        <f t="shared" si="19"/>
        <v>2.2342194351856666</v>
      </c>
      <c r="BW34" s="352">
        <f t="shared" si="19"/>
        <v>0</v>
      </c>
      <c r="BX34" s="352">
        <f t="shared" si="4"/>
        <v>33.390577376231725</v>
      </c>
      <c r="BY34" s="352">
        <f>BT$107*(1-'Assumptions-Output Override'!$D$12)</f>
        <v>22.753074310428271</v>
      </c>
      <c r="BZ34" s="352">
        <f>BU$107*(1-'Assumptions-Output Override'!$D$12)</f>
        <v>51.446038369839215</v>
      </c>
      <c r="CA34" s="352">
        <f>BV$107*(1-'Assumptions-Output Override'!$D$12)</f>
        <v>9.7401900534537411</v>
      </c>
      <c r="CB34" s="352">
        <f>BW$107*(1-'Assumptions-Output Override'!$D$12)</f>
        <v>1.7000814189516649</v>
      </c>
      <c r="CC34" s="352">
        <f t="shared" si="5"/>
        <v>85.639384152672903</v>
      </c>
      <c r="CD34" s="352">
        <f t="shared" si="20"/>
        <v>22.924981928072651</v>
      </c>
      <c r="CE34" s="352">
        <f t="shared" si="20"/>
        <v>56.452556174093843</v>
      </c>
      <c r="CF34" s="352">
        <f t="shared" si="20"/>
        <v>10.111534443037353</v>
      </c>
      <c r="CG34" s="352">
        <f t="shared" si="20"/>
        <v>1.7000814189516649</v>
      </c>
      <c r="CH34" s="352">
        <f t="shared" si="6"/>
        <v>91.189153964155523</v>
      </c>
      <c r="CJ34" s="352">
        <f t="shared" si="21"/>
        <v>91.189153964155523</v>
      </c>
      <c r="CK34" s="352">
        <f t="shared" si="22"/>
        <v>72.740198557897571</v>
      </c>
      <c r="CL34" s="352">
        <f t="shared" si="23"/>
        <v>18.448955406257951</v>
      </c>
      <c r="CN34" s="352">
        <f t="shared" si="24"/>
        <v>0.7139492557444439</v>
      </c>
      <c r="CO34" s="352">
        <f t="shared" si="24"/>
        <v>20.792561197684464</v>
      </c>
      <c r="CP34" s="352">
        <f t="shared" si="24"/>
        <v>1.5422297987779925</v>
      </c>
      <c r="CQ34" s="352">
        <f t="shared" si="24"/>
        <v>0</v>
      </c>
      <c r="CR34" s="352">
        <f t="shared" si="7"/>
        <v>23.048740252206901</v>
      </c>
      <c r="CT34" s="352">
        <f t="shared" si="32"/>
        <v>-0.4922525404876491</v>
      </c>
      <c r="CU34" s="352">
        <f t="shared" si="32"/>
        <v>-14.33602036902851</v>
      </c>
      <c r="CV34" s="352">
        <f t="shared" si="32"/>
        <v>-1.0633340259912867</v>
      </c>
      <c r="CW34" s="352">
        <f t="shared" si="32"/>
        <v>0</v>
      </c>
      <c r="CX34" s="352">
        <f t="shared" si="9"/>
        <v>-15.891606935507447</v>
      </c>
      <c r="CZ34" s="352">
        <f t="shared" si="25"/>
        <v>22.665360733315808</v>
      </c>
      <c r="DA34" s="352">
        <f t="shared" si="25"/>
        <v>-14.197331349737382</v>
      </c>
      <c r="DB34" s="352">
        <f t="shared" si="25"/>
        <v>8.2808446037278465</v>
      </c>
      <c r="DC34" s="352">
        <f t="shared" si="25"/>
        <v>1.7000814189516649</v>
      </c>
      <c r="DD34" s="352">
        <f t="shared" si="26"/>
        <v>18.448955406257937</v>
      </c>
      <c r="DF34" s="352">
        <f t="shared" si="27"/>
        <v>0.25962119475684431</v>
      </c>
      <c r="DG34" s="352">
        <f t="shared" si="27"/>
        <v>70.649887523831225</v>
      </c>
      <c r="DH34" s="352">
        <f t="shared" si="27"/>
        <v>1.8306898393095061</v>
      </c>
      <c r="DI34" s="352">
        <f t="shared" si="27"/>
        <v>0</v>
      </c>
      <c r="DJ34" s="352">
        <f t="shared" si="28"/>
        <v>72.740198557897571</v>
      </c>
    </row>
    <row r="35" spans="1:114" x14ac:dyDescent="0.2">
      <c r="A35">
        <v>30</v>
      </c>
      <c r="B35" s="397">
        <v>34308</v>
      </c>
      <c r="C35" s="398">
        <v>397997.79676138877</v>
      </c>
      <c r="D35" s="399">
        <v>0.69208363149239471</v>
      </c>
      <c r="E35" s="399">
        <v>22.193703978943653</v>
      </c>
      <c r="F35" s="399">
        <v>1.6489391261067718</v>
      </c>
      <c r="G35" s="399">
        <v>6.9346993582082735E-4</v>
      </c>
      <c r="H35" s="399">
        <v>24.535420206478641</v>
      </c>
      <c r="I35" s="400">
        <v>5.8510241285237815E-4</v>
      </c>
      <c r="J35" s="400">
        <v>6.2527362328702613E-3</v>
      </c>
      <c r="K35" s="400">
        <v>7.5377301693923375E-6</v>
      </c>
      <c r="L35" s="400">
        <v>0.15181720860022524</v>
      </c>
      <c r="M35" s="400">
        <v>0.15924329359544329</v>
      </c>
      <c r="N35" s="400">
        <v>0.12217198284932745</v>
      </c>
      <c r="O35" s="399">
        <f t="shared" si="30"/>
        <v>0.14627560321309455</v>
      </c>
      <c r="P35" s="399">
        <f t="shared" si="30"/>
        <v>0</v>
      </c>
      <c r="Q35" s="399">
        <f t="shared" si="30"/>
        <v>7.5377301693923373E-3</v>
      </c>
      <c r="R35" s="399">
        <f t="shared" si="30"/>
        <v>3.1520995848393274</v>
      </c>
      <c r="S35" s="399">
        <f t="shared" si="30"/>
        <v>4.777298807863299</v>
      </c>
      <c r="T35" s="399">
        <f t="shared" si="30"/>
        <v>7.330318970959647</v>
      </c>
      <c r="U35" s="399">
        <f t="shared" si="10"/>
        <v>15.413530697044761</v>
      </c>
      <c r="V35" s="400">
        <v>1.2415623970697298E-5</v>
      </c>
      <c r="W35" s="400">
        <v>1.0677436614799671E-3</v>
      </c>
      <c r="X35" s="400">
        <v>0</v>
      </c>
      <c r="Y35" s="400">
        <v>1.7676820109764471E-2</v>
      </c>
      <c r="Z35" s="400">
        <v>5.9228468579016732E-3</v>
      </c>
      <c r="AA35" s="400">
        <v>4.8654540697393662E-3</v>
      </c>
      <c r="AB35" s="352">
        <f t="shared" si="31"/>
        <v>3.1039059926743244E-3</v>
      </c>
      <c r="AC35" s="352">
        <f t="shared" si="31"/>
        <v>0</v>
      </c>
      <c r="AD35" s="352">
        <f t="shared" si="31"/>
        <v>0</v>
      </c>
      <c r="AE35" s="352">
        <f t="shared" si="31"/>
        <v>0.62661562027245776</v>
      </c>
      <c r="AF35" s="352">
        <f t="shared" si="31"/>
        <v>0.17768540573705019</v>
      </c>
      <c r="AG35" s="352">
        <f t="shared" si="31"/>
        <v>0.29192724418436194</v>
      </c>
      <c r="AH35" s="400">
        <f t="shared" si="11"/>
        <v>1.0993321761865442</v>
      </c>
      <c r="AJ35" s="352">
        <f>D35*('Assumptions-Output Override'!$D$10/'Winners-Losers Values PMPM'!$H$107)*(1+'Assumptions-Output Override'!$F$41)</f>
        <v>0.82607932436423426</v>
      </c>
      <c r="AK35" s="352">
        <f>E35*('Assumptions-Output Override'!$D$10/'Winners-Losers Values PMPM'!$H$107)*(1+'Assumptions-Output Override'!$F$37)</f>
        <v>36.525925199357992</v>
      </c>
      <c r="AL35" s="352">
        <f>F35*('Assumptions-Output Override'!$D$10/'Winners-Losers Values PMPM'!$H$107)*(1+'Assumptions-Output Override'!$F$38)</f>
        <v>2.7699637279437863</v>
      </c>
      <c r="AM35" s="352">
        <f>G35*('Shoppable Detail'!$X$21/'Shoppable Detail'!$H$21)*('Assumptions-Output Override'!$D$10/'Winners-Losers Values PMPM'!$H$107)*(1+'Assumptions-Output Override'!$F$39)</f>
        <v>1.1891566039061603E-3</v>
      </c>
      <c r="AN35" s="352">
        <f t="shared" si="12"/>
        <v>40.123157408269925</v>
      </c>
      <c r="AO35" s="352">
        <v>0</v>
      </c>
      <c r="AP35" s="352">
        <f>U35*'Assumptions-Output Override'!$D$10/'Winners-Losers Values PMPM'!$H$107*(1+'Assumptions-Output Override'!$F$37)</f>
        <v>25.367260455145615</v>
      </c>
      <c r="AQ35" s="352">
        <f>AH35*'Assumptions-Output Override'!$D$10/'Winners-Losers Values PMPM'!$H$107*(1+'Assumptions-Output Override'!$F$38)</f>
        <v>1.8467087139765392</v>
      </c>
      <c r="AR35" s="352">
        <f>AM35*('Shoppable Detail'!$AA$23/'Shoppable Detail'!$Y$23)</f>
        <v>3.9733456169658566E-5</v>
      </c>
      <c r="AS35" s="352">
        <f t="shared" si="13"/>
        <v>27.214008902578325</v>
      </c>
      <c r="AT35" s="352">
        <f t="shared" si="14"/>
        <v>0.82607932436423426</v>
      </c>
      <c r="AU35" s="352">
        <f t="shared" si="14"/>
        <v>11.158664744212377</v>
      </c>
      <c r="AV35" s="352">
        <f t="shared" si="14"/>
        <v>0.92325501396724707</v>
      </c>
      <c r="AW35" s="352">
        <f t="shared" si="14"/>
        <v>1.1494231477365017E-3</v>
      </c>
      <c r="AX35" s="352">
        <f t="shared" si="15"/>
        <v>12.909148505691597</v>
      </c>
      <c r="AY35" s="352">
        <f>AT35*'Assumptions-Output Override'!$D$24</f>
        <v>0.2516699581013736</v>
      </c>
      <c r="AZ35" s="352">
        <f>$AU$107*'Assumptions-Output Override'!$D$21</f>
        <v>46.041131296780591</v>
      </c>
      <c r="BA35" s="352">
        <f>AV35*'Assumptions-Output Override'!$D$22</f>
        <v>0.13848825209508706</v>
      </c>
      <c r="BB35" s="352">
        <f>AW35*'Assumptions-Output Override'!$D$23</f>
        <v>1.7241347216047525E-4</v>
      </c>
      <c r="BC35" s="352">
        <f t="shared" si="16"/>
        <v>46.431461920449209</v>
      </c>
      <c r="BD35" s="352">
        <f t="shared" si="17"/>
        <v>0.2516699581013736</v>
      </c>
      <c r="BE35" s="352">
        <f t="shared" si="17"/>
        <v>71.408391751926203</v>
      </c>
      <c r="BF35" s="352">
        <f t="shared" si="17"/>
        <v>1.9851969660716262</v>
      </c>
      <c r="BG35" s="352">
        <f t="shared" si="17"/>
        <v>2.1214692833013382E-4</v>
      </c>
      <c r="BH35" s="352">
        <f t="shared" si="18"/>
        <v>73.645470823027537</v>
      </c>
      <c r="BJ35" s="401">
        <f>D35*'Assumptions-Output Override'!$D$10/'Winners-Losers Values PMPM'!$H$107</f>
        <v>1.169260297888409</v>
      </c>
      <c r="BK35" s="401">
        <f>E35*'Assumptions-Output Override'!$D$10/'Winners-Losers Values PMPM'!$H$107</f>
        <v>37.495781932753296</v>
      </c>
      <c r="BL35" s="401">
        <f>F35*'Assumptions-Output Override'!$D$10/'Winners-Losers Values PMPM'!$H$107</f>
        <v>2.7858469208899992</v>
      </c>
      <c r="BM35" s="401">
        <f>G35*'Assumptions-Output Override'!$D$10/'Winners-Losers Values PMPM'!$H$107</f>
        <v>1.1716024290099496E-3</v>
      </c>
      <c r="BN35" s="401">
        <f t="shared" si="2"/>
        <v>41.452060753960716</v>
      </c>
      <c r="BO35" s="401">
        <f>BJ35*(1-'Assumptions-Output Override'!$D$11)</f>
        <v>0.16664272333538882</v>
      </c>
      <c r="BP35" s="401">
        <f>BK35*(1-'Assumptions-Output Override'!$D$11)</f>
        <v>5.3438906855453743</v>
      </c>
      <c r="BQ35" s="401">
        <f>BL35*(1-'Assumptions-Output Override'!$D$11)</f>
        <v>0.39703829723030831</v>
      </c>
      <c r="BR35" s="401">
        <f>BM35*(1-'Assumptions-Output Override'!$D$11)</f>
        <v>1.6697652335340615E-4</v>
      </c>
      <c r="BS35" s="352">
        <f t="shared" si="3"/>
        <v>5.9077386826344247</v>
      </c>
      <c r="BT35" s="352">
        <f t="shared" si="19"/>
        <v>1.0026175745530201</v>
      </c>
      <c r="BU35" s="352">
        <f t="shared" si="19"/>
        <v>32.151891247207921</v>
      </c>
      <c r="BV35" s="352">
        <f t="shared" si="19"/>
        <v>2.388808623659691</v>
      </c>
      <c r="BW35" s="352">
        <f t="shared" si="19"/>
        <v>1.0046259056565436E-3</v>
      </c>
      <c r="BX35" s="352">
        <f t="shared" si="4"/>
        <v>35.544322071326292</v>
      </c>
      <c r="BY35" s="352">
        <f>BT$107*(1-'Assumptions-Output Override'!$D$12)</f>
        <v>22.753074310428271</v>
      </c>
      <c r="BZ35" s="352">
        <f>BU$107*(1-'Assumptions-Output Override'!$D$12)</f>
        <v>51.446038369839215</v>
      </c>
      <c r="CA35" s="352">
        <f>BV$107*(1-'Assumptions-Output Override'!$D$12)</f>
        <v>9.7401900534537411</v>
      </c>
      <c r="CB35" s="352">
        <f>BW$107*(1-'Assumptions-Output Override'!$D$12)</f>
        <v>1.7000814189516649</v>
      </c>
      <c r="CC35" s="352">
        <f t="shared" si="5"/>
        <v>85.639384152672903</v>
      </c>
      <c r="CD35" s="352">
        <f t="shared" si="20"/>
        <v>22.919717033763661</v>
      </c>
      <c r="CE35" s="352">
        <f t="shared" si="20"/>
        <v>56.78992905538459</v>
      </c>
      <c r="CF35" s="352">
        <f t="shared" si="20"/>
        <v>10.137228350684049</v>
      </c>
      <c r="CG35" s="352">
        <f t="shared" si="20"/>
        <v>1.7002483954750183</v>
      </c>
      <c r="CH35" s="352">
        <f t="shared" si="6"/>
        <v>91.54712283530732</v>
      </c>
      <c r="CJ35" s="352">
        <f t="shared" si="21"/>
        <v>91.54712283530732</v>
      </c>
      <c r="CK35" s="352">
        <f t="shared" si="22"/>
        <v>73.645470823027537</v>
      </c>
      <c r="CL35" s="352">
        <f t="shared" si="23"/>
        <v>17.901652012279783</v>
      </c>
      <c r="CN35" s="352">
        <f t="shared" si="24"/>
        <v>0.69208363149239471</v>
      </c>
      <c r="CO35" s="352">
        <f t="shared" si="24"/>
        <v>22.193703978943653</v>
      </c>
      <c r="CP35" s="352">
        <f t="shared" si="24"/>
        <v>1.6489391261067718</v>
      </c>
      <c r="CQ35" s="352">
        <f t="shared" si="24"/>
        <v>6.9346993582082735E-4</v>
      </c>
      <c r="CR35" s="352">
        <f t="shared" si="7"/>
        <v>24.535420206478641</v>
      </c>
      <c r="CT35" s="352">
        <f t="shared" si="32"/>
        <v>-0.4771766663960143</v>
      </c>
      <c r="CU35" s="352">
        <f t="shared" si="32"/>
        <v>-15.302077953809643</v>
      </c>
      <c r="CV35" s="352">
        <f t="shared" si="32"/>
        <v>-1.1369077947832273</v>
      </c>
      <c r="CW35" s="352">
        <f t="shared" si="32"/>
        <v>-4.7813249318912228E-4</v>
      </c>
      <c r="CX35" s="352">
        <f t="shared" si="9"/>
        <v>-16.916640547482075</v>
      </c>
      <c r="CZ35" s="352">
        <f t="shared" si="25"/>
        <v>22.668047075662287</v>
      </c>
      <c r="DA35" s="352">
        <f t="shared" si="25"/>
        <v>-14.618462696541613</v>
      </c>
      <c r="DB35" s="352">
        <f t="shared" si="25"/>
        <v>8.1520313846124228</v>
      </c>
      <c r="DC35" s="352">
        <f t="shared" si="25"/>
        <v>1.7000362485466882</v>
      </c>
      <c r="DD35" s="352">
        <f t="shared" si="26"/>
        <v>17.901652012279783</v>
      </c>
      <c r="DF35" s="352">
        <f t="shared" si="27"/>
        <v>0.2516699581013736</v>
      </c>
      <c r="DG35" s="352">
        <f t="shared" si="27"/>
        <v>71.408391751926203</v>
      </c>
      <c r="DH35" s="352">
        <f t="shared" si="27"/>
        <v>1.9851969660716262</v>
      </c>
      <c r="DI35" s="352">
        <f t="shared" si="27"/>
        <v>2.1214692833013382E-4</v>
      </c>
      <c r="DJ35" s="352">
        <f t="shared" si="28"/>
        <v>73.645470823027537</v>
      </c>
    </row>
    <row r="36" spans="1:114" x14ac:dyDescent="0.2">
      <c r="A36">
        <v>31</v>
      </c>
      <c r="B36" s="397">
        <v>34308</v>
      </c>
      <c r="C36" s="398">
        <v>397997.79676138877</v>
      </c>
      <c r="D36" s="399">
        <v>0.68383773703945738</v>
      </c>
      <c r="E36" s="399">
        <v>23.759965429391467</v>
      </c>
      <c r="F36" s="399">
        <v>1.6380087033899291</v>
      </c>
      <c r="G36" s="399">
        <v>0</v>
      </c>
      <c r="H36" s="399">
        <v>26.081811869820854</v>
      </c>
      <c r="I36" s="400">
        <v>5.9258773156690883E-4</v>
      </c>
      <c r="J36" s="400">
        <v>6.8340959863654018E-3</v>
      </c>
      <c r="K36" s="400">
        <v>0</v>
      </c>
      <c r="L36" s="400">
        <v>0.15728740096889515</v>
      </c>
      <c r="M36" s="400">
        <v>0.1706922011951362</v>
      </c>
      <c r="N36" s="400">
        <v>0.1235334476725319</v>
      </c>
      <c r="O36" s="399">
        <f t="shared" si="30"/>
        <v>0.1481469328917272</v>
      </c>
      <c r="P36" s="399">
        <f t="shared" si="30"/>
        <v>0</v>
      </c>
      <c r="Q36" s="399">
        <f t="shared" si="30"/>
        <v>0</v>
      </c>
      <c r="R36" s="399">
        <f t="shared" si="30"/>
        <v>3.2656742662160614</v>
      </c>
      <c r="S36" s="399">
        <f t="shared" si="30"/>
        <v>5.1207660358540856</v>
      </c>
      <c r="T36" s="399">
        <f t="shared" si="30"/>
        <v>7.412006860351914</v>
      </c>
      <c r="U36" s="399">
        <f t="shared" si="10"/>
        <v>15.946594095313788</v>
      </c>
      <c r="V36" s="400">
        <v>4.9662495882789092E-6</v>
      </c>
      <c r="W36" s="400">
        <v>1.0888502222301543E-3</v>
      </c>
      <c r="X36" s="400">
        <v>0</v>
      </c>
      <c r="Y36" s="400">
        <v>1.722745598366009E-2</v>
      </c>
      <c r="Z36" s="400">
        <v>6.1100840753094037E-3</v>
      </c>
      <c r="AA36" s="400">
        <v>4.9260574203012801E-3</v>
      </c>
      <c r="AB36" s="352">
        <f t="shared" si="31"/>
        <v>1.2415623970697272E-3</v>
      </c>
      <c r="AC36" s="352">
        <f t="shared" si="31"/>
        <v>0</v>
      </c>
      <c r="AD36" s="352">
        <f t="shared" si="31"/>
        <v>0</v>
      </c>
      <c r="AE36" s="352">
        <f t="shared" si="31"/>
        <v>0.61068636496190865</v>
      </c>
      <c r="AF36" s="352">
        <f t="shared" si="31"/>
        <v>0.18330252225928212</v>
      </c>
      <c r="AG36" s="352">
        <f t="shared" si="31"/>
        <v>0.29556344521807681</v>
      </c>
      <c r="AH36" s="400">
        <f t="shared" si="11"/>
        <v>1.0907938948363374</v>
      </c>
      <c r="AJ36" s="352">
        <f>D36*('Assumptions-Output Override'!$D$10/'Winners-Losers Values PMPM'!$H$107)*(1+'Assumptions-Output Override'!$F$41)</f>
        <v>0.81623692583246654</v>
      </c>
      <c r="AK36" s="352">
        <f>E36*('Assumptions-Output Override'!$D$10/'Winners-Losers Values PMPM'!$H$107)*(1+'Assumptions-Output Override'!$F$37)</f>
        <v>39.10364492725796</v>
      </c>
      <c r="AL36" s="352">
        <f>F36*('Assumptions-Output Override'!$D$10/'Winners-Losers Values PMPM'!$H$107)*(1+'Assumptions-Output Override'!$F$38)</f>
        <v>2.7516023015106392</v>
      </c>
      <c r="AM36" s="352">
        <f>G36*('Shoppable Detail'!$X$21/'Shoppable Detail'!$H$21)*('Assumptions-Output Override'!$D$10/'Winners-Losers Values PMPM'!$H$107)*(1+'Assumptions-Output Override'!$F$39)</f>
        <v>0</v>
      </c>
      <c r="AN36" s="352">
        <f t="shared" si="12"/>
        <v>42.67148415460106</v>
      </c>
      <c r="AO36" s="352">
        <v>0</v>
      </c>
      <c r="AP36" s="352">
        <f>U36*'Assumptions-Output Override'!$D$10/'Winners-Losers Values PMPM'!$H$107*(1+'Assumptions-Output Override'!$F$37)</f>
        <v>26.244564839765818</v>
      </c>
      <c r="AQ36" s="352">
        <f>AH36*'Assumptions-Output Override'!$D$10/'Winners-Losers Values PMPM'!$H$107*(1+'Assumptions-Output Override'!$F$38)</f>
        <v>1.8323657165519511</v>
      </c>
      <c r="AR36" s="352">
        <f>AM36*('Shoppable Detail'!$AA$23/'Shoppable Detail'!$Y$23)</f>
        <v>0</v>
      </c>
      <c r="AS36" s="352">
        <f t="shared" si="13"/>
        <v>28.07693055631777</v>
      </c>
      <c r="AT36" s="352">
        <f t="shared" si="14"/>
        <v>0.81623692583246654</v>
      </c>
      <c r="AU36" s="352">
        <f t="shared" si="14"/>
        <v>12.859080087492142</v>
      </c>
      <c r="AV36" s="352">
        <f t="shared" si="14"/>
        <v>0.9192365849586881</v>
      </c>
      <c r="AW36" s="352">
        <f t="shared" si="14"/>
        <v>0</v>
      </c>
      <c r="AX36" s="352">
        <f t="shared" si="15"/>
        <v>14.594553598283296</v>
      </c>
      <c r="AY36" s="352">
        <f>AT36*'Assumptions-Output Override'!$D$24</f>
        <v>0.24867141310327265</v>
      </c>
      <c r="AZ36" s="352">
        <f>$AU$107*'Assumptions-Output Override'!$D$21</f>
        <v>46.041131296780591</v>
      </c>
      <c r="BA36" s="352">
        <f>AV36*'Assumptions-Output Override'!$D$22</f>
        <v>0.13788548774380321</v>
      </c>
      <c r="BB36" s="352">
        <f>AW36*'Assumptions-Output Override'!$D$23</f>
        <v>0</v>
      </c>
      <c r="BC36" s="352">
        <f t="shared" si="16"/>
        <v>46.427688197627667</v>
      </c>
      <c r="BD36" s="352">
        <f t="shared" si="17"/>
        <v>0.24867141310327265</v>
      </c>
      <c r="BE36" s="352">
        <f t="shared" si="17"/>
        <v>72.285696136546406</v>
      </c>
      <c r="BF36" s="352">
        <f t="shared" si="17"/>
        <v>1.9702512042957543</v>
      </c>
      <c r="BG36" s="352">
        <f t="shared" si="17"/>
        <v>0</v>
      </c>
      <c r="BH36" s="352">
        <f t="shared" si="18"/>
        <v>74.504618753945422</v>
      </c>
      <c r="BJ36" s="401">
        <f>D36*'Assumptions-Output Override'!$D$10/'Winners-Losers Values PMPM'!$H$107</f>
        <v>1.1553290378994869</v>
      </c>
      <c r="BK36" s="401">
        <f>E36*'Assumptions-Output Override'!$D$10/'Winners-Losers Values PMPM'!$H$107</f>
        <v>40.141946712250565</v>
      </c>
      <c r="BL36" s="401">
        <f>F36*'Assumptions-Output Override'!$D$10/'Winners-Losers Values PMPM'!$H$107</f>
        <v>2.7673802085731913</v>
      </c>
      <c r="BM36" s="401">
        <f>G36*'Assumptions-Output Override'!$D$10/'Winners-Losers Values PMPM'!$H$107</f>
        <v>0</v>
      </c>
      <c r="BN36" s="401">
        <f t="shared" si="2"/>
        <v>44.064655958723243</v>
      </c>
      <c r="BO36" s="401">
        <f>BJ36*(1-'Assumptions-Output Override'!$D$11)</f>
        <v>0.16465724319188285</v>
      </c>
      <c r="BP36" s="401">
        <f>BK36*(1-'Assumptions-Output Override'!$D$11)</f>
        <v>5.7210215143659191</v>
      </c>
      <c r="BQ36" s="401">
        <f>BL36*(1-'Assumptions-Output Override'!$D$11)</f>
        <v>0.39440642540751447</v>
      </c>
      <c r="BR36" s="401">
        <f>BM36*(1-'Assumptions-Output Override'!$D$11)</f>
        <v>0</v>
      </c>
      <c r="BS36" s="352">
        <f t="shared" si="3"/>
        <v>6.2800851829653164</v>
      </c>
      <c r="BT36" s="352">
        <f t="shared" si="19"/>
        <v>0.99067179470760403</v>
      </c>
      <c r="BU36" s="352">
        <f t="shared" si="19"/>
        <v>34.420925197884642</v>
      </c>
      <c r="BV36" s="352">
        <f t="shared" si="19"/>
        <v>2.3729737831656768</v>
      </c>
      <c r="BW36" s="352">
        <f t="shared" si="19"/>
        <v>0</v>
      </c>
      <c r="BX36" s="352">
        <f t="shared" si="4"/>
        <v>37.784570775757921</v>
      </c>
      <c r="BY36" s="352">
        <f>BT$107*(1-'Assumptions-Output Override'!$D$12)</f>
        <v>22.753074310428271</v>
      </c>
      <c r="BZ36" s="352">
        <f>BU$107*(1-'Assumptions-Output Override'!$D$12)</f>
        <v>51.446038369839215</v>
      </c>
      <c r="CA36" s="352">
        <f>BV$107*(1-'Assumptions-Output Override'!$D$12)</f>
        <v>9.7401900534537411</v>
      </c>
      <c r="CB36" s="352">
        <f>BW$107*(1-'Assumptions-Output Override'!$D$12)</f>
        <v>1.7000814189516649</v>
      </c>
      <c r="CC36" s="352">
        <f t="shared" si="5"/>
        <v>85.639384152672903</v>
      </c>
      <c r="CD36" s="352">
        <f t="shared" si="20"/>
        <v>22.917731553620154</v>
      </c>
      <c r="CE36" s="352">
        <f t="shared" si="20"/>
        <v>57.167059884205131</v>
      </c>
      <c r="CF36" s="352">
        <f t="shared" si="20"/>
        <v>10.134596478861255</v>
      </c>
      <c r="CG36" s="352">
        <f t="shared" si="20"/>
        <v>1.7000814189516649</v>
      </c>
      <c r="CH36" s="352">
        <f t="shared" si="6"/>
        <v>91.919469335638212</v>
      </c>
      <c r="CJ36" s="352">
        <f t="shared" si="21"/>
        <v>91.919469335638212</v>
      </c>
      <c r="CK36" s="352">
        <f t="shared" si="22"/>
        <v>74.504618753945422</v>
      </c>
      <c r="CL36" s="352">
        <f t="shared" si="23"/>
        <v>17.414850581692789</v>
      </c>
      <c r="CN36" s="352">
        <f t="shared" si="24"/>
        <v>0.68383773703945738</v>
      </c>
      <c r="CO36" s="352">
        <f t="shared" si="24"/>
        <v>23.759965429391467</v>
      </c>
      <c r="CP36" s="352">
        <f t="shared" si="24"/>
        <v>1.6380087033899291</v>
      </c>
      <c r="CQ36" s="352">
        <f t="shared" si="24"/>
        <v>0</v>
      </c>
      <c r="CR36" s="352">
        <f t="shared" si="7"/>
        <v>26.081811869820854</v>
      </c>
      <c r="CT36" s="352">
        <f t="shared" si="32"/>
        <v>-0.47149130086002955</v>
      </c>
      <c r="CU36" s="352">
        <f t="shared" si="32"/>
        <v>-16.381981282859098</v>
      </c>
      <c r="CV36" s="352">
        <f t="shared" si="32"/>
        <v>-1.1293715051832622</v>
      </c>
      <c r="CW36" s="352">
        <f t="shared" si="32"/>
        <v>0</v>
      </c>
      <c r="CX36" s="352">
        <f t="shared" si="9"/>
        <v>-17.98284408890239</v>
      </c>
      <c r="CZ36" s="352">
        <f t="shared" si="25"/>
        <v>22.66906014051688</v>
      </c>
      <c r="DA36" s="352">
        <f t="shared" si="25"/>
        <v>-15.118636252341275</v>
      </c>
      <c r="DB36" s="352">
        <f t="shared" si="25"/>
        <v>8.1643452745655001</v>
      </c>
      <c r="DC36" s="352">
        <f t="shared" si="25"/>
        <v>1.7000814189516649</v>
      </c>
      <c r="DD36" s="352">
        <f t="shared" si="26"/>
        <v>17.414850581692768</v>
      </c>
      <c r="DF36" s="352">
        <f t="shared" si="27"/>
        <v>0.24867141310327265</v>
      </c>
      <c r="DG36" s="352">
        <f t="shared" si="27"/>
        <v>72.285696136546406</v>
      </c>
      <c r="DH36" s="352">
        <f t="shared" si="27"/>
        <v>1.9702512042957543</v>
      </c>
      <c r="DI36" s="352">
        <f t="shared" si="27"/>
        <v>0</v>
      </c>
      <c r="DJ36" s="352">
        <f t="shared" si="28"/>
        <v>74.504618753945422</v>
      </c>
    </row>
    <row r="37" spans="1:114" x14ac:dyDescent="0.2">
      <c r="A37">
        <v>32</v>
      </c>
      <c r="B37" s="397">
        <v>34308</v>
      </c>
      <c r="C37" s="398">
        <v>397997.79676138877</v>
      </c>
      <c r="D37" s="399">
        <v>0.66491063787590288</v>
      </c>
      <c r="E37" s="399">
        <v>25.045403958991827</v>
      </c>
      <c r="F37" s="399">
        <v>1.9631515743282946</v>
      </c>
      <c r="G37" s="399">
        <v>0</v>
      </c>
      <c r="H37" s="399">
        <v>27.673466171196022</v>
      </c>
      <c r="I37" s="400">
        <v>6.2876677202046872E-4</v>
      </c>
      <c r="J37" s="400">
        <v>7.4266837179323393E-3</v>
      </c>
      <c r="K37" s="400">
        <v>1.0050306892523117E-5</v>
      </c>
      <c r="L37" s="400">
        <v>0.16533772656528484</v>
      </c>
      <c r="M37" s="400">
        <v>0.17773666230224425</v>
      </c>
      <c r="N37" s="400">
        <v>0.12812528213711477</v>
      </c>
      <c r="O37" s="399">
        <f t="shared" si="30"/>
        <v>0.15719169300511718</v>
      </c>
      <c r="P37" s="399">
        <f t="shared" si="30"/>
        <v>0</v>
      </c>
      <c r="Q37" s="399">
        <f t="shared" si="30"/>
        <v>1.0050306892523116E-2</v>
      </c>
      <c r="R37" s="399">
        <f t="shared" si="30"/>
        <v>3.43281887521109</v>
      </c>
      <c r="S37" s="399">
        <f t="shared" si="30"/>
        <v>5.3320998690673278</v>
      </c>
      <c r="T37" s="399">
        <f t="shared" si="30"/>
        <v>7.687516928226886</v>
      </c>
      <c r="U37" s="399">
        <f t="shared" si="10"/>
        <v>16.619677672402943</v>
      </c>
      <c r="V37" s="400">
        <v>1.117406157362757E-5</v>
      </c>
      <c r="W37" s="400">
        <v>1.2775677065847528E-3</v>
      </c>
      <c r="X37" s="400">
        <v>0</v>
      </c>
      <c r="Y37" s="400">
        <v>2.0288405752185334E-2</v>
      </c>
      <c r="Z37" s="400">
        <v>6.8382288096726779E-3</v>
      </c>
      <c r="AA37" s="400">
        <v>5.9418419379285922E-3</v>
      </c>
      <c r="AB37" s="352">
        <f t="shared" si="31"/>
        <v>2.7935153934068925E-3</v>
      </c>
      <c r="AC37" s="352">
        <f t="shared" si="31"/>
        <v>0</v>
      </c>
      <c r="AD37" s="352">
        <f t="shared" si="31"/>
        <v>0</v>
      </c>
      <c r="AE37" s="352">
        <f t="shared" si="31"/>
        <v>0.71919224587924513</v>
      </c>
      <c r="AF37" s="352">
        <f t="shared" si="31"/>
        <v>0.20514686429018034</v>
      </c>
      <c r="AG37" s="352">
        <f t="shared" si="31"/>
        <v>0.35651051627571551</v>
      </c>
      <c r="AH37" s="400">
        <f t="shared" si="11"/>
        <v>1.2836431418385479</v>
      </c>
      <c r="AJ37" s="352">
        <f>D37*('Assumptions-Output Override'!$D$10/'Winners-Losers Values PMPM'!$H$107)*(1+'Assumptions-Output Override'!$F$41)</f>
        <v>0.79364531323286147</v>
      </c>
      <c r="AK37" s="352">
        <f>E37*('Assumptions-Output Override'!$D$10/'Winners-Losers Values PMPM'!$H$107)*(1+'Assumptions-Output Override'!$F$37)</f>
        <v>41.219192274609306</v>
      </c>
      <c r="AL37" s="352">
        <f>F37*('Assumptions-Output Override'!$D$10/'Winners-Losers Values PMPM'!$H$107)*(1+'Assumptions-Output Override'!$F$38)</f>
        <v>3.2977922394164865</v>
      </c>
      <c r="AM37" s="352">
        <f>G37*('Shoppable Detail'!$X$21/'Shoppable Detail'!$H$21)*('Assumptions-Output Override'!$D$10/'Winners-Losers Values PMPM'!$H$107)*(1+'Assumptions-Output Override'!$F$39)</f>
        <v>0</v>
      </c>
      <c r="AN37" s="352">
        <f t="shared" si="12"/>
        <v>45.310629827258651</v>
      </c>
      <c r="AO37" s="352">
        <v>0</v>
      </c>
      <c r="AP37" s="352">
        <f>U37*'Assumptions-Output Override'!$D$10/'Winners-Losers Values PMPM'!$H$107*(1+'Assumptions-Output Override'!$F$37)</f>
        <v>27.352311451732881</v>
      </c>
      <c r="AQ37" s="352">
        <f>AH37*'Assumptions-Output Override'!$D$10/'Winners-Losers Values PMPM'!$H$107*(1+'Assumptions-Output Override'!$F$38)</f>
        <v>2.1563227448618036</v>
      </c>
      <c r="AR37" s="352">
        <f>AM37*('Shoppable Detail'!$AA$23/'Shoppable Detail'!$Y$23)</f>
        <v>0</v>
      </c>
      <c r="AS37" s="352">
        <f t="shared" si="13"/>
        <v>29.508634196594684</v>
      </c>
      <c r="AT37" s="352">
        <f t="shared" si="14"/>
        <v>0.79364531323286147</v>
      </c>
      <c r="AU37" s="352">
        <f t="shared" si="14"/>
        <v>13.866880822876425</v>
      </c>
      <c r="AV37" s="352">
        <f t="shared" si="14"/>
        <v>1.1414694945546828</v>
      </c>
      <c r="AW37" s="352">
        <f t="shared" si="14"/>
        <v>0</v>
      </c>
      <c r="AX37" s="352">
        <f t="shared" si="15"/>
        <v>15.801995630663969</v>
      </c>
      <c r="AY37" s="352">
        <f>AT37*'Assumptions-Output Override'!$D$24</f>
        <v>0.24178874454022534</v>
      </c>
      <c r="AZ37" s="352">
        <f>$AU$107*'Assumptions-Output Override'!$D$21</f>
        <v>46.041131296780591</v>
      </c>
      <c r="BA37" s="352">
        <f>AV37*'Assumptions-Output Override'!$D$22</f>
        <v>0.17122042418320241</v>
      </c>
      <c r="BB37" s="352">
        <f>AW37*'Assumptions-Output Override'!$D$23</f>
        <v>0</v>
      </c>
      <c r="BC37" s="352">
        <f t="shared" si="16"/>
        <v>46.454140465504018</v>
      </c>
      <c r="BD37" s="352">
        <f t="shared" si="17"/>
        <v>0.24178874454022534</v>
      </c>
      <c r="BE37" s="352">
        <f t="shared" si="17"/>
        <v>73.393442748513479</v>
      </c>
      <c r="BF37" s="352">
        <f t="shared" si="17"/>
        <v>2.3275431690450059</v>
      </c>
      <c r="BG37" s="352">
        <f t="shared" si="17"/>
        <v>0</v>
      </c>
      <c r="BH37" s="352">
        <f t="shared" si="18"/>
        <v>75.96277466209871</v>
      </c>
      <c r="BJ37" s="401">
        <f>D37*'Assumptions-Output Override'!$D$10/'Winners-Losers Values PMPM'!$H$107</f>
        <v>1.1233521140146971</v>
      </c>
      <c r="BK37" s="401">
        <f>E37*'Assumptions-Output Override'!$D$10/'Winners-Losers Values PMPM'!$H$107</f>
        <v>42.313667252435415</v>
      </c>
      <c r="BL37" s="401">
        <f>F37*'Assumptions-Output Override'!$D$10/'Winners-Losers Values PMPM'!$H$107</f>
        <v>3.316702043146682</v>
      </c>
      <c r="BM37" s="401">
        <f>G37*'Assumptions-Output Override'!$D$10/'Winners-Losers Values PMPM'!$H$107</f>
        <v>0</v>
      </c>
      <c r="BN37" s="401">
        <f t="shared" si="2"/>
        <v>46.7537214095968</v>
      </c>
      <c r="BO37" s="401">
        <f>BJ37*(1-'Assumptions-Output Override'!$D$11)</f>
        <v>0.16009989895495541</v>
      </c>
      <c r="BP37" s="401">
        <f>BK37*(1-'Assumptions-Output Override'!$D$11)</f>
        <v>6.0305346533935342</v>
      </c>
      <c r="BQ37" s="401">
        <f>BL37*(1-'Assumptions-Output Override'!$D$11)</f>
        <v>0.47269565379082079</v>
      </c>
      <c r="BR37" s="401">
        <f>BM37*(1-'Assumptions-Output Override'!$D$11)</f>
        <v>0</v>
      </c>
      <c r="BS37" s="352">
        <f t="shared" si="3"/>
        <v>6.6633302061393103</v>
      </c>
      <c r="BT37" s="352">
        <f t="shared" si="19"/>
        <v>0.96325221505974179</v>
      </c>
      <c r="BU37" s="352">
        <f t="shared" si="19"/>
        <v>36.283132599041878</v>
      </c>
      <c r="BV37" s="352">
        <f t="shared" si="19"/>
        <v>2.8440063893558611</v>
      </c>
      <c r="BW37" s="352">
        <f t="shared" si="19"/>
        <v>0</v>
      </c>
      <c r="BX37" s="352">
        <f t="shared" si="4"/>
        <v>40.090391203457479</v>
      </c>
      <c r="BY37" s="352">
        <f>BT$107*(1-'Assumptions-Output Override'!$D$12)</f>
        <v>22.753074310428271</v>
      </c>
      <c r="BZ37" s="352">
        <f>BU$107*(1-'Assumptions-Output Override'!$D$12)</f>
        <v>51.446038369839215</v>
      </c>
      <c r="CA37" s="352">
        <f>BV$107*(1-'Assumptions-Output Override'!$D$12)</f>
        <v>9.7401900534537411</v>
      </c>
      <c r="CB37" s="352">
        <f>BW$107*(1-'Assumptions-Output Override'!$D$12)</f>
        <v>1.7000814189516649</v>
      </c>
      <c r="CC37" s="352">
        <f t="shared" si="5"/>
        <v>85.639384152672903</v>
      </c>
      <c r="CD37" s="352">
        <f t="shared" si="20"/>
        <v>22.913174209383225</v>
      </c>
      <c r="CE37" s="352">
        <f t="shared" si="20"/>
        <v>57.476573023232746</v>
      </c>
      <c r="CF37" s="352">
        <f t="shared" si="20"/>
        <v>10.212885707244562</v>
      </c>
      <c r="CG37" s="352">
        <f t="shared" si="20"/>
        <v>1.7000814189516649</v>
      </c>
      <c r="CH37" s="352">
        <f t="shared" si="6"/>
        <v>92.30271435881221</v>
      </c>
      <c r="CJ37" s="352">
        <f t="shared" si="21"/>
        <v>92.30271435881221</v>
      </c>
      <c r="CK37" s="352">
        <f t="shared" si="22"/>
        <v>75.96277466209871</v>
      </c>
      <c r="CL37" s="352">
        <f t="shared" si="23"/>
        <v>16.3399396967135</v>
      </c>
      <c r="CN37" s="352">
        <f t="shared" si="24"/>
        <v>0.66491063787590288</v>
      </c>
      <c r="CO37" s="352">
        <f t="shared" si="24"/>
        <v>25.045403958991827</v>
      </c>
      <c r="CP37" s="352">
        <f t="shared" si="24"/>
        <v>1.9631515743282946</v>
      </c>
      <c r="CQ37" s="352">
        <f t="shared" si="24"/>
        <v>0</v>
      </c>
      <c r="CR37" s="352">
        <f t="shared" si="7"/>
        <v>27.673466171196022</v>
      </c>
      <c r="CT37" s="352">
        <f t="shared" si="32"/>
        <v>-0.45844147613879427</v>
      </c>
      <c r="CU37" s="352">
        <f t="shared" si="32"/>
        <v>-17.268263293443589</v>
      </c>
      <c r="CV37" s="352">
        <f t="shared" si="32"/>
        <v>-1.3535504688183875</v>
      </c>
      <c r="CW37" s="352">
        <f t="shared" si="32"/>
        <v>0</v>
      </c>
      <c r="CX37" s="352">
        <f t="shared" si="9"/>
        <v>-19.08025523840077</v>
      </c>
      <c r="CZ37" s="352">
        <f t="shared" si="25"/>
        <v>22.671385464842999</v>
      </c>
      <c r="DA37" s="352">
        <f t="shared" si="25"/>
        <v>-15.916869725280733</v>
      </c>
      <c r="DB37" s="352">
        <f t="shared" si="25"/>
        <v>7.8853425381995557</v>
      </c>
      <c r="DC37" s="352">
        <f t="shared" si="25"/>
        <v>1.7000814189516649</v>
      </c>
      <c r="DD37" s="352">
        <f t="shared" si="26"/>
        <v>16.339939696713486</v>
      </c>
      <c r="DF37" s="352">
        <f t="shared" si="27"/>
        <v>0.24178874454022534</v>
      </c>
      <c r="DG37" s="352">
        <f t="shared" si="27"/>
        <v>73.393442748513479</v>
      </c>
      <c r="DH37" s="352">
        <f t="shared" si="27"/>
        <v>2.3275431690450059</v>
      </c>
      <c r="DI37" s="352">
        <f t="shared" si="27"/>
        <v>0</v>
      </c>
      <c r="DJ37" s="352">
        <f t="shared" si="28"/>
        <v>75.96277466209871</v>
      </c>
    </row>
    <row r="38" spans="1:114" x14ac:dyDescent="0.2">
      <c r="A38">
        <v>33</v>
      </c>
      <c r="B38" s="397">
        <v>34308</v>
      </c>
      <c r="C38" s="398">
        <v>397997.79676138877</v>
      </c>
      <c r="D38" s="399">
        <v>0.61640013197916266</v>
      </c>
      <c r="E38" s="399">
        <v>26.672617198892901</v>
      </c>
      <c r="F38" s="399">
        <v>2.0477544258198876</v>
      </c>
      <c r="G38" s="399">
        <v>0</v>
      </c>
      <c r="H38" s="399">
        <v>29.336771756691952</v>
      </c>
      <c r="I38" s="400">
        <v>5.8510241285237815E-4</v>
      </c>
      <c r="J38" s="400">
        <v>8.1240659115026301E-3</v>
      </c>
      <c r="K38" s="400">
        <v>2.5125767231307792E-6</v>
      </c>
      <c r="L38" s="400">
        <v>0.17660934462240549</v>
      </c>
      <c r="M38" s="400">
        <v>0.18888210088531465</v>
      </c>
      <c r="N38" s="400">
        <v>0.12742547926819719</v>
      </c>
      <c r="O38" s="399">
        <f t="shared" si="30"/>
        <v>0.14627560321309455</v>
      </c>
      <c r="P38" s="399">
        <f t="shared" si="30"/>
        <v>0</v>
      </c>
      <c r="Q38" s="399">
        <f t="shared" si="30"/>
        <v>2.5125767231307791E-3</v>
      </c>
      <c r="R38" s="399">
        <f t="shared" si="30"/>
        <v>3.6668454584021655</v>
      </c>
      <c r="S38" s="399">
        <f t="shared" si="30"/>
        <v>5.6664630265594393</v>
      </c>
      <c r="T38" s="399">
        <f t="shared" si="30"/>
        <v>7.6455287560918315</v>
      </c>
      <c r="U38" s="399">
        <f t="shared" si="10"/>
        <v>17.127625420989659</v>
      </c>
      <c r="V38" s="400">
        <v>1.7381873558976208E-5</v>
      </c>
      <c r="W38" s="400">
        <v>1.29494958014373E-3</v>
      </c>
      <c r="X38" s="400">
        <v>0</v>
      </c>
      <c r="Y38" s="400">
        <v>2.1455214314343968E-2</v>
      </c>
      <c r="Z38" s="400">
        <v>7.0924010709845628E-3</v>
      </c>
      <c r="AA38" s="400">
        <v>5.9192287474203898E-3</v>
      </c>
      <c r="AB38" s="352">
        <f t="shared" si="31"/>
        <v>4.345468389744052E-3</v>
      </c>
      <c r="AC38" s="352">
        <f t="shared" si="31"/>
        <v>0</v>
      </c>
      <c r="AD38" s="352">
        <f t="shared" si="31"/>
        <v>0</v>
      </c>
      <c r="AE38" s="352">
        <f t="shared" si="31"/>
        <v>0.76055378411837515</v>
      </c>
      <c r="AF38" s="352">
        <f t="shared" si="31"/>
        <v>0.21277203212953688</v>
      </c>
      <c r="AG38" s="352">
        <f t="shared" si="31"/>
        <v>0.3551537248452234</v>
      </c>
      <c r="AH38" s="400">
        <f t="shared" si="11"/>
        <v>1.3328250094828795</v>
      </c>
      <c r="AJ38" s="352">
        <f>D38*('Assumptions-Output Override'!$D$10/'Winners-Losers Values PMPM'!$H$107)*(1+'Assumptions-Output Override'!$F$41)</f>
        <v>0.73574259149194621</v>
      </c>
      <c r="AK38" s="352">
        <f>E38*('Assumptions-Output Override'!$D$10/'Winners-Losers Values PMPM'!$H$107)*(1+'Assumptions-Output Override'!$F$37)</f>
        <v>43.897225159089572</v>
      </c>
      <c r="AL38" s="352">
        <f>F38*('Assumptions-Output Override'!$D$10/'Winners-Losers Values PMPM'!$H$107)*(1+'Assumptions-Output Override'!$F$38)</f>
        <v>3.4399119976307468</v>
      </c>
      <c r="AM38" s="352">
        <f>G38*('Shoppable Detail'!$X$21/'Shoppable Detail'!$H$21)*('Assumptions-Output Override'!$D$10/'Winners-Losers Values PMPM'!$H$107)*(1+'Assumptions-Output Override'!$F$39)</f>
        <v>0</v>
      </c>
      <c r="AN38" s="352">
        <f t="shared" si="12"/>
        <v>48.072879748212266</v>
      </c>
      <c r="AO38" s="352">
        <v>0</v>
      </c>
      <c r="AP38" s="352">
        <f>U38*'Assumptions-Output Override'!$D$10/'Winners-Losers Values PMPM'!$H$107*(1+'Assumptions-Output Override'!$F$37)</f>
        <v>28.188281035163531</v>
      </c>
      <c r="AQ38" s="352">
        <f>AH38*'Assumptions-Output Override'!$D$10/'Winners-Losers Values PMPM'!$H$107*(1+'Assumptions-Output Override'!$F$38)</f>
        <v>2.2389407064896418</v>
      </c>
      <c r="AR38" s="352">
        <f>AM38*('Shoppable Detail'!$AA$23/'Shoppable Detail'!$Y$23)</f>
        <v>0</v>
      </c>
      <c r="AS38" s="352">
        <f t="shared" si="13"/>
        <v>30.427221741653174</v>
      </c>
      <c r="AT38" s="352">
        <f t="shared" si="14"/>
        <v>0.73574259149194621</v>
      </c>
      <c r="AU38" s="352">
        <f t="shared" si="14"/>
        <v>15.708944123926042</v>
      </c>
      <c r="AV38" s="352">
        <f t="shared" si="14"/>
        <v>1.200971291141105</v>
      </c>
      <c r="AW38" s="352">
        <f t="shared" si="14"/>
        <v>0</v>
      </c>
      <c r="AX38" s="352">
        <f t="shared" si="15"/>
        <v>17.645658006559092</v>
      </c>
      <c r="AY38" s="352">
        <f>AT38*'Assumptions-Output Override'!$D$24</f>
        <v>0.22414833746950388</v>
      </c>
      <c r="AZ38" s="352">
        <f>$AU$107*'Assumptions-Output Override'!$D$21</f>
        <v>46.041131296780591</v>
      </c>
      <c r="BA38" s="352">
        <f>AV38*'Assumptions-Output Override'!$D$22</f>
        <v>0.18014569367116576</v>
      </c>
      <c r="BB38" s="352">
        <f>AW38*'Assumptions-Output Override'!$D$23</f>
        <v>0</v>
      </c>
      <c r="BC38" s="352">
        <f t="shared" si="16"/>
        <v>46.445425327921257</v>
      </c>
      <c r="BD38" s="352">
        <f t="shared" si="17"/>
        <v>0.22414833746950388</v>
      </c>
      <c r="BE38" s="352">
        <f t="shared" si="17"/>
        <v>74.229412331944118</v>
      </c>
      <c r="BF38" s="352">
        <f t="shared" si="17"/>
        <v>2.4190864001608077</v>
      </c>
      <c r="BG38" s="352">
        <f t="shared" si="17"/>
        <v>0</v>
      </c>
      <c r="BH38" s="352">
        <f t="shared" si="18"/>
        <v>76.872647069574427</v>
      </c>
      <c r="BJ38" s="401">
        <f>D38*'Assumptions-Output Override'!$D$10/'Winners-Losers Values PMPM'!$H$107</f>
        <v>1.0413946655294222</v>
      </c>
      <c r="BK38" s="401">
        <f>E38*'Assumptions-Output Override'!$D$10/'Winners-Losers Values PMPM'!$H$107</f>
        <v>45.062808759382904</v>
      </c>
      <c r="BL38" s="401">
        <f>F38*'Assumptions-Output Override'!$D$10/'Winners-Losers Values PMPM'!$H$107</f>
        <v>3.4596367273899058</v>
      </c>
      <c r="BM38" s="401">
        <f>G38*'Assumptions-Output Override'!$D$10/'Winners-Losers Values PMPM'!$H$107</f>
        <v>0</v>
      </c>
      <c r="BN38" s="401">
        <f t="shared" si="2"/>
        <v>49.563840152302234</v>
      </c>
      <c r="BO38" s="401">
        <f>BJ38*(1-'Assumptions-Output Override'!$D$11)</f>
        <v>0.14841934122296824</v>
      </c>
      <c r="BP38" s="401">
        <f>BK38*(1-'Assumptions-Output Override'!$D$11)</f>
        <v>6.422341703012358</v>
      </c>
      <c r="BQ38" s="401">
        <f>BL38*(1-'Assumptions-Output Override'!$D$11)</f>
        <v>0.49306667390019249</v>
      </c>
      <c r="BR38" s="401">
        <f>BM38*(1-'Assumptions-Output Override'!$D$11)</f>
        <v>0</v>
      </c>
      <c r="BS38" s="352">
        <f t="shared" si="3"/>
        <v>7.0638277181355189</v>
      </c>
      <c r="BT38" s="352">
        <f t="shared" si="19"/>
        <v>0.89297532430645399</v>
      </c>
      <c r="BU38" s="352">
        <f t="shared" si="19"/>
        <v>38.640467056370547</v>
      </c>
      <c r="BV38" s="352">
        <f t="shared" si="19"/>
        <v>2.9665700534897135</v>
      </c>
      <c r="BW38" s="352">
        <f t="shared" si="19"/>
        <v>0</v>
      </c>
      <c r="BX38" s="352">
        <f t="shared" si="4"/>
        <v>42.500012434166713</v>
      </c>
      <c r="BY38" s="352">
        <f>BT$107*(1-'Assumptions-Output Override'!$D$12)</f>
        <v>22.753074310428271</v>
      </c>
      <c r="BZ38" s="352">
        <f>BU$107*(1-'Assumptions-Output Override'!$D$12)</f>
        <v>51.446038369839215</v>
      </c>
      <c r="CA38" s="352">
        <f>BV$107*(1-'Assumptions-Output Override'!$D$12)</f>
        <v>9.7401900534537411</v>
      </c>
      <c r="CB38" s="352">
        <f>BW$107*(1-'Assumptions-Output Override'!$D$12)</f>
        <v>1.7000814189516649</v>
      </c>
      <c r="CC38" s="352">
        <f t="shared" si="5"/>
        <v>85.639384152672903</v>
      </c>
      <c r="CD38" s="352">
        <f t="shared" si="20"/>
        <v>22.90149365165124</v>
      </c>
      <c r="CE38" s="352">
        <f t="shared" si="20"/>
        <v>57.868380072851572</v>
      </c>
      <c r="CF38" s="352">
        <f t="shared" si="20"/>
        <v>10.233256727353934</v>
      </c>
      <c r="CG38" s="352">
        <f t="shared" si="20"/>
        <v>1.7000814189516649</v>
      </c>
      <c r="CH38" s="352">
        <f t="shared" si="6"/>
        <v>92.703211870808417</v>
      </c>
      <c r="CJ38" s="352">
        <f t="shared" si="21"/>
        <v>92.703211870808417</v>
      </c>
      <c r="CK38" s="352">
        <f t="shared" si="22"/>
        <v>76.872647069574427</v>
      </c>
      <c r="CL38" s="352">
        <f t="shared" si="23"/>
        <v>15.83056480123399</v>
      </c>
      <c r="CN38" s="352">
        <f t="shared" si="24"/>
        <v>0.61640013197916266</v>
      </c>
      <c r="CO38" s="352">
        <f t="shared" si="24"/>
        <v>26.672617198892901</v>
      </c>
      <c r="CP38" s="352">
        <f t="shared" si="24"/>
        <v>2.0477544258198876</v>
      </c>
      <c r="CQ38" s="352">
        <f t="shared" si="24"/>
        <v>0</v>
      </c>
      <c r="CR38" s="352">
        <f t="shared" si="7"/>
        <v>29.336771756691952</v>
      </c>
      <c r="CT38" s="352">
        <f t="shared" si="32"/>
        <v>-0.42499453355025951</v>
      </c>
      <c r="CU38" s="352">
        <f t="shared" si="32"/>
        <v>-18.390191560490003</v>
      </c>
      <c r="CV38" s="352">
        <f t="shared" si="32"/>
        <v>-1.4118823015700182</v>
      </c>
      <c r="CW38" s="352">
        <f t="shared" si="32"/>
        <v>0</v>
      </c>
      <c r="CX38" s="352">
        <f t="shared" si="9"/>
        <v>-20.227068395610278</v>
      </c>
      <c r="CZ38" s="352">
        <f t="shared" si="25"/>
        <v>22.677345314181736</v>
      </c>
      <c r="DA38" s="352">
        <f t="shared" si="25"/>
        <v>-16.361032259092546</v>
      </c>
      <c r="DB38" s="352">
        <f t="shared" si="25"/>
        <v>7.8141703271931267</v>
      </c>
      <c r="DC38" s="352">
        <f t="shared" si="25"/>
        <v>1.7000814189516649</v>
      </c>
      <c r="DD38" s="352">
        <f t="shared" si="26"/>
        <v>15.830564801233981</v>
      </c>
      <c r="DF38" s="352">
        <f t="shared" si="27"/>
        <v>0.22414833746950388</v>
      </c>
      <c r="DG38" s="352">
        <f t="shared" si="27"/>
        <v>74.229412331944118</v>
      </c>
      <c r="DH38" s="352">
        <f t="shared" si="27"/>
        <v>2.4190864001608077</v>
      </c>
      <c r="DI38" s="352">
        <f t="shared" si="27"/>
        <v>0</v>
      </c>
      <c r="DJ38" s="352">
        <f t="shared" si="28"/>
        <v>76.872647069574427</v>
      </c>
    </row>
    <row r="39" spans="1:114" x14ac:dyDescent="0.2">
      <c r="A39">
        <v>34</v>
      </c>
      <c r="B39" s="397">
        <v>34308</v>
      </c>
      <c r="C39" s="398">
        <v>397997.79676138877</v>
      </c>
      <c r="D39" s="399">
        <v>0.58181593298239487</v>
      </c>
      <c r="E39" s="399">
        <v>28.24860106178134</v>
      </c>
      <c r="F39" s="399">
        <v>2.2442457247369116</v>
      </c>
      <c r="G39" s="399">
        <v>0</v>
      </c>
      <c r="H39" s="399">
        <v>31.074662719500644</v>
      </c>
      <c r="I39" s="400">
        <v>5.9258773156690883E-4</v>
      </c>
      <c r="J39" s="400">
        <v>9.0821867069624303E-3</v>
      </c>
      <c r="K39" s="400">
        <v>1.0050306892523117E-5</v>
      </c>
      <c r="L39" s="400">
        <v>0.18018705188336143</v>
      </c>
      <c r="M39" s="400">
        <v>0.19757159622459342</v>
      </c>
      <c r="N39" s="400">
        <v>0.12938724892207645</v>
      </c>
      <c r="O39" s="399">
        <f t="shared" si="30"/>
        <v>0.1481469328917272</v>
      </c>
      <c r="P39" s="399">
        <f t="shared" si="30"/>
        <v>0</v>
      </c>
      <c r="Q39" s="399">
        <f t="shared" si="30"/>
        <v>1.0050306892523116E-2</v>
      </c>
      <c r="R39" s="399">
        <f t="shared" si="30"/>
        <v>3.7411274826595862</v>
      </c>
      <c r="S39" s="399">
        <f t="shared" si="30"/>
        <v>5.9271478867378029</v>
      </c>
      <c r="T39" s="399">
        <f t="shared" si="30"/>
        <v>7.7632349353245873</v>
      </c>
      <c r="U39" s="399">
        <f t="shared" si="10"/>
        <v>17.589707544506226</v>
      </c>
      <c r="V39" s="400">
        <v>2.1106560750185388E-5</v>
      </c>
      <c r="W39" s="400">
        <v>1.5221554988074882E-3</v>
      </c>
      <c r="X39" s="400">
        <v>0</v>
      </c>
      <c r="Y39" s="400">
        <v>2.2753865651887761E-2</v>
      </c>
      <c r="Z39" s="400">
        <v>7.7599424547859482E-3</v>
      </c>
      <c r="AA39" s="400">
        <v>6.6437553713023807E-3</v>
      </c>
      <c r="AB39" s="352">
        <f t="shared" si="31"/>
        <v>5.2766401875463474E-3</v>
      </c>
      <c r="AC39" s="352">
        <f t="shared" si="31"/>
        <v>0</v>
      </c>
      <c r="AD39" s="352">
        <f t="shared" si="31"/>
        <v>0</v>
      </c>
      <c r="AE39" s="352">
        <f t="shared" si="31"/>
        <v>0.80658894249752011</v>
      </c>
      <c r="AF39" s="352">
        <f t="shared" si="31"/>
        <v>0.23279827364357844</v>
      </c>
      <c r="AG39" s="352">
        <f t="shared" si="31"/>
        <v>0.39862532227814285</v>
      </c>
      <c r="AH39" s="400">
        <f t="shared" si="11"/>
        <v>1.4432891786067878</v>
      </c>
      <c r="AJ39" s="352">
        <f>D39*('Assumptions-Output Override'!$D$10/'Winners-Losers Values PMPM'!$H$107)*(1+'Assumptions-Output Override'!$F$41)</f>
        <v>0.69446247671835737</v>
      </c>
      <c r="AK39" s="352">
        <f>E39*('Assumptions-Output Override'!$D$10/'Winners-Losers Values PMPM'!$H$107)*(1+'Assumptions-Output Override'!$F$37)</f>
        <v>46.490945826260436</v>
      </c>
      <c r="AL39" s="352">
        <f>F39*('Assumptions-Output Override'!$D$10/'Winners-Losers Values PMPM'!$H$107)*(1+'Assumptions-Output Override'!$F$38)</f>
        <v>3.7699871121328656</v>
      </c>
      <c r="AM39" s="352">
        <f>G39*('Shoppable Detail'!$X$21/'Shoppable Detail'!$H$21)*('Assumptions-Output Override'!$D$10/'Winners-Losers Values PMPM'!$H$107)*(1+'Assumptions-Output Override'!$F$39)</f>
        <v>0</v>
      </c>
      <c r="AN39" s="352">
        <f t="shared" si="12"/>
        <v>50.95539541511166</v>
      </c>
      <c r="AO39" s="352">
        <v>0</v>
      </c>
      <c r="AP39" s="352">
        <f>U39*'Assumptions-Output Override'!$D$10/'Winners-Losers Values PMPM'!$H$107*(1+'Assumptions-Output Override'!$F$37)</f>
        <v>28.948765949963672</v>
      </c>
      <c r="AQ39" s="352">
        <f>AH39*'Assumptions-Output Override'!$D$10/'Winners-Losers Values PMPM'!$H$107*(1+'Assumptions-Output Override'!$F$38)</f>
        <v>2.4245034946279236</v>
      </c>
      <c r="AR39" s="352">
        <f>AM39*('Shoppable Detail'!$AA$23/'Shoppable Detail'!$Y$23)</f>
        <v>0</v>
      </c>
      <c r="AS39" s="352">
        <f t="shared" si="13"/>
        <v>31.373269444591596</v>
      </c>
      <c r="AT39" s="352">
        <f t="shared" si="14"/>
        <v>0.69446247671835737</v>
      </c>
      <c r="AU39" s="352">
        <f t="shared" si="14"/>
        <v>17.542179876296764</v>
      </c>
      <c r="AV39" s="352">
        <f t="shared" si="14"/>
        <v>1.3454836175049421</v>
      </c>
      <c r="AW39" s="352">
        <f t="shared" si="14"/>
        <v>0</v>
      </c>
      <c r="AX39" s="352">
        <f t="shared" si="15"/>
        <v>19.582125970520064</v>
      </c>
      <c r="AY39" s="352">
        <f>AT39*'Assumptions-Output Override'!$D$24</f>
        <v>0.21157210604828469</v>
      </c>
      <c r="AZ39" s="352">
        <f>$AU$107*'Assumptions-Output Override'!$D$21</f>
        <v>46.041131296780591</v>
      </c>
      <c r="BA39" s="352">
        <f>AV39*'Assumptions-Output Override'!$D$22</f>
        <v>0.20182254262574131</v>
      </c>
      <c r="BB39" s="352">
        <f>AW39*'Assumptions-Output Override'!$D$23</f>
        <v>0</v>
      </c>
      <c r="BC39" s="352">
        <f t="shared" si="16"/>
        <v>46.45452594545462</v>
      </c>
      <c r="BD39" s="352">
        <f t="shared" si="17"/>
        <v>0.21157210604828469</v>
      </c>
      <c r="BE39" s="352">
        <f t="shared" si="17"/>
        <v>74.989897246744263</v>
      </c>
      <c r="BF39" s="352">
        <f t="shared" si="17"/>
        <v>2.6263260372536648</v>
      </c>
      <c r="BG39" s="352">
        <f t="shared" si="17"/>
        <v>0</v>
      </c>
      <c r="BH39" s="352">
        <f t="shared" si="18"/>
        <v>77.827795390046205</v>
      </c>
      <c r="BJ39" s="401">
        <f>D39*'Assumptions-Output Override'!$D$10/'Winners-Losers Values PMPM'!$H$107</f>
        <v>0.9829654107672583</v>
      </c>
      <c r="BK39" s="401">
        <f>E39*'Assumptions-Output Override'!$D$10/'Winners-Losers Values PMPM'!$H$107</f>
        <v>47.725399344013013</v>
      </c>
      <c r="BL39" s="401">
        <f>F39*'Assumptions-Output Override'!$D$10/'Winners-Losers Values PMPM'!$H$107</f>
        <v>3.7916045189251175</v>
      </c>
      <c r="BM39" s="401">
        <f>G39*'Assumptions-Output Override'!$D$10/'Winners-Losers Values PMPM'!$H$107</f>
        <v>0</v>
      </c>
      <c r="BN39" s="401">
        <f t="shared" si="2"/>
        <v>52.499969273705389</v>
      </c>
      <c r="BO39" s="401">
        <f>BJ39*(1-'Assumptions-Output Override'!$D$11)</f>
        <v>0.14009201654290501</v>
      </c>
      <c r="BP39" s="401">
        <f>BK39*(1-'Assumptions-Output Override'!$D$11)</f>
        <v>6.8018135340077448</v>
      </c>
      <c r="BQ39" s="401">
        <f>BL39*(1-'Assumptions-Output Override'!$D$11)</f>
        <v>0.54037865134521978</v>
      </c>
      <c r="BR39" s="401">
        <f>BM39*(1-'Assumptions-Output Override'!$D$11)</f>
        <v>0</v>
      </c>
      <c r="BS39" s="352">
        <f t="shared" si="3"/>
        <v>7.4822842018958697</v>
      </c>
      <c r="BT39" s="352">
        <f t="shared" si="19"/>
        <v>0.84287339422435326</v>
      </c>
      <c r="BU39" s="352">
        <f t="shared" si="19"/>
        <v>40.923585810005271</v>
      </c>
      <c r="BV39" s="352">
        <f t="shared" si="19"/>
        <v>3.2512258675798975</v>
      </c>
      <c r="BW39" s="352">
        <f t="shared" si="19"/>
        <v>0</v>
      </c>
      <c r="BX39" s="352">
        <f t="shared" si="4"/>
        <v>45.017685071809524</v>
      </c>
      <c r="BY39" s="352">
        <f>BT$107*(1-'Assumptions-Output Override'!$D$12)</f>
        <v>22.753074310428271</v>
      </c>
      <c r="BZ39" s="352">
        <f>BU$107*(1-'Assumptions-Output Override'!$D$12)</f>
        <v>51.446038369839215</v>
      </c>
      <c r="CA39" s="352">
        <f>BV$107*(1-'Assumptions-Output Override'!$D$12)</f>
        <v>9.7401900534537411</v>
      </c>
      <c r="CB39" s="352">
        <f>BW$107*(1-'Assumptions-Output Override'!$D$12)</f>
        <v>1.7000814189516649</v>
      </c>
      <c r="CC39" s="352">
        <f t="shared" si="5"/>
        <v>85.639384152672903</v>
      </c>
      <c r="CD39" s="352">
        <f t="shared" si="20"/>
        <v>22.893166326971176</v>
      </c>
      <c r="CE39" s="352">
        <f t="shared" si="20"/>
        <v>58.247851903846957</v>
      </c>
      <c r="CF39" s="352">
        <f t="shared" si="20"/>
        <v>10.280568704798961</v>
      </c>
      <c r="CG39" s="352">
        <f t="shared" si="20"/>
        <v>1.7000814189516649</v>
      </c>
      <c r="CH39" s="352">
        <f t="shared" si="6"/>
        <v>93.121668354568769</v>
      </c>
      <c r="CJ39" s="352">
        <f t="shared" si="21"/>
        <v>93.121668354568769</v>
      </c>
      <c r="CK39" s="352">
        <f t="shared" si="22"/>
        <v>77.827795390046205</v>
      </c>
      <c r="CL39" s="352">
        <f t="shared" si="23"/>
        <v>15.293872964522564</v>
      </c>
      <c r="CN39" s="352">
        <f t="shared" si="24"/>
        <v>0.58181593298239487</v>
      </c>
      <c r="CO39" s="352">
        <f t="shared" si="24"/>
        <v>28.24860106178134</v>
      </c>
      <c r="CP39" s="352">
        <f t="shared" si="24"/>
        <v>2.2442457247369116</v>
      </c>
      <c r="CQ39" s="352">
        <f t="shared" si="24"/>
        <v>0</v>
      </c>
      <c r="CR39" s="352">
        <f t="shared" si="7"/>
        <v>31.074662719500644</v>
      </c>
      <c r="CT39" s="352">
        <f t="shared" si="32"/>
        <v>-0.40114947778486343</v>
      </c>
      <c r="CU39" s="352">
        <f t="shared" si="32"/>
        <v>-19.476798282231673</v>
      </c>
      <c r="CV39" s="352">
        <f t="shared" si="32"/>
        <v>-1.5473587941882059</v>
      </c>
      <c r="CW39" s="352">
        <f t="shared" si="32"/>
        <v>0</v>
      </c>
      <c r="CX39" s="352">
        <f t="shared" si="9"/>
        <v>-21.425306554204742</v>
      </c>
      <c r="CZ39" s="352">
        <f t="shared" si="25"/>
        <v>22.681594220922893</v>
      </c>
      <c r="DA39" s="352">
        <f t="shared" si="25"/>
        <v>-16.742045342897306</v>
      </c>
      <c r="DB39" s="352">
        <f t="shared" si="25"/>
        <v>7.6542426675452964</v>
      </c>
      <c r="DC39" s="352">
        <f t="shared" si="25"/>
        <v>1.7000814189516649</v>
      </c>
      <c r="DD39" s="352">
        <f t="shared" si="26"/>
        <v>15.293872964522549</v>
      </c>
      <c r="DF39" s="352">
        <f t="shared" si="27"/>
        <v>0.21157210604828469</v>
      </c>
      <c r="DG39" s="352">
        <f t="shared" si="27"/>
        <v>74.989897246744263</v>
      </c>
      <c r="DH39" s="352">
        <f t="shared" si="27"/>
        <v>2.6263260372536648</v>
      </c>
      <c r="DI39" s="352">
        <f t="shared" si="27"/>
        <v>0</v>
      </c>
      <c r="DJ39" s="352">
        <f t="shared" si="28"/>
        <v>77.827795390046205</v>
      </c>
    </row>
    <row r="40" spans="1:114" x14ac:dyDescent="0.2">
      <c r="A40">
        <v>35</v>
      </c>
      <c r="B40" s="397">
        <v>34308</v>
      </c>
      <c r="C40" s="398">
        <v>397997.79676138877</v>
      </c>
      <c r="D40" s="399">
        <v>0.48214983457700239</v>
      </c>
      <c r="E40" s="399">
        <v>30.066138497299065</v>
      </c>
      <c r="F40" s="399">
        <v>2.3212444528251921</v>
      </c>
      <c r="G40" s="399">
        <v>9.4642049751508936E-4</v>
      </c>
      <c r="H40" s="399">
        <v>32.87047920519877</v>
      </c>
      <c r="I40" s="400">
        <v>5.8634996597146656E-4</v>
      </c>
      <c r="J40" s="400">
        <v>9.7309143288883213E-3</v>
      </c>
      <c r="K40" s="400">
        <v>5.0251534462615584E-6</v>
      </c>
      <c r="L40" s="400">
        <v>0.18886691449101906</v>
      </c>
      <c r="M40" s="400">
        <v>0.2057005859484719</v>
      </c>
      <c r="N40" s="400">
        <v>0.13608015029409359</v>
      </c>
      <c r="O40" s="399">
        <f t="shared" si="30"/>
        <v>0.14658749149286665</v>
      </c>
      <c r="P40" s="399">
        <f t="shared" si="30"/>
        <v>0</v>
      </c>
      <c r="Q40" s="399">
        <f t="shared" si="30"/>
        <v>5.0251534462615582E-3</v>
      </c>
      <c r="R40" s="399">
        <f t="shared" si="30"/>
        <v>3.9213428322521713</v>
      </c>
      <c r="S40" s="399">
        <f t="shared" si="30"/>
        <v>6.1710175784541574</v>
      </c>
      <c r="T40" s="399">
        <f t="shared" si="30"/>
        <v>8.1648090176456165</v>
      </c>
      <c r="U40" s="399">
        <f t="shared" si="10"/>
        <v>18.408782073291071</v>
      </c>
      <c r="V40" s="400">
        <v>1.3657186367767025E-5</v>
      </c>
      <c r="W40" s="400">
        <v>1.3346795768499607E-3</v>
      </c>
      <c r="X40" s="400">
        <v>0</v>
      </c>
      <c r="Y40" s="400">
        <v>2.3402092630864717E-2</v>
      </c>
      <c r="Z40" s="400">
        <v>8.0439641275686768E-3</v>
      </c>
      <c r="AA40" s="400">
        <v>6.6301874569974755E-3</v>
      </c>
      <c r="AB40" s="352">
        <f t="shared" si="31"/>
        <v>3.4142965919417563E-3</v>
      </c>
      <c r="AC40" s="352">
        <f t="shared" si="31"/>
        <v>0</v>
      </c>
      <c r="AD40" s="352">
        <f t="shared" si="31"/>
        <v>0</v>
      </c>
      <c r="AE40" s="352">
        <f t="shared" si="31"/>
        <v>0.82956757485259014</v>
      </c>
      <c r="AF40" s="352">
        <f t="shared" si="31"/>
        <v>0.2413189238270603</v>
      </c>
      <c r="AG40" s="352">
        <f t="shared" si="31"/>
        <v>0.39781124741984852</v>
      </c>
      <c r="AH40" s="400">
        <f t="shared" si="11"/>
        <v>1.4721120426914407</v>
      </c>
      <c r="AJ40" s="352">
        <f>D40*('Assumptions-Output Override'!$D$10/'Winners-Losers Values PMPM'!$H$107)*(1+'Assumptions-Output Override'!$F$41)</f>
        <v>0.5754998261276959</v>
      </c>
      <c r="AK40" s="352">
        <f>E40*('Assumptions-Output Override'!$D$10/'Winners-Losers Values PMPM'!$H$107)*(1+'Assumptions-Output Override'!$F$37)</f>
        <v>49.482210217266939</v>
      </c>
      <c r="AL40" s="352">
        <f>F40*('Assumptions-Output Override'!$D$10/'Winners-Losers Values PMPM'!$H$107)*(1+'Assumptions-Output Override'!$F$38)</f>
        <v>3.8993331143748748</v>
      </c>
      <c r="AM40" s="352">
        <f>G40*('Shoppable Detail'!$X$21/'Shoppable Detail'!$H$21)*('Assumptions-Output Override'!$D$10/'Winners-Losers Values PMPM'!$H$107)*(1+'Assumptions-Output Override'!$F$39)</f>
        <v>1.622914169105384E-3</v>
      </c>
      <c r="AN40" s="352">
        <f t="shared" si="12"/>
        <v>53.958666071938616</v>
      </c>
      <c r="AO40" s="352">
        <v>0</v>
      </c>
      <c r="AP40" s="352">
        <f>U40*'Assumptions-Output Override'!$D$10/'Winners-Losers Values PMPM'!$H$107*(1+'Assumptions-Output Override'!$F$37)</f>
        <v>30.296781360076334</v>
      </c>
      <c r="AQ40" s="352">
        <f>AH40*'Assumptions-Output Override'!$D$10/'Winners-Losers Values PMPM'!$H$107*(1+'Assumptions-Output Override'!$F$38)</f>
        <v>2.4729214663928634</v>
      </c>
      <c r="AR40" s="352">
        <f>AM40*('Shoppable Detail'!$AA$23/'Shoppable Detail'!$Y$23)</f>
        <v>5.4226658451417257E-5</v>
      </c>
      <c r="AS40" s="352">
        <f t="shared" si="13"/>
        <v>32.769757053127648</v>
      </c>
      <c r="AT40" s="352">
        <f t="shared" si="14"/>
        <v>0.5754998261276959</v>
      </c>
      <c r="AU40" s="352">
        <f t="shared" si="14"/>
        <v>19.185428857190605</v>
      </c>
      <c r="AV40" s="352">
        <f t="shared" si="14"/>
        <v>1.4264116479820115</v>
      </c>
      <c r="AW40" s="352">
        <f t="shared" si="14"/>
        <v>1.5686875106539668E-3</v>
      </c>
      <c r="AX40" s="352">
        <f t="shared" si="15"/>
        <v>21.188909018810968</v>
      </c>
      <c r="AY40" s="352">
        <f>AT40*'Assumptions-Output Override'!$D$24</f>
        <v>0.17532943006456853</v>
      </c>
      <c r="AZ40" s="352">
        <f>$AU$107*'Assumptions-Output Override'!$D$21</f>
        <v>46.041131296780591</v>
      </c>
      <c r="BA40" s="352">
        <f>AV40*'Assumptions-Output Override'!$D$22</f>
        <v>0.21396174719730171</v>
      </c>
      <c r="BB40" s="352">
        <f>AW40*'Assumptions-Output Override'!$D$23</f>
        <v>2.3530312659809501E-4</v>
      </c>
      <c r="BC40" s="352">
        <f t="shared" si="16"/>
        <v>46.430657777169067</v>
      </c>
      <c r="BD40" s="352">
        <f t="shared" si="17"/>
        <v>0.17532943006456853</v>
      </c>
      <c r="BE40" s="352">
        <f t="shared" si="17"/>
        <v>76.337912656856929</v>
      </c>
      <c r="BF40" s="352">
        <f t="shared" si="17"/>
        <v>2.686883213590165</v>
      </c>
      <c r="BG40" s="352">
        <f t="shared" si="17"/>
        <v>2.8952978504951228E-4</v>
      </c>
      <c r="BH40" s="352">
        <f t="shared" si="18"/>
        <v>79.200414830296708</v>
      </c>
      <c r="BJ40" s="401">
        <f>D40*'Assumptions-Output Override'!$D$10/'Winners-Losers Values PMPM'!$H$107</f>
        <v>0.81458169728516117</v>
      </c>
      <c r="BK40" s="401">
        <f>E40*'Assumptions-Output Override'!$D$10/'Winners-Losers Values PMPM'!$H$107</f>
        <v>50.796089455111442</v>
      </c>
      <c r="BL40" s="401">
        <f>F40*'Assumptions-Output Override'!$D$10/'Winners-Losers Values PMPM'!$H$107</f>
        <v>3.9216922014605204</v>
      </c>
      <c r="BM40" s="401">
        <f>G40*'Assumptions-Output Override'!$D$10/'Winners-Losers Values PMPM'!$H$107</f>
        <v>1.5989569215297216E-3</v>
      </c>
      <c r="BN40" s="401">
        <f t="shared" si="2"/>
        <v>55.533962310778655</v>
      </c>
      <c r="BO40" s="401">
        <f>BJ40*(1-'Assumptions-Output Override'!$D$11)</f>
        <v>0.11609400632169382</v>
      </c>
      <c r="BP40" s="401">
        <f>BK40*(1-'Assumptions-Output Override'!$D$11)</f>
        <v>7.2394476207518119</v>
      </c>
      <c r="BQ40" s="401">
        <f>BL40*(1-'Assumptions-Output Override'!$D$11)</f>
        <v>0.55891871956547667</v>
      </c>
      <c r="BR40" s="401">
        <f>BM40*(1-'Assumptions-Output Override'!$D$11)</f>
        <v>2.2788299267569257E-4</v>
      </c>
      <c r="BS40" s="352">
        <f t="shared" si="3"/>
        <v>7.9146882296316585</v>
      </c>
      <c r="BT40" s="352">
        <f t="shared" si="19"/>
        <v>0.6984876909634673</v>
      </c>
      <c r="BU40" s="352">
        <f t="shared" si="19"/>
        <v>43.556641834359631</v>
      </c>
      <c r="BV40" s="352">
        <f t="shared" si="19"/>
        <v>3.3627734818950437</v>
      </c>
      <c r="BW40" s="352">
        <f t="shared" si="19"/>
        <v>1.3710739288540291E-3</v>
      </c>
      <c r="BX40" s="352">
        <f t="shared" si="4"/>
        <v>47.619274081146997</v>
      </c>
      <c r="BY40" s="352">
        <f>BT$107*(1-'Assumptions-Output Override'!$D$12)</f>
        <v>22.753074310428271</v>
      </c>
      <c r="BZ40" s="352">
        <f>BU$107*(1-'Assumptions-Output Override'!$D$12)</f>
        <v>51.446038369839215</v>
      </c>
      <c r="CA40" s="352">
        <f>BV$107*(1-'Assumptions-Output Override'!$D$12)</f>
        <v>9.7401900534537411</v>
      </c>
      <c r="CB40" s="352">
        <f>BW$107*(1-'Assumptions-Output Override'!$D$12)</f>
        <v>1.7000814189516649</v>
      </c>
      <c r="CC40" s="352">
        <f t="shared" si="5"/>
        <v>85.639384152672903</v>
      </c>
      <c r="CD40" s="352">
        <f t="shared" si="20"/>
        <v>22.869168316749967</v>
      </c>
      <c r="CE40" s="352">
        <f t="shared" si="20"/>
        <v>58.685485990591026</v>
      </c>
      <c r="CF40" s="352">
        <f t="shared" si="20"/>
        <v>10.299108773019217</v>
      </c>
      <c r="CG40" s="352">
        <f t="shared" si="20"/>
        <v>1.7003093019443405</v>
      </c>
      <c r="CH40" s="352">
        <f t="shared" si="6"/>
        <v>93.554072382304554</v>
      </c>
      <c r="CJ40" s="352">
        <f t="shared" si="21"/>
        <v>93.554072382304554</v>
      </c>
      <c r="CK40" s="352">
        <f t="shared" si="22"/>
        <v>79.200414830296708</v>
      </c>
      <c r="CL40" s="352">
        <f t="shared" si="23"/>
        <v>14.353657552007846</v>
      </c>
      <c r="CN40" s="352">
        <f t="shared" si="24"/>
        <v>0.48214983457700239</v>
      </c>
      <c r="CO40" s="352">
        <f t="shared" si="24"/>
        <v>30.066138497299065</v>
      </c>
      <c r="CP40" s="352">
        <f t="shared" si="24"/>
        <v>2.3212444528251921</v>
      </c>
      <c r="CQ40" s="352">
        <f t="shared" si="24"/>
        <v>9.4642049751508936E-4</v>
      </c>
      <c r="CR40" s="352">
        <f t="shared" si="7"/>
        <v>32.87047920519877</v>
      </c>
      <c r="CT40" s="352">
        <f t="shared" si="32"/>
        <v>-0.33243186270815878</v>
      </c>
      <c r="CU40" s="352">
        <f t="shared" si="32"/>
        <v>-20.729950957812378</v>
      </c>
      <c r="CV40" s="352">
        <f t="shared" si="32"/>
        <v>-1.6004477486353283</v>
      </c>
      <c r="CW40" s="352">
        <f t="shared" si="32"/>
        <v>-6.5253642401463222E-4</v>
      </c>
      <c r="CX40" s="352">
        <f t="shared" si="9"/>
        <v>-22.663483105579878</v>
      </c>
      <c r="CZ40" s="352">
        <f t="shared" si="25"/>
        <v>22.693838886685398</v>
      </c>
      <c r="DA40" s="352">
        <f t="shared" si="25"/>
        <v>-17.652426666265903</v>
      </c>
      <c r="DB40" s="352">
        <f t="shared" si="25"/>
        <v>7.612225559429052</v>
      </c>
      <c r="DC40" s="352">
        <f t="shared" si="25"/>
        <v>1.7000197721592909</v>
      </c>
      <c r="DD40" s="352">
        <f t="shared" si="26"/>
        <v>14.353657552007839</v>
      </c>
      <c r="DF40" s="352">
        <f t="shared" si="27"/>
        <v>0.17532943006456853</v>
      </c>
      <c r="DG40" s="352">
        <f t="shared" si="27"/>
        <v>76.337912656856929</v>
      </c>
      <c r="DH40" s="352">
        <f t="shared" si="27"/>
        <v>2.686883213590165</v>
      </c>
      <c r="DI40" s="352">
        <f t="shared" si="27"/>
        <v>2.8952978504951228E-4</v>
      </c>
      <c r="DJ40" s="352">
        <f t="shared" si="28"/>
        <v>79.200414830296708</v>
      </c>
    </row>
    <row r="41" spans="1:114" x14ac:dyDescent="0.2">
      <c r="A41">
        <v>36</v>
      </c>
      <c r="B41" s="397">
        <v>34308</v>
      </c>
      <c r="C41" s="398">
        <v>397997.79676138877</v>
      </c>
      <c r="D41" s="399">
        <v>0.54648495776667683</v>
      </c>
      <c r="E41" s="399">
        <v>31.718461068252545</v>
      </c>
      <c r="F41" s="399">
        <v>2.4994799600972968</v>
      </c>
      <c r="G41" s="399">
        <v>0</v>
      </c>
      <c r="H41" s="399">
        <v>34.764425986116521</v>
      </c>
      <c r="I41" s="400">
        <v>6.362520907349969E-4</v>
      </c>
      <c r="J41" s="400">
        <v>1.0702758208658071E-2</v>
      </c>
      <c r="K41" s="400">
        <v>2.5125767231307792E-6</v>
      </c>
      <c r="L41" s="400">
        <v>0.19721166970498538</v>
      </c>
      <c r="M41" s="400">
        <v>0.21534194585354202</v>
      </c>
      <c r="N41" s="400">
        <v>0.14056751181852845</v>
      </c>
      <c r="O41" s="399">
        <f t="shared" si="30"/>
        <v>0.15906302268374922</v>
      </c>
      <c r="P41" s="399">
        <f t="shared" si="30"/>
        <v>0</v>
      </c>
      <c r="Q41" s="399">
        <f t="shared" si="30"/>
        <v>2.5125767231307791E-3</v>
      </c>
      <c r="R41" s="399">
        <f t="shared" si="30"/>
        <v>4.0946005260804981</v>
      </c>
      <c r="S41" s="399">
        <f t="shared" si="30"/>
        <v>6.4602583756062604</v>
      </c>
      <c r="T41" s="399">
        <f t="shared" si="30"/>
        <v>8.4340507091117072</v>
      </c>
      <c r="U41" s="399">
        <f t="shared" si="10"/>
        <v>19.150485210205346</v>
      </c>
      <c r="V41" s="400">
        <v>3.1039059926743186E-5</v>
      </c>
      <c r="W41" s="400">
        <v>1.5060151876455817E-3</v>
      </c>
      <c r="X41" s="400">
        <v>0</v>
      </c>
      <c r="Y41" s="400">
        <v>2.5106160502717835E-2</v>
      </c>
      <c r="Z41" s="400">
        <v>8.5342180977859283E-3</v>
      </c>
      <c r="AA41" s="400">
        <v>7.1095870957708267E-3</v>
      </c>
      <c r="AB41" s="352">
        <f t="shared" si="31"/>
        <v>7.7597649816857966E-3</v>
      </c>
      <c r="AC41" s="352">
        <f t="shared" si="31"/>
        <v>0</v>
      </c>
      <c r="AD41" s="352">
        <f t="shared" si="31"/>
        <v>0</v>
      </c>
      <c r="AE41" s="352">
        <f t="shared" si="31"/>
        <v>0.88997411516227909</v>
      </c>
      <c r="AF41" s="352">
        <f t="shared" si="31"/>
        <v>0.25602654293357785</v>
      </c>
      <c r="AG41" s="352">
        <f t="shared" si="31"/>
        <v>0.42657522574624962</v>
      </c>
      <c r="AH41" s="400">
        <f t="shared" si="11"/>
        <v>1.5803356488237925</v>
      </c>
      <c r="AJ41" s="352">
        <f>D41*('Assumptions-Output Override'!$D$10/'Winners-Losers Values PMPM'!$H$107)*(1+'Assumptions-Output Override'!$F$41)</f>
        <v>0.65229100089195557</v>
      </c>
      <c r="AK41" s="352">
        <f>E41*('Assumptions-Output Override'!$D$10/'Winners-Losers Values PMPM'!$H$107)*(1+'Assumptions-Output Override'!$F$37)</f>
        <v>52.201567503870265</v>
      </c>
      <c r="AL41" s="352">
        <f>F41*('Assumptions-Output Override'!$D$10/'Winners-Losers Values PMPM'!$H$107)*(1+'Assumptions-Output Override'!$F$38)</f>
        <v>4.1987413110504281</v>
      </c>
      <c r="AM41" s="352">
        <f>G41*('Shoppable Detail'!$X$21/'Shoppable Detail'!$H$21)*('Assumptions-Output Override'!$D$10/'Winners-Losers Values PMPM'!$H$107)*(1+'Assumptions-Output Override'!$F$39)</f>
        <v>0</v>
      </c>
      <c r="AN41" s="352">
        <f t="shared" si="12"/>
        <v>57.052599815812648</v>
      </c>
      <c r="AO41" s="352">
        <v>0</v>
      </c>
      <c r="AP41" s="352">
        <f>U41*'Assumptions-Output Override'!$D$10/'Winners-Losers Values PMPM'!$H$107*(1+'Assumptions-Output Override'!$F$37)</f>
        <v>31.517460581749432</v>
      </c>
      <c r="AQ41" s="352">
        <f>AH41*'Assumptions-Output Override'!$D$10/'Winners-Losers Values PMPM'!$H$107*(1+'Assumptions-Output Override'!$F$38)</f>
        <v>2.6547204538434634</v>
      </c>
      <c r="AR41" s="352">
        <f>AM41*('Shoppable Detail'!$AA$23/'Shoppable Detail'!$Y$23)</f>
        <v>0</v>
      </c>
      <c r="AS41" s="352">
        <f t="shared" si="13"/>
        <v>34.172181035592899</v>
      </c>
      <c r="AT41" s="352">
        <f t="shared" si="14"/>
        <v>0.65229100089195557</v>
      </c>
      <c r="AU41" s="352">
        <f t="shared" si="14"/>
        <v>20.684106922120833</v>
      </c>
      <c r="AV41" s="352">
        <f t="shared" si="14"/>
        <v>1.5440208572069647</v>
      </c>
      <c r="AW41" s="352">
        <f t="shared" si="14"/>
        <v>0</v>
      </c>
      <c r="AX41" s="352">
        <f t="shared" si="15"/>
        <v>22.880418780219756</v>
      </c>
      <c r="AY41" s="352">
        <f>AT41*'Assumptions-Output Override'!$D$24</f>
        <v>0.19872431620380238</v>
      </c>
      <c r="AZ41" s="352">
        <f>$AU$107*'Assumptions-Output Override'!$D$21</f>
        <v>46.041131296780591</v>
      </c>
      <c r="BA41" s="352">
        <f>AV41*'Assumptions-Output Override'!$D$22</f>
        <v>0.2316031285810447</v>
      </c>
      <c r="BB41" s="352">
        <f>AW41*'Assumptions-Output Override'!$D$23</f>
        <v>0</v>
      </c>
      <c r="BC41" s="352">
        <f t="shared" si="16"/>
        <v>46.471458741565435</v>
      </c>
      <c r="BD41" s="352">
        <f t="shared" si="17"/>
        <v>0.19872431620380238</v>
      </c>
      <c r="BE41" s="352">
        <f t="shared" si="17"/>
        <v>77.558591878530024</v>
      </c>
      <c r="BF41" s="352">
        <f t="shared" si="17"/>
        <v>2.8863235824245081</v>
      </c>
      <c r="BG41" s="352">
        <f t="shared" si="17"/>
        <v>0</v>
      </c>
      <c r="BH41" s="352">
        <f t="shared" si="18"/>
        <v>80.643639777158342</v>
      </c>
      <c r="BJ41" s="401">
        <f>D41*'Assumptions-Output Override'!$D$10/'Winners-Losers Values PMPM'!$H$107</f>
        <v>0.92327449376588955</v>
      </c>
      <c r="BK41" s="401">
        <f>E41*'Assumptions-Output Override'!$D$10/'Winners-Losers Values PMPM'!$H$107</f>
        <v>53.587652632750384</v>
      </c>
      <c r="BL41" s="401">
        <f>F41*'Assumptions-Output Override'!$D$10/'Winners-Losers Values PMPM'!$H$107</f>
        <v>4.2228172286163792</v>
      </c>
      <c r="BM41" s="401">
        <f>G41*'Assumptions-Output Override'!$D$10/'Winners-Losers Values PMPM'!$H$107</f>
        <v>0</v>
      </c>
      <c r="BN41" s="401">
        <f t="shared" si="2"/>
        <v>58.73374435513265</v>
      </c>
      <c r="BO41" s="401">
        <f>BJ41*(1-'Assumptions-Output Override'!$D$11)</f>
        <v>0.13158488003492785</v>
      </c>
      <c r="BP41" s="401">
        <f>BK41*(1-'Assumptions-Output Override'!$D$11)</f>
        <v>7.6373005976506665</v>
      </c>
      <c r="BQ41" s="401">
        <f>BL41*(1-'Assumptions-Output Override'!$D$11)</f>
        <v>0.60183499293960629</v>
      </c>
      <c r="BR41" s="401">
        <f>BM41*(1-'Assumptions-Output Override'!$D$11)</f>
        <v>0</v>
      </c>
      <c r="BS41" s="352">
        <f t="shared" si="3"/>
        <v>8.3707204706252014</v>
      </c>
      <c r="BT41" s="352">
        <f t="shared" si="19"/>
        <v>0.79168961373096169</v>
      </c>
      <c r="BU41" s="352">
        <f t="shared" si="19"/>
        <v>45.950352035099719</v>
      </c>
      <c r="BV41" s="352">
        <f t="shared" si="19"/>
        <v>3.6209822356767729</v>
      </c>
      <c r="BW41" s="352">
        <f t="shared" si="19"/>
        <v>0</v>
      </c>
      <c r="BX41" s="352">
        <f t="shared" si="4"/>
        <v>50.363023884507449</v>
      </c>
      <c r="BY41" s="352">
        <f>BT$107*(1-'Assumptions-Output Override'!$D$12)</f>
        <v>22.753074310428271</v>
      </c>
      <c r="BZ41" s="352">
        <f>BU$107*(1-'Assumptions-Output Override'!$D$12)</f>
        <v>51.446038369839215</v>
      </c>
      <c r="CA41" s="352">
        <f>BV$107*(1-'Assumptions-Output Override'!$D$12)</f>
        <v>9.7401900534537411</v>
      </c>
      <c r="CB41" s="352">
        <f>BW$107*(1-'Assumptions-Output Override'!$D$12)</f>
        <v>1.7000814189516649</v>
      </c>
      <c r="CC41" s="352">
        <f t="shared" si="5"/>
        <v>85.639384152672903</v>
      </c>
      <c r="CD41" s="352">
        <f t="shared" si="20"/>
        <v>22.8846591904632</v>
      </c>
      <c r="CE41" s="352">
        <f t="shared" si="20"/>
        <v>59.08333896748988</v>
      </c>
      <c r="CF41" s="352">
        <f t="shared" si="20"/>
        <v>10.342025046393347</v>
      </c>
      <c r="CG41" s="352">
        <f t="shared" si="20"/>
        <v>1.7000814189516649</v>
      </c>
      <c r="CH41" s="352">
        <f t="shared" si="6"/>
        <v>94.010104623298091</v>
      </c>
      <c r="CJ41" s="352">
        <f t="shared" si="21"/>
        <v>94.010104623298091</v>
      </c>
      <c r="CK41" s="352">
        <f t="shared" si="22"/>
        <v>80.643639777158342</v>
      </c>
      <c r="CL41" s="352">
        <f t="shared" si="23"/>
        <v>13.366464846139749</v>
      </c>
      <c r="CN41" s="352">
        <f t="shared" si="24"/>
        <v>0.54648495776667683</v>
      </c>
      <c r="CO41" s="352">
        <f t="shared" si="24"/>
        <v>31.718461068252545</v>
      </c>
      <c r="CP41" s="352">
        <f t="shared" si="24"/>
        <v>2.4994799600972968</v>
      </c>
      <c r="CQ41" s="352">
        <f t="shared" si="24"/>
        <v>0</v>
      </c>
      <c r="CR41" s="352">
        <f t="shared" si="7"/>
        <v>34.764425986116521</v>
      </c>
      <c r="CT41" s="352">
        <f t="shared" si="32"/>
        <v>-0.37678953599921272</v>
      </c>
      <c r="CU41" s="352">
        <f t="shared" si="32"/>
        <v>-21.869191564497839</v>
      </c>
      <c r="CV41" s="352">
        <f t="shared" si="32"/>
        <v>-1.7233372685190824</v>
      </c>
      <c r="CW41" s="352">
        <f t="shared" si="32"/>
        <v>0</v>
      </c>
      <c r="CX41" s="352">
        <f t="shared" si="9"/>
        <v>-23.969318369016133</v>
      </c>
      <c r="CZ41" s="352">
        <f t="shared" si="25"/>
        <v>22.685934874259399</v>
      </c>
      <c r="DA41" s="352">
        <f t="shared" si="25"/>
        <v>-18.475252911040144</v>
      </c>
      <c r="DB41" s="352">
        <f t="shared" si="25"/>
        <v>7.4557014639688397</v>
      </c>
      <c r="DC41" s="352">
        <f t="shared" si="25"/>
        <v>1.7000814189516649</v>
      </c>
      <c r="DD41" s="352">
        <f t="shared" si="26"/>
        <v>13.36646484613976</v>
      </c>
      <c r="DF41" s="352">
        <f t="shared" si="27"/>
        <v>0.19872431620380238</v>
      </c>
      <c r="DG41" s="352">
        <f t="shared" si="27"/>
        <v>77.558591878530024</v>
      </c>
      <c r="DH41" s="352">
        <f t="shared" si="27"/>
        <v>2.8863235824245081</v>
      </c>
      <c r="DI41" s="352">
        <f t="shared" si="27"/>
        <v>0</v>
      </c>
      <c r="DJ41" s="352">
        <f t="shared" si="28"/>
        <v>80.643639777158342</v>
      </c>
    </row>
    <row r="42" spans="1:114" x14ac:dyDescent="0.2">
      <c r="A42">
        <v>37</v>
      </c>
      <c r="B42" s="397">
        <v>34308</v>
      </c>
      <c r="C42" s="398">
        <v>397997.79676138877</v>
      </c>
      <c r="D42" s="399">
        <v>0.5842772444671348</v>
      </c>
      <c r="E42" s="399">
        <v>33.39789989315949</v>
      </c>
      <c r="F42" s="399">
        <v>2.7341586468324115</v>
      </c>
      <c r="G42" s="399">
        <v>2.1196822820087921E-3</v>
      </c>
      <c r="H42" s="399">
        <v>36.718455466741048</v>
      </c>
      <c r="I42" s="400">
        <v>8.8576271455264091E-4</v>
      </c>
      <c r="J42" s="400">
        <v>1.1396397742871121E-2</v>
      </c>
      <c r="K42" s="400">
        <v>1.0050306892523117E-5</v>
      </c>
      <c r="L42" s="400">
        <v>0.20800483963354172</v>
      </c>
      <c r="M42" s="400">
        <v>0.22209288774785269</v>
      </c>
      <c r="N42" s="400">
        <v>0.14693041136372986</v>
      </c>
      <c r="O42" s="399">
        <f t="shared" si="30"/>
        <v>0.22144067863816022</v>
      </c>
      <c r="P42" s="399">
        <f t="shared" si="30"/>
        <v>0</v>
      </c>
      <c r="Q42" s="399">
        <f t="shared" si="30"/>
        <v>1.0050306892523116E-2</v>
      </c>
      <c r="R42" s="399">
        <f t="shared" si="30"/>
        <v>4.3186933464174171</v>
      </c>
      <c r="S42" s="399">
        <f t="shared" si="30"/>
        <v>6.6627866324355809</v>
      </c>
      <c r="T42" s="399">
        <f t="shared" si="30"/>
        <v>8.8158246818237913</v>
      </c>
      <c r="U42" s="399">
        <f t="shared" si="10"/>
        <v>20.028795646207474</v>
      </c>
      <c r="V42" s="400">
        <v>3.6005309515022192E-5</v>
      </c>
      <c r="W42" s="400">
        <v>1.6189973657789265E-3</v>
      </c>
      <c r="X42" s="400">
        <v>2.5125767231307792E-6</v>
      </c>
      <c r="Y42" s="400">
        <v>2.7893536512318965E-2</v>
      </c>
      <c r="Z42" s="400">
        <v>9.3329159865347417E-3</v>
      </c>
      <c r="AA42" s="400">
        <v>7.804264308182025E-3</v>
      </c>
      <c r="AB42" s="352">
        <f t="shared" si="31"/>
        <v>9.0013273787555477E-3</v>
      </c>
      <c r="AC42" s="352">
        <f t="shared" si="31"/>
        <v>0</v>
      </c>
      <c r="AD42" s="352">
        <f t="shared" si="31"/>
        <v>2.5125767231307791E-3</v>
      </c>
      <c r="AE42" s="352">
        <f t="shared" si="31"/>
        <v>0.98878223428908807</v>
      </c>
      <c r="AF42" s="352">
        <f t="shared" si="31"/>
        <v>0.27998747959604225</v>
      </c>
      <c r="AG42" s="352">
        <f t="shared" si="31"/>
        <v>0.46825585849092149</v>
      </c>
      <c r="AH42" s="400">
        <f t="shared" si="11"/>
        <v>1.7485394764779381</v>
      </c>
      <c r="AJ42" s="352">
        <f>D42*('Assumptions-Output Override'!$D$10/'Winners-Losers Values PMPM'!$H$107)*(1+'Assumptions-Output Override'!$F$41)</f>
        <v>0.69740032763094062</v>
      </c>
      <c r="AK42" s="352">
        <f>E42*('Assumptions-Output Override'!$D$10/'Winners-Losers Values PMPM'!$H$107)*(1+'Assumptions-Output Override'!$F$37)</f>
        <v>54.96555214355223</v>
      </c>
      <c r="AL42" s="352">
        <f>F42*('Assumptions-Output Override'!$D$10/'Winners-Losers Values PMPM'!$H$107)*(1+'Assumptions-Output Override'!$F$38)</f>
        <v>4.5929653546708575</v>
      </c>
      <c r="AM42" s="352">
        <f>G42*('Shoppable Detail'!$X$21/'Shoppable Detail'!$H$21)*('Assumptions-Output Override'!$D$10/'Winners-Losers Values PMPM'!$H$107)*(1+'Assumptions-Output Override'!$F$39)</f>
        <v>3.6348139315514525E-3</v>
      </c>
      <c r="AN42" s="352">
        <f t="shared" si="12"/>
        <v>60.259552639785582</v>
      </c>
      <c r="AO42" s="352">
        <v>0</v>
      </c>
      <c r="AP42" s="352">
        <f>U42*'Assumptions-Output Override'!$D$10/'Winners-Losers Values PMPM'!$H$107*(1+'Assumptions-Output Override'!$F$37)</f>
        <v>32.962965186013157</v>
      </c>
      <c r="AQ42" s="352">
        <f>AH42*'Assumptions-Output Override'!$D$10/'Winners-Losers Values PMPM'!$H$107*(1+'Assumptions-Output Override'!$F$38)</f>
        <v>2.9372769740488809</v>
      </c>
      <c r="AR42" s="352">
        <f>AM42*('Shoppable Detail'!$AA$23/'Shoppable Detail'!$Y$23)</f>
        <v>1.2145054701774238E-4</v>
      </c>
      <c r="AS42" s="352">
        <f t="shared" si="13"/>
        <v>35.900363610609055</v>
      </c>
      <c r="AT42" s="352">
        <f t="shared" si="14"/>
        <v>0.69740032763094062</v>
      </c>
      <c r="AU42" s="352">
        <f t="shared" si="14"/>
        <v>22.002586957539073</v>
      </c>
      <c r="AV42" s="352">
        <f t="shared" si="14"/>
        <v>1.6556883806219767</v>
      </c>
      <c r="AW42" s="352">
        <f t="shared" si="14"/>
        <v>3.5133633845337102E-3</v>
      </c>
      <c r="AX42" s="352">
        <f t="shared" si="15"/>
        <v>24.359189029176527</v>
      </c>
      <c r="AY42" s="352">
        <f>AT42*'Assumptions-Output Override'!$D$24</f>
        <v>0.21246713972637238</v>
      </c>
      <c r="AZ42" s="352">
        <f>$AU$107*'Assumptions-Output Override'!$D$21</f>
        <v>46.041131296780591</v>
      </c>
      <c r="BA42" s="352">
        <f>AV42*'Assumptions-Output Override'!$D$22</f>
        <v>0.24835325709329648</v>
      </c>
      <c r="BB42" s="352">
        <f>AW42*'Assumptions-Output Override'!$D$23</f>
        <v>5.2700450768005649E-4</v>
      </c>
      <c r="BC42" s="352">
        <f t="shared" si="16"/>
        <v>46.502478698107943</v>
      </c>
      <c r="BD42" s="352">
        <f t="shared" si="17"/>
        <v>0.21246713972637238</v>
      </c>
      <c r="BE42" s="352">
        <f t="shared" si="17"/>
        <v>79.004096482793756</v>
      </c>
      <c r="BF42" s="352">
        <f t="shared" si="17"/>
        <v>3.1856302311421771</v>
      </c>
      <c r="BG42" s="352">
        <f t="shared" si="17"/>
        <v>6.4845505469779885E-4</v>
      </c>
      <c r="BH42" s="352">
        <f t="shared" si="18"/>
        <v>82.402842308717013</v>
      </c>
      <c r="BJ42" s="401">
        <f>D42*'Assumptions-Output Override'!$D$10/'Winners-Losers Values PMPM'!$H$107</f>
        <v>0.98712374318387297</v>
      </c>
      <c r="BK42" s="401">
        <f>E42*'Assumptions-Output Override'!$D$10/'Winners-Losers Values PMPM'!$H$107</f>
        <v>56.425028133831908</v>
      </c>
      <c r="BL42" s="401">
        <f>F42*'Assumptions-Output Override'!$D$10/'Winners-Losers Values PMPM'!$H$107</f>
        <v>4.6193017843459367</v>
      </c>
      <c r="BM42" s="401">
        <f>G42*'Assumptions-Output Override'!$D$10/'Winners-Losers Values PMPM'!$H$107</f>
        <v>3.5811572817375879E-3</v>
      </c>
      <c r="BN42" s="401">
        <f t="shared" si="2"/>
        <v>62.035034818643453</v>
      </c>
      <c r="BO42" s="401">
        <f>BJ42*(1-'Assumptions-Output Override'!$D$11)</f>
        <v>0.1406846611744639</v>
      </c>
      <c r="BP42" s="401">
        <f>BK42*(1-'Assumptions-Output Override'!$D$11)</f>
        <v>8.0416827369221604</v>
      </c>
      <c r="BQ42" s="401">
        <f>BL42*(1-'Assumptions-Output Override'!$D$11)</f>
        <v>0.65834188558490925</v>
      </c>
      <c r="BR42" s="401">
        <f>BM42*(1-'Assumptions-Output Override'!$D$11)</f>
        <v>5.1038575687452651E-4</v>
      </c>
      <c r="BS42" s="352">
        <f t="shared" si="3"/>
        <v>8.8412196694384075</v>
      </c>
      <c r="BT42" s="352">
        <f t="shared" si="19"/>
        <v>0.84643908200940909</v>
      </c>
      <c r="BU42" s="352">
        <f t="shared" si="19"/>
        <v>48.383345396909746</v>
      </c>
      <c r="BV42" s="352">
        <f t="shared" si="19"/>
        <v>3.9609598987610273</v>
      </c>
      <c r="BW42" s="352">
        <f t="shared" si="19"/>
        <v>3.0707715248630614E-3</v>
      </c>
      <c r="BX42" s="352">
        <f t="shared" si="4"/>
        <v>53.193815149205044</v>
      </c>
      <c r="BY42" s="352">
        <f>BT$107*(1-'Assumptions-Output Override'!$D$12)</f>
        <v>22.753074310428271</v>
      </c>
      <c r="BZ42" s="352">
        <f>BU$107*(1-'Assumptions-Output Override'!$D$12)</f>
        <v>51.446038369839215</v>
      </c>
      <c r="CA42" s="352">
        <f>BV$107*(1-'Assumptions-Output Override'!$D$12)</f>
        <v>9.7401900534537411</v>
      </c>
      <c r="CB42" s="352">
        <f>BW$107*(1-'Assumptions-Output Override'!$D$12)</f>
        <v>1.7000814189516649</v>
      </c>
      <c r="CC42" s="352">
        <f t="shared" si="5"/>
        <v>85.639384152672903</v>
      </c>
      <c r="CD42" s="352">
        <f t="shared" si="20"/>
        <v>22.893758971602736</v>
      </c>
      <c r="CE42" s="352">
        <f t="shared" si="20"/>
        <v>59.487721106761377</v>
      </c>
      <c r="CF42" s="352">
        <f t="shared" si="20"/>
        <v>10.39853193903865</v>
      </c>
      <c r="CG42" s="352">
        <f t="shared" si="20"/>
        <v>1.7005918047085393</v>
      </c>
      <c r="CH42" s="352">
        <f t="shared" si="6"/>
        <v>94.480603822111306</v>
      </c>
      <c r="CJ42" s="352">
        <f t="shared" si="21"/>
        <v>94.480603822111306</v>
      </c>
      <c r="CK42" s="352">
        <f t="shared" si="22"/>
        <v>82.402842308717013</v>
      </c>
      <c r="CL42" s="352">
        <f t="shared" si="23"/>
        <v>12.077761513394293</v>
      </c>
      <c r="CN42" s="352">
        <f t="shared" si="24"/>
        <v>0.5842772444671348</v>
      </c>
      <c r="CO42" s="352">
        <f t="shared" si="24"/>
        <v>33.39789989315949</v>
      </c>
      <c r="CP42" s="352">
        <f t="shared" si="24"/>
        <v>2.7341586468324115</v>
      </c>
      <c r="CQ42" s="352">
        <f t="shared" si="24"/>
        <v>2.1196822820087921E-3</v>
      </c>
      <c r="CR42" s="352">
        <f t="shared" si="7"/>
        <v>36.718455466741048</v>
      </c>
      <c r="CT42" s="352">
        <f t="shared" si="32"/>
        <v>-0.40284649871673817</v>
      </c>
      <c r="CU42" s="352">
        <f t="shared" si="32"/>
        <v>-23.027128240672418</v>
      </c>
      <c r="CV42" s="352">
        <f t="shared" si="32"/>
        <v>-1.8851431375135252</v>
      </c>
      <c r="CW42" s="352">
        <f t="shared" si="32"/>
        <v>-1.4614749997287958E-3</v>
      </c>
      <c r="CX42" s="352">
        <f t="shared" si="9"/>
        <v>-25.316579351902412</v>
      </c>
      <c r="CZ42" s="352">
        <f t="shared" si="25"/>
        <v>22.681291831876365</v>
      </c>
      <c r="DA42" s="352">
        <f t="shared" si="25"/>
        <v>-19.516375376032379</v>
      </c>
      <c r="DB42" s="352">
        <f t="shared" si="25"/>
        <v>7.2129017078964726</v>
      </c>
      <c r="DC42" s="352">
        <f t="shared" si="25"/>
        <v>1.6999433496538414</v>
      </c>
      <c r="DD42" s="352">
        <f t="shared" si="26"/>
        <v>12.0777615133943</v>
      </c>
      <c r="DF42" s="352">
        <f t="shared" si="27"/>
        <v>0.21246713972637238</v>
      </c>
      <c r="DG42" s="352">
        <f t="shared" si="27"/>
        <v>79.004096482793756</v>
      </c>
      <c r="DH42" s="352">
        <f t="shared" si="27"/>
        <v>3.1856302311421771</v>
      </c>
      <c r="DI42" s="352">
        <f t="shared" si="27"/>
        <v>6.4845505469779885E-4</v>
      </c>
      <c r="DJ42" s="352">
        <f t="shared" si="28"/>
        <v>82.402842308717013</v>
      </c>
    </row>
    <row r="43" spans="1:114" x14ac:dyDescent="0.2">
      <c r="A43">
        <v>38</v>
      </c>
      <c r="B43" s="397">
        <v>34308</v>
      </c>
      <c r="C43" s="398">
        <v>397997.79676138877</v>
      </c>
      <c r="D43" s="399">
        <v>0.6415771863915104</v>
      </c>
      <c r="E43" s="399">
        <v>35.180046046136667</v>
      </c>
      <c r="F43" s="399">
        <v>2.9073881213918762</v>
      </c>
      <c r="G43" s="399">
        <v>0</v>
      </c>
      <c r="H43" s="399">
        <v>38.72901135392005</v>
      </c>
      <c r="I43" s="400">
        <v>7.7847314631105215E-4</v>
      </c>
      <c r="J43" s="400">
        <v>1.2784924364416261E-2</v>
      </c>
      <c r="K43" s="400">
        <v>7.5377301693923375E-6</v>
      </c>
      <c r="L43" s="400">
        <v>0.2111525246898765</v>
      </c>
      <c r="M43" s="400">
        <v>0.23051042178261852</v>
      </c>
      <c r="N43" s="400">
        <v>0.15075942753517149</v>
      </c>
      <c r="O43" s="399">
        <f t="shared" si="30"/>
        <v>0.19461828657776303</v>
      </c>
      <c r="P43" s="399">
        <f t="shared" si="30"/>
        <v>0</v>
      </c>
      <c r="Q43" s="399">
        <f t="shared" si="30"/>
        <v>7.5377301693923373E-3</v>
      </c>
      <c r="R43" s="399">
        <f t="shared" si="30"/>
        <v>4.3840470494050967</v>
      </c>
      <c r="S43" s="399">
        <f t="shared" si="30"/>
        <v>6.9153126534785558</v>
      </c>
      <c r="T43" s="399">
        <f t="shared" si="30"/>
        <v>9.0455656521102892</v>
      </c>
      <c r="U43" s="399">
        <f t="shared" si="10"/>
        <v>20.547081371741097</v>
      </c>
      <c r="V43" s="400">
        <v>1.8623435956045936E-5</v>
      </c>
      <c r="W43" s="400">
        <v>1.7506029798683171E-3</v>
      </c>
      <c r="X43" s="400">
        <v>0</v>
      </c>
      <c r="Y43" s="400">
        <v>2.7562830884061151E-2</v>
      </c>
      <c r="Z43" s="400">
        <v>9.8693008653887495E-3</v>
      </c>
      <c r="AA43" s="400">
        <v>7.9146166778619291E-3</v>
      </c>
      <c r="AB43" s="352">
        <f t="shared" si="31"/>
        <v>4.6558589890114844E-3</v>
      </c>
      <c r="AC43" s="352">
        <f t="shared" si="31"/>
        <v>0</v>
      </c>
      <c r="AD43" s="352">
        <f t="shared" si="31"/>
        <v>0</v>
      </c>
      <c r="AE43" s="352">
        <f t="shared" si="31"/>
        <v>0.97705923710454956</v>
      </c>
      <c r="AF43" s="352">
        <f t="shared" si="31"/>
        <v>0.29607902596166247</v>
      </c>
      <c r="AG43" s="352">
        <f t="shared" si="31"/>
        <v>0.47487700067171573</v>
      </c>
      <c r="AH43" s="400">
        <f t="shared" si="11"/>
        <v>1.7526711227269391</v>
      </c>
      <c r="AJ43" s="352">
        <f>D43*('Assumptions-Output Override'!$D$10/'Winners-Losers Values PMPM'!$H$107)*(1+'Assumptions-Output Override'!$F$41)</f>
        <v>0.76579422564717803</v>
      </c>
      <c r="AK43" s="352">
        <f>E43*('Assumptions-Output Override'!$D$10/'Winners-Losers Values PMPM'!$H$107)*(1+'Assumptions-Output Override'!$F$37)</f>
        <v>57.898570315720633</v>
      </c>
      <c r="AL43" s="352">
        <f>F43*('Assumptions-Output Override'!$D$10/'Winners-Losers Values PMPM'!$H$107)*(1+'Assumptions-Output Override'!$F$38)</f>
        <v>4.8839641875225004</v>
      </c>
      <c r="AM43" s="352">
        <f>G43*('Shoppable Detail'!$X$21/'Shoppable Detail'!$H$21)*('Assumptions-Output Override'!$D$10/'Winners-Losers Values PMPM'!$H$107)*(1+'Assumptions-Output Override'!$F$39)</f>
        <v>0</v>
      </c>
      <c r="AN43" s="352">
        <f t="shared" si="12"/>
        <v>63.548328728890311</v>
      </c>
      <c r="AO43" s="352">
        <v>0</v>
      </c>
      <c r="AP43" s="352">
        <f>U43*'Assumptions-Output Override'!$D$10/'Winners-Losers Values PMPM'!$H$107*(1+'Assumptions-Output Override'!$F$37)</f>
        <v>33.815948791665313</v>
      </c>
      <c r="AQ43" s="352">
        <f>AH43*'Assumptions-Output Override'!$D$10/'Winners-Losers Values PMPM'!$H$107*(1+'Assumptions-Output Override'!$F$38)</f>
        <v>2.9442175033050759</v>
      </c>
      <c r="AR43" s="352">
        <f>AM43*('Shoppable Detail'!$AA$23/'Shoppable Detail'!$Y$23)</f>
        <v>0</v>
      </c>
      <c r="AS43" s="352">
        <f t="shared" si="13"/>
        <v>36.760166294970389</v>
      </c>
      <c r="AT43" s="352">
        <f t="shared" si="14"/>
        <v>0.76579422564717803</v>
      </c>
      <c r="AU43" s="352">
        <f t="shared" si="14"/>
        <v>24.08262152405532</v>
      </c>
      <c r="AV43" s="352">
        <f t="shared" si="14"/>
        <v>1.9397466842174245</v>
      </c>
      <c r="AW43" s="352">
        <f t="shared" si="14"/>
        <v>0</v>
      </c>
      <c r="AX43" s="352">
        <f t="shared" si="15"/>
        <v>26.788162433919922</v>
      </c>
      <c r="AY43" s="352">
        <f>AT43*'Assumptions-Output Override'!$D$24</f>
        <v>0.23330374577674567</v>
      </c>
      <c r="AZ43" s="352">
        <f>$AU$107*'Assumptions-Output Override'!$D$21</f>
        <v>46.041131296780591</v>
      </c>
      <c r="BA43" s="352">
        <f>AV43*'Assumptions-Output Override'!$D$22</f>
        <v>0.29096200263261368</v>
      </c>
      <c r="BB43" s="352">
        <f>AW43*'Assumptions-Output Override'!$D$23</f>
        <v>0</v>
      </c>
      <c r="BC43" s="352">
        <f t="shared" si="16"/>
        <v>46.565397045189947</v>
      </c>
      <c r="BD43" s="352">
        <f t="shared" si="17"/>
        <v>0.23330374577674567</v>
      </c>
      <c r="BE43" s="352">
        <f t="shared" si="17"/>
        <v>79.857080088445912</v>
      </c>
      <c r="BF43" s="352">
        <f t="shared" si="17"/>
        <v>3.2351795059376895</v>
      </c>
      <c r="BG43" s="352">
        <f t="shared" si="17"/>
        <v>0</v>
      </c>
      <c r="BH43" s="352">
        <f t="shared" si="18"/>
        <v>83.325563340160357</v>
      </c>
      <c r="BJ43" s="401">
        <f>D43*'Assumptions-Output Override'!$D$10/'Winners-Losers Values PMPM'!$H$107</f>
        <v>1.0839307533699247</v>
      </c>
      <c r="BK43" s="401">
        <f>E43*'Assumptions-Output Override'!$D$10/'Winners-Losers Values PMPM'!$H$107</f>
        <v>59.435925440010543</v>
      </c>
      <c r="BL43" s="401">
        <f>F43*'Assumptions-Output Override'!$D$10/'Winners-Losers Values PMPM'!$H$107</f>
        <v>4.9119692277149944</v>
      </c>
      <c r="BM43" s="401">
        <f>G43*'Assumptions-Output Override'!$D$10/'Winners-Losers Values PMPM'!$H$107</f>
        <v>0</v>
      </c>
      <c r="BN43" s="401">
        <f t="shared" si="2"/>
        <v>65.431825421095468</v>
      </c>
      <c r="BO43" s="401">
        <f>BJ43*(1-'Assumptions-Output Override'!$D$11)</f>
        <v>0.15448157521019557</v>
      </c>
      <c r="BP43" s="401">
        <f>BK43*(1-'Assumptions-Output Override'!$D$11)</f>
        <v>8.4707951661142769</v>
      </c>
      <c r="BQ43" s="401">
        <f>BL43*(1-'Assumptions-Output Override'!$D$11)</f>
        <v>0.70005278595730858</v>
      </c>
      <c r="BR43" s="401">
        <f>BM43*(1-'Assumptions-Output Override'!$D$11)</f>
        <v>0</v>
      </c>
      <c r="BS43" s="352">
        <f t="shared" si="3"/>
        <v>9.3253295272817827</v>
      </c>
      <c r="BT43" s="352">
        <f t="shared" si="19"/>
        <v>0.92944917815972916</v>
      </c>
      <c r="BU43" s="352">
        <f t="shared" si="19"/>
        <v>50.965130273896264</v>
      </c>
      <c r="BV43" s="352">
        <f t="shared" si="19"/>
        <v>4.211916441757686</v>
      </c>
      <c r="BW43" s="352">
        <f t="shared" si="19"/>
        <v>0</v>
      </c>
      <c r="BX43" s="352">
        <f t="shared" si="4"/>
        <v>56.10649589381368</v>
      </c>
      <c r="BY43" s="352">
        <f>BT$107*(1-'Assumptions-Output Override'!$D$12)</f>
        <v>22.753074310428271</v>
      </c>
      <c r="BZ43" s="352">
        <f>BU$107*(1-'Assumptions-Output Override'!$D$12)</f>
        <v>51.446038369839215</v>
      </c>
      <c r="CA43" s="352">
        <f>BV$107*(1-'Assumptions-Output Override'!$D$12)</f>
        <v>9.7401900534537411</v>
      </c>
      <c r="CB43" s="352">
        <f>BW$107*(1-'Assumptions-Output Override'!$D$12)</f>
        <v>1.7000814189516649</v>
      </c>
      <c r="CC43" s="352">
        <f t="shared" si="5"/>
        <v>85.639384152672903</v>
      </c>
      <c r="CD43" s="352">
        <f t="shared" si="20"/>
        <v>22.907555885638466</v>
      </c>
      <c r="CE43" s="352">
        <f t="shared" si="20"/>
        <v>59.916833535953494</v>
      </c>
      <c r="CF43" s="352">
        <f t="shared" si="20"/>
        <v>10.44024283941105</v>
      </c>
      <c r="CG43" s="352">
        <f t="shared" si="20"/>
        <v>1.7000814189516649</v>
      </c>
      <c r="CH43" s="352">
        <f t="shared" si="6"/>
        <v>94.964713679954684</v>
      </c>
      <c r="CJ43" s="352">
        <f t="shared" si="21"/>
        <v>94.964713679954684</v>
      </c>
      <c r="CK43" s="352">
        <f t="shared" si="22"/>
        <v>83.325563340160357</v>
      </c>
      <c r="CL43" s="352">
        <f t="shared" si="23"/>
        <v>11.639150339794327</v>
      </c>
      <c r="CN43" s="352">
        <f t="shared" si="24"/>
        <v>0.6415771863915104</v>
      </c>
      <c r="CO43" s="352">
        <f t="shared" si="24"/>
        <v>35.180046046136667</v>
      </c>
      <c r="CP43" s="352">
        <f t="shared" si="24"/>
        <v>2.9073881213918762</v>
      </c>
      <c r="CQ43" s="352">
        <f t="shared" si="24"/>
        <v>0</v>
      </c>
      <c r="CR43" s="352">
        <f t="shared" si="7"/>
        <v>38.72901135392005</v>
      </c>
      <c r="CT43" s="352">
        <f t="shared" si="32"/>
        <v>-0.44235356697841433</v>
      </c>
      <c r="CU43" s="352">
        <f t="shared" si="32"/>
        <v>-24.255879393873876</v>
      </c>
      <c r="CV43" s="352">
        <f t="shared" si="32"/>
        <v>-2.0045811063231183</v>
      </c>
      <c r="CW43" s="352">
        <f t="shared" si="32"/>
        <v>0</v>
      </c>
      <c r="CX43" s="352">
        <f t="shared" si="9"/>
        <v>-26.70281406717541</v>
      </c>
      <c r="CZ43" s="352">
        <f t="shared" si="25"/>
        <v>22.674252139861721</v>
      </c>
      <c r="DA43" s="352">
        <f t="shared" si="25"/>
        <v>-19.940246552492418</v>
      </c>
      <c r="DB43" s="352">
        <f t="shared" si="25"/>
        <v>7.2050633334733609</v>
      </c>
      <c r="DC43" s="352">
        <f t="shared" si="25"/>
        <v>1.7000814189516649</v>
      </c>
      <c r="DD43" s="352">
        <f t="shared" si="26"/>
        <v>11.63915033979433</v>
      </c>
      <c r="DF43" s="352">
        <f t="shared" si="27"/>
        <v>0.23330374577674567</v>
      </c>
      <c r="DG43" s="352">
        <f t="shared" si="27"/>
        <v>79.857080088445912</v>
      </c>
      <c r="DH43" s="352">
        <f t="shared" si="27"/>
        <v>3.2351795059376895</v>
      </c>
      <c r="DI43" s="352">
        <f t="shared" si="27"/>
        <v>0</v>
      </c>
      <c r="DJ43" s="352">
        <f t="shared" si="28"/>
        <v>83.325563340160357</v>
      </c>
    </row>
    <row r="44" spans="1:114" x14ac:dyDescent="0.2">
      <c r="A44">
        <v>39</v>
      </c>
      <c r="B44" s="397">
        <v>34308</v>
      </c>
      <c r="C44" s="398">
        <v>397997.79676138877</v>
      </c>
      <c r="D44" s="399">
        <v>0.81062167996190049</v>
      </c>
      <c r="E44" s="399">
        <v>36.813740631933882</v>
      </c>
      <c r="F44" s="399">
        <v>3.1845435895827778</v>
      </c>
      <c r="G44" s="399">
        <v>3.61143922116795E-3</v>
      </c>
      <c r="H44" s="399">
        <v>40.812517340699728</v>
      </c>
      <c r="I44" s="400">
        <v>9.942998359133157E-4</v>
      </c>
      <c r="J44" s="400">
        <v>1.299825594778041E-2</v>
      </c>
      <c r="K44" s="400">
        <v>7.5377301693923375E-6</v>
      </c>
      <c r="L44" s="400">
        <v>0.22382655750440605</v>
      </c>
      <c r="M44" s="400">
        <v>0.23757312419673549</v>
      </c>
      <c r="N44" s="400">
        <v>0.15491347063153191</v>
      </c>
      <c r="O44" s="399">
        <f t="shared" si="30"/>
        <v>0.24857495897832893</v>
      </c>
      <c r="P44" s="399">
        <f t="shared" si="30"/>
        <v>0</v>
      </c>
      <c r="Q44" s="399">
        <f t="shared" si="30"/>
        <v>7.5377301693923373E-3</v>
      </c>
      <c r="R44" s="399">
        <f t="shared" si="30"/>
        <v>4.6471912208811847</v>
      </c>
      <c r="S44" s="399">
        <f t="shared" si="30"/>
        <v>7.1271937259020648</v>
      </c>
      <c r="T44" s="399">
        <f t="shared" si="30"/>
        <v>9.2948082378919139</v>
      </c>
      <c r="U44" s="399">
        <f t="shared" si="10"/>
        <v>21.325305873822884</v>
      </c>
      <c r="V44" s="400">
        <v>5.2145620676928598E-5</v>
      </c>
      <c r="W44" s="400">
        <v>1.9219385906639379E-3</v>
      </c>
      <c r="X44" s="400">
        <v>7.5377301693923375E-6</v>
      </c>
      <c r="Y44" s="400">
        <v>3.1064355260331765E-2</v>
      </c>
      <c r="Z44" s="400">
        <v>1.0844381640101267E-2</v>
      </c>
      <c r="AA44" s="400">
        <v>8.422056672865396E-3</v>
      </c>
      <c r="AB44" s="352">
        <f t="shared" si="31"/>
        <v>1.303640516923215E-2</v>
      </c>
      <c r="AC44" s="352">
        <f t="shared" si="31"/>
        <v>0</v>
      </c>
      <c r="AD44" s="352">
        <f t="shared" si="31"/>
        <v>7.5377301693923373E-3</v>
      </c>
      <c r="AE44" s="352">
        <f t="shared" si="31"/>
        <v>1.1011827986564342</v>
      </c>
      <c r="AF44" s="352">
        <f t="shared" si="31"/>
        <v>0.32533144920303803</v>
      </c>
      <c r="AG44" s="352">
        <f t="shared" si="31"/>
        <v>0.5053234003719238</v>
      </c>
      <c r="AH44" s="400">
        <f t="shared" si="11"/>
        <v>1.9524117835700205</v>
      </c>
      <c r="AJ44" s="352">
        <f>D44*('Assumptions-Output Override'!$D$10/'Winners-Losers Values PMPM'!$H$107)*(1+'Assumptions-Output Override'!$F$41)</f>
        <v>0.96756776092787267</v>
      </c>
      <c r="AK44" s="352">
        <f>E44*('Assumptions-Output Override'!$D$10/'Winners-Losers Values PMPM'!$H$107)*(1+'Assumptions-Output Override'!$F$37)</f>
        <v>60.587270061199774</v>
      </c>
      <c r="AL44" s="352">
        <f>F44*('Assumptions-Output Override'!$D$10/'Winners-Losers Values PMPM'!$H$107)*(1+'Assumptions-Output Override'!$F$38)</f>
        <v>5.3495426808309103</v>
      </c>
      <c r="AM44" s="352">
        <f>G44*('Shoppable Detail'!$X$21/'Shoppable Detail'!$H$21)*('Assumptions-Output Override'!$D$10/'Winners-Losers Values PMPM'!$H$107)*(1+'Assumptions-Output Override'!$F$39)</f>
        <v>6.1928665939559625E-3</v>
      </c>
      <c r="AN44" s="352">
        <f t="shared" si="12"/>
        <v>66.910573369552509</v>
      </c>
      <c r="AO44" s="352">
        <v>0</v>
      </c>
      <c r="AP44" s="352">
        <f>U44*'Assumptions-Output Override'!$D$10/'Winners-Losers Values PMPM'!$H$107*(1+'Assumptions-Output Override'!$F$37)</f>
        <v>35.096734098088959</v>
      </c>
      <c r="AQ44" s="352">
        <f>AH44*'Assumptions-Output Override'!$D$10/'Winners-Losers Values PMPM'!$H$107*(1+'Assumptions-Output Override'!$F$38)</f>
        <v>3.2797510453086338</v>
      </c>
      <c r="AR44" s="352">
        <f>AM44*('Shoppable Detail'!$AA$23/'Shoppable Detail'!$Y$23)</f>
        <v>2.0692311892917813E-4</v>
      </c>
      <c r="AS44" s="352">
        <f t="shared" si="13"/>
        <v>38.376692066516526</v>
      </c>
      <c r="AT44" s="352">
        <f t="shared" si="14"/>
        <v>0.96756776092787267</v>
      </c>
      <c r="AU44" s="352">
        <f t="shared" si="14"/>
        <v>25.490535963110815</v>
      </c>
      <c r="AV44" s="352">
        <f t="shared" si="14"/>
        <v>2.0697916355222765</v>
      </c>
      <c r="AW44" s="352">
        <f t="shared" si="14"/>
        <v>5.985943475026784E-3</v>
      </c>
      <c r="AX44" s="352">
        <f t="shared" si="15"/>
        <v>28.53388130303599</v>
      </c>
      <c r="AY44" s="352">
        <f>AT44*'Assumptions-Output Override'!$D$24</f>
        <v>0.29477524817651812</v>
      </c>
      <c r="AZ44" s="352">
        <f>$AU$107*'Assumptions-Output Override'!$D$21</f>
        <v>46.041131296780591</v>
      </c>
      <c r="BA44" s="352">
        <f>AV44*'Assumptions-Output Override'!$D$22</f>
        <v>0.31046874532834146</v>
      </c>
      <c r="BB44" s="352">
        <f>AW44*'Assumptions-Output Override'!$D$23</f>
        <v>8.9789152125401754E-4</v>
      </c>
      <c r="BC44" s="352">
        <f t="shared" si="16"/>
        <v>46.64727318180671</v>
      </c>
      <c r="BD44" s="352">
        <f t="shared" si="17"/>
        <v>0.29477524817651812</v>
      </c>
      <c r="BE44" s="352">
        <f t="shared" si="17"/>
        <v>81.13786539486955</v>
      </c>
      <c r="BF44" s="352">
        <f t="shared" si="17"/>
        <v>3.5902197906369753</v>
      </c>
      <c r="BG44" s="352">
        <f t="shared" si="17"/>
        <v>1.1048146401831957E-3</v>
      </c>
      <c r="BH44" s="352">
        <f t="shared" si="18"/>
        <v>85.023965248323236</v>
      </c>
      <c r="BJ44" s="401">
        <f>D44*'Assumptions-Output Override'!$D$10/'Winners-Losers Values PMPM'!$H$107</f>
        <v>1.3695277620468762</v>
      </c>
      <c r="BK44" s="401">
        <f>E44*'Assumptions-Output Override'!$D$10/'Winners-Losers Values PMPM'!$H$107</f>
        <v>62.196017040398182</v>
      </c>
      <c r="BL44" s="401">
        <f>F44*'Assumptions-Output Override'!$D$10/'Winners-Losers Values PMPM'!$H$107</f>
        <v>5.3802173852382182</v>
      </c>
      <c r="BM44" s="401">
        <f>G44*'Assumptions-Output Override'!$D$10/'Winners-Losers Values PMPM'!$H$107</f>
        <v>6.1014483039325048E-3</v>
      </c>
      <c r="BN44" s="401">
        <f t="shared" si="2"/>
        <v>68.951863635987209</v>
      </c>
      <c r="BO44" s="401">
        <f>BJ44*(1-'Assumptions-Output Override'!$D$11)</f>
        <v>0.19518479876812911</v>
      </c>
      <c r="BP44" s="401">
        <f>BK44*(1-'Assumptions-Output Override'!$D$11)</f>
        <v>8.8641628206684935</v>
      </c>
      <c r="BQ44" s="401">
        <f>BL44*(1-'Assumptions-Output Override'!$D$11)</f>
        <v>0.76678741152132068</v>
      </c>
      <c r="BR44" s="401">
        <f>BM44*(1-'Assumptions-Output Override'!$D$11)</f>
        <v>8.6957708518248071E-4</v>
      </c>
      <c r="BS44" s="352">
        <f t="shared" si="3"/>
        <v>9.8270046080431257</v>
      </c>
      <c r="BT44" s="352">
        <f t="shared" si="19"/>
        <v>1.1743429632787472</v>
      </c>
      <c r="BU44" s="352">
        <f t="shared" si="19"/>
        <v>53.331854219729692</v>
      </c>
      <c r="BV44" s="352">
        <f t="shared" si="19"/>
        <v>4.6134299737168973</v>
      </c>
      <c r="BW44" s="352">
        <f t="shared" si="19"/>
        <v>5.2318712187500241E-3</v>
      </c>
      <c r="BX44" s="352">
        <f t="shared" si="4"/>
        <v>59.124859027944083</v>
      </c>
      <c r="BY44" s="352">
        <f>BT$107*(1-'Assumptions-Output Override'!$D$12)</f>
        <v>22.753074310428271</v>
      </c>
      <c r="BZ44" s="352">
        <f>BU$107*(1-'Assumptions-Output Override'!$D$12)</f>
        <v>51.446038369839215</v>
      </c>
      <c r="CA44" s="352">
        <f>BV$107*(1-'Assumptions-Output Override'!$D$12)</f>
        <v>9.7401900534537411</v>
      </c>
      <c r="CB44" s="352">
        <f>BW$107*(1-'Assumptions-Output Override'!$D$12)</f>
        <v>1.7000814189516649</v>
      </c>
      <c r="CC44" s="352">
        <f t="shared" si="5"/>
        <v>85.639384152672903</v>
      </c>
      <c r="CD44" s="352">
        <f t="shared" si="20"/>
        <v>22.9482591091964</v>
      </c>
      <c r="CE44" s="352">
        <f t="shared" si="20"/>
        <v>60.310201190507712</v>
      </c>
      <c r="CF44" s="352">
        <f t="shared" si="20"/>
        <v>10.506977464975062</v>
      </c>
      <c r="CG44" s="352">
        <f t="shared" si="20"/>
        <v>1.7009509960368474</v>
      </c>
      <c r="CH44" s="352">
        <f t="shared" si="6"/>
        <v>95.466388760716029</v>
      </c>
      <c r="CJ44" s="352">
        <f t="shared" si="21"/>
        <v>95.466388760716029</v>
      </c>
      <c r="CK44" s="352">
        <f t="shared" si="22"/>
        <v>85.023965248323236</v>
      </c>
      <c r="CL44" s="352">
        <f t="shared" si="23"/>
        <v>10.442423512392793</v>
      </c>
      <c r="CN44" s="352">
        <f t="shared" si="24"/>
        <v>0.81062167996190049</v>
      </c>
      <c r="CO44" s="352">
        <f t="shared" si="24"/>
        <v>36.813740631933882</v>
      </c>
      <c r="CP44" s="352">
        <f t="shared" si="24"/>
        <v>3.1845435895827778</v>
      </c>
      <c r="CQ44" s="352">
        <f t="shared" si="24"/>
        <v>3.61143922116795E-3</v>
      </c>
      <c r="CR44" s="352">
        <f t="shared" si="7"/>
        <v>40.812517340699728</v>
      </c>
      <c r="CT44" s="352">
        <f t="shared" si="32"/>
        <v>-0.55890608208497572</v>
      </c>
      <c r="CU44" s="352">
        <f t="shared" si="32"/>
        <v>-25.3822764084643</v>
      </c>
      <c r="CV44" s="352">
        <f t="shared" si="32"/>
        <v>-2.1956737956554404</v>
      </c>
      <c r="CW44" s="352">
        <f t="shared" si="32"/>
        <v>-2.4900090827645548E-3</v>
      </c>
      <c r="CX44" s="352">
        <f t="shared" si="9"/>
        <v>-28.139346295287481</v>
      </c>
      <c r="CZ44" s="352">
        <f t="shared" si="25"/>
        <v>22.653483861019883</v>
      </c>
      <c r="DA44" s="352">
        <f t="shared" si="25"/>
        <v>-20.827664204361838</v>
      </c>
      <c r="DB44" s="352">
        <f t="shared" si="25"/>
        <v>6.9167576743380863</v>
      </c>
      <c r="DC44" s="352">
        <f t="shared" si="25"/>
        <v>1.6998461813966641</v>
      </c>
      <c r="DD44" s="352">
        <f t="shared" si="26"/>
        <v>10.442423512392795</v>
      </c>
      <c r="DF44" s="352">
        <f t="shared" si="27"/>
        <v>0.29477524817651812</v>
      </c>
      <c r="DG44" s="352">
        <f t="shared" si="27"/>
        <v>81.13786539486955</v>
      </c>
      <c r="DH44" s="352">
        <f t="shared" si="27"/>
        <v>3.5902197906369753</v>
      </c>
      <c r="DI44" s="352">
        <f t="shared" si="27"/>
        <v>1.1048146401831957E-3</v>
      </c>
      <c r="DJ44" s="352">
        <f t="shared" si="28"/>
        <v>85.023965248323236</v>
      </c>
    </row>
    <row r="45" spans="1:114" x14ac:dyDescent="0.2">
      <c r="A45">
        <v>40</v>
      </c>
      <c r="B45" s="397">
        <v>34308</v>
      </c>
      <c r="C45" s="398">
        <v>397997.79676138877</v>
      </c>
      <c r="D45" s="399">
        <v>0.89797109095384753</v>
      </c>
      <c r="E45" s="399">
        <v>38.753895228434182</v>
      </c>
      <c r="F45" s="399">
        <v>3.3165495490885992</v>
      </c>
      <c r="G45" s="399">
        <v>0</v>
      </c>
      <c r="H45" s="399">
        <v>42.968415868476626</v>
      </c>
      <c r="I45" s="400">
        <v>1.0629152574631652E-3</v>
      </c>
      <c r="J45" s="400">
        <v>1.4442922459684577E-2</v>
      </c>
      <c r="K45" s="400">
        <v>7.5377301693923375E-6</v>
      </c>
      <c r="L45" s="400">
        <v>0.23167930533110309</v>
      </c>
      <c r="M45" s="400">
        <v>0.24920776146779769</v>
      </c>
      <c r="N45" s="400">
        <v>0.16178049357044594</v>
      </c>
      <c r="O45" s="399">
        <f t="shared" si="30"/>
        <v>0.26572881436579127</v>
      </c>
      <c r="P45" s="399">
        <f t="shared" si="30"/>
        <v>0</v>
      </c>
      <c r="Q45" s="399">
        <f t="shared" si="30"/>
        <v>7.5377301693923373E-3</v>
      </c>
      <c r="R45" s="399">
        <f t="shared" si="30"/>
        <v>4.8102336282116998</v>
      </c>
      <c r="S45" s="399">
        <f t="shared" si="30"/>
        <v>7.4762328440339303</v>
      </c>
      <c r="T45" s="399">
        <f t="shared" si="30"/>
        <v>9.7068296142267556</v>
      </c>
      <c r="U45" s="399">
        <f t="shared" si="10"/>
        <v>22.26656263100757</v>
      </c>
      <c r="V45" s="400">
        <v>2.2348123147255119E-5</v>
      </c>
      <c r="W45" s="400">
        <v>2.0262298320177967E-3</v>
      </c>
      <c r="X45" s="400">
        <v>5.0251534462615584E-6</v>
      </c>
      <c r="Y45" s="400">
        <v>3.1197296725511837E-2</v>
      </c>
      <c r="Z45" s="400">
        <v>1.0581164102586112E-2</v>
      </c>
      <c r="AA45" s="400">
        <v>8.7576364200067681E-3</v>
      </c>
      <c r="AB45" s="352">
        <f t="shared" si="31"/>
        <v>5.5870307868137797E-3</v>
      </c>
      <c r="AC45" s="352">
        <f t="shared" si="31"/>
        <v>0</v>
      </c>
      <c r="AD45" s="352">
        <f t="shared" si="31"/>
        <v>5.0251534462615582E-3</v>
      </c>
      <c r="AE45" s="352">
        <f t="shared" si="31"/>
        <v>1.1058953656309505</v>
      </c>
      <c r="AF45" s="352">
        <f t="shared" si="31"/>
        <v>0.31743492307758336</v>
      </c>
      <c r="AG45" s="352">
        <f t="shared" si="31"/>
        <v>0.5254581852004061</v>
      </c>
      <c r="AH45" s="400">
        <f t="shared" si="11"/>
        <v>1.9594006581420151</v>
      </c>
      <c r="AJ45" s="352">
        <f>D45*('Assumptions-Output Override'!$D$10/'Winners-Losers Values PMPM'!$H$107)*(1+'Assumptions-Output Override'!$F$41)</f>
        <v>1.071829065678344</v>
      </c>
      <c r="AK45" s="352">
        <f>E45*('Assumptions-Output Override'!$D$10/'Winners-Losers Values PMPM'!$H$107)*(1+'Assumptions-Output Override'!$F$37)</f>
        <v>63.780335163545686</v>
      </c>
      <c r="AL45" s="352">
        <f>F45*('Assumptions-Output Override'!$D$10/'Winners-Losers Values PMPM'!$H$107)*(1+'Assumptions-Output Override'!$F$38)</f>
        <v>5.5712923584960059</v>
      </c>
      <c r="AM45" s="352">
        <f>G45*('Shoppable Detail'!$X$21/'Shoppable Detail'!$H$21)*('Assumptions-Output Override'!$D$10/'Winners-Losers Values PMPM'!$H$107)*(1+'Assumptions-Output Override'!$F$39)</f>
        <v>0</v>
      </c>
      <c r="AN45" s="352">
        <f t="shared" si="12"/>
        <v>70.42345658772004</v>
      </c>
      <c r="AO45" s="352">
        <v>0</v>
      </c>
      <c r="AP45" s="352">
        <f>U45*'Assumptions-Output Override'!$D$10/'Winners-Losers Values PMPM'!$H$107*(1+'Assumptions-Output Override'!$F$37)</f>
        <v>36.645834416762064</v>
      </c>
      <c r="AQ45" s="352">
        <f>AH45*'Assumptions-Output Override'!$D$10/'Winners-Losers Values PMPM'!$H$107*(1+'Assumptions-Output Override'!$F$38)</f>
        <v>3.2914912780176975</v>
      </c>
      <c r="AR45" s="352">
        <f>AM45*('Shoppable Detail'!$AA$23/'Shoppable Detail'!$Y$23)</f>
        <v>0</v>
      </c>
      <c r="AS45" s="352">
        <f t="shared" si="13"/>
        <v>39.937325694779759</v>
      </c>
      <c r="AT45" s="352">
        <f t="shared" si="14"/>
        <v>1.071829065678344</v>
      </c>
      <c r="AU45" s="352">
        <f t="shared" si="14"/>
        <v>27.134500746783623</v>
      </c>
      <c r="AV45" s="352">
        <f t="shared" si="14"/>
        <v>2.2798010804783084</v>
      </c>
      <c r="AW45" s="352">
        <f t="shared" si="14"/>
        <v>0</v>
      </c>
      <c r="AX45" s="352">
        <f t="shared" si="15"/>
        <v>30.486130892940274</v>
      </c>
      <c r="AY45" s="352">
        <f>AT45*'Assumptions-Output Override'!$D$24</f>
        <v>0.32653907209057148</v>
      </c>
      <c r="AZ45" s="352">
        <f>$AU$107*'Assumptions-Output Override'!$D$21</f>
        <v>46.041131296780591</v>
      </c>
      <c r="BA45" s="352">
        <f>AV45*'Assumptions-Output Override'!$D$22</f>
        <v>0.34197016207174624</v>
      </c>
      <c r="BB45" s="352">
        <f>AW45*'Assumptions-Output Override'!$D$23</f>
        <v>0</v>
      </c>
      <c r="BC45" s="352">
        <f t="shared" si="16"/>
        <v>46.709640530942906</v>
      </c>
      <c r="BD45" s="352">
        <f t="shared" si="17"/>
        <v>0.32653907209057148</v>
      </c>
      <c r="BE45" s="352">
        <f t="shared" si="17"/>
        <v>82.686965713542662</v>
      </c>
      <c r="BF45" s="352">
        <f t="shared" si="17"/>
        <v>3.6334614400894436</v>
      </c>
      <c r="BG45" s="352">
        <f t="shared" si="17"/>
        <v>0</v>
      </c>
      <c r="BH45" s="352">
        <f t="shared" si="18"/>
        <v>86.646966225722679</v>
      </c>
      <c r="BJ45" s="401">
        <f>D45*'Assumptions-Output Override'!$D$10/'Winners-Losers Values PMPM'!$H$107</f>
        <v>1.5171026990477428</v>
      </c>
      <c r="BK45" s="401">
        <f>E45*'Assumptions-Output Override'!$D$10/'Winners-Losers Values PMPM'!$H$107</f>
        <v>65.473866187851158</v>
      </c>
      <c r="BL45" s="401">
        <f>F45*'Assumptions-Output Override'!$D$10/'Winners-Losers Values PMPM'!$H$107</f>
        <v>5.6032385932416302</v>
      </c>
      <c r="BM45" s="401">
        <f>G45*'Assumptions-Output Override'!$D$10/'Winners-Losers Values PMPM'!$H$107</f>
        <v>0</v>
      </c>
      <c r="BN45" s="401">
        <f t="shared" si="2"/>
        <v>72.594207480140525</v>
      </c>
      <c r="BO45" s="401">
        <f>BJ45*(1-'Assumptions-Output Override'!$D$11)</f>
        <v>0.21621714669124303</v>
      </c>
      <c r="BP45" s="401">
        <f>BK45*(1-'Assumptions-Output Override'!$D$11)</f>
        <v>9.3313211682157373</v>
      </c>
      <c r="BQ45" s="401">
        <f>BL45*(1-'Assumptions-Output Override'!$D$11)</f>
        <v>0.79857234557779511</v>
      </c>
      <c r="BR45" s="401">
        <f>BM45*(1-'Assumptions-Output Override'!$D$11)</f>
        <v>0</v>
      </c>
      <c r="BS45" s="352">
        <f t="shared" si="3"/>
        <v>10.346110660484776</v>
      </c>
      <c r="BT45" s="352">
        <f t="shared" si="19"/>
        <v>1.3008855523564997</v>
      </c>
      <c r="BU45" s="352">
        <f t="shared" si="19"/>
        <v>56.142545019635421</v>
      </c>
      <c r="BV45" s="352">
        <f t="shared" si="19"/>
        <v>4.8046662476638353</v>
      </c>
      <c r="BW45" s="352">
        <f t="shared" si="19"/>
        <v>0</v>
      </c>
      <c r="BX45" s="352">
        <f t="shared" si="4"/>
        <v>62.248096819655757</v>
      </c>
      <c r="BY45" s="352">
        <f>BT$107*(1-'Assumptions-Output Override'!$D$12)</f>
        <v>22.753074310428271</v>
      </c>
      <c r="BZ45" s="352">
        <f>BU$107*(1-'Assumptions-Output Override'!$D$12)</f>
        <v>51.446038369839215</v>
      </c>
      <c r="CA45" s="352">
        <f>BV$107*(1-'Assumptions-Output Override'!$D$12)</f>
        <v>9.7401900534537411</v>
      </c>
      <c r="CB45" s="352">
        <f>BW$107*(1-'Assumptions-Output Override'!$D$12)</f>
        <v>1.7000814189516649</v>
      </c>
      <c r="CC45" s="352">
        <f t="shared" si="5"/>
        <v>85.639384152672903</v>
      </c>
      <c r="CD45" s="352">
        <f t="shared" si="20"/>
        <v>22.969291457119514</v>
      </c>
      <c r="CE45" s="352">
        <f t="shared" si="20"/>
        <v>60.777359538054952</v>
      </c>
      <c r="CF45" s="352">
        <f t="shared" si="20"/>
        <v>10.538762399031537</v>
      </c>
      <c r="CG45" s="352">
        <f t="shared" si="20"/>
        <v>1.7000814189516649</v>
      </c>
      <c r="CH45" s="352">
        <f t="shared" si="6"/>
        <v>95.985494813157672</v>
      </c>
      <c r="CJ45" s="352">
        <f t="shared" si="21"/>
        <v>95.985494813157672</v>
      </c>
      <c r="CK45" s="352">
        <f t="shared" si="22"/>
        <v>86.646966225722679</v>
      </c>
      <c r="CL45" s="352">
        <f t="shared" si="23"/>
        <v>9.3385285874349933</v>
      </c>
      <c r="CN45" s="352">
        <f t="shared" si="24"/>
        <v>0.89797109095384753</v>
      </c>
      <c r="CO45" s="352">
        <f t="shared" si="24"/>
        <v>38.753895228434182</v>
      </c>
      <c r="CP45" s="352">
        <f t="shared" si="24"/>
        <v>3.3165495490885992</v>
      </c>
      <c r="CQ45" s="352">
        <f t="shared" si="24"/>
        <v>0</v>
      </c>
      <c r="CR45" s="352">
        <f t="shared" si="7"/>
        <v>42.968415868476626</v>
      </c>
      <c r="CT45" s="352">
        <f t="shared" si="32"/>
        <v>-0.61913160809389522</v>
      </c>
      <c r="CU45" s="352">
        <f t="shared" si="32"/>
        <v>-26.719970959416976</v>
      </c>
      <c r="CV45" s="352">
        <f t="shared" si="32"/>
        <v>-2.286689044153031</v>
      </c>
      <c r="CW45" s="352">
        <f t="shared" si="32"/>
        <v>0</v>
      </c>
      <c r="CX45" s="352">
        <f t="shared" si="9"/>
        <v>-29.625791611663903</v>
      </c>
      <c r="CZ45" s="352">
        <f t="shared" si="25"/>
        <v>22.642752385028942</v>
      </c>
      <c r="DA45" s="352">
        <f t="shared" si="25"/>
        <v>-21.90960617548771</v>
      </c>
      <c r="DB45" s="352">
        <f t="shared" si="25"/>
        <v>6.9053009589420933</v>
      </c>
      <c r="DC45" s="352">
        <f t="shared" si="25"/>
        <v>1.7000814189516649</v>
      </c>
      <c r="DD45" s="352">
        <f t="shared" si="26"/>
        <v>9.3385285874349897</v>
      </c>
      <c r="DF45" s="352">
        <f t="shared" si="27"/>
        <v>0.32653907209057148</v>
      </c>
      <c r="DG45" s="352">
        <f t="shared" si="27"/>
        <v>82.686965713542662</v>
      </c>
      <c r="DH45" s="352">
        <f t="shared" si="27"/>
        <v>3.6334614400894436</v>
      </c>
      <c r="DI45" s="352">
        <f t="shared" si="27"/>
        <v>0</v>
      </c>
      <c r="DJ45" s="352">
        <f t="shared" si="28"/>
        <v>86.646966225722679</v>
      </c>
    </row>
    <row r="46" spans="1:114" x14ac:dyDescent="0.2">
      <c r="A46">
        <v>41</v>
      </c>
      <c r="B46" s="397">
        <v>34308</v>
      </c>
      <c r="C46" s="398">
        <v>397997.79676138877</v>
      </c>
      <c r="D46" s="399">
        <v>1.0049647602193359</v>
      </c>
      <c r="E46" s="399">
        <v>40.578407986683814</v>
      </c>
      <c r="F46" s="399">
        <v>3.6244400099127487</v>
      </c>
      <c r="G46" s="399">
        <v>0</v>
      </c>
      <c r="H46" s="399">
        <v>45.207812756815898</v>
      </c>
      <c r="I46" s="400">
        <v>1.1826803568956358E-3</v>
      </c>
      <c r="J46" s="400">
        <v>1.5972422583686762E-2</v>
      </c>
      <c r="K46" s="400">
        <v>0</v>
      </c>
      <c r="L46" s="400">
        <v>0.24067877903678639</v>
      </c>
      <c r="M46" s="400">
        <v>0.25820570072560423</v>
      </c>
      <c r="N46" s="400">
        <v>0.16505895393032974</v>
      </c>
      <c r="O46" s="399">
        <f t="shared" si="30"/>
        <v>0.29567008922390897</v>
      </c>
      <c r="P46" s="399">
        <f t="shared" si="30"/>
        <v>0</v>
      </c>
      <c r="Q46" s="399">
        <f t="shared" si="30"/>
        <v>0</v>
      </c>
      <c r="R46" s="399">
        <f t="shared" si="30"/>
        <v>4.9970848922614497</v>
      </c>
      <c r="S46" s="399">
        <f t="shared" si="30"/>
        <v>7.7461710217681272</v>
      </c>
      <c r="T46" s="399">
        <f t="shared" si="30"/>
        <v>9.9035372358197851</v>
      </c>
      <c r="U46" s="399">
        <f t="shared" si="10"/>
        <v>22.94246323907327</v>
      </c>
      <c r="V46" s="400">
        <v>6.4561244647625869E-5</v>
      </c>
      <c r="W46" s="400">
        <v>2.4645013581834066E-3</v>
      </c>
      <c r="X46" s="400">
        <v>2.5125767231307792E-6</v>
      </c>
      <c r="Y46" s="400">
        <v>3.4192325106344429E-2</v>
      </c>
      <c r="Z46" s="400">
        <v>1.1181770442483242E-2</v>
      </c>
      <c r="AA46" s="400">
        <v>9.360051815144578E-3</v>
      </c>
      <c r="AB46" s="352">
        <f t="shared" si="31"/>
        <v>1.6140311161906468E-2</v>
      </c>
      <c r="AC46" s="352">
        <f t="shared" si="31"/>
        <v>0</v>
      </c>
      <c r="AD46" s="352">
        <f t="shared" si="31"/>
        <v>2.5125767231307791E-3</v>
      </c>
      <c r="AE46" s="352">
        <f t="shared" si="31"/>
        <v>1.2120644364782769</v>
      </c>
      <c r="AF46" s="352">
        <f t="shared" si="31"/>
        <v>0.33545311327449723</v>
      </c>
      <c r="AG46" s="352">
        <f t="shared" si="31"/>
        <v>0.56160310890867471</v>
      </c>
      <c r="AH46" s="400">
        <f t="shared" si="11"/>
        <v>2.1277735465464862</v>
      </c>
      <c r="AJ46" s="352">
        <f>D46*('Assumptions-Output Override'!$D$10/'Winners-Losers Values PMPM'!$H$107)*(1+'Assumptions-Output Override'!$F$41)</f>
        <v>1.1995379927447058</v>
      </c>
      <c r="AK46" s="352">
        <f>E46*('Assumptions-Output Override'!$D$10/'Winners-Losers Values PMPM'!$H$107)*(1+'Assumptions-Output Override'!$F$37)</f>
        <v>66.783079392103801</v>
      </c>
      <c r="AL46" s="352">
        <f>F46*('Assumptions-Output Override'!$D$10/'Winners-Losers Values PMPM'!$H$107)*(1+'Assumptions-Output Override'!$F$38)</f>
        <v>6.0885009049851666</v>
      </c>
      <c r="AM46" s="352">
        <f>G46*('Shoppable Detail'!$X$21/'Shoppable Detail'!$H$21)*('Assumptions-Output Override'!$D$10/'Winners-Losers Values PMPM'!$H$107)*(1+'Assumptions-Output Override'!$F$39)</f>
        <v>0</v>
      </c>
      <c r="AN46" s="352">
        <f t="shared" si="12"/>
        <v>74.071118289833677</v>
      </c>
      <c r="AO46" s="352">
        <v>0</v>
      </c>
      <c r="AP46" s="352">
        <f>U46*'Assumptions-Output Override'!$D$10/'Winners-Losers Values PMPM'!$H$107*(1+'Assumptions-Output Override'!$F$37)</f>
        <v>37.758217238296993</v>
      </c>
      <c r="AQ46" s="352">
        <f>AH46*'Assumptions-Output Override'!$D$10/'Winners-Losers Values PMPM'!$H$107*(1+'Assumptions-Output Override'!$F$38)</f>
        <v>3.5743317942414072</v>
      </c>
      <c r="AR46" s="352">
        <f>AM46*('Shoppable Detail'!$AA$23/'Shoppable Detail'!$Y$23)</f>
        <v>0</v>
      </c>
      <c r="AS46" s="352">
        <f t="shared" si="13"/>
        <v>41.332549032538402</v>
      </c>
      <c r="AT46" s="352">
        <f t="shared" si="14"/>
        <v>1.1995379927447058</v>
      </c>
      <c r="AU46" s="352">
        <f t="shared" si="14"/>
        <v>29.024862153806808</v>
      </c>
      <c r="AV46" s="352">
        <f t="shared" si="14"/>
        <v>2.5141691107437594</v>
      </c>
      <c r="AW46" s="352">
        <f t="shared" si="14"/>
        <v>0</v>
      </c>
      <c r="AX46" s="352">
        <f t="shared" si="15"/>
        <v>32.738569257295275</v>
      </c>
      <c r="AY46" s="352">
        <f>AT46*'Assumptions-Output Override'!$D$24</f>
        <v>0.36544635299691614</v>
      </c>
      <c r="AZ46" s="352">
        <f>$AU$107*'Assumptions-Output Override'!$D$21</f>
        <v>46.041131296780591</v>
      </c>
      <c r="BA46" s="352">
        <f>AV46*'Assumptions-Output Override'!$D$22</f>
        <v>0.37712536661156387</v>
      </c>
      <c r="BB46" s="352">
        <f>AW46*'Assumptions-Output Override'!$D$23</f>
        <v>0</v>
      </c>
      <c r="BC46" s="352">
        <f t="shared" si="16"/>
        <v>46.783703016389076</v>
      </c>
      <c r="BD46" s="352">
        <f t="shared" si="17"/>
        <v>0.36544635299691614</v>
      </c>
      <c r="BE46" s="352">
        <f t="shared" si="17"/>
        <v>83.799348535077584</v>
      </c>
      <c r="BF46" s="352">
        <f t="shared" si="17"/>
        <v>3.9514571608529709</v>
      </c>
      <c r="BG46" s="352">
        <f t="shared" si="17"/>
        <v>0</v>
      </c>
      <c r="BH46" s="352">
        <f t="shared" si="18"/>
        <v>88.116252048927464</v>
      </c>
      <c r="BJ46" s="401">
        <f>D46*'Assumptions-Output Override'!$D$10/'Winners-Losers Values PMPM'!$H$107</f>
        <v>1.6978661847088157</v>
      </c>
      <c r="BK46" s="401">
        <f>E46*'Assumptions-Output Override'!$D$10/'Winners-Losers Values PMPM'!$H$107</f>
        <v>68.556340955549246</v>
      </c>
      <c r="BL46" s="401">
        <f>F46*'Assumptions-Output Override'!$D$10/'Winners-Losers Values PMPM'!$H$107</f>
        <v>6.1234128547885165</v>
      </c>
      <c r="BM46" s="401">
        <f>G46*'Assumptions-Output Override'!$D$10/'Winners-Losers Values PMPM'!$H$107</f>
        <v>0</v>
      </c>
      <c r="BN46" s="401">
        <f t="shared" si="2"/>
        <v>76.377619995046572</v>
      </c>
      <c r="BO46" s="401">
        <f>BJ46*(1-'Assumptions-Output Override'!$D$11)</f>
        <v>0.24197951935074261</v>
      </c>
      <c r="BP46" s="401">
        <f>BK46*(1-'Assumptions-Output Override'!$D$11)</f>
        <v>9.7706348016551683</v>
      </c>
      <c r="BQ46" s="401">
        <f>BL46*(1-'Assumptions-Output Override'!$D$11)</f>
        <v>0.87270746819308531</v>
      </c>
      <c r="BR46" s="401">
        <f>BM46*(1-'Assumptions-Output Override'!$D$11)</f>
        <v>0</v>
      </c>
      <c r="BS46" s="352">
        <f t="shared" si="3"/>
        <v>10.885321789198997</v>
      </c>
      <c r="BT46" s="352">
        <f t="shared" si="19"/>
        <v>1.4558866653580731</v>
      </c>
      <c r="BU46" s="352">
        <f t="shared" si="19"/>
        <v>58.785706153894075</v>
      </c>
      <c r="BV46" s="352">
        <f t="shared" si="19"/>
        <v>5.2507053865954312</v>
      </c>
      <c r="BW46" s="352">
        <f t="shared" si="19"/>
        <v>0</v>
      </c>
      <c r="BX46" s="352">
        <f t="shared" si="4"/>
        <v>65.492298205847575</v>
      </c>
      <c r="BY46" s="352">
        <f>BT$107*(1-'Assumptions-Output Override'!$D$12)</f>
        <v>22.753074310428271</v>
      </c>
      <c r="BZ46" s="352">
        <f>BU$107*(1-'Assumptions-Output Override'!$D$12)</f>
        <v>51.446038369839215</v>
      </c>
      <c r="CA46" s="352">
        <f>BV$107*(1-'Assumptions-Output Override'!$D$12)</f>
        <v>9.7401900534537411</v>
      </c>
      <c r="CB46" s="352">
        <f>BW$107*(1-'Assumptions-Output Override'!$D$12)</f>
        <v>1.7000814189516649</v>
      </c>
      <c r="CC46" s="352">
        <f t="shared" si="5"/>
        <v>85.639384152672903</v>
      </c>
      <c r="CD46" s="352">
        <f t="shared" si="20"/>
        <v>22.995053829779014</v>
      </c>
      <c r="CE46" s="352">
        <f t="shared" si="20"/>
        <v>61.216673171494385</v>
      </c>
      <c r="CF46" s="352">
        <f t="shared" si="20"/>
        <v>10.612897521646826</v>
      </c>
      <c r="CG46" s="352">
        <f t="shared" si="20"/>
        <v>1.7000814189516649</v>
      </c>
      <c r="CH46" s="352">
        <f t="shared" si="6"/>
        <v>96.5247059418719</v>
      </c>
      <c r="CJ46" s="352">
        <f t="shared" si="21"/>
        <v>96.5247059418719</v>
      </c>
      <c r="CK46" s="352">
        <f t="shared" si="22"/>
        <v>88.116252048927464</v>
      </c>
      <c r="CL46" s="352">
        <f t="shared" si="23"/>
        <v>8.4084538929444363</v>
      </c>
      <c r="CN46" s="352">
        <f t="shared" si="24"/>
        <v>1.0049647602193359</v>
      </c>
      <c r="CO46" s="352">
        <f t="shared" si="24"/>
        <v>40.578407986683814</v>
      </c>
      <c r="CP46" s="352">
        <f t="shared" si="24"/>
        <v>3.6244400099127487</v>
      </c>
      <c r="CQ46" s="352">
        <f t="shared" si="24"/>
        <v>0</v>
      </c>
      <c r="CR46" s="352">
        <f t="shared" si="7"/>
        <v>45.207812756815898</v>
      </c>
      <c r="CT46" s="352">
        <f t="shared" si="32"/>
        <v>-0.69290142448947978</v>
      </c>
      <c r="CU46" s="352">
        <f t="shared" si="32"/>
        <v>-27.977932968865431</v>
      </c>
      <c r="CV46" s="352">
        <f t="shared" si="32"/>
        <v>-2.4989728448757678</v>
      </c>
      <c r="CW46" s="352">
        <f t="shared" si="32"/>
        <v>0</v>
      </c>
      <c r="CX46" s="352">
        <f t="shared" si="9"/>
        <v>-31.169807238230682</v>
      </c>
      <c r="CZ46" s="352">
        <f t="shared" si="25"/>
        <v>22.629607476782098</v>
      </c>
      <c r="DA46" s="352">
        <f t="shared" si="25"/>
        <v>-22.582675363583199</v>
      </c>
      <c r="DB46" s="352">
        <f t="shared" si="25"/>
        <v>6.6614403607938542</v>
      </c>
      <c r="DC46" s="352">
        <f t="shared" si="25"/>
        <v>1.7000814189516649</v>
      </c>
      <c r="DD46" s="352">
        <f t="shared" si="26"/>
        <v>8.4084538929444186</v>
      </c>
      <c r="DF46" s="352">
        <f t="shared" si="27"/>
        <v>0.36544635299691614</v>
      </c>
      <c r="DG46" s="352">
        <f t="shared" si="27"/>
        <v>83.799348535077584</v>
      </c>
      <c r="DH46" s="352">
        <f t="shared" si="27"/>
        <v>3.9514571608529709</v>
      </c>
      <c r="DI46" s="352">
        <f t="shared" si="27"/>
        <v>0</v>
      </c>
      <c r="DJ46" s="352">
        <f t="shared" si="28"/>
        <v>88.116252048927464</v>
      </c>
    </row>
    <row r="47" spans="1:114" x14ac:dyDescent="0.2">
      <c r="A47">
        <v>42</v>
      </c>
      <c r="B47" s="397">
        <v>34308</v>
      </c>
      <c r="C47" s="398">
        <v>397997.79676138877</v>
      </c>
      <c r="D47" s="399">
        <v>1.1731113557892723</v>
      </c>
      <c r="E47" s="399">
        <v>42.431396059327959</v>
      </c>
      <c r="F47" s="399">
        <v>3.9406246862034946</v>
      </c>
      <c r="G47" s="399">
        <v>0</v>
      </c>
      <c r="H47" s="399">
        <v>47.545132101320725</v>
      </c>
      <c r="I47" s="400">
        <v>1.2475531190882223E-3</v>
      </c>
      <c r="J47" s="400">
        <v>1.6960484654004685E-2</v>
      </c>
      <c r="K47" s="400">
        <v>5.0251534462615584E-6</v>
      </c>
      <c r="L47" s="400">
        <v>0.25066226751700493</v>
      </c>
      <c r="M47" s="400">
        <v>0.26392020472162647</v>
      </c>
      <c r="N47" s="400">
        <v>0.16753977168367434</v>
      </c>
      <c r="O47" s="399">
        <f t="shared" si="30"/>
        <v>0.31188827977205558</v>
      </c>
      <c r="P47" s="399">
        <f t="shared" si="30"/>
        <v>0</v>
      </c>
      <c r="Q47" s="399">
        <f t="shared" si="30"/>
        <v>5.0251534462615582E-3</v>
      </c>
      <c r="R47" s="399">
        <f t="shared" si="30"/>
        <v>5.2043667293067557</v>
      </c>
      <c r="S47" s="399">
        <f t="shared" si="30"/>
        <v>7.9176061416487942</v>
      </c>
      <c r="T47" s="399">
        <f t="shared" si="30"/>
        <v>10.05238630102046</v>
      </c>
      <c r="U47" s="399">
        <f t="shared" si="10"/>
        <v>23.491272605194325</v>
      </c>
      <c r="V47" s="400">
        <v>7.573530622125352E-5</v>
      </c>
      <c r="W47" s="400">
        <v>2.5476860387870855E-3</v>
      </c>
      <c r="X47" s="400">
        <v>0</v>
      </c>
      <c r="Y47" s="400">
        <v>3.5844754557838573E-2</v>
      </c>
      <c r="Z47" s="400">
        <v>1.2358560876528726E-2</v>
      </c>
      <c r="AA47" s="400">
        <v>1.0383072553734531E-2</v>
      </c>
      <c r="AB47" s="352">
        <f t="shared" si="31"/>
        <v>1.8933826555313379E-2</v>
      </c>
      <c r="AC47" s="352">
        <f t="shared" si="31"/>
        <v>0</v>
      </c>
      <c r="AD47" s="352">
        <f t="shared" si="31"/>
        <v>0</v>
      </c>
      <c r="AE47" s="352">
        <f t="shared" si="31"/>
        <v>1.2706404755664675</v>
      </c>
      <c r="AF47" s="352">
        <f t="shared" si="31"/>
        <v>0.37075682629586176</v>
      </c>
      <c r="AG47" s="352">
        <f t="shared" si="31"/>
        <v>0.62298435322407186</v>
      </c>
      <c r="AH47" s="400">
        <f t="shared" si="11"/>
        <v>2.2833154816417145</v>
      </c>
      <c r="AJ47" s="352">
        <f>D47*('Assumptions-Output Override'!$D$10/'Winners-Losers Values PMPM'!$H$107)*(1+'Assumptions-Output Override'!$F$41)</f>
        <v>1.4002397862014198</v>
      </c>
      <c r="AK47" s="352">
        <f>E47*('Assumptions-Output Override'!$D$10/'Winners-Losers Values PMPM'!$H$107)*(1+'Assumptions-Output Override'!$F$37)</f>
        <v>69.832687686461341</v>
      </c>
      <c r="AL47" s="352">
        <f>F47*('Assumptions-Output Override'!$D$10/'Winners-Losers Values PMPM'!$H$107)*(1+'Assumptions-Output Override'!$F$38)</f>
        <v>6.6196424558105571</v>
      </c>
      <c r="AM47" s="352">
        <f>G47*('Shoppable Detail'!$X$21/'Shoppable Detail'!$H$21)*('Assumptions-Output Override'!$D$10/'Winners-Losers Values PMPM'!$H$107)*(1+'Assumptions-Output Override'!$F$39)</f>
        <v>0</v>
      </c>
      <c r="AN47" s="352">
        <f t="shared" si="12"/>
        <v>77.852569928473329</v>
      </c>
      <c r="AO47" s="352">
        <v>0</v>
      </c>
      <c r="AP47" s="352">
        <f>U47*'Assumptions-Output Override'!$D$10/'Winners-Losers Values PMPM'!$H$107*(1+'Assumptions-Output Override'!$F$37)</f>
        <v>38.661436001359853</v>
      </c>
      <c r="AQ47" s="352">
        <f>AH47*'Assumptions-Output Override'!$D$10/'Winners-Losers Values PMPM'!$H$107*(1+'Assumptions-Output Override'!$F$38)</f>
        <v>3.8356182853960061</v>
      </c>
      <c r="AR47" s="352">
        <f>AM47*('Shoppable Detail'!$AA$23/'Shoppable Detail'!$Y$23)</f>
        <v>0</v>
      </c>
      <c r="AS47" s="352">
        <f t="shared" si="13"/>
        <v>42.497054286755862</v>
      </c>
      <c r="AT47" s="352">
        <f t="shared" si="14"/>
        <v>1.4002397862014198</v>
      </c>
      <c r="AU47" s="352">
        <f t="shared" si="14"/>
        <v>31.171251685101488</v>
      </c>
      <c r="AV47" s="352">
        <f t="shared" si="14"/>
        <v>2.784024170414551</v>
      </c>
      <c r="AW47" s="352">
        <f t="shared" si="14"/>
        <v>0</v>
      </c>
      <c r="AX47" s="352">
        <f t="shared" si="15"/>
        <v>35.35551564171746</v>
      </c>
      <c r="AY47" s="352">
        <f>AT47*'Assumptions-Output Override'!$D$24</f>
        <v>0.42659134290329781</v>
      </c>
      <c r="AZ47" s="352">
        <f>$AU$107*'Assumptions-Output Override'!$D$21</f>
        <v>46.041131296780591</v>
      </c>
      <c r="BA47" s="352">
        <f>AV47*'Assumptions-Output Override'!$D$22</f>
        <v>0.41760362556218261</v>
      </c>
      <c r="BB47" s="352">
        <f>AW47*'Assumptions-Output Override'!$D$23</f>
        <v>0</v>
      </c>
      <c r="BC47" s="352">
        <f t="shared" si="16"/>
        <v>46.885326265246071</v>
      </c>
      <c r="BD47" s="352">
        <f t="shared" si="17"/>
        <v>0.42659134290329781</v>
      </c>
      <c r="BE47" s="352">
        <f t="shared" si="17"/>
        <v>84.702567298140451</v>
      </c>
      <c r="BF47" s="352">
        <f t="shared" si="17"/>
        <v>4.2532219109581888</v>
      </c>
      <c r="BG47" s="352">
        <f t="shared" si="17"/>
        <v>0</v>
      </c>
      <c r="BH47" s="352">
        <f t="shared" si="18"/>
        <v>89.382380552001933</v>
      </c>
      <c r="BJ47" s="401">
        <f>D47*'Assumptions-Output Override'!$D$10/'Winners-Losers Values PMPM'!$H$107</f>
        <v>1.9819462141715356</v>
      </c>
      <c r="BK47" s="401">
        <f>E47*'Assumptions-Output Override'!$D$10/'Winners-Losers Values PMPM'!$H$107</f>
        <v>71.686924149854093</v>
      </c>
      <c r="BL47" s="401">
        <f>F47*'Assumptions-Output Override'!$D$10/'Winners-Losers Values PMPM'!$H$107</f>
        <v>6.6576000136297822</v>
      </c>
      <c r="BM47" s="401">
        <f>G47*'Assumptions-Output Override'!$D$10/'Winners-Losers Values PMPM'!$H$107</f>
        <v>0</v>
      </c>
      <c r="BN47" s="401">
        <f t="shared" si="2"/>
        <v>80.326470377655397</v>
      </c>
      <c r="BO47" s="401">
        <f>BJ47*(1-'Assumptions-Output Override'!$D$11)</f>
        <v>0.28246654336101407</v>
      </c>
      <c r="BP47" s="401">
        <f>BK47*(1-'Assumptions-Output Override'!$D$11)</f>
        <v>10.216804837590784</v>
      </c>
      <c r="BQ47" s="401">
        <f>BL47*(1-'Assumptions-Output Override'!$D$11)</f>
        <v>0.94883970588289879</v>
      </c>
      <c r="BR47" s="401">
        <f>BM47*(1-'Assumptions-Output Override'!$D$11)</f>
        <v>0</v>
      </c>
      <c r="BS47" s="352">
        <f t="shared" si="3"/>
        <v>11.448111086834697</v>
      </c>
      <c r="BT47" s="352">
        <f t="shared" si="19"/>
        <v>1.6994796708105215</v>
      </c>
      <c r="BU47" s="352">
        <f t="shared" si="19"/>
        <v>61.470119312263307</v>
      </c>
      <c r="BV47" s="352">
        <f t="shared" si="19"/>
        <v>5.7087603077468838</v>
      </c>
      <c r="BW47" s="352">
        <f t="shared" si="19"/>
        <v>0</v>
      </c>
      <c r="BX47" s="352">
        <f t="shared" si="4"/>
        <v>68.878359290820711</v>
      </c>
      <c r="BY47" s="352">
        <f>BT$107*(1-'Assumptions-Output Override'!$D$12)</f>
        <v>22.753074310428271</v>
      </c>
      <c r="BZ47" s="352">
        <f>BU$107*(1-'Assumptions-Output Override'!$D$12)</f>
        <v>51.446038369839215</v>
      </c>
      <c r="CA47" s="352">
        <f>BV$107*(1-'Assumptions-Output Override'!$D$12)</f>
        <v>9.7401900534537411</v>
      </c>
      <c r="CB47" s="352">
        <f>BW$107*(1-'Assumptions-Output Override'!$D$12)</f>
        <v>1.7000814189516649</v>
      </c>
      <c r="CC47" s="352">
        <f t="shared" si="5"/>
        <v>85.639384152672903</v>
      </c>
      <c r="CD47" s="352">
        <f t="shared" si="20"/>
        <v>23.035540853789286</v>
      </c>
      <c r="CE47" s="352">
        <f t="shared" si="20"/>
        <v>61.662843207430001</v>
      </c>
      <c r="CF47" s="352">
        <f t="shared" si="20"/>
        <v>10.689029759336639</v>
      </c>
      <c r="CG47" s="352">
        <f t="shared" si="20"/>
        <v>1.7000814189516649</v>
      </c>
      <c r="CH47" s="352">
        <f t="shared" si="6"/>
        <v>97.087495239507589</v>
      </c>
      <c r="CJ47" s="352">
        <f t="shared" si="21"/>
        <v>97.087495239507589</v>
      </c>
      <c r="CK47" s="352">
        <f t="shared" si="22"/>
        <v>89.382380552001933</v>
      </c>
      <c r="CL47" s="352">
        <f t="shared" si="23"/>
        <v>7.705114687505656</v>
      </c>
      <c r="CN47" s="352">
        <f t="shared" si="24"/>
        <v>1.1731113557892723</v>
      </c>
      <c r="CO47" s="352">
        <f t="shared" si="24"/>
        <v>42.431396059327959</v>
      </c>
      <c r="CP47" s="352">
        <f t="shared" si="24"/>
        <v>3.9406246862034946</v>
      </c>
      <c r="CQ47" s="352">
        <f t="shared" si="24"/>
        <v>0</v>
      </c>
      <c r="CR47" s="352">
        <f t="shared" si="7"/>
        <v>47.545132101320725</v>
      </c>
      <c r="CT47" s="352">
        <f t="shared" si="32"/>
        <v>-0.80883485838226332</v>
      </c>
      <c r="CU47" s="352">
        <f t="shared" si="32"/>
        <v>-29.255528090526134</v>
      </c>
      <c r="CV47" s="352">
        <f t="shared" si="32"/>
        <v>-2.7169753274262876</v>
      </c>
      <c r="CW47" s="352">
        <f t="shared" si="32"/>
        <v>0</v>
      </c>
      <c r="CX47" s="352">
        <f t="shared" si="9"/>
        <v>-32.781338276334687</v>
      </c>
      <c r="CZ47" s="352">
        <f t="shared" si="25"/>
        <v>22.608949510885989</v>
      </c>
      <c r="DA47" s="352">
        <f t="shared" si="25"/>
        <v>-23.03972409071045</v>
      </c>
      <c r="DB47" s="352">
        <f t="shared" si="25"/>
        <v>6.4358078483784507</v>
      </c>
      <c r="DC47" s="352">
        <f t="shared" si="25"/>
        <v>1.7000814189516649</v>
      </c>
      <c r="DD47" s="352">
        <f t="shared" si="26"/>
        <v>7.7051146875056542</v>
      </c>
      <c r="DF47" s="352">
        <f t="shared" si="27"/>
        <v>0.42659134290329781</v>
      </c>
      <c r="DG47" s="352">
        <f t="shared" si="27"/>
        <v>84.702567298140451</v>
      </c>
      <c r="DH47" s="352">
        <f t="shared" si="27"/>
        <v>4.2532219109581888</v>
      </c>
      <c r="DI47" s="352">
        <f t="shared" si="27"/>
        <v>0</v>
      </c>
      <c r="DJ47" s="352">
        <f t="shared" si="28"/>
        <v>89.382380552001933</v>
      </c>
    </row>
    <row r="48" spans="1:114" x14ac:dyDescent="0.2">
      <c r="A48">
        <v>43</v>
      </c>
      <c r="B48" s="397">
        <v>34308</v>
      </c>
      <c r="C48" s="398">
        <v>397997.79676138877</v>
      </c>
      <c r="D48" s="399">
        <v>1.2819885406943241</v>
      </c>
      <c r="E48" s="399">
        <v>44.667926998522475</v>
      </c>
      <c r="F48" s="399">
        <v>4.0367616607284811</v>
      </c>
      <c r="G48" s="399">
        <v>1.4547371359240882E-3</v>
      </c>
      <c r="H48" s="399">
        <v>49.988131937081199</v>
      </c>
      <c r="I48" s="400">
        <v>1.3997545996169904E-3</v>
      </c>
      <c r="J48" s="400">
        <v>1.7884921515249147E-2</v>
      </c>
      <c r="K48" s="400">
        <v>1.5075460338784675E-5</v>
      </c>
      <c r="L48" s="400">
        <v>0.25516587844376548</v>
      </c>
      <c r="M48" s="400">
        <v>0.27160311157408129</v>
      </c>
      <c r="N48" s="400">
        <v>0.17501041605456866</v>
      </c>
      <c r="O48" s="399">
        <f t="shared" si="30"/>
        <v>0.34993864990424761</v>
      </c>
      <c r="P48" s="399">
        <f t="shared" si="30"/>
        <v>0</v>
      </c>
      <c r="Q48" s="399">
        <f t="shared" si="30"/>
        <v>1.5075460338784675E-2</v>
      </c>
      <c r="R48" s="399">
        <f t="shared" si="30"/>
        <v>5.2978727966584565</v>
      </c>
      <c r="S48" s="399">
        <f t="shared" si="30"/>
        <v>8.1480933472224386</v>
      </c>
      <c r="T48" s="399">
        <f t="shared" si="30"/>
        <v>10.50062496327412</v>
      </c>
      <c r="U48" s="399">
        <f t="shared" si="10"/>
        <v>24.311605217398046</v>
      </c>
      <c r="V48" s="400">
        <v>8.5667805397811287E-5</v>
      </c>
      <c r="W48" s="400">
        <v>2.776133519847917E-3</v>
      </c>
      <c r="X48" s="400">
        <v>0</v>
      </c>
      <c r="Y48" s="400">
        <v>3.724228797692121E-2</v>
      </c>
      <c r="Z48" s="400">
        <v>1.2469817773828931E-2</v>
      </c>
      <c r="AA48" s="400">
        <v>1.0639958397907424E-2</v>
      </c>
      <c r="AB48" s="352">
        <f t="shared" si="31"/>
        <v>2.1416951349452821E-2</v>
      </c>
      <c r="AC48" s="352">
        <f t="shared" si="31"/>
        <v>0</v>
      </c>
      <c r="AD48" s="352">
        <f t="shared" si="31"/>
        <v>0</v>
      </c>
      <c r="AE48" s="352">
        <f t="shared" si="31"/>
        <v>1.3201808490506226</v>
      </c>
      <c r="AF48" s="352">
        <f t="shared" si="31"/>
        <v>0.37409453321486791</v>
      </c>
      <c r="AG48" s="352">
        <f t="shared" si="31"/>
        <v>0.63839750387444538</v>
      </c>
      <c r="AH48" s="400">
        <f t="shared" si="11"/>
        <v>2.354089837489389</v>
      </c>
      <c r="AJ48" s="352">
        <f>D48*('Assumptions-Output Override'!$D$10/'Winners-Losers Values PMPM'!$H$107)*(1+'Assumptions-Output Override'!$F$41)</f>
        <v>1.5301969001286742</v>
      </c>
      <c r="AK48" s="352">
        <f>E48*('Assumptions-Output Override'!$D$10/'Winners-Losers Values PMPM'!$H$107)*(1+'Assumptions-Output Override'!$F$37)</f>
        <v>73.513522659685009</v>
      </c>
      <c r="AL48" s="352">
        <f>F48*('Assumptions-Output Override'!$D$10/'Winners-Losers Values PMPM'!$H$107)*(1+'Assumptions-Output Override'!$F$38)</f>
        <v>6.7811377639952841</v>
      </c>
      <c r="AM48" s="352">
        <f>G48*('Shoppable Detail'!$X$21/'Shoppable Detail'!$H$21)*('Assumptions-Output Override'!$D$10/'Winners-Losers Values PMPM'!$H$107)*(1+'Assumptions-Output Override'!$F$39)</f>
        <v>2.4945714050084236E-3</v>
      </c>
      <c r="AN48" s="352">
        <f t="shared" si="12"/>
        <v>81.82735189521398</v>
      </c>
      <c r="AO48" s="352">
        <v>0</v>
      </c>
      <c r="AP48" s="352">
        <f>U48*'Assumptions-Output Override'!$D$10/'Winners-Losers Values PMPM'!$H$107*(1+'Assumptions-Output Override'!$F$37)</f>
        <v>40.011521938361398</v>
      </c>
      <c r="AQ48" s="352">
        <f>AH48*'Assumptions-Output Override'!$D$10/'Winners-Losers Values PMPM'!$H$107*(1+'Assumptions-Output Override'!$F$38)</f>
        <v>3.9545083010811277</v>
      </c>
      <c r="AR48" s="352">
        <f>AM48*('Shoppable Detail'!$AA$23/'Shoppable Detail'!$Y$23)</f>
        <v>8.3351463766337936E-5</v>
      </c>
      <c r="AS48" s="352">
        <f t="shared" si="13"/>
        <v>43.966113590906289</v>
      </c>
      <c r="AT48" s="352">
        <f t="shared" si="14"/>
        <v>1.5301969001286742</v>
      </c>
      <c r="AU48" s="352">
        <f t="shared" si="14"/>
        <v>33.502000721323611</v>
      </c>
      <c r="AV48" s="352">
        <f t="shared" si="14"/>
        <v>2.8266294629141564</v>
      </c>
      <c r="AW48" s="352">
        <f t="shared" si="14"/>
        <v>2.4112199412420856E-3</v>
      </c>
      <c r="AX48" s="352">
        <f t="shared" si="15"/>
        <v>37.861238304307683</v>
      </c>
      <c r="AY48" s="352">
        <f>AT48*'Assumptions-Output Override'!$D$24</f>
        <v>0.46618354725028222</v>
      </c>
      <c r="AZ48" s="352">
        <f>$AU$107*'Assumptions-Output Override'!$D$21</f>
        <v>46.041131296780591</v>
      </c>
      <c r="BA48" s="352">
        <f>AV48*'Assumptions-Output Override'!$D$22</f>
        <v>0.42399441943712346</v>
      </c>
      <c r="BB48" s="352">
        <f>AW48*'Assumptions-Output Override'!$D$23</f>
        <v>3.6168299118631282E-4</v>
      </c>
      <c r="BC48" s="352">
        <f t="shared" si="16"/>
        <v>46.931670946459178</v>
      </c>
      <c r="BD48" s="352">
        <f t="shared" si="17"/>
        <v>0.46618354725028222</v>
      </c>
      <c r="BE48" s="352">
        <f t="shared" si="17"/>
        <v>86.052653235141989</v>
      </c>
      <c r="BF48" s="352">
        <f t="shared" si="17"/>
        <v>4.3785027205182514</v>
      </c>
      <c r="BG48" s="352">
        <f t="shared" si="17"/>
        <v>4.4503445495265077E-4</v>
      </c>
      <c r="BH48" s="352">
        <f t="shared" si="18"/>
        <v>90.897784537365482</v>
      </c>
      <c r="BJ48" s="401">
        <f>D48*'Assumptions-Output Override'!$D$10/'Winners-Losers Values PMPM'!$H$107</f>
        <v>2.1658918586896885</v>
      </c>
      <c r="BK48" s="401">
        <f>E48*'Assumptions-Output Override'!$D$10/'Winners-Losers Values PMPM'!$H$107</f>
        <v>75.465494705785474</v>
      </c>
      <c r="BL48" s="401">
        <f>F48*'Assumptions-Output Override'!$D$10/'Winners-Losers Values PMPM'!$H$107</f>
        <v>6.8200213487923822</v>
      </c>
      <c r="BM48" s="401">
        <f>G48*'Assumptions-Output Override'!$D$10/'Winners-Losers Values PMPM'!$H$107</f>
        <v>2.4577468668519177E-3</v>
      </c>
      <c r="BN48" s="401">
        <f t="shared" si="2"/>
        <v>84.453865660134397</v>
      </c>
      <c r="BO48" s="401">
        <f>BJ48*(1-'Assumptions-Output Override'!$D$11)</f>
        <v>0.30868243660868999</v>
      </c>
      <c r="BP48" s="401">
        <f>BK48*(1-'Assumptions-Output Override'!$D$11)</f>
        <v>10.755325891365086</v>
      </c>
      <c r="BQ48" s="401">
        <f>BL48*(1-'Assumptions-Output Override'!$D$11)</f>
        <v>0.97198795924286086</v>
      </c>
      <c r="BR48" s="401">
        <f>BM48*(1-'Assumptions-Output Override'!$D$11)</f>
        <v>3.5027754889212074E-4</v>
      </c>
      <c r="BS48" s="352">
        <f t="shared" si="3"/>
        <v>12.036346564765529</v>
      </c>
      <c r="BT48" s="352">
        <f t="shared" si="19"/>
        <v>1.8572094220809985</v>
      </c>
      <c r="BU48" s="352">
        <f t="shared" si="19"/>
        <v>64.710168814420385</v>
      </c>
      <c r="BV48" s="352">
        <f t="shared" si="19"/>
        <v>5.8480333895495216</v>
      </c>
      <c r="BW48" s="352">
        <f t="shared" si="19"/>
        <v>2.1074693179597972E-3</v>
      </c>
      <c r="BX48" s="352">
        <f t="shared" si="4"/>
        <v>72.417519095368874</v>
      </c>
      <c r="BY48" s="352">
        <f>BT$107*(1-'Assumptions-Output Override'!$D$12)</f>
        <v>22.753074310428271</v>
      </c>
      <c r="BZ48" s="352">
        <f>BU$107*(1-'Assumptions-Output Override'!$D$12)</f>
        <v>51.446038369839215</v>
      </c>
      <c r="CA48" s="352">
        <f>BV$107*(1-'Assumptions-Output Override'!$D$12)</f>
        <v>9.7401900534537411</v>
      </c>
      <c r="CB48" s="352">
        <f>BW$107*(1-'Assumptions-Output Override'!$D$12)</f>
        <v>1.7000814189516649</v>
      </c>
      <c r="CC48" s="352">
        <f t="shared" si="5"/>
        <v>85.639384152672903</v>
      </c>
      <c r="CD48" s="352">
        <f t="shared" si="20"/>
        <v>23.061756747036963</v>
      </c>
      <c r="CE48" s="352">
        <f t="shared" si="20"/>
        <v>62.201364261204304</v>
      </c>
      <c r="CF48" s="352">
        <f t="shared" si="20"/>
        <v>10.712178012696603</v>
      </c>
      <c r="CG48" s="352">
        <f t="shared" si="20"/>
        <v>1.700431696500557</v>
      </c>
      <c r="CH48" s="352">
        <f t="shared" si="6"/>
        <v>97.675730717438427</v>
      </c>
      <c r="CJ48" s="352">
        <f t="shared" si="21"/>
        <v>97.675730717438427</v>
      </c>
      <c r="CK48" s="352">
        <f t="shared" si="22"/>
        <v>90.897784537365482</v>
      </c>
      <c r="CL48" s="352">
        <f t="shared" si="23"/>
        <v>6.777946180072945</v>
      </c>
      <c r="CN48" s="352">
        <f t="shared" si="24"/>
        <v>1.2819885406943241</v>
      </c>
      <c r="CO48" s="352">
        <f t="shared" si="24"/>
        <v>44.667926998522475</v>
      </c>
      <c r="CP48" s="352">
        <f t="shared" si="24"/>
        <v>4.0367616607284811</v>
      </c>
      <c r="CQ48" s="352">
        <f t="shared" si="24"/>
        <v>1.4547371359240882E-3</v>
      </c>
      <c r="CR48" s="352">
        <f t="shared" si="7"/>
        <v>49.988131937081199</v>
      </c>
      <c r="CT48" s="352">
        <f t="shared" si="32"/>
        <v>-0.88390331799536437</v>
      </c>
      <c r="CU48" s="352">
        <f t="shared" si="32"/>
        <v>-30.797567707262999</v>
      </c>
      <c r="CV48" s="352">
        <f t="shared" si="32"/>
        <v>-2.7832596880639011</v>
      </c>
      <c r="CW48" s="352">
        <f t="shared" si="32"/>
        <v>-1.0030097309278296E-3</v>
      </c>
      <c r="CX48" s="352">
        <f t="shared" si="9"/>
        <v>-34.465733723053198</v>
      </c>
      <c r="CZ48" s="352">
        <f t="shared" si="25"/>
        <v>22.595573199786681</v>
      </c>
      <c r="DA48" s="352">
        <f t="shared" si="25"/>
        <v>-23.851288973937685</v>
      </c>
      <c r="DB48" s="352">
        <f t="shared" si="25"/>
        <v>6.3336752921783512</v>
      </c>
      <c r="DC48" s="352">
        <f t="shared" si="25"/>
        <v>1.6999866620456043</v>
      </c>
      <c r="DD48" s="352">
        <f t="shared" si="26"/>
        <v>6.7779461800729521</v>
      </c>
      <c r="DF48" s="352">
        <f t="shared" si="27"/>
        <v>0.46618354725028222</v>
      </c>
      <c r="DG48" s="352">
        <f t="shared" si="27"/>
        <v>86.052653235141989</v>
      </c>
      <c r="DH48" s="352">
        <f t="shared" si="27"/>
        <v>4.3785027205182514</v>
      </c>
      <c r="DI48" s="352">
        <f t="shared" si="27"/>
        <v>4.4503445495265077E-4</v>
      </c>
      <c r="DJ48" s="352">
        <f t="shared" si="28"/>
        <v>90.897784537365482</v>
      </c>
    </row>
    <row r="49" spans="1:114" x14ac:dyDescent="0.2">
      <c r="A49">
        <v>44</v>
      </c>
      <c r="B49" s="397">
        <v>34308</v>
      </c>
      <c r="C49" s="398">
        <v>397997.79676138877</v>
      </c>
      <c r="D49" s="399">
        <v>1.5183561179968863</v>
      </c>
      <c r="E49" s="399">
        <v>46.527815767702748</v>
      </c>
      <c r="F49" s="399">
        <v>4.4907118258969767</v>
      </c>
      <c r="G49" s="399">
        <v>0</v>
      </c>
      <c r="H49" s="399">
        <v>52.536883711596616</v>
      </c>
      <c r="I49" s="400">
        <v>1.6579980952682659E-3</v>
      </c>
      <c r="J49" s="400">
        <v>1.937824259879764E-2</v>
      </c>
      <c r="K49" s="400">
        <v>7.5377301693923375E-6</v>
      </c>
      <c r="L49" s="400">
        <v>0.26995902969006197</v>
      </c>
      <c r="M49" s="400">
        <v>0.27645529923872247</v>
      </c>
      <c r="N49" s="400">
        <v>0.18291221859113913</v>
      </c>
      <c r="O49" s="399">
        <f t="shared" si="30"/>
        <v>0.41449952381706645</v>
      </c>
      <c r="P49" s="399">
        <f t="shared" si="30"/>
        <v>0</v>
      </c>
      <c r="Q49" s="399">
        <f t="shared" si="30"/>
        <v>7.5377301693923373E-3</v>
      </c>
      <c r="R49" s="399">
        <f t="shared" si="30"/>
        <v>5.6050150918689043</v>
      </c>
      <c r="S49" s="399">
        <f t="shared" si="30"/>
        <v>8.2936589771616749</v>
      </c>
      <c r="T49" s="399">
        <f t="shared" si="30"/>
        <v>10.974733115468348</v>
      </c>
      <c r="U49" s="399">
        <f t="shared" si="10"/>
        <v>25.295444438485386</v>
      </c>
      <c r="V49" s="400">
        <v>6.3319682250556242E-5</v>
      </c>
      <c r="W49" s="400">
        <v>2.8493857012750132E-3</v>
      </c>
      <c r="X49" s="400">
        <v>0</v>
      </c>
      <c r="Y49" s="400">
        <v>4.1710659372682993E-2</v>
      </c>
      <c r="Z49" s="400">
        <v>1.3708116086056679E-2</v>
      </c>
      <c r="AA49" s="400">
        <v>1.1231519461601258E-2</v>
      </c>
      <c r="AB49" s="352">
        <f t="shared" si="31"/>
        <v>1.5829920562639061E-2</v>
      </c>
      <c r="AC49" s="352">
        <f t="shared" si="31"/>
        <v>0</v>
      </c>
      <c r="AD49" s="352">
        <f t="shared" si="31"/>
        <v>0</v>
      </c>
      <c r="AE49" s="352">
        <f t="shared" si="31"/>
        <v>1.4785776249626159</v>
      </c>
      <c r="AF49" s="352">
        <f t="shared" si="31"/>
        <v>0.41124348258170035</v>
      </c>
      <c r="AG49" s="352">
        <f t="shared" si="31"/>
        <v>0.67389116769607549</v>
      </c>
      <c r="AH49" s="400">
        <f t="shared" si="11"/>
        <v>2.5795421958030307</v>
      </c>
      <c r="AJ49" s="352">
        <f>D49*('Assumptions-Output Override'!$D$10/'Winners-Losers Values PMPM'!$H$107)*(1+'Assumptions-Output Override'!$F$41)</f>
        <v>1.8123280757189135</v>
      </c>
      <c r="AK49" s="352">
        <f>E49*('Assumptions-Output Override'!$D$10/'Winners-Losers Values PMPM'!$H$107)*(1+'Assumptions-Output Override'!$F$37)</f>
        <v>76.574487973390973</v>
      </c>
      <c r="AL49" s="352">
        <f>F49*('Assumptions-Output Override'!$D$10/'Winners-Losers Values PMPM'!$H$107)*(1+'Assumptions-Output Override'!$F$38)</f>
        <v>7.5437041146280501</v>
      </c>
      <c r="AM49" s="352">
        <f>G49*('Shoppable Detail'!$X$21/'Shoppable Detail'!$H$21)*('Assumptions-Output Override'!$D$10/'Winners-Losers Values PMPM'!$H$107)*(1+'Assumptions-Output Override'!$F$39)</f>
        <v>0</v>
      </c>
      <c r="AN49" s="352">
        <f t="shared" si="12"/>
        <v>85.930520163737938</v>
      </c>
      <c r="AO49" s="352">
        <v>0</v>
      </c>
      <c r="AP49" s="352">
        <f>U49*'Assumptions-Output Override'!$D$10/'Winners-Losers Values PMPM'!$H$107*(1+'Assumptions-Output Override'!$F$37)</f>
        <v>41.630703568959198</v>
      </c>
      <c r="AQ49" s="352">
        <f>AH49*'Assumptions-Output Override'!$D$10/'Winners-Losers Values PMPM'!$H$107*(1+'Assumptions-Output Override'!$F$38)</f>
        <v>4.3332335341845685</v>
      </c>
      <c r="AR49" s="352">
        <f>AM49*('Shoppable Detail'!$AA$23/'Shoppable Detail'!$Y$23)</f>
        <v>0</v>
      </c>
      <c r="AS49" s="352">
        <f t="shared" si="13"/>
        <v>45.963937103143763</v>
      </c>
      <c r="AT49" s="352">
        <f t="shared" si="14"/>
        <v>1.8123280757189135</v>
      </c>
      <c r="AU49" s="352">
        <f t="shared" si="14"/>
        <v>34.943784404431774</v>
      </c>
      <c r="AV49" s="352">
        <f t="shared" si="14"/>
        <v>3.2104705804434817</v>
      </c>
      <c r="AW49" s="352">
        <f t="shared" si="14"/>
        <v>0</v>
      </c>
      <c r="AX49" s="352">
        <f t="shared" si="15"/>
        <v>39.966583060594175</v>
      </c>
      <c r="AY49" s="352">
        <f>AT49*'Assumptions-Output Override'!$D$24</f>
        <v>0.55213648063780252</v>
      </c>
      <c r="AZ49" s="352">
        <f>$AU$107*'Assumptions-Output Override'!$D$21</f>
        <v>46.041131296780591</v>
      </c>
      <c r="BA49" s="352">
        <f>AV49*'Assumptions-Output Override'!$D$22</f>
        <v>0.48157058706652223</v>
      </c>
      <c r="BB49" s="352">
        <f>AW49*'Assumptions-Output Override'!$D$23</f>
        <v>0</v>
      </c>
      <c r="BC49" s="352">
        <f t="shared" si="16"/>
        <v>47.074838364484918</v>
      </c>
      <c r="BD49" s="352">
        <f t="shared" si="17"/>
        <v>0.55213648063780252</v>
      </c>
      <c r="BE49" s="352">
        <f t="shared" si="17"/>
        <v>87.671834865739783</v>
      </c>
      <c r="BF49" s="352">
        <f t="shared" si="17"/>
        <v>4.8148041212510906</v>
      </c>
      <c r="BG49" s="352">
        <f t="shared" si="17"/>
        <v>0</v>
      </c>
      <c r="BH49" s="352">
        <f t="shared" si="18"/>
        <v>93.038775467628668</v>
      </c>
      <c r="BJ49" s="401">
        <f>D49*'Assumptions-Output Override'!$D$10/'Winners-Losers Values PMPM'!$H$107</f>
        <v>2.5652297584345294</v>
      </c>
      <c r="BK49" s="401">
        <f>E49*'Assumptions-Output Override'!$D$10/'Winners-Losers Values PMPM'!$H$107</f>
        <v>78.607736477349363</v>
      </c>
      <c r="BL49" s="401">
        <f>F49*'Assumptions-Output Override'!$D$10/'Winners-Losers Values PMPM'!$H$107</f>
        <v>7.5869603157013845</v>
      </c>
      <c r="BM49" s="401">
        <f>G49*'Assumptions-Output Override'!$D$10/'Winners-Losers Values PMPM'!$H$107</f>
        <v>0</v>
      </c>
      <c r="BN49" s="401">
        <f t="shared" si="2"/>
        <v>88.759926551485279</v>
      </c>
      <c r="BO49" s="401">
        <f>BJ49*(1-'Assumptions-Output Override'!$D$11)</f>
        <v>0.36559598722243525</v>
      </c>
      <c r="BP49" s="401">
        <f>BK49*(1-'Assumptions-Output Override'!$D$11)</f>
        <v>11.203157505195865</v>
      </c>
      <c r="BQ49" s="401">
        <f>BL49*(1-'Assumptions-Output Override'!$D$11)</f>
        <v>1.0812919339938647</v>
      </c>
      <c r="BR49" s="401">
        <f>BM49*(1-'Assumptions-Output Override'!$D$11)</f>
        <v>0</v>
      </c>
      <c r="BS49" s="352">
        <f t="shared" si="3"/>
        <v>12.650045426412163</v>
      </c>
      <c r="BT49" s="352">
        <f t="shared" si="19"/>
        <v>2.1996337712120941</v>
      </c>
      <c r="BU49" s="352">
        <f t="shared" si="19"/>
        <v>67.404578972153502</v>
      </c>
      <c r="BV49" s="352">
        <f t="shared" si="19"/>
        <v>6.5056683817075198</v>
      </c>
      <c r="BW49" s="352">
        <f t="shared" si="19"/>
        <v>0</v>
      </c>
      <c r="BX49" s="352">
        <f t="shared" si="4"/>
        <v>76.109881125073116</v>
      </c>
      <c r="BY49" s="352">
        <f>BT$107*(1-'Assumptions-Output Override'!$D$12)</f>
        <v>22.753074310428271</v>
      </c>
      <c r="BZ49" s="352">
        <f>BU$107*(1-'Assumptions-Output Override'!$D$12)</f>
        <v>51.446038369839215</v>
      </c>
      <c r="CA49" s="352">
        <f>BV$107*(1-'Assumptions-Output Override'!$D$12)</f>
        <v>9.7401900534537411</v>
      </c>
      <c r="CB49" s="352">
        <f>BW$107*(1-'Assumptions-Output Override'!$D$12)</f>
        <v>1.7000814189516649</v>
      </c>
      <c r="CC49" s="352">
        <f t="shared" si="5"/>
        <v>85.639384152672903</v>
      </c>
      <c r="CD49" s="352">
        <f t="shared" si="20"/>
        <v>23.118670297650706</v>
      </c>
      <c r="CE49" s="352">
        <f t="shared" si="20"/>
        <v>62.649195875035076</v>
      </c>
      <c r="CF49" s="352">
        <f t="shared" si="20"/>
        <v>10.821481987447605</v>
      </c>
      <c r="CG49" s="352">
        <f t="shared" si="20"/>
        <v>1.7000814189516649</v>
      </c>
      <c r="CH49" s="352">
        <f t="shared" si="6"/>
        <v>98.289429579085066</v>
      </c>
      <c r="CJ49" s="352">
        <f t="shared" si="21"/>
        <v>98.289429579085066</v>
      </c>
      <c r="CK49" s="352">
        <f t="shared" si="22"/>
        <v>93.038775467628668</v>
      </c>
      <c r="CL49" s="352">
        <f t="shared" si="23"/>
        <v>5.2506541114563987</v>
      </c>
      <c r="CN49" s="352">
        <f t="shared" si="24"/>
        <v>1.5183561179968863</v>
      </c>
      <c r="CO49" s="352">
        <f t="shared" si="24"/>
        <v>46.527815767702748</v>
      </c>
      <c r="CP49" s="352">
        <f t="shared" si="24"/>
        <v>4.4907118258969767</v>
      </c>
      <c r="CQ49" s="352">
        <f t="shared" si="24"/>
        <v>0</v>
      </c>
      <c r="CR49" s="352">
        <f t="shared" si="7"/>
        <v>52.536883711596616</v>
      </c>
      <c r="CT49" s="352">
        <f t="shared" si="32"/>
        <v>-1.0468736404376431</v>
      </c>
      <c r="CU49" s="352">
        <f t="shared" si="32"/>
        <v>-32.079920709646615</v>
      </c>
      <c r="CV49" s="352">
        <f t="shared" si="32"/>
        <v>-3.0962484898044078</v>
      </c>
      <c r="CW49" s="352">
        <f t="shared" si="32"/>
        <v>0</v>
      </c>
      <c r="CX49" s="352">
        <f t="shared" si="9"/>
        <v>-36.22304283988867</v>
      </c>
      <c r="CZ49" s="352">
        <f t="shared" si="25"/>
        <v>22.566533817012903</v>
      </c>
      <c r="DA49" s="352">
        <f t="shared" si="25"/>
        <v>-25.022638990704706</v>
      </c>
      <c r="DB49" s="352">
        <f t="shared" si="25"/>
        <v>6.0066778661965143</v>
      </c>
      <c r="DC49" s="352">
        <f t="shared" si="25"/>
        <v>1.7000814189516649</v>
      </c>
      <c r="DD49" s="352">
        <f t="shared" si="26"/>
        <v>5.2506541114563756</v>
      </c>
      <c r="DF49" s="352">
        <f t="shared" si="27"/>
        <v>0.55213648063780252</v>
      </c>
      <c r="DG49" s="352">
        <f t="shared" si="27"/>
        <v>87.671834865739783</v>
      </c>
      <c r="DH49" s="352">
        <f t="shared" si="27"/>
        <v>4.8148041212510906</v>
      </c>
      <c r="DI49" s="352">
        <f t="shared" si="27"/>
        <v>0</v>
      </c>
      <c r="DJ49" s="352">
        <f t="shared" si="28"/>
        <v>93.038775467628668</v>
      </c>
    </row>
    <row r="50" spans="1:114" x14ac:dyDescent="0.2">
      <c r="A50">
        <v>45</v>
      </c>
      <c r="B50" s="397">
        <v>34308</v>
      </c>
      <c r="C50" s="398">
        <v>397997.79676138877</v>
      </c>
      <c r="D50" s="399">
        <v>1.7734576898084891</v>
      </c>
      <c r="E50" s="399">
        <v>48.804586533041089</v>
      </c>
      <c r="F50" s="399">
        <v>4.6414724351188239</v>
      </c>
      <c r="G50" s="399">
        <v>0</v>
      </c>
      <c r="H50" s="399">
        <v>55.219516657968398</v>
      </c>
      <c r="I50" s="400">
        <v>1.9673912688021578E-3</v>
      </c>
      <c r="J50" s="400">
        <v>1.9577851097851894E-2</v>
      </c>
      <c r="K50" s="400">
        <v>1.0050306892523117E-5</v>
      </c>
      <c r="L50" s="400">
        <v>0.27645778868330001</v>
      </c>
      <c r="M50" s="400">
        <v>0.28572022489912691</v>
      </c>
      <c r="N50" s="400">
        <v>0.18843767631451752</v>
      </c>
      <c r="O50" s="399">
        <f t="shared" si="30"/>
        <v>0.49184781720053944</v>
      </c>
      <c r="P50" s="399">
        <f t="shared" si="30"/>
        <v>0</v>
      </c>
      <c r="Q50" s="399">
        <f t="shared" si="30"/>
        <v>1.0050306892523116E-2</v>
      </c>
      <c r="R50" s="399">
        <f t="shared" si="30"/>
        <v>5.739945352498963</v>
      </c>
      <c r="S50" s="399">
        <f t="shared" si="30"/>
        <v>8.5716067469738064</v>
      </c>
      <c r="T50" s="399">
        <f t="shared" si="30"/>
        <v>11.306260578871051</v>
      </c>
      <c r="U50" s="399">
        <f t="shared" si="10"/>
        <v>26.119710802436884</v>
      </c>
      <c r="V50" s="400">
        <v>7.2010619030044384E-5</v>
      </c>
      <c r="W50" s="400">
        <v>3.0393447480266877E-3</v>
      </c>
      <c r="X50" s="400">
        <v>5.0251534462615584E-6</v>
      </c>
      <c r="Y50" s="400">
        <v>4.1866673323555245E-2</v>
      </c>
      <c r="Z50" s="400">
        <v>1.4269827738279769E-2</v>
      </c>
      <c r="AA50" s="400">
        <v>1.1185388552964602E-2</v>
      </c>
      <c r="AB50" s="352">
        <f t="shared" si="31"/>
        <v>1.8002654757511095E-2</v>
      </c>
      <c r="AC50" s="352">
        <f t="shared" si="31"/>
        <v>0</v>
      </c>
      <c r="AD50" s="352">
        <f t="shared" si="31"/>
        <v>5.0251534462615582E-3</v>
      </c>
      <c r="AE50" s="352">
        <f t="shared" si="31"/>
        <v>1.4841080754616267</v>
      </c>
      <c r="AF50" s="352">
        <f t="shared" si="31"/>
        <v>0.42809483214839306</v>
      </c>
      <c r="AG50" s="352">
        <f t="shared" si="31"/>
        <v>0.6711233131778761</v>
      </c>
      <c r="AH50" s="400">
        <f t="shared" si="11"/>
        <v>2.6063540289916687</v>
      </c>
      <c r="AJ50" s="352">
        <f>D50*('Assumptions-Output Override'!$D$10/'Winners-Losers Values PMPM'!$H$107)*(1+'Assumptions-Output Override'!$F$41)</f>
        <v>2.1168203718767642</v>
      </c>
      <c r="AK50" s="352">
        <f>E50*('Assumptions-Output Override'!$D$10/'Winners-Losers Values PMPM'!$H$107)*(1+'Assumptions-Output Override'!$F$37)</f>
        <v>80.321548795222824</v>
      </c>
      <c r="AL50" s="352">
        <f>F50*('Assumptions-Output Override'!$D$10/'Winners-Losers Values PMPM'!$H$107)*(1+'Assumptions-Output Override'!$F$38)</f>
        <v>7.7969587148346697</v>
      </c>
      <c r="AM50" s="352">
        <f>G50*('Shoppable Detail'!$X$21/'Shoppable Detail'!$H$21)*('Assumptions-Output Override'!$D$10/'Winners-Losers Values PMPM'!$H$107)*(1+'Assumptions-Output Override'!$F$39)</f>
        <v>0</v>
      </c>
      <c r="AN50" s="352">
        <f t="shared" si="12"/>
        <v>90.235327881934268</v>
      </c>
      <c r="AO50" s="352">
        <v>0</v>
      </c>
      <c r="AP50" s="352">
        <f>U50*'Assumptions-Output Override'!$D$10/'Winners-Losers Values PMPM'!$H$107*(1+'Assumptions-Output Override'!$F$37)</f>
        <v>42.987263590783549</v>
      </c>
      <c r="AQ50" s="352">
        <f>AH50*'Assumptions-Output Override'!$D$10/'Winners-Losers Values PMPM'!$H$107*(1+'Assumptions-Output Override'!$F$38)</f>
        <v>4.3782732838250285</v>
      </c>
      <c r="AR50" s="352">
        <f>AM50*('Shoppable Detail'!$AA$23/'Shoppable Detail'!$Y$23)</f>
        <v>0</v>
      </c>
      <c r="AS50" s="352">
        <f t="shared" si="13"/>
        <v>47.36553687460858</v>
      </c>
      <c r="AT50" s="352">
        <f t="shared" si="14"/>
        <v>2.1168203718767642</v>
      </c>
      <c r="AU50" s="352">
        <f t="shared" si="14"/>
        <v>37.334285204439276</v>
      </c>
      <c r="AV50" s="352">
        <f t="shared" si="14"/>
        <v>3.4186854310096413</v>
      </c>
      <c r="AW50" s="352">
        <f t="shared" si="14"/>
        <v>0</v>
      </c>
      <c r="AX50" s="352">
        <f t="shared" si="15"/>
        <v>42.869791007325681</v>
      </c>
      <c r="AY50" s="352">
        <f>AT50*'Assumptions-Output Override'!$D$24</f>
        <v>0.6449018618258795</v>
      </c>
      <c r="AZ50" s="352">
        <f>$AU$107*'Assumptions-Output Override'!$D$21</f>
        <v>46.041131296780591</v>
      </c>
      <c r="BA50" s="352">
        <f>AV50*'Assumptions-Output Override'!$D$22</f>
        <v>0.51280281465144617</v>
      </c>
      <c r="BB50" s="352">
        <f>AW50*'Assumptions-Output Override'!$D$23</f>
        <v>0</v>
      </c>
      <c r="BC50" s="352">
        <f t="shared" si="16"/>
        <v>47.198835973257914</v>
      </c>
      <c r="BD50" s="352">
        <f t="shared" si="17"/>
        <v>0.6449018618258795</v>
      </c>
      <c r="BE50" s="352">
        <f t="shared" si="17"/>
        <v>89.028394887564133</v>
      </c>
      <c r="BF50" s="352">
        <f t="shared" si="17"/>
        <v>4.891076098476475</v>
      </c>
      <c r="BG50" s="352">
        <f t="shared" si="17"/>
        <v>0</v>
      </c>
      <c r="BH50" s="352">
        <f t="shared" si="18"/>
        <v>94.564372847866494</v>
      </c>
      <c r="BJ50" s="401">
        <f>D50*'Assumptions-Output Override'!$D$10/'Winners-Losers Values PMPM'!$H$107</f>
        <v>2.9962183359349552</v>
      </c>
      <c r="BK50" s="401">
        <f>E50*'Assumptions-Output Override'!$D$10/'Winners-Losers Values PMPM'!$H$107</f>
        <v>82.454291347549869</v>
      </c>
      <c r="BL50" s="401">
        <f>F50*'Assumptions-Output Override'!$D$10/'Winners-Losers Values PMPM'!$H$107</f>
        <v>7.841667097984983</v>
      </c>
      <c r="BM50" s="401">
        <f>G50*'Assumptions-Output Override'!$D$10/'Winners-Losers Values PMPM'!$H$107</f>
        <v>0</v>
      </c>
      <c r="BN50" s="401">
        <f t="shared" si="2"/>
        <v>93.292176781469806</v>
      </c>
      <c r="BO50" s="401">
        <f>BJ50*(1-'Assumptions-Output Override'!$D$11)</f>
        <v>0.42702038554573368</v>
      </c>
      <c r="BP50" s="401">
        <f>BK50*(1-'Assumptions-Output Override'!$D$11)</f>
        <v>11.751367668652891</v>
      </c>
      <c r="BQ50" s="401">
        <f>BL50*(1-'Assumptions-Output Override'!$D$11)</f>
        <v>1.1175926892049883</v>
      </c>
      <c r="BR50" s="401">
        <f>BM50*(1-'Assumptions-Output Override'!$D$11)</f>
        <v>0</v>
      </c>
      <c r="BS50" s="352">
        <f t="shared" si="3"/>
        <v>13.295980743403613</v>
      </c>
      <c r="BT50" s="352">
        <f t="shared" si="19"/>
        <v>2.5691979503892215</v>
      </c>
      <c r="BU50" s="352">
        <f t="shared" si="19"/>
        <v>70.70292367889698</v>
      </c>
      <c r="BV50" s="352">
        <f t="shared" si="19"/>
        <v>6.7240744087799946</v>
      </c>
      <c r="BW50" s="352">
        <f t="shared" si="19"/>
        <v>0</v>
      </c>
      <c r="BX50" s="352">
        <f t="shared" si="4"/>
        <v>79.996196038066202</v>
      </c>
      <c r="BY50" s="352">
        <f>BT$107*(1-'Assumptions-Output Override'!$D$12)</f>
        <v>22.753074310428271</v>
      </c>
      <c r="BZ50" s="352">
        <f>BU$107*(1-'Assumptions-Output Override'!$D$12)</f>
        <v>51.446038369839215</v>
      </c>
      <c r="CA50" s="352">
        <f>BV$107*(1-'Assumptions-Output Override'!$D$12)</f>
        <v>9.7401900534537411</v>
      </c>
      <c r="CB50" s="352">
        <f>BW$107*(1-'Assumptions-Output Override'!$D$12)</f>
        <v>1.7000814189516649</v>
      </c>
      <c r="CC50" s="352">
        <f t="shared" si="5"/>
        <v>85.639384152672903</v>
      </c>
      <c r="CD50" s="352">
        <f t="shared" si="20"/>
        <v>23.180094695974006</v>
      </c>
      <c r="CE50" s="352">
        <f t="shared" si="20"/>
        <v>63.197406038492105</v>
      </c>
      <c r="CF50" s="352">
        <f t="shared" si="20"/>
        <v>10.857782742658729</v>
      </c>
      <c r="CG50" s="352">
        <f t="shared" si="20"/>
        <v>1.7000814189516649</v>
      </c>
      <c r="CH50" s="352">
        <f t="shared" si="6"/>
        <v>98.935364896076507</v>
      </c>
      <c r="CJ50" s="352">
        <f t="shared" si="21"/>
        <v>98.935364896076507</v>
      </c>
      <c r="CK50" s="352">
        <f t="shared" si="22"/>
        <v>94.564372847866494</v>
      </c>
      <c r="CL50" s="352">
        <f t="shared" si="23"/>
        <v>4.3709920482100131</v>
      </c>
      <c r="CN50" s="352">
        <f t="shared" si="24"/>
        <v>1.7734576898084891</v>
      </c>
      <c r="CO50" s="352">
        <f t="shared" si="24"/>
        <v>48.804586533041089</v>
      </c>
      <c r="CP50" s="352">
        <f t="shared" si="24"/>
        <v>4.6414724351188239</v>
      </c>
      <c r="CQ50" s="352">
        <f t="shared" si="24"/>
        <v>0</v>
      </c>
      <c r="CR50" s="352">
        <f t="shared" si="7"/>
        <v>55.219516657968398</v>
      </c>
      <c r="CT50" s="352">
        <f t="shared" si="32"/>
        <v>-1.2227606461264662</v>
      </c>
      <c r="CU50" s="352">
        <f t="shared" si="32"/>
        <v>-33.64970481450878</v>
      </c>
      <c r="CV50" s="352">
        <f t="shared" si="32"/>
        <v>-3.2001946628661591</v>
      </c>
      <c r="CW50" s="352">
        <f t="shared" si="32"/>
        <v>0</v>
      </c>
      <c r="CX50" s="352">
        <f t="shared" si="9"/>
        <v>-38.072660123501407</v>
      </c>
      <c r="CZ50" s="352">
        <f t="shared" si="25"/>
        <v>22.535192834148127</v>
      </c>
      <c r="DA50" s="352">
        <f t="shared" si="25"/>
        <v>-25.830988849072028</v>
      </c>
      <c r="DB50" s="352">
        <f t="shared" si="25"/>
        <v>5.9667066441822545</v>
      </c>
      <c r="DC50" s="352">
        <f t="shared" si="25"/>
        <v>1.7000814189516649</v>
      </c>
      <c r="DD50" s="352">
        <f t="shared" si="26"/>
        <v>4.3709920482100184</v>
      </c>
      <c r="DF50" s="352">
        <f t="shared" si="27"/>
        <v>0.6449018618258795</v>
      </c>
      <c r="DG50" s="352">
        <f t="shared" si="27"/>
        <v>89.028394887564133</v>
      </c>
      <c r="DH50" s="352">
        <f t="shared" si="27"/>
        <v>4.891076098476475</v>
      </c>
      <c r="DI50" s="352">
        <f t="shared" si="27"/>
        <v>0</v>
      </c>
      <c r="DJ50" s="352">
        <f t="shared" si="28"/>
        <v>94.564372847866494</v>
      </c>
    </row>
    <row r="51" spans="1:114" x14ac:dyDescent="0.2">
      <c r="A51">
        <v>46</v>
      </c>
      <c r="B51" s="397">
        <v>34308</v>
      </c>
      <c r="C51" s="398">
        <v>397997.79676138877</v>
      </c>
      <c r="D51" s="399">
        <v>1.9536645764031031</v>
      </c>
      <c r="E51" s="399">
        <v>51.002775868435862</v>
      </c>
      <c r="F51" s="399">
        <v>5.0472980343620897</v>
      </c>
      <c r="G51" s="399">
        <v>3.3898632141216084E-3</v>
      </c>
      <c r="H51" s="399">
        <v>58.007128342415186</v>
      </c>
      <c r="I51" s="400">
        <v>2.0497297746619775E-3</v>
      </c>
      <c r="J51" s="400">
        <v>2.147537939198484E-2</v>
      </c>
      <c r="K51" s="400">
        <v>1.0050306892523117E-5</v>
      </c>
      <c r="L51" s="400">
        <v>0.28455072909275675</v>
      </c>
      <c r="M51" s="400">
        <v>0.29499510036335991</v>
      </c>
      <c r="N51" s="400">
        <v>0.19343247783395762</v>
      </c>
      <c r="O51" s="399">
        <f t="shared" si="30"/>
        <v>0.51243244366549434</v>
      </c>
      <c r="P51" s="399">
        <f t="shared" si="30"/>
        <v>0</v>
      </c>
      <c r="Q51" s="399">
        <f t="shared" si="30"/>
        <v>1.0050306892523116E-2</v>
      </c>
      <c r="R51" s="399">
        <f t="shared" si="30"/>
        <v>5.9079747500882176</v>
      </c>
      <c r="S51" s="399">
        <f t="shared" si="30"/>
        <v>8.849853010900798</v>
      </c>
      <c r="T51" s="399">
        <f t="shared" si="30"/>
        <v>11.605948670037456</v>
      </c>
      <c r="U51" s="399">
        <f t="shared" si="10"/>
        <v>26.886259181584489</v>
      </c>
      <c r="V51" s="400">
        <v>1.3408873888353073E-4</v>
      </c>
      <c r="W51" s="400">
        <v>3.3844990944120715E-3</v>
      </c>
      <c r="X51" s="400">
        <v>2.5125767231307792E-6</v>
      </c>
      <c r="Y51" s="400">
        <v>4.4779299969772556E-2</v>
      </c>
      <c r="Z51" s="400">
        <v>1.5112847480424484E-2</v>
      </c>
      <c r="AA51" s="400">
        <v>1.1861975212969233E-2</v>
      </c>
      <c r="AB51" s="352">
        <f t="shared" si="31"/>
        <v>3.3522184720882683E-2</v>
      </c>
      <c r="AC51" s="352">
        <f t="shared" si="31"/>
        <v>0</v>
      </c>
      <c r="AD51" s="352">
        <f t="shared" si="31"/>
        <v>2.5125767231307791E-3</v>
      </c>
      <c r="AE51" s="352">
        <f t="shared" si="31"/>
        <v>1.5873561337214597</v>
      </c>
      <c r="AF51" s="352">
        <f t="shared" si="31"/>
        <v>0.45338542441273449</v>
      </c>
      <c r="AG51" s="352">
        <f t="shared" si="31"/>
        <v>0.71171851277815401</v>
      </c>
      <c r="AH51" s="400">
        <f t="shared" si="11"/>
        <v>2.7884948323563616</v>
      </c>
      <c r="AJ51" s="352">
        <f>D51*('Assumptions-Output Override'!$D$10/'Winners-Losers Values PMPM'!$H$107)*(1+'Assumptions-Output Override'!$F$41)</f>
        <v>2.3319174733684598</v>
      </c>
      <c r="AK51" s="352">
        <f>E51*('Assumptions-Output Override'!$D$10/'Winners-Losers Values PMPM'!$H$107)*(1+'Assumptions-Output Override'!$F$37)</f>
        <v>83.939281973732918</v>
      </c>
      <c r="AL51" s="352">
        <f>F51*('Assumptions-Output Override'!$D$10/'Winners-Losers Values PMPM'!$H$107)*(1+'Assumptions-Output Override'!$F$38)</f>
        <v>8.4786832078600778</v>
      </c>
      <c r="AM51" s="352">
        <f>G51*('Shoppable Detail'!$X$21/'Shoppable Detail'!$H$21)*('Assumptions-Output Override'!$D$10/'Winners-Losers Values PMPM'!$H$107)*(1+'Assumptions-Output Override'!$F$39)</f>
        <v>5.8129098598050646E-3</v>
      </c>
      <c r="AN51" s="352">
        <f t="shared" si="12"/>
        <v>94.755695564821252</v>
      </c>
      <c r="AO51" s="352">
        <v>0</v>
      </c>
      <c r="AP51" s="352">
        <f>U51*'Assumptions-Output Override'!$D$10/'Winners-Losers Values PMPM'!$H$107*(1+'Assumptions-Output Override'!$F$37)</f>
        <v>44.248832582827355</v>
      </c>
      <c r="AQ51" s="352">
        <f>AH51*'Assumptions-Output Override'!$D$10/'Winners-Losers Values PMPM'!$H$107*(1+'Assumptions-Output Override'!$F$38)</f>
        <v>4.6842417763611639</v>
      </c>
      <c r="AR51" s="352">
        <f>AM51*('Shoppable Detail'!$AA$23/'Shoppable Detail'!$Y$23)</f>
        <v>1.9422757135103706E-4</v>
      </c>
      <c r="AS51" s="352">
        <f t="shared" si="13"/>
        <v>48.933268586759866</v>
      </c>
      <c r="AT51" s="352">
        <f t="shared" si="14"/>
        <v>2.3319174733684598</v>
      </c>
      <c r="AU51" s="352">
        <f t="shared" si="14"/>
        <v>39.690449390905563</v>
      </c>
      <c r="AV51" s="352">
        <f t="shared" si="14"/>
        <v>3.7944414314989139</v>
      </c>
      <c r="AW51" s="352">
        <f t="shared" si="14"/>
        <v>5.6186822884540279E-3</v>
      </c>
      <c r="AX51" s="352">
        <f t="shared" si="15"/>
        <v>45.822426978061387</v>
      </c>
      <c r="AY51" s="352">
        <f>AT51*'Assumptions-Output Override'!$D$24</f>
        <v>0.71043246757225154</v>
      </c>
      <c r="AZ51" s="352">
        <f>$AU$107*'Assumptions-Output Override'!$D$21</f>
        <v>46.041131296780591</v>
      </c>
      <c r="BA51" s="352">
        <f>AV51*'Assumptions-Output Override'!$D$22</f>
        <v>0.56916621472483708</v>
      </c>
      <c r="BB51" s="352">
        <f>AW51*'Assumptions-Output Override'!$D$23</f>
        <v>8.4280234326810418E-4</v>
      </c>
      <c r="BC51" s="352">
        <f t="shared" si="16"/>
        <v>47.321572781420954</v>
      </c>
      <c r="BD51" s="352">
        <f t="shared" si="17"/>
        <v>0.71043246757225154</v>
      </c>
      <c r="BE51" s="352">
        <f t="shared" si="17"/>
        <v>90.289963879607939</v>
      </c>
      <c r="BF51" s="352">
        <f t="shared" si="17"/>
        <v>5.253407991086001</v>
      </c>
      <c r="BG51" s="352">
        <f t="shared" si="17"/>
        <v>1.0370299146191413E-3</v>
      </c>
      <c r="BH51" s="352">
        <f t="shared" si="18"/>
        <v>96.254841368180806</v>
      </c>
      <c r="BJ51" s="401">
        <f>D51*'Assumptions-Output Override'!$D$10/'Winners-Losers Values PMPM'!$H$107</f>
        <v>3.3006739657362165</v>
      </c>
      <c r="BK51" s="401">
        <f>E51*'Assumptions-Output Override'!$D$10/'Winners-Losers Values PMPM'!$H$107</f>
        <v>86.168084594727787</v>
      </c>
      <c r="BL51" s="401">
        <f>F51*'Assumptions-Output Override'!$D$10/'Winners-Losers Values PMPM'!$H$107</f>
        <v>8.5273006536272202</v>
      </c>
      <c r="BM51" s="401">
        <f>G51*'Assumptions-Output Override'!$D$10/'Winners-Losers Values PMPM'!$H$107</f>
        <v>5.7271004416008173E-3</v>
      </c>
      <c r="BN51" s="401">
        <f t="shared" si="2"/>
        <v>98.001786314532836</v>
      </c>
      <c r="BO51" s="401">
        <f>BJ51*(1-'Assumptions-Output Override'!$D$11)</f>
        <v>0.47041133568446419</v>
      </c>
      <c r="BP51" s="401">
        <f>BK51*(1-'Assumptions-Output Override'!$D$11)</f>
        <v>12.28065667447302</v>
      </c>
      <c r="BQ51" s="401">
        <f>BL51*(1-'Assumptions-Output Override'!$D$11)</f>
        <v>1.2153090344265658</v>
      </c>
      <c r="BR51" s="401">
        <f>BM51*(1-'Assumptions-Output Override'!$D$11)</f>
        <v>8.1622510926540625E-4</v>
      </c>
      <c r="BS51" s="352">
        <f t="shared" si="3"/>
        <v>13.967193269693315</v>
      </c>
      <c r="BT51" s="352">
        <f t="shared" si="19"/>
        <v>2.8302626300517524</v>
      </c>
      <c r="BU51" s="352">
        <f t="shared" si="19"/>
        <v>73.887427920254765</v>
      </c>
      <c r="BV51" s="352">
        <f t="shared" si="19"/>
        <v>7.3119916192006542</v>
      </c>
      <c r="BW51" s="352">
        <f t="shared" si="19"/>
        <v>4.9108753323354112E-3</v>
      </c>
      <c r="BX51" s="352">
        <f t="shared" si="4"/>
        <v>84.034593044839511</v>
      </c>
      <c r="BY51" s="352">
        <f>BT$107*(1-'Assumptions-Output Override'!$D$12)</f>
        <v>22.753074310428271</v>
      </c>
      <c r="BZ51" s="352">
        <f>BU$107*(1-'Assumptions-Output Override'!$D$12)</f>
        <v>51.446038369839215</v>
      </c>
      <c r="CA51" s="352">
        <f>BV$107*(1-'Assumptions-Output Override'!$D$12)</f>
        <v>9.7401900534537411</v>
      </c>
      <c r="CB51" s="352">
        <f>BW$107*(1-'Assumptions-Output Override'!$D$12)</f>
        <v>1.7000814189516649</v>
      </c>
      <c r="CC51" s="352">
        <f t="shared" si="5"/>
        <v>85.639384152672903</v>
      </c>
      <c r="CD51" s="352">
        <f t="shared" si="20"/>
        <v>23.223485646112735</v>
      </c>
      <c r="CE51" s="352">
        <f t="shared" si="20"/>
        <v>63.726695044312237</v>
      </c>
      <c r="CF51" s="352">
        <f t="shared" si="20"/>
        <v>10.955499087880307</v>
      </c>
      <c r="CG51" s="352">
        <f t="shared" si="20"/>
        <v>1.7008976440609302</v>
      </c>
      <c r="CH51" s="352">
        <f t="shared" si="6"/>
        <v>99.606577422366215</v>
      </c>
      <c r="CJ51" s="352">
        <f t="shared" si="21"/>
        <v>99.606577422366215</v>
      </c>
      <c r="CK51" s="352">
        <f t="shared" si="22"/>
        <v>96.254841368180806</v>
      </c>
      <c r="CL51" s="352">
        <f t="shared" si="23"/>
        <v>3.3517360541854089</v>
      </c>
      <c r="CN51" s="352">
        <f t="shared" si="24"/>
        <v>1.9536645764031031</v>
      </c>
      <c r="CO51" s="352">
        <f t="shared" si="24"/>
        <v>51.002775868435862</v>
      </c>
      <c r="CP51" s="352">
        <f t="shared" si="24"/>
        <v>5.0472980343620897</v>
      </c>
      <c r="CQ51" s="352">
        <f t="shared" si="24"/>
        <v>3.3898632141216084E-3</v>
      </c>
      <c r="CR51" s="352">
        <f t="shared" si="7"/>
        <v>58.007128342415186</v>
      </c>
      <c r="CT51" s="352">
        <f t="shared" si="32"/>
        <v>-1.3470093893331134</v>
      </c>
      <c r="CU51" s="352">
        <f t="shared" si="32"/>
        <v>-35.165308726291926</v>
      </c>
      <c r="CV51" s="352">
        <f t="shared" si="32"/>
        <v>-3.4800026192651305</v>
      </c>
      <c r="CW51" s="352">
        <f t="shared" si="32"/>
        <v>-2.3372372274792089E-3</v>
      </c>
      <c r="CX51" s="352">
        <f t="shared" si="9"/>
        <v>-39.994657972117651</v>
      </c>
      <c r="CZ51" s="352">
        <f t="shared" si="25"/>
        <v>22.513053178540485</v>
      </c>
      <c r="DA51" s="352">
        <f t="shared" si="25"/>
        <v>-26.563268835295702</v>
      </c>
      <c r="DB51" s="352">
        <f t="shared" si="25"/>
        <v>5.7020910967943061</v>
      </c>
      <c r="DC51" s="352">
        <f t="shared" si="25"/>
        <v>1.6998606141463111</v>
      </c>
      <c r="DD51" s="352">
        <f t="shared" si="26"/>
        <v>3.3517360541854</v>
      </c>
      <c r="DF51" s="352">
        <f t="shared" si="27"/>
        <v>0.71043246757225154</v>
      </c>
      <c r="DG51" s="352">
        <f t="shared" si="27"/>
        <v>90.289963879607939</v>
      </c>
      <c r="DH51" s="352">
        <f t="shared" si="27"/>
        <v>5.253407991086001</v>
      </c>
      <c r="DI51" s="352">
        <f t="shared" si="27"/>
        <v>1.0370299146191413E-3</v>
      </c>
      <c r="DJ51" s="352">
        <f t="shared" si="28"/>
        <v>96.254841368180806</v>
      </c>
    </row>
    <row r="52" spans="1:114" x14ac:dyDescent="0.2">
      <c r="A52">
        <v>47</v>
      </c>
      <c r="B52" s="397">
        <v>34308</v>
      </c>
      <c r="C52" s="398">
        <v>397997.79676138877</v>
      </c>
      <c r="D52" s="399">
        <v>2.2408549746713224</v>
      </c>
      <c r="E52" s="399">
        <v>53.291661357857947</v>
      </c>
      <c r="F52" s="399">
        <v>5.368350668516034</v>
      </c>
      <c r="G52" s="399">
        <v>0</v>
      </c>
      <c r="H52" s="399">
        <v>60.900867001045306</v>
      </c>
      <c r="I52" s="400">
        <v>2.1844655115235098E-3</v>
      </c>
      <c r="J52" s="400">
        <v>2.3221953758708041E-2</v>
      </c>
      <c r="K52" s="400">
        <v>1.5075460338784675E-5</v>
      </c>
      <c r="L52" s="400">
        <v>0.29995404698074596</v>
      </c>
      <c r="M52" s="400">
        <v>0.30272278133301839</v>
      </c>
      <c r="N52" s="400">
        <v>0.20081357397043953</v>
      </c>
      <c r="O52" s="399">
        <f t="shared" si="30"/>
        <v>0.54611637788087741</v>
      </c>
      <c r="P52" s="399">
        <f t="shared" si="30"/>
        <v>0</v>
      </c>
      <c r="Q52" s="399">
        <f t="shared" si="30"/>
        <v>1.5075460338784675E-2</v>
      </c>
      <c r="R52" s="399">
        <f t="shared" si="30"/>
        <v>6.2277856092624981</v>
      </c>
      <c r="S52" s="399">
        <f t="shared" si="30"/>
        <v>9.0816834399905524</v>
      </c>
      <c r="T52" s="399">
        <f t="shared" si="30"/>
        <v>12.048814438226373</v>
      </c>
      <c r="U52" s="399">
        <f t="shared" si="10"/>
        <v>27.919475325699086</v>
      </c>
      <c r="V52" s="400">
        <v>2.8059310173775829E-4</v>
      </c>
      <c r="W52" s="400">
        <v>3.6725415705322353E-3</v>
      </c>
      <c r="X52" s="400">
        <v>0</v>
      </c>
      <c r="Y52" s="400">
        <v>4.7126101371628489E-2</v>
      </c>
      <c r="Z52" s="400">
        <v>1.5896168399627736E-2</v>
      </c>
      <c r="AA52" s="400">
        <v>1.272579909038157E-2</v>
      </c>
      <c r="AB52" s="352">
        <f t="shared" si="31"/>
        <v>7.0148275434439578E-2</v>
      </c>
      <c r="AC52" s="352">
        <f t="shared" si="31"/>
        <v>0</v>
      </c>
      <c r="AD52" s="352">
        <f t="shared" si="31"/>
        <v>0</v>
      </c>
      <c r="AE52" s="352">
        <f t="shared" si="31"/>
        <v>1.6705465722137267</v>
      </c>
      <c r="AF52" s="352">
        <f t="shared" si="31"/>
        <v>0.47688505198883208</v>
      </c>
      <c r="AG52" s="352">
        <f t="shared" si="31"/>
        <v>0.76354794542289417</v>
      </c>
      <c r="AH52" s="400">
        <f t="shared" si="11"/>
        <v>2.9811278450598926</v>
      </c>
      <c r="AJ52" s="352">
        <f>D52*('Assumptions-Output Override'!$D$10/'Winners-Losers Values PMPM'!$H$107)*(1+'Assumptions-Output Override'!$F$41)</f>
        <v>2.6747113777030016</v>
      </c>
      <c r="AK52" s="352">
        <f>E52*('Assumptions-Output Override'!$D$10/'Winners-Losers Values PMPM'!$H$107)*(1+'Assumptions-Output Override'!$F$37)</f>
        <v>87.706280950372701</v>
      </c>
      <c r="AL52" s="352">
        <f>F52*('Assumptions-Output Override'!$D$10/'Winners-Losers Values PMPM'!$H$107)*(1+'Assumptions-Output Override'!$F$38)</f>
        <v>9.0180021780314767</v>
      </c>
      <c r="AM52" s="352">
        <f>G52*('Shoppable Detail'!$X$21/'Shoppable Detail'!$H$21)*('Assumptions-Output Override'!$D$10/'Winners-Losers Values PMPM'!$H$107)*(1+'Assumptions-Output Override'!$F$39)</f>
        <v>0</v>
      </c>
      <c r="AN52" s="352">
        <f t="shared" si="12"/>
        <v>99.398994506107186</v>
      </c>
      <c r="AO52" s="352">
        <v>0</v>
      </c>
      <c r="AP52" s="352">
        <f>U52*'Assumptions-Output Override'!$D$10/'Winners-Losers Values PMPM'!$H$107*(1+'Assumptions-Output Override'!$F$37)</f>
        <v>45.949277701429644</v>
      </c>
      <c r="AQ52" s="352">
        <f>AH52*'Assumptions-Output Override'!$D$10/'Winners-Losers Values PMPM'!$H$107*(1+'Assumptions-Output Override'!$F$38)</f>
        <v>5.0078355643581407</v>
      </c>
      <c r="AR52" s="352">
        <f>AM52*('Shoppable Detail'!$AA$23/'Shoppable Detail'!$Y$23)</f>
        <v>0</v>
      </c>
      <c r="AS52" s="352">
        <f t="shared" si="13"/>
        <v>50.957113265787783</v>
      </c>
      <c r="AT52" s="352">
        <f t="shared" si="14"/>
        <v>2.6747113777030016</v>
      </c>
      <c r="AU52" s="352">
        <f t="shared" si="14"/>
        <v>41.757003248943057</v>
      </c>
      <c r="AV52" s="352">
        <f t="shared" si="14"/>
        <v>4.010166613673336</v>
      </c>
      <c r="AW52" s="352">
        <f t="shared" si="14"/>
        <v>0</v>
      </c>
      <c r="AX52" s="352">
        <f t="shared" si="15"/>
        <v>48.44188124031939</v>
      </c>
      <c r="AY52" s="352">
        <f>AT52*'Assumptions-Output Override'!$D$24</f>
        <v>0.814866660508476</v>
      </c>
      <c r="AZ52" s="352">
        <f>$AU$107*'Assumptions-Output Override'!$D$21</f>
        <v>46.041131296780591</v>
      </c>
      <c r="BA52" s="352">
        <f>AV52*'Assumptions-Output Override'!$D$22</f>
        <v>0.60152499205100041</v>
      </c>
      <c r="BB52" s="352">
        <f>AW52*'Assumptions-Output Override'!$D$23</f>
        <v>0</v>
      </c>
      <c r="BC52" s="352">
        <f t="shared" si="16"/>
        <v>47.457522949340067</v>
      </c>
      <c r="BD52" s="352">
        <f t="shared" si="17"/>
        <v>0.814866660508476</v>
      </c>
      <c r="BE52" s="352">
        <f t="shared" si="17"/>
        <v>91.990408998210228</v>
      </c>
      <c r="BF52" s="352">
        <f t="shared" si="17"/>
        <v>5.6093605564091416</v>
      </c>
      <c r="BG52" s="352">
        <f t="shared" si="17"/>
        <v>0</v>
      </c>
      <c r="BH52" s="352">
        <f t="shared" si="18"/>
        <v>98.414636215127842</v>
      </c>
      <c r="BJ52" s="401">
        <f>D52*'Assumptions-Output Override'!$D$10/'Winners-Losers Values PMPM'!$H$107</f>
        <v>3.7858759201671801</v>
      </c>
      <c r="BK52" s="401">
        <f>E52*'Assumptions-Output Override'!$D$10/'Winners-Losers Values PMPM'!$H$107</f>
        <v>90.035107028740569</v>
      </c>
      <c r="BL52" s="401">
        <f>F52*'Assumptions-Output Override'!$D$10/'Winners-Losers Values PMPM'!$H$107</f>
        <v>9.0697121217892516</v>
      </c>
      <c r="BM52" s="401">
        <f>G52*'Assumptions-Output Override'!$D$10/'Winners-Losers Values PMPM'!$H$107</f>
        <v>0</v>
      </c>
      <c r="BN52" s="401">
        <f t="shared" si="2"/>
        <v>102.89069507069701</v>
      </c>
      <c r="BO52" s="401">
        <f>BJ52*(1-'Assumptions-Output Override'!$D$11)</f>
        <v>0.53956221269623594</v>
      </c>
      <c r="BP52" s="401">
        <f>BK52*(1-'Assumptions-Output Override'!$D$11)</f>
        <v>12.83178387067278</v>
      </c>
      <c r="BQ52" s="401">
        <f>BL52*(1-'Assumptions-Output Override'!$D$11)</f>
        <v>1.2926133988919486</v>
      </c>
      <c r="BR52" s="401">
        <f>BM52*(1-'Assumptions-Output Override'!$D$11)</f>
        <v>0</v>
      </c>
      <c r="BS52" s="352">
        <f t="shared" si="3"/>
        <v>14.663959482260964</v>
      </c>
      <c r="BT52" s="352">
        <f t="shared" si="19"/>
        <v>3.2463137074709443</v>
      </c>
      <c r="BU52" s="352">
        <f t="shared" si="19"/>
        <v>77.203323158067789</v>
      </c>
      <c r="BV52" s="352">
        <f t="shared" si="19"/>
        <v>7.7770987228973034</v>
      </c>
      <c r="BW52" s="352">
        <f t="shared" si="19"/>
        <v>0</v>
      </c>
      <c r="BX52" s="352">
        <f t="shared" si="4"/>
        <v>88.226735588436043</v>
      </c>
      <c r="BY52" s="352">
        <f>BT$107*(1-'Assumptions-Output Override'!$D$12)</f>
        <v>22.753074310428271</v>
      </c>
      <c r="BZ52" s="352">
        <f>BU$107*(1-'Assumptions-Output Override'!$D$12)</f>
        <v>51.446038369839215</v>
      </c>
      <c r="CA52" s="352">
        <f>BV$107*(1-'Assumptions-Output Override'!$D$12)</f>
        <v>9.7401900534537411</v>
      </c>
      <c r="CB52" s="352">
        <f>BW$107*(1-'Assumptions-Output Override'!$D$12)</f>
        <v>1.7000814189516649</v>
      </c>
      <c r="CC52" s="352">
        <f t="shared" si="5"/>
        <v>85.639384152672903</v>
      </c>
      <c r="CD52" s="352">
        <f t="shared" si="20"/>
        <v>23.292636523124507</v>
      </c>
      <c r="CE52" s="352">
        <f t="shared" si="20"/>
        <v>64.277822240511995</v>
      </c>
      <c r="CF52" s="352">
        <f t="shared" si="20"/>
        <v>11.032803452345689</v>
      </c>
      <c r="CG52" s="352">
        <f t="shared" si="20"/>
        <v>1.7000814189516649</v>
      </c>
      <c r="CH52" s="352">
        <f t="shared" si="6"/>
        <v>100.30334363493387</v>
      </c>
      <c r="CJ52" s="352">
        <f t="shared" si="21"/>
        <v>100.30334363493387</v>
      </c>
      <c r="CK52" s="352">
        <f t="shared" si="22"/>
        <v>98.414636215127842</v>
      </c>
      <c r="CL52" s="352">
        <f t="shared" si="23"/>
        <v>1.8887074198060247</v>
      </c>
      <c r="CN52" s="352">
        <f t="shared" si="24"/>
        <v>2.2408549746713224</v>
      </c>
      <c r="CO52" s="352">
        <f t="shared" si="24"/>
        <v>53.291661357857947</v>
      </c>
      <c r="CP52" s="352">
        <f t="shared" si="24"/>
        <v>5.368350668516034</v>
      </c>
      <c r="CQ52" s="352">
        <f t="shared" si="24"/>
        <v>0</v>
      </c>
      <c r="CR52" s="352">
        <f t="shared" si="7"/>
        <v>60.900867001045306</v>
      </c>
      <c r="CT52" s="352">
        <f t="shared" si="32"/>
        <v>-1.5450209454958577</v>
      </c>
      <c r="CU52" s="352">
        <f t="shared" si="32"/>
        <v>-36.743445670882622</v>
      </c>
      <c r="CV52" s="352">
        <f t="shared" si="32"/>
        <v>-3.7013614532732175</v>
      </c>
      <c r="CW52" s="352">
        <f t="shared" si="32"/>
        <v>0</v>
      </c>
      <c r="CX52" s="352">
        <f t="shared" si="9"/>
        <v>-41.989828069651693</v>
      </c>
      <c r="CZ52" s="352">
        <f t="shared" si="25"/>
        <v>22.477769862616032</v>
      </c>
      <c r="DA52" s="352">
        <f t="shared" si="25"/>
        <v>-27.712586757698233</v>
      </c>
      <c r="DB52" s="352">
        <f t="shared" si="25"/>
        <v>5.4234428959365477</v>
      </c>
      <c r="DC52" s="352">
        <f t="shared" si="25"/>
        <v>1.7000814189516649</v>
      </c>
      <c r="DD52" s="352">
        <f t="shared" si="26"/>
        <v>1.8887074198060119</v>
      </c>
      <c r="DF52" s="352">
        <f t="shared" si="27"/>
        <v>0.814866660508476</v>
      </c>
      <c r="DG52" s="352">
        <f t="shared" si="27"/>
        <v>91.990408998210228</v>
      </c>
      <c r="DH52" s="352">
        <f t="shared" si="27"/>
        <v>5.6093605564091416</v>
      </c>
      <c r="DI52" s="352">
        <f t="shared" si="27"/>
        <v>0</v>
      </c>
      <c r="DJ52" s="352">
        <f t="shared" si="28"/>
        <v>98.414636215127842</v>
      </c>
    </row>
    <row r="53" spans="1:114" x14ac:dyDescent="0.2">
      <c r="A53">
        <v>48</v>
      </c>
      <c r="B53" s="397">
        <v>34308</v>
      </c>
      <c r="C53" s="398">
        <v>397997.79676138877</v>
      </c>
      <c r="D53" s="399">
        <v>2.5666002794941343</v>
      </c>
      <c r="E53" s="399">
        <v>55.787338219563026</v>
      </c>
      <c r="F53" s="399">
        <v>5.5613276683912778</v>
      </c>
      <c r="G53" s="399">
        <v>1.9052713981692344E-3</v>
      </c>
      <c r="H53" s="399">
        <v>63.917171438846609</v>
      </c>
      <c r="I53" s="400">
        <v>2.7446168619941289E-3</v>
      </c>
      <c r="J53" s="400">
        <v>2.398296116135169E-2</v>
      </c>
      <c r="K53" s="400">
        <v>4.5226381016354023E-5</v>
      </c>
      <c r="L53" s="400">
        <v>0.30911042068000244</v>
      </c>
      <c r="M53" s="400">
        <v>0.31344037835167315</v>
      </c>
      <c r="N53" s="400">
        <v>0.20787959298582576</v>
      </c>
      <c r="O53" s="399">
        <f t="shared" si="30"/>
        <v>0.68615421549853228</v>
      </c>
      <c r="P53" s="399">
        <f t="shared" si="30"/>
        <v>0</v>
      </c>
      <c r="Q53" s="399">
        <f t="shared" si="30"/>
        <v>4.5226381016354025E-2</v>
      </c>
      <c r="R53" s="399">
        <f t="shared" si="30"/>
        <v>6.4178945040457034</v>
      </c>
      <c r="S53" s="399">
        <f t="shared" si="30"/>
        <v>9.403211350550194</v>
      </c>
      <c r="T53" s="399">
        <f t="shared" si="30"/>
        <v>12.472775579149545</v>
      </c>
      <c r="U53" s="399">
        <f t="shared" si="10"/>
        <v>29.025262030260329</v>
      </c>
      <c r="V53" s="400">
        <v>1.2663936450111224E-4</v>
      </c>
      <c r="W53" s="400">
        <v>3.6042556386934117E-3</v>
      </c>
      <c r="X53" s="400">
        <v>0</v>
      </c>
      <c r="Y53" s="400">
        <v>4.9609140308048735E-2</v>
      </c>
      <c r="Z53" s="400">
        <v>1.6458784579471156E-2</v>
      </c>
      <c r="AA53" s="400">
        <v>1.2841578625783437E-2</v>
      </c>
      <c r="AB53" s="352">
        <f t="shared" si="31"/>
        <v>3.165984112527806E-2</v>
      </c>
      <c r="AC53" s="352">
        <f t="shared" si="31"/>
        <v>0</v>
      </c>
      <c r="AD53" s="352">
        <f t="shared" si="31"/>
        <v>0</v>
      </c>
      <c r="AE53" s="352">
        <f t="shared" si="31"/>
        <v>1.7585664181839966</v>
      </c>
      <c r="AF53" s="352">
        <f t="shared" si="31"/>
        <v>0.4937635373841347</v>
      </c>
      <c r="AG53" s="352">
        <f t="shared" si="31"/>
        <v>0.77049471754700616</v>
      </c>
      <c r="AH53" s="400">
        <f t="shared" si="11"/>
        <v>3.0544845142404151</v>
      </c>
      <c r="AJ53" s="352">
        <f>D53*('Assumptions-Output Override'!$D$10/'Winners-Losers Values PMPM'!$H$107)*(1+'Assumptions-Output Override'!$F$41)</f>
        <v>3.0635248809823477</v>
      </c>
      <c r="AK53" s="352">
        <f>E53*('Assumptions-Output Override'!$D$10/'Winners-Losers Values PMPM'!$H$107)*(1+'Assumptions-Output Override'!$F$37)</f>
        <v>91.813612762083508</v>
      </c>
      <c r="AL53" s="352">
        <f>F53*('Assumptions-Output Override'!$D$10/'Winners-Losers Values PMPM'!$H$107)*(1+'Assumptions-Output Override'!$F$38)</f>
        <v>9.3421738114888697</v>
      </c>
      <c r="AM53" s="352">
        <f>G53*('Shoppable Detail'!$X$21/'Shoppable Detail'!$H$21)*('Assumptions-Output Override'!$D$10/'Winners-Losers Values PMPM'!$H$107)*(1+'Assumptions-Output Override'!$F$39)</f>
        <v>3.2671438923804349E-3</v>
      </c>
      <c r="AN53" s="352">
        <f t="shared" si="12"/>
        <v>104.2225785984471</v>
      </c>
      <c r="AO53" s="352">
        <v>0</v>
      </c>
      <c r="AP53" s="352">
        <f>U53*'Assumptions-Output Override'!$D$10/'Winners-Losers Values PMPM'!$H$107*(1+'Assumptions-Output Override'!$F$37)</f>
        <v>47.769157902389729</v>
      </c>
      <c r="AQ53" s="352">
        <f>AH53*'Assumptions-Output Override'!$D$10/'Winners-Losers Values PMPM'!$H$107*(1+'Assumptions-Output Override'!$F$38)</f>
        <v>5.1310634686608134</v>
      </c>
      <c r="AR53" s="352">
        <f>AM53*('Shoppable Detail'!$AA$23/'Shoppable Detail'!$Y$23)</f>
        <v>1.0916553649994258E-4</v>
      </c>
      <c r="AS53" s="352">
        <f t="shared" si="13"/>
        <v>52.900330536587042</v>
      </c>
      <c r="AT53" s="352">
        <f t="shared" si="14"/>
        <v>3.0635248809823477</v>
      </c>
      <c r="AU53" s="352">
        <f t="shared" si="14"/>
        <v>44.044454859693779</v>
      </c>
      <c r="AV53" s="352">
        <f t="shared" si="14"/>
        <v>4.2111103428280563</v>
      </c>
      <c r="AW53" s="352">
        <f t="shared" si="14"/>
        <v>3.1579783558804923E-3</v>
      </c>
      <c r="AX53" s="352">
        <f t="shared" si="15"/>
        <v>51.322248061860066</v>
      </c>
      <c r="AY53" s="352">
        <f>AT53*'Assumptions-Output Override'!$D$24</f>
        <v>0.93332099678528635</v>
      </c>
      <c r="AZ53" s="352">
        <f>$AU$107*'Assumptions-Output Override'!$D$21</f>
        <v>46.041131296780591</v>
      </c>
      <c r="BA53" s="352">
        <f>AV53*'Assumptions-Output Override'!$D$22</f>
        <v>0.63166655142420847</v>
      </c>
      <c r="BB53" s="352">
        <f>AW53*'Assumptions-Output Override'!$D$23</f>
        <v>4.7369675338207381E-4</v>
      </c>
      <c r="BC53" s="352">
        <f t="shared" si="16"/>
        <v>47.606592541743467</v>
      </c>
      <c r="BD53" s="352">
        <f t="shared" si="17"/>
        <v>0.93332099678528635</v>
      </c>
      <c r="BE53" s="352">
        <f t="shared" si="17"/>
        <v>93.810289199170313</v>
      </c>
      <c r="BF53" s="352">
        <f t="shared" si="17"/>
        <v>5.762730020085022</v>
      </c>
      <c r="BG53" s="352">
        <f t="shared" si="17"/>
        <v>5.8286228988201636E-4</v>
      </c>
      <c r="BH53" s="352">
        <f t="shared" si="18"/>
        <v>100.5069230783305</v>
      </c>
      <c r="BJ53" s="401">
        <f>D53*'Assumptions-Output Override'!$D$10/'Winners-Losers Values PMPM'!$H$107</f>
        <v>4.3362155537336431</v>
      </c>
      <c r="BK53" s="401">
        <f>E53*'Assumptions-Output Override'!$D$10/'Winners-Losers Values PMPM'!$H$107</f>
        <v>94.251499005036791</v>
      </c>
      <c r="BL53" s="401">
        <f>F53*'Assumptions-Output Override'!$D$10/'Winners-Losers Values PMPM'!$H$107</f>
        <v>9.3957425812485695</v>
      </c>
      <c r="BM53" s="401">
        <f>G53*'Assumptions-Output Override'!$D$10/'Winners-Losers Values PMPM'!$H$107</f>
        <v>3.2189147397948615E-3</v>
      </c>
      <c r="BN53" s="401">
        <f t="shared" si="2"/>
        <v>107.98667605475879</v>
      </c>
      <c r="BO53" s="401">
        <f>BJ53*(1-'Assumptions-Output Override'!$D$11)</f>
        <v>0.61799649757064457</v>
      </c>
      <c r="BP53" s="401">
        <f>BK53*(1-'Assumptions-Output Override'!$D$11)</f>
        <v>13.43270313804924</v>
      </c>
      <c r="BQ53" s="401">
        <f>BL53*(1-'Assumptions-Output Override'!$D$11)</f>
        <v>1.3390791890609173</v>
      </c>
      <c r="BR53" s="401">
        <f>BM53*(1-'Assumptions-Output Override'!$D$11)</f>
        <v>4.5875902858632216E-4</v>
      </c>
      <c r="BS53" s="352">
        <f t="shared" si="3"/>
        <v>15.390237583709387</v>
      </c>
      <c r="BT53" s="352">
        <f t="shared" si="19"/>
        <v>3.7182190561629986</v>
      </c>
      <c r="BU53" s="352">
        <f t="shared" si="19"/>
        <v>80.818795866987557</v>
      </c>
      <c r="BV53" s="352">
        <f t="shared" si="19"/>
        <v>8.0566633921876516</v>
      </c>
      <c r="BW53" s="352">
        <f t="shared" si="19"/>
        <v>2.7601557112085394E-3</v>
      </c>
      <c r="BX53" s="352">
        <f t="shared" si="4"/>
        <v>92.59643847104941</v>
      </c>
      <c r="BY53" s="352">
        <f>BT$107*(1-'Assumptions-Output Override'!$D$12)</f>
        <v>22.753074310428271</v>
      </c>
      <c r="BZ53" s="352">
        <f>BU$107*(1-'Assumptions-Output Override'!$D$12)</f>
        <v>51.446038369839215</v>
      </c>
      <c r="CA53" s="352">
        <f>BV$107*(1-'Assumptions-Output Override'!$D$12)</f>
        <v>9.7401900534537411</v>
      </c>
      <c r="CB53" s="352">
        <f>BW$107*(1-'Assumptions-Output Override'!$D$12)</f>
        <v>1.7000814189516649</v>
      </c>
      <c r="CC53" s="352">
        <f t="shared" si="5"/>
        <v>85.639384152672903</v>
      </c>
      <c r="CD53" s="352">
        <f t="shared" si="20"/>
        <v>23.371070807998915</v>
      </c>
      <c r="CE53" s="352">
        <f t="shared" si="20"/>
        <v>64.878741507888449</v>
      </c>
      <c r="CF53" s="352">
        <f t="shared" si="20"/>
        <v>11.079269242514659</v>
      </c>
      <c r="CG53" s="352">
        <f t="shared" si="20"/>
        <v>1.7005401779802511</v>
      </c>
      <c r="CH53" s="352">
        <f t="shared" si="6"/>
        <v>101.02962173638227</v>
      </c>
      <c r="CJ53" s="352">
        <f t="shared" si="21"/>
        <v>101.02962173638227</v>
      </c>
      <c r="CK53" s="352">
        <f t="shared" si="22"/>
        <v>100.5069230783305</v>
      </c>
      <c r="CL53" s="352">
        <f t="shared" si="23"/>
        <v>0.52269865805176607</v>
      </c>
      <c r="CN53" s="352">
        <f t="shared" si="24"/>
        <v>2.5666002794941343</v>
      </c>
      <c r="CO53" s="352">
        <f t="shared" si="24"/>
        <v>55.787338219563026</v>
      </c>
      <c r="CP53" s="352">
        <f t="shared" si="24"/>
        <v>5.5613276683912778</v>
      </c>
      <c r="CQ53" s="352">
        <f t="shared" si="24"/>
        <v>1.9052713981692344E-3</v>
      </c>
      <c r="CR53" s="352">
        <f t="shared" si="7"/>
        <v>63.917171438846609</v>
      </c>
      <c r="CT53" s="352">
        <f t="shared" si="32"/>
        <v>-1.7696152742395088</v>
      </c>
      <c r="CU53" s="352">
        <f t="shared" si="32"/>
        <v>-38.464160785473766</v>
      </c>
      <c r="CV53" s="352">
        <f t="shared" si="32"/>
        <v>-3.8344149128572917</v>
      </c>
      <c r="CW53" s="352">
        <f t="shared" si="32"/>
        <v>-1.3136433416256271E-3</v>
      </c>
      <c r="CX53" s="352">
        <f t="shared" si="9"/>
        <v>-44.069504615912187</v>
      </c>
      <c r="CZ53" s="352">
        <f t="shared" si="25"/>
        <v>22.437749811213628</v>
      </c>
      <c r="DA53" s="352">
        <f t="shared" si="25"/>
        <v>-28.931547691281864</v>
      </c>
      <c r="DB53" s="352">
        <f t="shared" si="25"/>
        <v>5.3165392224296371</v>
      </c>
      <c r="DC53" s="352">
        <f t="shared" si="25"/>
        <v>1.6999573156903691</v>
      </c>
      <c r="DD53" s="352">
        <f t="shared" si="26"/>
        <v>0.52269865805177029</v>
      </c>
      <c r="DF53" s="352">
        <f t="shared" si="27"/>
        <v>0.93332099678528635</v>
      </c>
      <c r="DG53" s="352">
        <f t="shared" si="27"/>
        <v>93.810289199170313</v>
      </c>
      <c r="DH53" s="352">
        <f t="shared" si="27"/>
        <v>5.762730020085022</v>
      </c>
      <c r="DI53" s="352">
        <f t="shared" si="27"/>
        <v>5.8286228988201636E-4</v>
      </c>
      <c r="DJ53" s="352">
        <f t="shared" si="28"/>
        <v>100.5069230783305</v>
      </c>
    </row>
    <row r="54" spans="1:114" x14ac:dyDescent="0.2">
      <c r="A54">
        <v>49</v>
      </c>
      <c r="B54" s="397">
        <v>34308</v>
      </c>
      <c r="C54" s="398">
        <v>397997.79676138877</v>
      </c>
      <c r="D54" s="399">
        <v>2.8196348641626687</v>
      </c>
      <c r="E54" s="399">
        <v>58.258825262806447</v>
      </c>
      <c r="F54" s="399">
        <v>6.0102350735015238</v>
      </c>
      <c r="G54" s="399">
        <v>0</v>
      </c>
      <c r="H54" s="399">
        <v>67.088695200470639</v>
      </c>
      <c r="I54" s="400">
        <v>2.9591959984772917E-3</v>
      </c>
      <c r="J54" s="400">
        <v>2.4508181024487846E-2</v>
      </c>
      <c r="K54" s="400">
        <v>2.0100613785046233E-5</v>
      </c>
      <c r="L54" s="400">
        <v>0.32216798681216291</v>
      </c>
      <c r="M54" s="400">
        <v>0.32040855762946369</v>
      </c>
      <c r="N54" s="400">
        <v>0.2136123382888622</v>
      </c>
      <c r="O54" s="399">
        <f t="shared" si="30"/>
        <v>0.73979899961932294</v>
      </c>
      <c r="P54" s="399">
        <f t="shared" si="30"/>
        <v>0</v>
      </c>
      <c r="Q54" s="399">
        <f t="shared" si="30"/>
        <v>2.0100613785046233E-2</v>
      </c>
      <c r="R54" s="399">
        <f t="shared" si="30"/>
        <v>6.6890017728703919</v>
      </c>
      <c r="S54" s="399">
        <f t="shared" si="30"/>
        <v>9.61225672888391</v>
      </c>
      <c r="T54" s="399">
        <f t="shared" si="30"/>
        <v>12.816740297331732</v>
      </c>
      <c r="U54" s="399">
        <f t="shared" si="10"/>
        <v>29.877898412490403</v>
      </c>
      <c r="V54" s="400">
        <v>1.3284717648646087E-4</v>
      </c>
      <c r="W54" s="400">
        <v>3.8227706205776709E-3</v>
      </c>
      <c r="X54" s="400">
        <v>5.0251534462615584E-6</v>
      </c>
      <c r="Y54" s="400">
        <v>5.1683466640775284E-2</v>
      </c>
      <c r="Z54" s="400">
        <v>1.7364216727418461E-2</v>
      </c>
      <c r="AA54" s="400">
        <v>1.4152239147637351E-2</v>
      </c>
      <c r="AB54" s="352">
        <f t="shared" si="31"/>
        <v>3.3211794121615221E-2</v>
      </c>
      <c r="AC54" s="352">
        <f t="shared" si="31"/>
        <v>0</v>
      </c>
      <c r="AD54" s="352">
        <f t="shared" si="31"/>
        <v>5.0251534462615582E-3</v>
      </c>
      <c r="AE54" s="352">
        <f t="shared" si="31"/>
        <v>1.8320980417202308</v>
      </c>
      <c r="AF54" s="352">
        <f t="shared" si="31"/>
        <v>0.52092650182255384</v>
      </c>
      <c r="AG54" s="352">
        <f t="shared" si="31"/>
        <v>0.84913434885824102</v>
      </c>
      <c r="AH54" s="400">
        <f t="shared" si="11"/>
        <v>3.2403958399689028</v>
      </c>
      <c r="AJ54" s="352">
        <f>D54*('Assumptions-Output Override'!$D$10/'Winners-Losers Values PMPM'!$H$107)*(1+'Assumptions-Output Override'!$F$41)</f>
        <v>3.3655499964919096</v>
      </c>
      <c r="AK54" s="352">
        <f>E54*('Assumptions-Output Override'!$D$10/'Winners-Losers Values PMPM'!$H$107)*(1+'Assumptions-Output Override'!$F$37)</f>
        <v>95.881133485904058</v>
      </c>
      <c r="AL54" s="352">
        <f>F54*('Assumptions-Output Override'!$D$10/'Winners-Losers Values PMPM'!$H$107)*(1+'Assumptions-Output Override'!$F$38)</f>
        <v>10.096269102014611</v>
      </c>
      <c r="AM54" s="352">
        <f>G54*('Shoppable Detail'!$X$21/'Shoppable Detail'!$H$21)*('Assumptions-Output Override'!$D$10/'Winners-Losers Values PMPM'!$H$107)*(1+'Assumptions-Output Override'!$F$39)</f>
        <v>0</v>
      </c>
      <c r="AN54" s="352">
        <f t="shared" si="12"/>
        <v>109.34295258441058</v>
      </c>
      <c r="AO54" s="352">
        <v>0</v>
      </c>
      <c r="AP54" s="352">
        <f>U54*'Assumptions-Output Override'!$D$10/'Winners-Losers Values PMPM'!$H$107*(1+'Assumptions-Output Override'!$F$37)</f>
        <v>49.172408695909112</v>
      </c>
      <c r="AQ54" s="352">
        <f>AH54*'Assumptions-Output Override'!$D$10/'Winners-Losers Values PMPM'!$H$107*(1+'Assumptions-Output Override'!$F$38)</f>
        <v>5.443365857953812</v>
      </c>
      <c r="AR54" s="352">
        <f>AM54*('Shoppable Detail'!$AA$23/'Shoppable Detail'!$Y$23)</f>
        <v>0</v>
      </c>
      <c r="AS54" s="352">
        <f t="shared" si="13"/>
        <v>54.615774553862927</v>
      </c>
      <c r="AT54" s="352">
        <f t="shared" si="14"/>
        <v>3.3655499964919096</v>
      </c>
      <c r="AU54" s="352">
        <f t="shared" si="14"/>
        <v>46.708724789994946</v>
      </c>
      <c r="AV54" s="352">
        <f t="shared" si="14"/>
        <v>4.6529032440607994</v>
      </c>
      <c r="AW54" s="352">
        <f t="shared" si="14"/>
        <v>0</v>
      </c>
      <c r="AX54" s="352">
        <f t="shared" si="15"/>
        <v>54.727178030547655</v>
      </c>
      <c r="AY54" s="352">
        <f>AT54*'Assumptions-Output Override'!$D$24</f>
        <v>1.0253347367785408</v>
      </c>
      <c r="AZ54" s="352">
        <f>$AU$107*'Assumptions-Output Override'!$D$21</f>
        <v>46.041131296780591</v>
      </c>
      <c r="BA54" s="352">
        <f>AV54*'Assumptions-Output Override'!$D$22</f>
        <v>0.69793548660911986</v>
      </c>
      <c r="BB54" s="352">
        <f>AW54*'Assumptions-Output Override'!$D$23</f>
        <v>0</v>
      </c>
      <c r="BC54" s="352">
        <f t="shared" si="16"/>
        <v>47.764401520168249</v>
      </c>
      <c r="BD54" s="352">
        <f t="shared" si="17"/>
        <v>1.0253347367785408</v>
      </c>
      <c r="BE54" s="352">
        <f t="shared" si="17"/>
        <v>95.213539992689704</v>
      </c>
      <c r="BF54" s="352">
        <f t="shared" si="17"/>
        <v>6.1413013445629314</v>
      </c>
      <c r="BG54" s="352">
        <f t="shared" si="17"/>
        <v>0</v>
      </c>
      <c r="BH54" s="352">
        <f t="shared" si="18"/>
        <v>102.38017607403118</v>
      </c>
      <c r="BJ54" s="401">
        <f>D54*'Assumptions-Output Override'!$D$10/'Winners-Losers Values PMPM'!$H$107</f>
        <v>4.7637120012476624</v>
      </c>
      <c r="BK54" s="401">
        <f>E54*'Assumptions-Output Override'!$D$10/'Winners-Losers Values PMPM'!$H$107</f>
        <v>98.427022807237719</v>
      </c>
      <c r="BL54" s="401">
        <f>F54*'Assumptions-Output Override'!$D$10/'Winners-Losers Values PMPM'!$H$107</f>
        <v>10.154161914316248</v>
      </c>
      <c r="BM54" s="401">
        <f>G54*'Assumptions-Output Override'!$D$10/'Winners-Losers Values PMPM'!$H$107</f>
        <v>0</v>
      </c>
      <c r="BN54" s="401">
        <f t="shared" si="2"/>
        <v>113.34489672280164</v>
      </c>
      <c r="BO54" s="401">
        <f>BJ54*(1-'Assumptions-Output Override'!$D$11)</f>
        <v>0.67892319828783521</v>
      </c>
      <c r="BP54" s="401">
        <f>BK54*(1-'Assumptions-Output Override'!$D$11)</f>
        <v>14.027797882142661</v>
      </c>
      <c r="BQ54" s="401">
        <f>BL54*(1-'Assumptions-Output Override'!$D$11)</f>
        <v>1.4471689474499165</v>
      </c>
      <c r="BR54" s="401">
        <f>BM54*(1-'Assumptions-Output Override'!$D$11)</f>
        <v>0</v>
      </c>
      <c r="BS54" s="352">
        <f t="shared" si="3"/>
        <v>16.153890027880411</v>
      </c>
      <c r="BT54" s="352">
        <f t="shared" si="19"/>
        <v>4.0847888029598272</v>
      </c>
      <c r="BU54" s="352">
        <f t="shared" si="19"/>
        <v>84.399224925095055</v>
      </c>
      <c r="BV54" s="352">
        <f t="shared" si="19"/>
        <v>8.7069929668663306</v>
      </c>
      <c r="BW54" s="352">
        <f t="shared" si="19"/>
        <v>0</v>
      </c>
      <c r="BX54" s="352">
        <f t="shared" si="4"/>
        <v>97.191006694921214</v>
      </c>
      <c r="BY54" s="352">
        <f>BT$107*(1-'Assumptions-Output Override'!$D$12)</f>
        <v>22.753074310428271</v>
      </c>
      <c r="BZ54" s="352">
        <f>BU$107*(1-'Assumptions-Output Override'!$D$12)</f>
        <v>51.446038369839215</v>
      </c>
      <c r="CA54" s="352">
        <f>BV$107*(1-'Assumptions-Output Override'!$D$12)</f>
        <v>9.7401900534537411</v>
      </c>
      <c r="CB54" s="352">
        <f>BW$107*(1-'Assumptions-Output Override'!$D$12)</f>
        <v>1.7000814189516649</v>
      </c>
      <c r="CC54" s="352">
        <f t="shared" si="5"/>
        <v>85.639384152672903</v>
      </c>
      <c r="CD54" s="352">
        <f t="shared" si="20"/>
        <v>23.431997508716108</v>
      </c>
      <c r="CE54" s="352">
        <f t="shared" si="20"/>
        <v>65.473836251981879</v>
      </c>
      <c r="CF54" s="352">
        <f t="shared" si="20"/>
        <v>11.187359000903658</v>
      </c>
      <c r="CG54" s="352">
        <f t="shared" si="20"/>
        <v>1.7000814189516649</v>
      </c>
      <c r="CH54" s="352">
        <f t="shared" si="6"/>
        <v>101.79327418055331</v>
      </c>
      <c r="CJ54" s="352">
        <f t="shared" si="21"/>
        <v>101.79327418055331</v>
      </c>
      <c r="CK54" s="352">
        <f t="shared" si="22"/>
        <v>102.38017607403118</v>
      </c>
      <c r="CL54" s="352">
        <f t="shared" si="23"/>
        <v>-0.58690189347787225</v>
      </c>
      <c r="CN54" s="352">
        <f t="shared" si="24"/>
        <v>2.8196348641626687</v>
      </c>
      <c r="CO54" s="352">
        <f t="shared" si="24"/>
        <v>58.258825262806447</v>
      </c>
      <c r="CP54" s="352">
        <f t="shared" si="24"/>
        <v>6.0102350735015238</v>
      </c>
      <c r="CQ54" s="352">
        <f t="shared" si="24"/>
        <v>0</v>
      </c>
      <c r="CR54" s="352">
        <f t="shared" si="7"/>
        <v>67.088695200470639</v>
      </c>
      <c r="CT54" s="352">
        <f t="shared" si="32"/>
        <v>-1.9440771370849936</v>
      </c>
      <c r="CU54" s="352">
        <f t="shared" si="32"/>
        <v>-40.168197544431273</v>
      </c>
      <c r="CV54" s="352">
        <f t="shared" si="32"/>
        <v>-4.1439268408147241</v>
      </c>
      <c r="CW54" s="352">
        <f t="shared" si="32"/>
        <v>0</v>
      </c>
      <c r="CX54" s="352">
        <f t="shared" si="9"/>
        <v>-46.25620152233099</v>
      </c>
      <c r="CZ54" s="352">
        <f t="shared" si="25"/>
        <v>22.406662771937569</v>
      </c>
      <c r="DA54" s="352">
        <f t="shared" si="25"/>
        <v>-29.739703740707824</v>
      </c>
      <c r="DB54" s="352">
        <f t="shared" si="25"/>
        <v>5.0460576563407269</v>
      </c>
      <c r="DC54" s="352">
        <f t="shared" si="25"/>
        <v>1.7000814189516649</v>
      </c>
      <c r="DD54" s="352">
        <f t="shared" si="26"/>
        <v>-0.58690189347786381</v>
      </c>
      <c r="DF54" s="352">
        <f t="shared" si="27"/>
        <v>1.0253347367785408</v>
      </c>
      <c r="DG54" s="352">
        <f t="shared" si="27"/>
        <v>95.213539992689704</v>
      </c>
      <c r="DH54" s="352">
        <f t="shared" si="27"/>
        <v>6.1413013445629314</v>
      </c>
      <c r="DI54" s="352">
        <f t="shared" si="27"/>
        <v>0</v>
      </c>
      <c r="DJ54" s="352">
        <f t="shared" si="28"/>
        <v>102.38017607403118</v>
      </c>
    </row>
    <row r="55" spans="1:114" x14ac:dyDescent="0.2">
      <c r="A55">
        <v>50</v>
      </c>
      <c r="B55" s="397">
        <v>34308</v>
      </c>
      <c r="C55" s="398">
        <v>397997.79676138877</v>
      </c>
      <c r="D55" s="399">
        <v>3.0513674881225552</v>
      </c>
      <c r="E55" s="399">
        <v>60.82066827887742</v>
      </c>
      <c r="F55" s="399">
        <v>6.5390998635476931</v>
      </c>
      <c r="G55" s="399">
        <v>8.1584698331861934E-3</v>
      </c>
      <c r="H55" s="399">
        <v>70.419294100380867</v>
      </c>
      <c r="I55" s="400">
        <v>2.8793525988556564E-3</v>
      </c>
      <c r="J55" s="400">
        <v>2.6357054746976371E-2</v>
      </c>
      <c r="K55" s="400">
        <v>2.0100613785046233E-5</v>
      </c>
      <c r="L55" s="400">
        <v>0.32719266068055358</v>
      </c>
      <c r="M55" s="400">
        <v>0.32992057008482822</v>
      </c>
      <c r="N55" s="400">
        <v>0.22214761166886865</v>
      </c>
      <c r="O55" s="399">
        <f t="shared" si="30"/>
        <v>0.71983814971391413</v>
      </c>
      <c r="P55" s="399">
        <f t="shared" si="30"/>
        <v>0</v>
      </c>
      <c r="Q55" s="399">
        <f t="shared" si="30"/>
        <v>2.0100613785046233E-2</v>
      </c>
      <c r="R55" s="399">
        <f t="shared" si="30"/>
        <v>6.7933263916704485</v>
      </c>
      <c r="S55" s="399">
        <f t="shared" si="30"/>
        <v>9.8976171025448458</v>
      </c>
      <c r="T55" s="399">
        <f t="shared" si="30"/>
        <v>13.328856700132119</v>
      </c>
      <c r="U55" s="399">
        <f t="shared" si="10"/>
        <v>30.759738957846373</v>
      </c>
      <c r="V55" s="400">
        <v>2.1603185709013291E-4</v>
      </c>
      <c r="W55" s="400">
        <v>3.7805574990773215E-3</v>
      </c>
      <c r="X55" s="400">
        <v>5.0251534462615584E-6</v>
      </c>
      <c r="Y55" s="400">
        <v>5.4810337796993035E-2</v>
      </c>
      <c r="Z55" s="400">
        <v>1.8271457930606496E-2</v>
      </c>
      <c r="AA55" s="400">
        <v>1.4447115151864004E-2</v>
      </c>
      <c r="AB55" s="352">
        <f t="shared" si="31"/>
        <v>5.4007964272533224E-2</v>
      </c>
      <c r="AC55" s="352">
        <f t="shared" si="31"/>
        <v>0</v>
      </c>
      <c r="AD55" s="352">
        <f t="shared" si="31"/>
        <v>5.0251534462615582E-3</v>
      </c>
      <c r="AE55" s="352">
        <f t="shared" si="31"/>
        <v>1.9429407327075723</v>
      </c>
      <c r="AF55" s="352">
        <f t="shared" si="31"/>
        <v>0.54814373791819493</v>
      </c>
      <c r="AG55" s="352">
        <f t="shared" si="31"/>
        <v>0.86682690911184024</v>
      </c>
      <c r="AH55" s="400">
        <f t="shared" si="11"/>
        <v>3.4169444974564023</v>
      </c>
      <c r="AJ55" s="352">
        <f>D55*('Assumptions-Output Override'!$D$10/'Winners-Losers Values PMPM'!$H$107)*(1+'Assumptions-Output Override'!$F$41)</f>
        <v>3.642148836174246</v>
      </c>
      <c r="AK55" s="352">
        <f>E55*('Assumptions-Output Override'!$D$10/'Winners-Losers Values PMPM'!$H$107)*(1+'Assumptions-Output Override'!$F$37)</f>
        <v>100.09736014488286</v>
      </c>
      <c r="AL55" s="352">
        <f>F55*('Assumptions-Output Override'!$D$10/'Winners-Losers Values PMPM'!$H$107)*(1+'Assumptions-Output Override'!$F$38)</f>
        <v>10.984680482532511</v>
      </c>
      <c r="AM55" s="352">
        <f>G55*('Shoppable Detail'!$X$21/'Shoppable Detail'!$H$21)*('Assumptions-Output Override'!$D$10/'Winners-Losers Values PMPM'!$H$107)*(1+'Assumptions-Output Override'!$F$39)</f>
        <v>1.3990077693013629E-2</v>
      </c>
      <c r="AN55" s="352">
        <f t="shared" si="12"/>
        <v>114.73817954128262</v>
      </c>
      <c r="AO55" s="352">
        <v>0</v>
      </c>
      <c r="AP55" s="352">
        <f>U55*'Assumptions-Output Override'!$D$10/'Winners-Losers Values PMPM'!$H$107*(1+'Assumptions-Output Override'!$F$37)</f>
        <v>50.62372307894281</v>
      </c>
      <c r="AQ55" s="352">
        <f>AH55*'Assumptions-Output Override'!$D$10/'Winners-Losers Values PMPM'!$H$107*(1+'Assumptions-Output Override'!$F$38)</f>
        <v>5.7399404068349327</v>
      </c>
      <c r="AR55" s="352">
        <f>AM55*('Shoppable Detail'!$AA$23/'Shoppable Detail'!$Y$23)</f>
        <v>4.674524255253942E-4</v>
      </c>
      <c r="AS55" s="352">
        <f t="shared" si="13"/>
        <v>56.364130938203267</v>
      </c>
      <c r="AT55" s="352">
        <f t="shared" si="14"/>
        <v>3.642148836174246</v>
      </c>
      <c r="AU55" s="352">
        <f t="shared" si="14"/>
        <v>49.473637065940046</v>
      </c>
      <c r="AV55" s="352">
        <f t="shared" si="14"/>
        <v>5.2447400756975782</v>
      </c>
      <c r="AW55" s="352">
        <f t="shared" si="14"/>
        <v>1.3522625267488235E-2</v>
      </c>
      <c r="AX55" s="352">
        <f t="shared" si="15"/>
        <v>58.374048603079359</v>
      </c>
      <c r="AY55" s="352">
        <f>AT55*'Assumptions-Output Override'!$D$24</f>
        <v>1.1096022112699482</v>
      </c>
      <c r="AZ55" s="352">
        <f>$AU$107*'Assumptions-Output Override'!$D$21</f>
        <v>46.041131296780591</v>
      </c>
      <c r="BA55" s="352">
        <f>AV55*'Assumptions-Output Override'!$D$22</f>
        <v>0.78671101135463672</v>
      </c>
      <c r="BB55" s="352">
        <f>AW55*'Assumptions-Output Override'!$D$23</f>
        <v>2.0283937901232349E-3</v>
      </c>
      <c r="BC55" s="352">
        <f t="shared" si="16"/>
        <v>47.939472913195296</v>
      </c>
      <c r="BD55" s="352">
        <f t="shared" si="17"/>
        <v>1.1096022112699482</v>
      </c>
      <c r="BE55" s="352">
        <f t="shared" si="17"/>
        <v>96.664854375723394</v>
      </c>
      <c r="BF55" s="352">
        <f t="shared" si="17"/>
        <v>6.5266514181895694</v>
      </c>
      <c r="BG55" s="352">
        <f t="shared" si="17"/>
        <v>2.4958462156486291E-3</v>
      </c>
      <c r="BH55" s="352">
        <f t="shared" si="18"/>
        <v>104.30360385139856</v>
      </c>
      <c r="BJ55" s="401">
        <f>D55*'Assumptions-Output Override'!$D$10/'Winners-Losers Values PMPM'!$H$107</f>
        <v>5.1552192477599315</v>
      </c>
      <c r="BK55" s="401">
        <f>E55*'Assumptions-Output Override'!$D$10/'Winners-Losers Values PMPM'!$H$107</f>
        <v>102.75520106750828</v>
      </c>
      <c r="BL55" s="401">
        <f>F55*'Assumptions-Output Override'!$D$10/'Winners-Losers Values PMPM'!$H$107</f>
        <v>11.047667516549048</v>
      </c>
      <c r="BM55" s="401">
        <f>G55*'Assumptions-Output Override'!$D$10/'Winners-Losers Values PMPM'!$H$107</f>
        <v>1.3783557988352331E-2</v>
      </c>
      <c r="BN55" s="401">
        <f t="shared" si="2"/>
        <v>118.97187138980561</v>
      </c>
      <c r="BO55" s="401">
        <f>BJ55*(1-'Assumptions-Output Override'!$D$11)</f>
        <v>0.73472072590607862</v>
      </c>
      <c r="BP55" s="401">
        <f>BK55*(1-'Assumptions-Output Override'!$D$11)</f>
        <v>14.644648906397096</v>
      </c>
      <c r="BQ55" s="401">
        <f>BL55*(1-'Assumptions-Output Override'!$D$11)</f>
        <v>1.5745111715384237</v>
      </c>
      <c r="BR55" s="401">
        <f>BM55*(1-'Assumptions-Output Override'!$D$11)</f>
        <v>1.964429686510658E-3</v>
      </c>
      <c r="BS55" s="352">
        <f t="shared" si="3"/>
        <v>16.955845233528109</v>
      </c>
      <c r="BT55" s="352">
        <f t="shared" si="19"/>
        <v>4.4204985218538528</v>
      </c>
      <c r="BU55" s="352">
        <f t="shared" si="19"/>
        <v>88.110552161111187</v>
      </c>
      <c r="BV55" s="352">
        <f t="shared" si="19"/>
        <v>9.473156345010624</v>
      </c>
      <c r="BW55" s="352">
        <f t="shared" si="19"/>
        <v>1.1819128301841673E-2</v>
      </c>
      <c r="BX55" s="352">
        <f t="shared" si="4"/>
        <v>102.0160261562775</v>
      </c>
      <c r="BY55" s="352">
        <f>BT$107*(1-'Assumptions-Output Override'!$D$12)</f>
        <v>22.753074310428271</v>
      </c>
      <c r="BZ55" s="352">
        <f>BU$107*(1-'Assumptions-Output Override'!$D$12)</f>
        <v>51.446038369839215</v>
      </c>
      <c r="CA55" s="352">
        <f>BV$107*(1-'Assumptions-Output Override'!$D$12)</f>
        <v>9.7401900534537411</v>
      </c>
      <c r="CB55" s="352">
        <f>BW$107*(1-'Assumptions-Output Override'!$D$12)</f>
        <v>1.7000814189516649</v>
      </c>
      <c r="CC55" s="352">
        <f t="shared" si="5"/>
        <v>85.639384152672903</v>
      </c>
      <c r="CD55" s="352">
        <f t="shared" si="20"/>
        <v>23.487795036334351</v>
      </c>
      <c r="CE55" s="352">
        <f t="shared" si="20"/>
        <v>66.090687276236309</v>
      </c>
      <c r="CF55" s="352">
        <f t="shared" si="20"/>
        <v>11.314701224992165</v>
      </c>
      <c r="CG55" s="352">
        <f t="shared" si="20"/>
        <v>1.7020458486381755</v>
      </c>
      <c r="CH55" s="352">
        <f t="shared" si="6"/>
        <v>102.595229386201</v>
      </c>
      <c r="CJ55" s="352">
        <f t="shared" si="21"/>
        <v>102.595229386201</v>
      </c>
      <c r="CK55" s="352">
        <f t="shared" si="22"/>
        <v>104.30360385139856</v>
      </c>
      <c r="CL55" s="352">
        <f t="shared" si="23"/>
        <v>-1.708374465197565</v>
      </c>
      <c r="CN55" s="352">
        <f t="shared" si="24"/>
        <v>3.0513674881225552</v>
      </c>
      <c r="CO55" s="352">
        <f t="shared" si="24"/>
        <v>60.82066827887742</v>
      </c>
      <c r="CP55" s="352">
        <f t="shared" si="24"/>
        <v>6.5390998635476931</v>
      </c>
      <c r="CQ55" s="352">
        <f t="shared" si="24"/>
        <v>8.1584698331861934E-3</v>
      </c>
      <c r="CR55" s="352">
        <f t="shared" si="7"/>
        <v>70.419294100380867</v>
      </c>
      <c r="CT55" s="352">
        <f t="shared" si="32"/>
        <v>-2.1038517596373763</v>
      </c>
      <c r="CU55" s="352">
        <f t="shared" si="32"/>
        <v>-41.934532788630861</v>
      </c>
      <c r="CV55" s="352">
        <f t="shared" si="32"/>
        <v>-4.5085676530013545</v>
      </c>
      <c r="CW55" s="352">
        <f t="shared" si="32"/>
        <v>-5.6250881551661372E-3</v>
      </c>
      <c r="CX55" s="352">
        <f t="shared" si="9"/>
        <v>-48.552577289424761</v>
      </c>
      <c r="CZ55" s="352">
        <f t="shared" si="25"/>
        <v>22.378192825064403</v>
      </c>
      <c r="DA55" s="352">
        <f t="shared" si="25"/>
        <v>-30.574167099487084</v>
      </c>
      <c r="DB55" s="352">
        <f t="shared" si="25"/>
        <v>4.7880498068025954</v>
      </c>
      <c r="DC55" s="352">
        <f t="shared" si="25"/>
        <v>1.699550002422527</v>
      </c>
      <c r="DD55" s="352">
        <f t="shared" si="26"/>
        <v>-1.7083744651975592</v>
      </c>
      <c r="DF55" s="352">
        <f t="shared" si="27"/>
        <v>1.1096022112699482</v>
      </c>
      <c r="DG55" s="352">
        <f t="shared" si="27"/>
        <v>96.664854375723394</v>
      </c>
      <c r="DH55" s="352">
        <f t="shared" si="27"/>
        <v>6.5266514181895694</v>
      </c>
      <c r="DI55" s="352">
        <f t="shared" si="27"/>
        <v>2.4958462156486291E-3</v>
      </c>
      <c r="DJ55" s="352">
        <f t="shared" si="28"/>
        <v>104.30360385139856</v>
      </c>
    </row>
    <row r="56" spans="1:114" x14ac:dyDescent="0.2">
      <c r="A56">
        <v>51</v>
      </c>
      <c r="B56" s="397">
        <v>34308</v>
      </c>
      <c r="C56" s="398">
        <v>397997.79676138877</v>
      </c>
      <c r="D56" s="399">
        <v>3.7080470815032465</v>
      </c>
      <c r="E56" s="399">
        <v>63.343776767804407</v>
      </c>
      <c r="F56" s="399">
        <v>6.8662961881624067</v>
      </c>
      <c r="G56" s="399">
        <v>0</v>
      </c>
      <c r="H56" s="399">
        <v>73.918120037470061</v>
      </c>
      <c r="I56" s="400">
        <v>3.4669501179461887E-3</v>
      </c>
      <c r="J56" s="400">
        <v>2.929628989554765E-2</v>
      </c>
      <c r="K56" s="400">
        <v>5.7789264632007922E-5</v>
      </c>
      <c r="L56" s="400">
        <v>0.3410250415958091</v>
      </c>
      <c r="M56" s="400">
        <v>0.3348457229775067</v>
      </c>
      <c r="N56" s="400">
        <v>0.2285635768344583</v>
      </c>
      <c r="O56" s="399">
        <f t="shared" si="30"/>
        <v>0.86673752948654714</v>
      </c>
      <c r="P56" s="399">
        <f t="shared" si="30"/>
        <v>0</v>
      </c>
      <c r="Q56" s="399">
        <f t="shared" si="30"/>
        <v>5.7789264632007925E-2</v>
      </c>
      <c r="R56" s="399">
        <f t="shared" si="30"/>
        <v>7.0805207258458935</v>
      </c>
      <c r="S56" s="399">
        <f t="shared" si="30"/>
        <v>10.045371689325201</v>
      </c>
      <c r="T56" s="399">
        <f t="shared" si="30"/>
        <v>13.713814610067498</v>
      </c>
      <c r="U56" s="399">
        <f t="shared" si="10"/>
        <v>31.764233819357148</v>
      </c>
      <c r="V56" s="400">
        <v>2.6941904016413034E-4</v>
      </c>
      <c r="W56" s="400">
        <v>4.3280865161850627E-3</v>
      </c>
      <c r="X56" s="400">
        <v>0</v>
      </c>
      <c r="Y56" s="400">
        <v>5.6251818807870974E-2</v>
      </c>
      <c r="Z56" s="400">
        <v>1.8549147910046863E-2</v>
      </c>
      <c r="AA56" s="400">
        <v>1.508480712419457E-2</v>
      </c>
      <c r="AB56" s="352">
        <f t="shared" si="31"/>
        <v>6.735476004103258E-2</v>
      </c>
      <c r="AC56" s="352">
        <f t="shared" si="31"/>
        <v>0</v>
      </c>
      <c r="AD56" s="352">
        <f t="shared" si="31"/>
        <v>0</v>
      </c>
      <c r="AE56" s="352">
        <f t="shared" si="31"/>
        <v>1.994038979571741</v>
      </c>
      <c r="AF56" s="352">
        <f t="shared" si="31"/>
        <v>0.55647443730140589</v>
      </c>
      <c r="AG56" s="352">
        <f t="shared" si="31"/>
        <v>0.90508842745167417</v>
      </c>
      <c r="AH56" s="400">
        <f t="shared" si="11"/>
        <v>3.5229566043658536</v>
      </c>
      <c r="AJ56" s="352">
        <f>D56*('Assumptions-Output Override'!$D$10/'Winners-Losers Values PMPM'!$H$107)*(1+'Assumptions-Output Override'!$F$41)</f>
        <v>4.4259694759630124</v>
      </c>
      <c r="AK56" s="352">
        <f>E56*('Assumptions-Output Override'!$D$10/'Winners-Losers Values PMPM'!$H$107)*(1+'Assumptions-Output Override'!$F$37)</f>
        <v>104.24983834427887</v>
      </c>
      <c r="AL56" s="352">
        <f>F56*('Assumptions-Output Override'!$D$10/'Winners-Losers Values PMPM'!$H$107)*(1+'Assumptions-Output Override'!$F$38)</f>
        <v>11.534319906298959</v>
      </c>
      <c r="AM56" s="352">
        <f>G56*('Shoppable Detail'!$X$21/'Shoppable Detail'!$H$21)*('Assumptions-Output Override'!$D$10/'Winners-Losers Values PMPM'!$H$107)*(1+'Assumptions-Output Override'!$F$39)</f>
        <v>0</v>
      </c>
      <c r="AN56" s="352">
        <f t="shared" si="12"/>
        <v>120.21012772654085</v>
      </c>
      <c r="AO56" s="352">
        <v>0</v>
      </c>
      <c r="AP56" s="352">
        <f>U56*'Assumptions-Output Override'!$D$10/'Winners-Losers Values PMPM'!$H$107*(1+'Assumptions-Output Override'!$F$37)</f>
        <v>52.276899322506836</v>
      </c>
      <c r="AQ56" s="352">
        <f>AH56*'Assumptions-Output Override'!$D$10/'Winners-Losers Values PMPM'!$H$107*(1+'Assumptions-Output Override'!$F$38)</f>
        <v>5.9180244162521873</v>
      </c>
      <c r="AR56" s="352">
        <f>AM56*('Shoppable Detail'!$AA$23/'Shoppable Detail'!$Y$23)</f>
        <v>0</v>
      </c>
      <c r="AS56" s="352">
        <f t="shared" si="13"/>
        <v>58.194923738759023</v>
      </c>
      <c r="AT56" s="352">
        <f t="shared" si="14"/>
        <v>4.4259694759630124</v>
      </c>
      <c r="AU56" s="352">
        <f t="shared" si="14"/>
        <v>51.972939021772035</v>
      </c>
      <c r="AV56" s="352">
        <f t="shared" si="14"/>
        <v>5.6162954900467721</v>
      </c>
      <c r="AW56" s="352">
        <f t="shared" si="14"/>
        <v>0</v>
      </c>
      <c r="AX56" s="352">
        <f t="shared" si="15"/>
        <v>62.015203987781824</v>
      </c>
      <c r="AY56" s="352">
        <f>AT56*'Assumptions-Output Override'!$D$24</f>
        <v>1.3483978108649977</v>
      </c>
      <c r="AZ56" s="352">
        <f>$AU$107*'Assumptions-Output Override'!$D$21</f>
        <v>46.041131296780591</v>
      </c>
      <c r="BA56" s="352">
        <f>AV56*'Assumptions-Output Override'!$D$22</f>
        <v>0.84244432350701581</v>
      </c>
      <c r="BB56" s="352">
        <f>AW56*'Assumptions-Output Override'!$D$23</f>
        <v>0</v>
      </c>
      <c r="BC56" s="352">
        <f t="shared" si="16"/>
        <v>48.231973431152603</v>
      </c>
      <c r="BD56" s="352">
        <f t="shared" si="17"/>
        <v>1.3483978108649977</v>
      </c>
      <c r="BE56" s="352">
        <f t="shared" si="17"/>
        <v>98.318030619287427</v>
      </c>
      <c r="BF56" s="352">
        <f t="shared" si="17"/>
        <v>6.7604687397592027</v>
      </c>
      <c r="BG56" s="352">
        <f t="shared" si="17"/>
        <v>0</v>
      </c>
      <c r="BH56" s="352">
        <f t="shared" si="18"/>
        <v>106.42689716991163</v>
      </c>
      <c r="BJ56" s="401">
        <f>D56*'Assumptions-Output Override'!$D$10/'Winners-Losers Values PMPM'!$H$107</f>
        <v>6.2646651904674853</v>
      </c>
      <c r="BK56" s="401">
        <f>E56*'Assumptions-Output Override'!$D$10/'Winners-Losers Values PMPM'!$H$107</f>
        <v>107.01793818354994</v>
      </c>
      <c r="BL56" s="401">
        <f>F56*'Assumptions-Output Override'!$D$10/'Winners-Losers Values PMPM'!$H$107</f>
        <v>11.600458616610192</v>
      </c>
      <c r="BM56" s="401">
        <f>G56*'Assumptions-Output Override'!$D$10/'Winners-Losers Values PMPM'!$H$107</f>
        <v>0</v>
      </c>
      <c r="BN56" s="401">
        <f t="shared" si="2"/>
        <v>124.88306199062762</v>
      </c>
      <c r="BO56" s="401">
        <f>BJ56*(1-'Assumptions-Output Override'!$D$11)</f>
        <v>0.89283872035099821</v>
      </c>
      <c r="BP56" s="401">
        <f>BK56*(1-'Assumptions-Output Override'!$D$11)</f>
        <v>15.25217327300979</v>
      </c>
      <c r="BQ56" s="401">
        <f>BL56*(1-'Assumptions-Output Override'!$D$11)</f>
        <v>1.6532948388844486</v>
      </c>
      <c r="BR56" s="401">
        <f>BM56*(1-'Assumptions-Output Override'!$D$11)</f>
        <v>0</v>
      </c>
      <c r="BS56" s="352">
        <f t="shared" si="3"/>
        <v>17.798306832245238</v>
      </c>
      <c r="BT56" s="352">
        <f t="shared" si="19"/>
        <v>5.3718264701164866</v>
      </c>
      <c r="BU56" s="352">
        <f t="shared" si="19"/>
        <v>91.765764910540156</v>
      </c>
      <c r="BV56" s="352">
        <f t="shared" si="19"/>
        <v>9.9471637777257431</v>
      </c>
      <c r="BW56" s="352">
        <f t="shared" si="19"/>
        <v>0</v>
      </c>
      <c r="BX56" s="352">
        <f t="shared" si="4"/>
        <v>107.08475515838239</v>
      </c>
      <c r="BY56" s="352">
        <f>BT$107*(1-'Assumptions-Output Override'!$D$12)</f>
        <v>22.753074310428271</v>
      </c>
      <c r="BZ56" s="352">
        <f>BU$107*(1-'Assumptions-Output Override'!$D$12)</f>
        <v>51.446038369839215</v>
      </c>
      <c r="CA56" s="352">
        <f>BV$107*(1-'Assumptions-Output Override'!$D$12)</f>
        <v>9.7401900534537411</v>
      </c>
      <c r="CB56" s="352">
        <f>BW$107*(1-'Assumptions-Output Override'!$D$12)</f>
        <v>1.7000814189516649</v>
      </c>
      <c r="CC56" s="352">
        <f t="shared" si="5"/>
        <v>85.639384152672903</v>
      </c>
      <c r="CD56" s="352">
        <f t="shared" si="20"/>
        <v>23.645913030779269</v>
      </c>
      <c r="CE56" s="352">
        <f t="shared" si="20"/>
        <v>66.698211642849003</v>
      </c>
      <c r="CF56" s="352">
        <f t="shared" si="20"/>
        <v>11.39348489233819</v>
      </c>
      <c r="CG56" s="352">
        <f t="shared" si="20"/>
        <v>1.7000814189516649</v>
      </c>
      <c r="CH56" s="352">
        <f t="shared" si="6"/>
        <v>103.43769098491813</v>
      </c>
      <c r="CJ56" s="352">
        <f t="shared" si="21"/>
        <v>103.43769098491813</v>
      </c>
      <c r="CK56" s="352">
        <f t="shared" si="22"/>
        <v>106.42689716991163</v>
      </c>
      <c r="CL56" s="352">
        <f t="shared" si="23"/>
        <v>-2.9892061849934919</v>
      </c>
      <c r="CN56" s="352">
        <f t="shared" si="24"/>
        <v>3.7080470815032465</v>
      </c>
      <c r="CO56" s="352">
        <f t="shared" si="24"/>
        <v>63.343776767804407</v>
      </c>
      <c r="CP56" s="352">
        <f t="shared" si="24"/>
        <v>6.8662961881624067</v>
      </c>
      <c r="CQ56" s="352">
        <f t="shared" si="24"/>
        <v>0</v>
      </c>
      <c r="CR56" s="352">
        <f t="shared" si="7"/>
        <v>73.918120037470061</v>
      </c>
      <c r="CT56" s="352">
        <f t="shared" si="32"/>
        <v>-2.5566181089642388</v>
      </c>
      <c r="CU56" s="352">
        <f t="shared" si="32"/>
        <v>-43.674161415745537</v>
      </c>
      <c r="CV56" s="352">
        <f t="shared" si="32"/>
        <v>-4.7341624284477852</v>
      </c>
      <c r="CW56" s="352">
        <f t="shared" si="32"/>
        <v>0</v>
      </c>
      <c r="CX56" s="352">
        <f t="shared" si="9"/>
        <v>-50.964941953157563</v>
      </c>
      <c r="CZ56" s="352">
        <f t="shared" si="25"/>
        <v>22.297515219914271</v>
      </c>
      <c r="DA56" s="352">
        <f t="shared" si="25"/>
        <v>-31.619818976438424</v>
      </c>
      <c r="DB56" s="352">
        <f t="shared" si="25"/>
        <v>4.6330161525789872</v>
      </c>
      <c r="DC56" s="352">
        <f t="shared" si="25"/>
        <v>1.7000814189516649</v>
      </c>
      <c r="DD56" s="352">
        <f t="shared" si="26"/>
        <v>-2.9892061849935012</v>
      </c>
      <c r="DF56" s="352">
        <f t="shared" si="27"/>
        <v>1.3483978108649977</v>
      </c>
      <c r="DG56" s="352">
        <f t="shared" si="27"/>
        <v>98.318030619287427</v>
      </c>
      <c r="DH56" s="352">
        <f t="shared" si="27"/>
        <v>6.7604687397592027</v>
      </c>
      <c r="DI56" s="352">
        <f t="shared" si="27"/>
        <v>0</v>
      </c>
      <c r="DJ56" s="352">
        <f t="shared" si="28"/>
        <v>106.42689716991163</v>
      </c>
    </row>
    <row r="57" spans="1:114" x14ac:dyDescent="0.2">
      <c r="A57">
        <v>52</v>
      </c>
      <c r="B57" s="397">
        <v>34308</v>
      </c>
      <c r="C57" s="398">
        <v>397997.79676138877</v>
      </c>
      <c r="D57" s="399">
        <v>4.1635597906402282</v>
      </c>
      <c r="E57" s="399">
        <v>66.26213901573378</v>
      </c>
      <c r="F57" s="399">
        <v>7.163448697530602</v>
      </c>
      <c r="G57" s="399">
        <v>4.4996430926278856E-3</v>
      </c>
      <c r="H57" s="399">
        <v>77.593647146997242</v>
      </c>
      <c r="I57" s="400">
        <v>4.2204722018754593E-3</v>
      </c>
      <c r="J57" s="400">
        <v>3.0069772829382235E-2</v>
      </c>
      <c r="K57" s="400">
        <v>4.7738957739484802E-5</v>
      </c>
      <c r="L57" s="400">
        <v>0.35055913750182732</v>
      </c>
      <c r="M57" s="400">
        <v>0.34387516994742179</v>
      </c>
      <c r="N57" s="400">
        <v>0.23448536841013254</v>
      </c>
      <c r="O57" s="399">
        <f t="shared" si="30"/>
        <v>1.0551180504688649</v>
      </c>
      <c r="P57" s="399">
        <f t="shared" si="30"/>
        <v>0</v>
      </c>
      <c r="Q57" s="399">
        <f t="shared" si="30"/>
        <v>4.7738957739484805E-2</v>
      </c>
      <c r="R57" s="399">
        <f t="shared" si="30"/>
        <v>7.2784720649876533</v>
      </c>
      <c r="S57" s="399">
        <f t="shared" si="30"/>
        <v>10.316255098422653</v>
      </c>
      <c r="T57" s="399">
        <f t="shared" si="30"/>
        <v>14.069122104607953</v>
      </c>
      <c r="U57" s="399">
        <f t="shared" si="10"/>
        <v>32.766706276226614</v>
      </c>
      <c r="V57" s="400">
        <v>1.7506029798683168E-4</v>
      </c>
      <c r="W57" s="400">
        <v>4.5813652451872867E-3</v>
      </c>
      <c r="X57" s="400">
        <v>0</v>
      </c>
      <c r="Y57" s="400">
        <v>5.8883180866599848E-2</v>
      </c>
      <c r="Z57" s="400">
        <v>1.8990557388766552E-2</v>
      </c>
      <c r="AA57" s="400">
        <v>1.6201898735298512E-2</v>
      </c>
      <c r="AB57" s="352">
        <f t="shared" si="31"/>
        <v>4.3765074496707919E-2</v>
      </c>
      <c r="AC57" s="352">
        <f t="shared" si="31"/>
        <v>0</v>
      </c>
      <c r="AD57" s="352">
        <f t="shared" si="31"/>
        <v>0</v>
      </c>
      <c r="AE57" s="352">
        <f t="shared" si="31"/>
        <v>2.0873166481995389</v>
      </c>
      <c r="AF57" s="352">
        <f t="shared" si="31"/>
        <v>0.56971672166299658</v>
      </c>
      <c r="AG57" s="352">
        <f t="shared" si="31"/>
        <v>0.97211392411791075</v>
      </c>
      <c r="AH57" s="400">
        <f t="shared" si="11"/>
        <v>3.6729123684771543</v>
      </c>
      <c r="AJ57" s="352">
        <f>D57*('Assumptions-Output Override'!$D$10/'Winners-Losers Values PMPM'!$H$107)*(1+'Assumptions-Output Override'!$F$41)</f>
        <v>4.9696749096427206</v>
      </c>
      <c r="AK57" s="352">
        <f>E57*('Assumptions-Output Override'!$D$10/'Winners-Losers Values PMPM'!$H$107)*(1+'Assumptions-Output Override'!$F$37)</f>
        <v>109.05281675985258</v>
      </c>
      <c r="AL57" s="352">
        <f>F57*('Assumptions-Output Override'!$D$10/'Winners-Losers Values PMPM'!$H$107)*(1+'Assumptions-Output Override'!$F$38)</f>
        <v>12.033490348424838</v>
      </c>
      <c r="AM57" s="352">
        <f>G57*('Shoppable Detail'!$X$21/'Shoppable Detail'!$H$21)*('Assumptions-Output Override'!$D$10/'Winners-Losers Values PMPM'!$H$107)*(1+'Assumptions-Output Override'!$F$39)</f>
        <v>7.715951366349753E-3</v>
      </c>
      <c r="AN57" s="352">
        <f t="shared" si="12"/>
        <v>126.06369796928648</v>
      </c>
      <c r="AO57" s="352">
        <v>0</v>
      </c>
      <c r="AP57" s="352">
        <f>U57*'Assumptions-Output Override'!$D$10/'Winners-Losers Values PMPM'!$H$107*(1+'Assumptions-Output Override'!$F$37)</f>
        <v>53.926747135597005</v>
      </c>
      <c r="AQ57" s="352">
        <f>AH57*'Assumptions-Output Override'!$D$10/'Winners-Losers Values PMPM'!$H$107*(1+'Assumptions-Output Override'!$F$38)</f>
        <v>6.1699270006520814</v>
      </c>
      <c r="AR57" s="352">
        <f>AM57*('Shoppable Detail'!$AA$23/'Shoppable Detail'!$Y$23)</f>
        <v>2.578141637653204E-4</v>
      </c>
      <c r="AS57" s="352">
        <f t="shared" si="13"/>
        <v>60.096931950412852</v>
      </c>
      <c r="AT57" s="352">
        <f t="shared" si="14"/>
        <v>4.9696749096427206</v>
      </c>
      <c r="AU57" s="352">
        <f t="shared" si="14"/>
        <v>55.126069624255571</v>
      </c>
      <c r="AV57" s="352">
        <f t="shared" si="14"/>
        <v>5.8635633477727565</v>
      </c>
      <c r="AW57" s="352">
        <f t="shared" si="14"/>
        <v>7.4581372025844328E-3</v>
      </c>
      <c r="AX57" s="352">
        <f t="shared" si="15"/>
        <v>65.966766018873642</v>
      </c>
      <c r="AY57" s="352">
        <f>AT57*'Assumptions-Output Override'!$D$24</f>
        <v>1.5140408909880494</v>
      </c>
      <c r="AZ57" s="352">
        <f>$AU$107*'Assumptions-Output Override'!$D$21</f>
        <v>46.041131296780591</v>
      </c>
      <c r="BA57" s="352">
        <f>AV57*'Assumptions-Output Override'!$D$22</f>
        <v>0.87953450216591345</v>
      </c>
      <c r="BB57" s="352">
        <f>AW57*'Assumptions-Output Override'!$D$23</f>
        <v>1.1187205803876649E-3</v>
      </c>
      <c r="BC57" s="352">
        <f t="shared" si="16"/>
        <v>48.435825410514937</v>
      </c>
      <c r="BD57" s="352">
        <f t="shared" si="17"/>
        <v>1.5140408909880494</v>
      </c>
      <c r="BE57" s="352">
        <f t="shared" si="17"/>
        <v>99.967878432377603</v>
      </c>
      <c r="BF57" s="352">
        <f t="shared" si="17"/>
        <v>7.0494615028179952</v>
      </c>
      <c r="BG57" s="352">
        <f t="shared" si="17"/>
        <v>1.3765347441529853E-3</v>
      </c>
      <c r="BH57" s="352">
        <f t="shared" si="18"/>
        <v>108.5327573609278</v>
      </c>
      <c r="BJ57" s="401">
        <f>D57*'Assumptions-Output Override'!$D$10/'Winners-Losers Values PMPM'!$H$107</f>
        <v>7.0342440415507674</v>
      </c>
      <c r="BK57" s="401">
        <f>E57*'Assumptions-Output Override'!$D$10/'Winners-Losers Values PMPM'!$H$107</f>
        <v>111.94844796023968</v>
      </c>
      <c r="BL57" s="401">
        <f>F57*'Assumptions-Output Override'!$D$10/'Winners-Losers Values PMPM'!$H$107</f>
        <v>12.102491341864672</v>
      </c>
      <c r="BM57" s="401">
        <f>G57*'Assumptions-Output Override'!$D$10/'Winners-Losers Values PMPM'!$H$107</f>
        <v>7.6020494973018582E-3</v>
      </c>
      <c r="BN57" s="401">
        <f t="shared" si="2"/>
        <v>131.09278539315241</v>
      </c>
      <c r="BO57" s="401">
        <f>BJ57*(1-'Assumptions-Output Override'!$D$11)</f>
        <v>1.0025189308203331</v>
      </c>
      <c r="BP57" s="401">
        <f>BK57*(1-'Assumptions-Output Override'!$D$11)</f>
        <v>15.954868453974321</v>
      </c>
      <c r="BQ57" s="401">
        <f>BL57*(1-'Assumptions-Output Override'!$D$11)</f>
        <v>1.7248444336932154</v>
      </c>
      <c r="BR57" s="401">
        <f>BM57*(1-'Assumptions-Output Override'!$D$11)</f>
        <v>1.0834424408735954E-3</v>
      </c>
      <c r="BS57" s="352">
        <f t="shared" si="3"/>
        <v>18.68331526092874</v>
      </c>
      <c r="BT57" s="352">
        <f t="shared" si="19"/>
        <v>6.0317251107304344</v>
      </c>
      <c r="BU57" s="352">
        <f t="shared" si="19"/>
        <v>95.993579506265348</v>
      </c>
      <c r="BV57" s="352">
        <f t="shared" si="19"/>
        <v>10.377646908171457</v>
      </c>
      <c r="BW57" s="352">
        <f t="shared" si="19"/>
        <v>6.5186070564282623E-3</v>
      </c>
      <c r="BX57" s="352">
        <f t="shared" si="4"/>
        <v>112.40947013222367</v>
      </c>
      <c r="BY57" s="352">
        <f>BT$107*(1-'Assumptions-Output Override'!$D$12)</f>
        <v>22.753074310428271</v>
      </c>
      <c r="BZ57" s="352">
        <f>BU$107*(1-'Assumptions-Output Override'!$D$12)</f>
        <v>51.446038369839215</v>
      </c>
      <c r="CA57" s="352">
        <f>BV$107*(1-'Assumptions-Output Override'!$D$12)</f>
        <v>9.7401900534537411</v>
      </c>
      <c r="CB57" s="352">
        <f>BW$107*(1-'Assumptions-Output Override'!$D$12)</f>
        <v>1.7000814189516649</v>
      </c>
      <c r="CC57" s="352">
        <f t="shared" si="5"/>
        <v>85.639384152672903</v>
      </c>
      <c r="CD57" s="352">
        <f t="shared" si="20"/>
        <v>23.755593241248604</v>
      </c>
      <c r="CE57" s="352">
        <f t="shared" si="20"/>
        <v>67.400906823813528</v>
      </c>
      <c r="CF57" s="352">
        <f t="shared" si="20"/>
        <v>11.465034487146957</v>
      </c>
      <c r="CG57" s="352">
        <f t="shared" si="20"/>
        <v>1.7011648613925385</v>
      </c>
      <c r="CH57" s="352">
        <f t="shared" si="6"/>
        <v>104.32269941360163</v>
      </c>
      <c r="CJ57" s="352">
        <f t="shared" si="21"/>
        <v>104.32269941360163</v>
      </c>
      <c r="CK57" s="352">
        <f t="shared" si="22"/>
        <v>108.5327573609278</v>
      </c>
      <c r="CL57" s="352">
        <f t="shared" si="23"/>
        <v>-4.2100579473261774</v>
      </c>
      <c r="CN57" s="352">
        <f t="shared" si="24"/>
        <v>4.1635597906402282</v>
      </c>
      <c r="CO57" s="352">
        <f t="shared" si="24"/>
        <v>66.26213901573378</v>
      </c>
      <c r="CP57" s="352">
        <f t="shared" si="24"/>
        <v>7.163448697530602</v>
      </c>
      <c r="CQ57" s="352">
        <f t="shared" si="24"/>
        <v>4.4996430926278856E-3</v>
      </c>
      <c r="CR57" s="352">
        <f t="shared" si="7"/>
        <v>77.593647146997242</v>
      </c>
      <c r="CT57" s="352">
        <f t="shared" si="32"/>
        <v>-2.8706842509105392</v>
      </c>
      <c r="CU57" s="352">
        <f t="shared" si="32"/>
        <v>-45.686308944505896</v>
      </c>
      <c r="CV57" s="352">
        <f t="shared" si="32"/>
        <v>-4.9390426443340703</v>
      </c>
      <c r="CW57" s="352">
        <f t="shared" si="32"/>
        <v>-3.1024064046739725E-3</v>
      </c>
      <c r="CX57" s="352">
        <f t="shared" si="9"/>
        <v>-53.499138246155184</v>
      </c>
      <c r="CZ57" s="352">
        <f t="shared" si="25"/>
        <v>22.241552350260555</v>
      </c>
      <c r="DA57" s="352">
        <f t="shared" si="25"/>
        <v>-32.566971608564074</v>
      </c>
      <c r="DB57" s="352">
        <f t="shared" si="25"/>
        <v>4.4155729843289615</v>
      </c>
      <c r="DC57" s="352">
        <f t="shared" si="25"/>
        <v>1.6997883266483855</v>
      </c>
      <c r="DD57" s="352">
        <f t="shared" si="26"/>
        <v>-4.2100579473261721</v>
      </c>
      <c r="DF57" s="352">
        <f t="shared" si="27"/>
        <v>1.5140408909880494</v>
      </c>
      <c r="DG57" s="352">
        <f t="shared" si="27"/>
        <v>99.967878432377603</v>
      </c>
      <c r="DH57" s="352">
        <f t="shared" si="27"/>
        <v>7.0494615028179952</v>
      </c>
      <c r="DI57" s="352">
        <f t="shared" si="27"/>
        <v>1.3765347441529853E-3</v>
      </c>
      <c r="DJ57" s="352">
        <f t="shared" si="28"/>
        <v>108.5327573609278</v>
      </c>
    </row>
    <row r="58" spans="1:114" x14ac:dyDescent="0.2">
      <c r="A58">
        <v>53</v>
      </c>
      <c r="B58" s="397">
        <v>34308</v>
      </c>
      <c r="C58" s="398">
        <v>397997.79676138877</v>
      </c>
      <c r="D58" s="399">
        <v>4.4195292569131972</v>
      </c>
      <c r="E58" s="399">
        <v>69.087857586320098</v>
      </c>
      <c r="F58" s="399">
        <v>7.9182183327056608</v>
      </c>
      <c r="G58" s="399">
        <v>4.6803996098900916E-3</v>
      </c>
      <c r="H58" s="399">
        <v>81.430285575548851</v>
      </c>
      <c r="I58" s="400">
        <v>4.3439799606652153E-3</v>
      </c>
      <c r="J58" s="400">
        <v>3.1394674241853715E-2</v>
      </c>
      <c r="K58" s="400">
        <v>5.7789264632007922E-5</v>
      </c>
      <c r="L58" s="400">
        <v>0.36519732579150727</v>
      </c>
      <c r="M58" s="400">
        <v>0.35164762503428904</v>
      </c>
      <c r="N58" s="400">
        <v>0.24304219969843122</v>
      </c>
      <c r="O58" s="399">
        <f t="shared" si="30"/>
        <v>1.0859949901663037</v>
      </c>
      <c r="P58" s="399">
        <f t="shared" si="30"/>
        <v>0</v>
      </c>
      <c r="Q58" s="399">
        <f t="shared" si="30"/>
        <v>5.7789264632007925E-2</v>
      </c>
      <c r="R58" s="399">
        <f t="shared" si="30"/>
        <v>7.5823969471280011</v>
      </c>
      <c r="S58" s="399">
        <f t="shared" si="30"/>
        <v>10.549428751028671</v>
      </c>
      <c r="T58" s="399">
        <f t="shared" si="30"/>
        <v>14.582531981905873</v>
      </c>
      <c r="U58" s="399">
        <f t="shared" si="10"/>
        <v>33.858141934860853</v>
      </c>
      <c r="V58" s="400">
        <v>2.6072810338464422E-4</v>
      </c>
      <c r="W58" s="400">
        <v>4.5776405579960695E-3</v>
      </c>
      <c r="X58" s="400">
        <v>0</v>
      </c>
      <c r="Y58" s="400">
        <v>6.3037326981027014E-2</v>
      </c>
      <c r="Z58" s="400">
        <v>2.0409761225059692E-2</v>
      </c>
      <c r="AA58" s="400">
        <v>1.6757278694179315E-2</v>
      </c>
      <c r="AB58" s="352">
        <f t="shared" si="31"/>
        <v>6.5182025846161049E-2</v>
      </c>
      <c r="AC58" s="352">
        <f t="shared" si="31"/>
        <v>0</v>
      </c>
      <c r="AD58" s="352">
        <f t="shared" si="31"/>
        <v>0</v>
      </c>
      <c r="AE58" s="352">
        <f t="shared" si="31"/>
        <v>2.2345746294444973</v>
      </c>
      <c r="AF58" s="352">
        <f t="shared" si="31"/>
        <v>0.6122928367517908</v>
      </c>
      <c r="AG58" s="352">
        <f t="shared" si="31"/>
        <v>1.0054367216507589</v>
      </c>
      <c r="AH58" s="400">
        <f t="shared" si="11"/>
        <v>3.9174862136932083</v>
      </c>
      <c r="AJ58" s="352">
        <f>D58*('Assumptions-Output Override'!$D$10/'Winners-Losers Values PMPM'!$H$107)*(1+'Assumptions-Output Override'!$F$41)</f>
        <v>5.2752031350403934</v>
      </c>
      <c r="AK58" s="352">
        <f>E58*('Assumptions-Output Override'!$D$10/'Winners-Losers Values PMPM'!$H$107)*(1+'Assumptions-Output Override'!$F$37)</f>
        <v>113.7033241849131</v>
      </c>
      <c r="AL58" s="352">
        <f>F58*('Assumptions-Output Override'!$D$10/'Winners-Losers Values PMPM'!$H$107)*(1+'Assumptions-Output Override'!$F$38)</f>
        <v>13.301387070194361</v>
      </c>
      <c r="AM58" s="352">
        <f>G58*('Shoppable Detail'!$X$21/'Shoppable Detail'!$H$21)*('Assumptions-Output Override'!$D$10/'Winners-Losers Values PMPM'!$H$107)*(1+'Assumptions-Output Override'!$F$39)</f>
        <v>8.0259111715243001E-3</v>
      </c>
      <c r="AN58" s="352">
        <f t="shared" si="12"/>
        <v>132.2879403013194</v>
      </c>
      <c r="AO58" s="352">
        <v>0</v>
      </c>
      <c r="AP58" s="352">
        <f>U58*'Assumptions-Output Override'!$D$10/'Winners-Losers Values PMPM'!$H$107*(1+'Assumptions-Output Override'!$F$37)</f>
        <v>55.723008690901558</v>
      </c>
      <c r="AQ58" s="352">
        <f>AH58*'Assumptions-Output Override'!$D$10/'Winners-Losers Values PMPM'!$H$107*(1+'Assumptions-Output Override'!$F$38)</f>
        <v>6.5807733862622806</v>
      </c>
      <c r="AR58" s="352">
        <f>AM58*('Shoppable Detail'!$AA$23/'Shoppable Detail'!$Y$23)</f>
        <v>2.6817089415121214E-4</v>
      </c>
      <c r="AS58" s="352">
        <f t="shared" si="13"/>
        <v>62.30405024805799</v>
      </c>
      <c r="AT58" s="352">
        <f t="shared" si="14"/>
        <v>5.2752031350403934</v>
      </c>
      <c r="AU58" s="352">
        <f t="shared" si="14"/>
        <v>57.980315494011542</v>
      </c>
      <c r="AV58" s="352">
        <f t="shared" si="14"/>
        <v>6.72061368393208</v>
      </c>
      <c r="AW58" s="352">
        <f t="shared" si="14"/>
        <v>7.757740277373088E-3</v>
      </c>
      <c r="AX58" s="352">
        <f t="shared" si="15"/>
        <v>69.983890053261391</v>
      </c>
      <c r="AY58" s="352">
        <f>AT58*'Assumptions-Output Override'!$D$24</f>
        <v>1.6071218741536759</v>
      </c>
      <c r="AZ58" s="352">
        <f>$AU$107*'Assumptions-Output Override'!$D$21</f>
        <v>46.041131296780591</v>
      </c>
      <c r="BA58" s="352">
        <f>AV58*'Assumptions-Output Override'!$D$22</f>
        <v>1.008092052589812</v>
      </c>
      <c r="BB58" s="352">
        <f>AW58*'Assumptions-Output Override'!$D$23</f>
        <v>1.1636610416059631E-3</v>
      </c>
      <c r="BC58" s="352">
        <f t="shared" si="16"/>
        <v>48.657508884565686</v>
      </c>
      <c r="BD58" s="352">
        <f t="shared" si="17"/>
        <v>1.6071218741536759</v>
      </c>
      <c r="BE58" s="352">
        <f t="shared" si="17"/>
        <v>101.76413998768214</v>
      </c>
      <c r="BF58" s="352">
        <f t="shared" si="17"/>
        <v>7.5888654388520926</v>
      </c>
      <c r="BG58" s="352">
        <f t="shared" si="17"/>
        <v>1.4318319357571753E-3</v>
      </c>
      <c r="BH58" s="352">
        <f t="shared" si="18"/>
        <v>110.96155913262368</v>
      </c>
      <c r="BJ58" s="401">
        <f>D58*'Assumptions-Output Override'!$D$10/'Winners-Losers Values PMPM'!$H$107</f>
        <v>7.4666989079363164</v>
      </c>
      <c r="BK58" s="401">
        <f>E58*'Assumptions-Output Override'!$D$10/'Winners-Losers Values PMPM'!$H$107</f>
        <v>116.7224382516556</v>
      </c>
      <c r="BL58" s="401">
        <f>F58*'Assumptions-Output Override'!$D$10/'Winners-Losers Values PMPM'!$H$107</f>
        <v>13.377658284563291</v>
      </c>
      <c r="BM58" s="401">
        <f>G58*'Assumptions-Output Override'!$D$10/'Winners-Losers Values PMPM'!$H$107</f>
        <v>7.9074337162054666E-3</v>
      </c>
      <c r="BN58" s="401">
        <f t="shared" si="2"/>
        <v>137.57470287787143</v>
      </c>
      <c r="BO58" s="401">
        <f>BJ58*(1-'Assumptions-Output Override'!$D$11)</f>
        <v>1.0641523043166143</v>
      </c>
      <c r="BP58" s="401">
        <f>BK58*(1-'Assumptions-Output Override'!$D$11)</f>
        <v>16.63525651194136</v>
      </c>
      <c r="BQ58" s="401">
        <f>BL58*(1-'Assumptions-Output Override'!$D$11)</f>
        <v>1.9065809490117571</v>
      </c>
      <c r="BR58" s="401">
        <f>BM58*(1-'Assumptions-Output Override'!$D$11)</f>
        <v>1.12696573332922E-3</v>
      </c>
      <c r="BS58" s="352">
        <f t="shared" si="3"/>
        <v>19.607116731003064</v>
      </c>
      <c r="BT58" s="352">
        <f t="shared" si="19"/>
        <v>6.4025466036197018</v>
      </c>
      <c r="BU58" s="352">
        <f t="shared" si="19"/>
        <v>100.08718173971424</v>
      </c>
      <c r="BV58" s="352">
        <f t="shared" si="19"/>
        <v>11.471077335551534</v>
      </c>
      <c r="BW58" s="352">
        <f t="shared" si="19"/>
        <v>6.7804679828762466E-3</v>
      </c>
      <c r="BX58" s="352">
        <f t="shared" si="4"/>
        <v>117.96758614686834</v>
      </c>
      <c r="BY58" s="352">
        <f>BT$107*(1-'Assumptions-Output Override'!$D$12)</f>
        <v>22.753074310428271</v>
      </c>
      <c r="BZ58" s="352">
        <f>BU$107*(1-'Assumptions-Output Override'!$D$12)</f>
        <v>51.446038369839215</v>
      </c>
      <c r="CA58" s="352">
        <f>BV$107*(1-'Assumptions-Output Override'!$D$12)</f>
        <v>9.7401900534537411</v>
      </c>
      <c r="CB58" s="352">
        <f>BW$107*(1-'Assumptions-Output Override'!$D$12)</f>
        <v>1.7000814189516649</v>
      </c>
      <c r="CC58" s="352">
        <f t="shared" si="5"/>
        <v>85.639384152672903</v>
      </c>
      <c r="CD58" s="352">
        <f t="shared" si="20"/>
        <v>23.817226614744886</v>
      </c>
      <c r="CE58" s="352">
        <f t="shared" si="20"/>
        <v>68.081294881780579</v>
      </c>
      <c r="CF58" s="352">
        <f t="shared" si="20"/>
        <v>11.646771002465499</v>
      </c>
      <c r="CG58" s="352">
        <f t="shared" si="20"/>
        <v>1.7012083846849941</v>
      </c>
      <c r="CH58" s="352">
        <f t="shared" si="6"/>
        <v>105.24650088367595</v>
      </c>
      <c r="CJ58" s="352">
        <f t="shared" si="21"/>
        <v>105.24650088367595</v>
      </c>
      <c r="CK58" s="352">
        <f t="shared" si="22"/>
        <v>110.96155913262368</v>
      </c>
      <c r="CL58" s="352">
        <f t="shared" si="23"/>
        <v>-5.7150582489477273</v>
      </c>
      <c r="CN58" s="352">
        <f t="shared" si="24"/>
        <v>4.4195292569131972</v>
      </c>
      <c r="CO58" s="352">
        <f t="shared" si="24"/>
        <v>69.087857586320098</v>
      </c>
      <c r="CP58" s="352">
        <f t="shared" si="24"/>
        <v>7.9182183327056608</v>
      </c>
      <c r="CQ58" s="352">
        <f t="shared" si="24"/>
        <v>4.6803996098900916E-3</v>
      </c>
      <c r="CR58" s="352">
        <f t="shared" si="7"/>
        <v>81.430285575548851</v>
      </c>
      <c r="CT58" s="352">
        <f t="shared" si="32"/>
        <v>-3.0471696510231192</v>
      </c>
      <c r="CU58" s="352">
        <f t="shared" si="32"/>
        <v>-47.634580665335506</v>
      </c>
      <c r="CV58" s="352">
        <f t="shared" si="32"/>
        <v>-5.4594399518576298</v>
      </c>
      <c r="CW58" s="352">
        <f t="shared" si="32"/>
        <v>-3.2270341063153751E-3</v>
      </c>
      <c r="CX58" s="352">
        <f t="shared" si="9"/>
        <v>-56.144417302322573</v>
      </c>
      <c r="CZ58" s="352">
        <f t="shared" si="25"/>
        <v>22.210104740591209</v>
      </c>
      <c r="DA58" s="352">
        <f t="shared" si="25"/>
        <v>-33.682845105901563</v>
      </c>
      <c r="DB58" s="352">
        <f t="shared" si="25"/>
        <v>4.0579055636134065</v>
      </c>
      <c r="DC58" s="352">
        <f t="shared" si="25"/>
        <v>1.699776552749237</v>
      </c>
      <c r="DD58" s="352">
        <f t="shared" si="26"/>
        <v>-5.7150582489477113</v>
      </c>
      <c r="DF58" s="352">
        <f t="shared" si="27"/>
        <v>1.6071218741536759</v>
      </c>
      <c r="DG58" s="352">
        <f t="shared" si="27"/>
        <v>101.76413998768214</v>
      </c>
      <c r="DH58" s="352">
        <f t="shared" si="27"/>
        <v>7.5888654388520926</v>
      </c>
      <c r="DI58" s="352">
        <f t="shared" si="27"/>
        <v>1.4318319357571753E-3</v>
      </c>
      <c r="DJ58" s="352">
        <f t="shared" si="28"/>
        <v>110.96155913262368</v>
      </c>
    </row>
    <row r="59" spans="1:114" x14ac:dyDescent="0.2">
      <c r="A59">
        <v>54</v>
      </c>
      <c r="B59" s="397">
        <v>34308</v>
      </c>
      <c r="C59" s="398">
        <v>397997.79676138877</v>
      </c>
      <c r="D59" s="399">
        <v>4.7727434504205819</v>
      </c>
      <c r="E59" s="399">
        <v>72.399851946658941</v>
      </c>
      <c r="F59" s="399">
        <v>8.2897842211688069</v>
      </c>
      <c r="G59" s="399">
        <v>0</v>
      </c>
      <c r="H59" s="399">
        <v>85.46237961824832</v>
      </c>
      <c r="I59" s="400">
        <v>4.7906039772987784E-3</v>
      </c>
      <c r="J59" s="400">
        <v>3.2643474914061145E-2</v>
      </c>
      <c r="K59" s="400">
        <v>4.2713804293223245E-5</v>
      </c>
      <c r="L59" s="400">
        <v>0.37076049593414867</v>
      </c>
      <c r="M59" s="400">
        <v>0.36135200036357895</v>
      </c>
      <c r="N59" s="400">
        <v>0.25299697842393815</v>
      </c>
      <c r="O59" s="399">
        <f t="shared" si="30"/>
        <v>1.1976509943246947</v>
      </c>
      <c r="P59" s="399">
        <f t="shared" si="30"/>
        <v>0</v>
      </c>
      <c r="Q59" s="399">
        <f t="shared" si="30"/>
        <v>4.2713804293223245E-2</v>
      </c>
      <c r="R59" s="399">
        <f t="shared" si="30"/>
        <v>7.6979020763468267</v>
      </c>
      <c r="S59" s="399">
        <f t="shared" si="30"/>
        <v>10.840560010907369</v>
      </c>
      <c r="T59" s="399">
        <f t="shared" si="30"/>
        <v>15.179818705436288</v>
      </c>
      <c r="U59" s="399">
        <f t="shared" si="10"/>
        <v>34.958645591308404</v>
      </c>
      <c r="V59" s="400">
        <v>2.9052560091431779E-4</v>
      </c>
      <c r="W59" s="400">
        <v>5.0357770825148135E-3</v>
      </c>
      <c r="X59" s="400">
        <v>2.5125767231307792E-6</v>
      </c>
      <c r="Y59" s="400">
        <v>6.3953634269953902E-2</v>
      </c>
      <c r="Z59" s="400">
        <v>2.0831271096132059E-2</v>
      </c>
      <c r="AA59" s="400">
        <v>1.7102808245144211E-2</v>
      </c>
      <c r="AB59" s="352">
        <f t="shared" si="31"/>
        <v>7.2631400228579446E-2</v>
      </c>
      <c r="AC59" s="352">
        <f t="shared" si="31"/>
        <v>0</v>
      </c>
      <c r="AD59" s="352">
        <f t="shared" si="31"/>
        <v>2.5125767231307791E-3</v>
      </c>
      <c r="AE59" s="352">
        <f t="shared" si="31"/>
        <v>2.2670562894176012</v>
      </c>
      <c r="AF59" s="352">
        <f t="shared" si="31"/>
        <v>0.62493813288396183</v>
      </c>
      <c r="AG59" s="352">
        <f t="shared" si="31"/>
        <v>1.0261684947086527</v>
      </c>
      <c r="AH59" s="400">
        <f t="shared" si="11"/>
        <v>3.9933068939619263</v>
      </c>
      <c r="AJ59" s="352">
        <f>D59*('Assumptions-Output Override'!$D$10/'Winners-Losers Values PMPM'!$H$107)*(1+'Assumptions-Output Override'!$F$41)</f>
        <v>5.6968038333537514</v>
      </c>
      <c r="AK59" s="352">
        <f>E59*('Assumptions-Output Override'!$D$10/'Winners-Losers Values PMPM'!$H$107)*(1+'Assumptions-Output Override'!$F$37)</f>
        <v>119.15413394524901</v>
      </c>
      <c r="AL59" s="352">
        <f>F59*('Assumptions-Output Override'!$D$10/'Winners-Losers Values PMPM'!$H$107)*(1+'Assumptions-Output Override'!$F$38)</f>
        <v>13.925560526502702</v>
      </c>
      <c r="AM59" s="352">
        <f>G59*('Shoppable Detail'!$X$21/'Shoppable Detail'!$H$21)*('Assumptions-Output Override'!$D$10/'Winners-Losers Values PMPM'!$H$107)*(1+'Assumptions-Output Override'!$F$39)</f>
        <v>0</v>
      </c>
      <c r="AN59" s="352">
        <f t="shared" si="12"/>
        <v>138.77649830510546</v>
      </c>
      <c r="AO59" s="352">
        <v>0</v>
      </c>
      <c r="AP59" s="352">
        <f>U59*'Assumptions-Output Override'!$D$10/'Winners-Losers Values PMPM'!$H$107*(1+'Assumptions-Output Override'!$F$37)</f>
        <v>57.534194163824878</v>
      </c>
      <c r="AQ59" s="352">
        <f>AH59*'Assumptions-Output Override'!$D$10/'Winners-Losers Values PMPM'!$H$107*(1+'Assumptions-Output Override'!$F$38)</f>
        <v>6.708140449634862</v>
      </c>
      <c r="AR59" s="352">
        <f>AM59*('Shoppable Detail'!$AA$23/'Shoppable Detail'!$Y$23)</f>
        <v>0</v>
      </c>
      <c r="AS59" s="352">
        <f t="shared" si="13"/>
        <v>64.242334613459747</v>
      </c>
      <c r="AT59" s="352">
        <f t="shared" si="14"/>
        <v>5.6968038333537514</v>
      </c>
      <c r="AU59" s="352">
        <f t="shared" si="14"/>
        <v>61.619939781424137</v>
      </c>
      <c r="AV59" s="352">
        <f t="shared" si="14"/>
        <v>7.2174200768678398</v>
      </c>
      <c r="AW59" s="352">
        <f t="shared" si="14"/>
        <v>0</v>
      </c>
      <c r="AX59" s="352">
        <f t="shared" si="15"/>
        <v>74.53416369164573</v>
      </c>
      <c r="AY59" s="352">
        <f>AT59*'Assumptions-Output Override'!$D$24</f>
        <v>1.7355650235590825</v>
      </c>
      <c r="AZ59" s="352">
        <f>$AU$107*'Assumptions-Output Override'!$D$21</f>
        <v>46.041131296780591</v>
      </c>
      <c r="BA59" s="352">
        <f>AV59*'Assumptions-Output Override'!$D$22</f>
        <v>1.082613011530176</v>
      </c>
      <c r="BB59" s="352">
        <f>AW59*'Assumptions-Output Override'!$D$23</f>
        <v>0</v>
      </c>
      <c r="BC59" s="352">
        <f t="shared" si="16"/>
        <v>48.859309331869852</v>
      </c>
      <c r="BD59" s="352">
        <f t="shared" si="17"/>
        <v>1.7355650235590825</v>
      </c>
      <c r="BE59" s="352">
        <f t="shared" si="17"/>
        <v>103.57532546060547</v>
      </c>
      <c r="BF59" s="352">
        <f t="shared" si="17"/>
        <v>7.7907534611650382</v>
      </c>
      <c r="BG59" s="352">
        <f t="shared" si="17"/>
        <v>0</v>
      </c>
      <c r="BH59" s="352">
        <f t="shared" si="18"/>
        <v>113.10164394532958</v>
      </c>
      <c r="BJ59" s="401">
        <f>D59*'Assumptions-Output Override'!$D$10/'Winners-Losers Values PMPM'!$H$107</f>
        <v>8.0634466336819397</v>
      </c>
      <c r="BK59" s="401">
        <f>E59*'Assumptions-Output Override'!$D$10/'Winners-Losers Values PMPM'!$H$107</f>
        <v>122.3179809522159</v>
      </c>
      <c r="BL59" s="401">
        <f>F59*'Assumptions-Output Override'!$D$10/'Winners-Losers Values PMPM'!$H$107</f>
        <v>14.005410801253703</v>
      </c>
      <c r="BM59" s="401">
        <f>G59*'Assumptions-Output Override'!$D$10/'Winners-Losers Values PMPM'!$H$107</f>
        <v>0</v>
      </c>
      <c r="BN59" s="401">
        <f t="shared" si="2"/>
        <v>144.38683838715156</v>
      </c>
      <c r="BO59" s="401">
        <f>BJ59*(1-'Assumptions-Output Override'!$D$11)</f>
        <v>1.1492006603944165</v>
      </c>
      <c r="BP59" s="401">
        <f>BK59*(1-'Assumptions-Output Override'!$D$11)</f>
        <v>17.432732040568105</v>
      </c>
      <c r="BQ59" s="401">
        <f>BL59*(1-'Assumptions-Output Override'!$D$11)</f>
        <v>1.9960481011513214</v>
      </c>
      <c r="BR59" s="401">
        <f>BM59*(1-'Assumptions-Output Override'!$D$11)</f>
        <v>0</v>
      </c>
      <c r="BS59" s="352">
        <f t="shared" si="3"/>
        <v>20.577980802113842</v>
      </c>
      <c r="BT59" s="352">
        <f t="shared" si="19"/>
        <v>6.9142459732875228</v>
      </c>
      <c r="BU59" s="352">
        <f t="shared" si="19"/>
        <v>104.88524891164781</v>
      </c>
      <c r="BV59" s="352">
        <f t="shared" si="19"/>
        <v>12.009362700102381</v>
      </c>
      <c r="BW59" s="352">
        <f t="shared" si="19"/>
        <v>0</v>
      </c>
      <c r="BX59" s="352">
        <f t="shared" si="4"/>
        <v>123.80885758503771</v>
      </c>
      <c r="BY59" s="352">
        <f>BT$107*(1-'Assumptions-Output Override'!$D$12)</f>
        <v>22.753074310428271</v>
      </c>
      <c r="BZ59" s="352">
        <f>BU$107*(1-'Assumptions-Output Override'!$D$12)</f>
        <v>51.446038369839215</v>
      </c>
      <c r="CA59" s="352">
        <f>BV$107*(1-'Assumptions-Output Override'!$D$12)</f>
        <v>9.7401900534537411</v>
      </c>
      <c r="CB59" s="352">
        <f>BW$107*(1-'Assumptions-Output Override'!$D$12)</f>
        <v>1.7000814189516649</v>
      </c>
      <c r="CC59" s="352">
        <f t="shared" si="5"/>
        <v>85.639384152672903</v>
      </c>
      <c r="CD59" s="352">
        <f t="shared" si="20"/>
        <v>23.902274970822688</v>
      </c>
      <c r="CE59" s="352">
        <f t="shared" si="20"/>
        <v>68.878770410407327</v>
      </c>
      <c r="CF59" s="352">
        <f t="shared" si="20"/>
        <v>11.736238154605063</v>
      </c>
      <c r="CG59" s="352">
        <f t="shared" si="20"/>
        <v>1.7000814189516649</v>
      </c>
      <c r="CH59" s="352">
        <f t="shared" si="6"/>
        <v>106.21736495478675</v>
      </c>
      <c r="CJ59" s="352">
        <f t="shared" si="21"/>
        <v>106.21736495478675</v>
      </c>
      <c r="CK59" s="352">
        <f t="shared" si="22"/>
        <v>113.10164394532958</v>
      </c>
      <c r="CL59" s="352">
        <f t="shared" si="23"/>
        <v>-6.884278990542839</v>
      </c>
      <c r="CN59" s="352">
        <f t="shared" si="24"/>
        <v>4.7727434504205819</v>
      </c>
      <c r="CO59" s="352">
        <f t="shared" si="24"/>
        <v>72.399851946658941</v>
      </c>
      <c r="CP59" s="352">
        <f t="shared" si="24"/>
        <v>8.2897842211688069</v>
      </c>
      <c r="CQ59" s="352">
        <f t="shared" si="24"/>
        <v>0</v>
      </c>
      <c r="CR59" s="352">
        <f t="shared" si="7"/>
        <v>85.46237961824832</v>
      </c>
      <c r="CT59" s="352">
        <f t="shared" si="32"/>
        <v>-3.2907031832613578</v>
      </c>
      <c r="CU59" s="352">
        <f t="shared" si="32"/>
        <v>-49.918129005556963</v>
      </c>
      <c r="CV59" s="352">
        <f t="shared" si="32"/>
        <v>-5.715626580084896</v>
      </c>
      <c r="CW59" s="352">
        <f t="shared" si="32"/>
        <v>0</v>
      </c>
      <c r="CX59" s="352">
        <f t="shared" si="9"/>
        <v>-58.924458768903214</v>
      </c>
      <c r="CZ59" s="352">
        <f t="shared" si="25"/>
        <v>22.166709947263605</v>
      </c>
      <c r="DA59" s="352">
        <f t="shared" si="25"/>
        <v>-34.696555050198143</v>
      </c>
      <c r="DB59" s="352">
        <f t="shared" si="25"/>
        <v>3.9454846934400249</v>
      </c>
      <c r="DC59" s="352">
        <f t="shared" si="25"/>
        <v>1.7000814189516649</v>
      </c>
      <c r="DD59" s="352">
        <f t="shared" si="26"/>
        <v>-6.8842789905428461</v>
      </c>
      <c r="DF59" s="352">
        <f t="shared" si="27"/>
        <v>1.7355650235590825</v>
      </c>
      <c r="DG59" s="352">
        <f t="shared" si="27"/>
        <v>103.57532546060547</v>
      </c>
      <c r="DH59" s="352">
        <f t="shared" si="27"/>
        <v>7.7907534611650382</v>
      </c>
      <c r="DI59" s="352">
        <f t="shared" si="27"/>
        <v>0</v>
      </c>
      <c r="DJ59" s="352">
        <f t="shared" si="28"/>
        <v>113.10164394532958</v>
      </c>
    </row>
    <row r="60" spans="1:114" x14ac:dyDescent="0.2">
      <c r="A60">
        <v>55</v>
      </c>
      <c r="B60" s="397">
        <v>34308</v>
      </c>
      <c r="C60" s="398">
        <v>397997.79676138877</v>
      </c>
      <c r="D60" s="399">
        <v>5.4106293458377035</v>
      </c>
      <c r="E60" s="399">
        <v>75.784847685671778</v>
      </c>
      <c r="F60" s="399">
        <v>8.4725763070058449</v>
      </c>
      <c r="G60" s="399">
        <v>7.8491753480930994E-3</v>
      </c>
      <c r="H60" s="399">
        <v>89.675902513863434</v>
      </c>
      <c r="I60" s="400">
        <v>5.1973062941215366E-3</v>
      </c>
      <c r="J60" s="400">
        <v>3.5184740617643102E-2</v>
      </c>
      <c r="K60" s="400">
        <v>3.517607412383091E-5</v>
      </c>
      <c r="L60" s="400">
        <v>0.38186165473898459</v>
      </c>
      <c r="M60" s="400">
        <v>0.36652755665248216</v>
      </c>
      <c r="N60" s="400">
        <v>0.25576965708945243</v>
      </c>
      <c r="O60" s="399">
        <f t="shared" si="30"/>
        <v>1.2993265735303841</v>
      </c>
      <c r="P60" s="399">
        <f t="shared" si="30"/>
        <v>0</v>
      </c>
      <c r="Q60" s="399">
        <f t="shared" si="30"/>
        <v>3.5176074123830912E-2</v>
      </c>
      <c r="R60" s="399">
        <f t="shared" si="30"/>
        <v>7.9283895051606565</v>
      </c>
      <c r="S60" s="399">
        <f t="shared" si="30"/>
        <v>10.995826699574465</v>
      </c>
      <c r="T60" s="399">
        <f t="shared" si="30"/>
        <v>15.346179425367145</v>
      </c>
      <c r="U60" s="399">
        <f t="shared" si="10"/>
        <v>35.604898277756483</v>
      </c>
      <c r="V60" s="400">
        <v>2.9673341289966469E-4</v>
      </c>
      <c r="W60" s="400">
        <v>5.0556420808679069E-3</v>
      </c>
      <c r="X60" s="400">
        <v>2.5125767231307792E-6</v>
      </c>
      <c r="Y60" s="400">
        <v>6.4367840322622411E-2</v>
      </c>
      <c r="Z60" s="400">
        <v>2.096966382204208E-2</v>
      </c>
      <c r="AA60" s="400">
        <v>1.7670851590709566E-2</v>
      </c>
      <c r="AB60" s="352">
        <f t="shared" si="31"/>
        <v>7.4183353224916176E-2</v>
      </c>
      <c r="AC60" s="352">
        <f t="shared" si="31"/>
        <v>0</v>
      </c>
      <c r="AD60" s="352">
        <f t="shared" si="31"/>
        <v>2.5125767231307791E-3</v>
      </c>
      <c r="AE60" s="352">
        <f t="shared" si="31"/>
        <v>2.2817392460241526</v>
      </c>
      <c r="AF60" s="352">
        <f t="shared" si="31"/>
        <v>0.62908991466126241</v>
      </c>
      <c r="AG60" s="352">
        <f t="shared" si="31"/>
        <v>1.0602510954425739</v>
      </c>
      <c r="AH60" s="400">
        <f t="shared" si="11"/>
        <v>4.0477761860760353</v>
      </c>
      <c r="AJ60" s="352">
        <f>D60*('Assumptions-Output Override'!$D$10/'Winners-Losers Values PMPM'!$H$107)*(1+'Assumptions-Output Override'!$F$41)</f>
        <v>6.4581920898154133</v>
      </c>
      <c r="AK60" s="352">
        <f>E60*('Assumptions-Output Override'!$D$10/'Winners-Losers Values PMPM'!$H$107)*(1+'Assumptions-Output Override'!$F$37)</f>
        <v>124.72508781940326</v>
      </c>
      <c r="AL60" s="352">
        <f>F60*('Assumptions-Output Override'!$D$10/'Winners-Losers Values PMPM'!$H$107)*(1+'Assumptions-Output Override'!$F$38)</f>
        <v>14.232623073268298</v>
      </c>
      <c r="AM60" s="352">
        <f>G60*('Shoppable Detail'!$X$21/'Shoppable Detail'!$H$21)*('Assumptions-Output Override'!$D$10/'Winners-Losers Values PMPM'!$H$107)*(1+'Assumptions-Output Override'!$F$39)</f>
        <v>1.3459702026381649E-2</v>
      </c>
      <c r="AN60" s="352">
        <f t="shared" si="12"/>
        <v>145.42936268451334</v>
      </c>
      <c r="AO60" s="352">
        <v>0</v>
      </c>
      <c r="AP60" s="352">
        <f>U60*'Assumptions-Output Override'!$D$10/'Winners-Losers Values PMPM'!$H$107*(1+'Assumptions-Output Override'!$F$37)</f>
        <v>58.597783067573523</v>
      </c>
      <c r="AQ60" s="352">
        <f>AH60*'Assumptions-Output Override'!$D$10/'Winners-Losers Values PMPM'!$H$107*(1+'Assumptions-Output Override'!$F$38)</f>
        <v>6.7996404698927888</v>
      </c>
      <c r="AR60" s="352">
        <f>AM60*('Shoppable Detail'!$AA$23/'Shoppable Detail'!$Y$23)</f>
        <v>4.4973090908731353E-4</v>
      </c>
      <c r="AS60" s="352">
        <f t="shared" si="13"/>
        <v>65.397873268375392</v>
      </c>
      <c r="AT60" s="352">
        <f t="shared" si="14"/>
        <v>6.4581920898154133</v>
      </c>
      <c r="AU60" s="352">
        <f t="shared" si="14"/>
        <v>66.12730475182974</v>
      </c>
      <c r="AV60" s="352">
        <f t="shared" si="14"/>
        <v>7.4329826033755095</v>
      </c>
      <c r="AW60" s="352">
        <f t="shared" si="14"/>
        <v>1.3009971117294336E-2</v>
      </c>
      <c r="AX60" s="352">
        <f t="shared" si="15"/>
        <v>80.031489416137958</v>
      </c>
      <c r="AY60" s="352">
        <f>AT60*'Assumptions-Output Override'!$D$24</f>
        <v>1.9675264647318869</v>
      </c>
      <c r="AZ60" s="352">
        <f>$AU$107*'Assumptions-Output Override'!$D$21</f>
        <v>46.041131296780591</v>
      </c>
      <c r="BA60" s="352">
        <f>AV60*'Assumptions-Output Override'!$D$22</f>
        <v>1.1149473905063263</v>
      </c>
      <c r="BB60" s="352">
        <f>AW60*'Assumptions-Output Override'!$D$23</f>
        <v>1.9514956675941502E-3</v>
      </c>
      <c r="BC60" s="352">
        <f t="shared" si="16"/>
        <v>49.125556647686402</v>
      </c>
      <c r="BD60" s="352">
        <f t="shared" si="17"/>
        <v>1.9675264647318869</v>
      </c>
      <c r="BE60" s="352">
        <f t="shared" si="17"/>
        <v>104.63891436435412</v>
      </c>
      <c r="BF60" s="352">
        <f t="shared" si="17"/>
        <v>7.9145878603991147</v>
      </c>
      <c r="BG60" s="352">
        <f t="shared" si="17"/>
        <v>2.4012265766814637E-3</v>
      </c>
      <c r="BH60" s="352">
        <f t="shared" si="18"/>
        <v>114.5234299160618</v>
      </c>
      <c r="BJ60" s="401">
        <f>D60*'Assumptions-Output Override'!$D$10/'Winners-Losers Values PMPM'!$H$107</f>
        <v>9.1411410309412613</v>
      </c>
      <c r="BK60" s="401">
        <f>E60*'Assumptions-Output Override'!$D$10/'Winners-Losers Values PMPM'!$H$107</f>
        <v>128.03685790009911</v>
      </c>
      <c r="BL60" s="401">
        <f>F60*'Assumptions-Output Override'!$D$10/'Winners-Losers Values PMPM'!$H$107</f>
        <v>14.314234069153526</v>
      </c>
      <c r="BM60" s="401">
        <f>G60*'Assumptions-Output Override'!$D$10/'Winners-Losers Values PMPM'!$H$107</f>
        <v>1.3261011658228399E-2</v>
      </c>
      <c r="BN60" s="401">
        <f t="shared" si="2"/>
        <v>151.50549401185211</v>
      </c>
      <c r="BO60" s="401">
        <f>BJ60*(1-'Assumptions-Output Override'!$D$11)</f>
        <v>1.302793431488166</v>
      </c>
      <c r="BP60" s="401">
        <f>BK60*(1-'Assumptions-Output Override'!$D$11)</f>
        <v>18.247785139297527</v>
      </c>
      <c r="BQ60" s="401">
        <f>BL60*(1-'Assumptions-Output Override'!$D$11)</f>
        <v>2.0400615261218769</v>
      </c>
      <c r="BR60" s="401">
        <f>BM60*(1-'Assumptions-Output Override'!$D$11)</f>
        <v>1.8899564971977035E-3</v>
      </c>
      <c r="BS60" s="352">
        <f t="shared" si="3"/>
        <v>21.592530053404769</v>
      </c>
      <c r="BT60" s="352">
        <f t="shared" si="19"/>
        <v>7.8383475994530958</v>
      </c>
      <c r="BU60" s="352">
        <f t="shared" si="19"/>
        <v>109.78907276080159</v>
      </c>
      <c r="BV60" s="352">
        <f t="shared" si="19"/>
        <v>12.27417254303165</v>
      </c>
      <c r="BW60" s="352">
        <f t="shared" si="19"/>
        <v>1.1371055161030695E-2</v>
      </c>
      <c r="BX60" s="352">
        <f t="shared" si="4"/>
        <v>129.91296395844736</v>
      </c>
      <c r="BY60" s="352">
        <f>BT$107*(1-'Assumptions-Output Override'!$D$12)</f>
        <v>22.753074310428271</v>
      </c>
      <c r="BZ60" s="352">
        <f>BU$107*(1-'Assumptions-Output Override'!$D$12)</f>
        <v>51.446038369839215</v>
      </c>
      <c r="CA60" s="352">
        <f>BV$107*(1-'Assumptions-Output Override'!$D$12)</f>
        <v>9.7401900534537411</v>
      </c>
      <c r="CB60" s="352">
        <f>BW$107*(1-'Assumptions-Output Override'!$D$12)</f>
        <v>1.7000814189516649</v>
      </c>
      <c r="CC60" s="352">
        <f t="shared" si="5"/>
        <v>85.639384152672903</v>
      </c>
      <c r="CD60" s="352">
        <f t="shared" si="20"/>
        <v>24.055867741916437</v>
      </c>
      <c r="CE60" s="352">
        <f t="shared" si="20"/>
        <v>69.693823509136735</v>
      </c>
      <c r="CF60" s="352">
        <f t="shared" si="20"/>
        <v>11.780251579575618</v>
      </c>
      <c r="CG60" s="352">
        <f t="shared" si="20"/>
        <v>1.7019713754488626</v>
      </c>
      <c r="CH60" s="352">
        <f t="shared" si="6"/>
        <v>107.23191420607766</v>
      </c>
      <c r="CJ60" s="352">
        <f t="shared" si="21"/>
        <v>107.23191420607766</v>
      </c>
      <c r="CK60" s="352">
        <f t="shared" si="22"/>
        <v>114.5234299160618</v>
      </c>
      <c r="CL60" s="352">
        <f t="shared" si="23"/>
        <v>-7.2915157099841394</v>
      </c>
      <c r="CN60" s="352">
        <f t="shared" si="24"/>
        <v>5.4106293458377035</v>
      </c>
      <c r="CO60" s="352">
        <f t="shared" si="24"/>
        <v>75.784847685671778</v>
      </c>
      <c r="CP60" s="352">
        <f t="shared" si="24"/>
        <v>8.4725763070058449</v>
      </c>
      <c r="CQ60" s="352">
        <f t="shared" si="24"/>
        <v>7.8491753480930994E-3</v>
      </c>
      <c r="CR60" s="352">
        <f t="shared" si="7"/>
        <v>89.675902513863434</v>
      </c>
      <c r="CT60" s="352">
        <f t="shared" si="32"/>
        <v>-3.7305116851035578</v>
      </c>
      <c r="CU60" s="352">
        <f t="shared" si="32"/>
        <v>-52.25201021442733</v>
      </c>
      <c r="CV60" s="352">
        <f t="shared" si="32"/>
        <v>-5.8416577621476815</v>
      </c>
      <c r="CW60" s="352">
        <f t="shared" si="32"/>
        <v>-5.4118363101352991E-3</v>
      </c>
      <c r="CX60" s="352">
        <f t="shared" si="9"/>
        <v>-61.829591497988709</v>
      </c>
      <c r="CZ60" s="352">
        <f t="shared" si="25"/>
        <v>22.088341277184551</v>
      </c>
      <c r="DA60" s="352">
        <f t="shared" si="25"/>
        <v>-34.945090855217387</v>
      </c>
      <c r="DB60" s="352">
        <f t="shared" si="25"/>
        <v>3.8656637191765029</v>
      </c>
      <c r="DC60" s="352">
        <f t="shared" si="25"/>
        <v>1.6995701488721811</v>
      </c>
      <c r="DD60" s="352">
        <f t="shared" si="26"/>
        <v>-7.2915157099841528</v>
      </c>
      <c r="DF60" s="352">
        <f t="shared" si="27"/>
        <v>1.9675264647318869</v>
      </c>
      <c r="DG60" s="352">
        <f t="shared" si="27"/>
        <v>104.63891436435412</v>
      </c>
      <c r="DH60" s="352">
        <f t="shared" si="27"/>
        <v>7.9145878603991147</v>
      </c>
      <c r="DI60" s="352">
        <f t="shared" si="27"/>
        <v>2.4012265766814637E-3</v>
      </c>
      <c r="DJ60" s="352">
        <f t="shared" si="28"/>
        <v>114.5234299160618</v>
      </c>
    </row>
    <row r="61" spans="1:114" x14ac:dyDescent="0.2">
      <c r="A61">
        <v>56</v>
      </c>
      <c r="B61" s="397">
        <v>34308</v>
      </c>
      <c r="C61" s="398">
        <v>397997.79676138877</v>
      </c>
      <c r="D61" s="399">
        <v>6.0340641898455916</v>
      </c>
      <c r="E61" s="399">
        <v>78.870265060373256</v>
      </c>
      <c r="F61" s="399">
        <v>9.1048570103678763</v>
      </c>
      <c r="G61" s="399">
        <v>2.7032055734708882E-3</v>
      </c>
      <c r="H61" s="399">
        <v>94.011889466160198</v>
      </c>
      <c r="I61" s="400">
        <v>5.9508283780508832E-3</v>
      </c>
      <c r="J61" s="400">
        <v>3.5485400919343574E-2</v>
      </c>
      <c r="K61" s="400">
        <v>5.025153446261558E-5</v>
      </c>
      <c r="L61" s="400">
        <v>0.38717882118799568</v>
      </c>
      <c r="M61" s="400">
        <v>0.37207291398350578</v>
      </c>
      <c r="N61" s="400">
        <v>0.26553538954231126</v>
      </c>
      <c r="O61" s="399">
        <f t="shared" si="30"/>
        <v>1.4877070945127209</v>
      </c>
      <c r="P61" s="399">
        <f t="shared" si="30"/>
        <v>0</v>
      </c>
      <c r="Q61" s="399">
        <f t="shared" si="30"/>
        <v>5.0251534462615578E-2</v>
      </c>
      <c r="R61" s="399">
        <f t="shared" si="30"/>
        <v>8.0387869911306673</v>
      </c>
      <c r="S61" s="399">
        <f t="shared" si="30"/>
        <v>11.162187419505173</v>
      </c>
      <c r="T61" s="399">
        <f t="shared" si="30"/>
        <v>15.932123372538676</v>
      </c>
      <c r="U61" s="399">
        <f t="shared" si="10"/>
        <v>36.671056412149852</v>
      </c>
      <c r="V61" s="400">
        <v>4.1219871582715126E-4</v>
      </c>
      <c r="W61" s="400">
        <v>5.6975298401529453E-3</v>
      </c>
      <c r="X61" s="400">
        <v>0</v>
      </c>
      <c r="Y61" s="400">
        <v>6.7380447740173127E-2</v>
      </c>
      <c r="Z61" s="400">
        <v>2.2254093042906556E-2</v>
      </c>
      <c r="AA61" s="400">
        <v>1.7898792551032067E-2</v>
      </c>
      <c r="AB61" s="352">
        <f t="shared" si="31"/>
        <v>0.10304967895678781</v>
      </c>
      <c r="AC61" s="352">
        <f t="shared" si="31"/>
        <v>0</v>
      </c>
      <c r="AD61" s="352">
        <f t="shared" si="31"/>
        <v>0</v>
      </c>
      <c r="AE61" s="352">
        <f t="shared" si="31"/>
        <v>2.3885314662234847</v>
      </c>
      <c r="AF61" s="352">
        <f t="shared" si="31"/>
        <v>0.6676227912871967</v>
      </c>
      <c r="AG61" s="352">
        <f t="shared" si="31"/>
        <v>1.0739275530619241</v>
      </c>
      <c r="AH61" s="400">
        <f t="shared" si="11"/>
        <v>4.2331314895293932</v>
      </c>
      <c r="AJ61" s="352">
        <f>D61*('Assumptions-Output Override'!$D$10/'Winners-Losers Values PMPM'!$H$107)*(1+'Assumptions-Output Override'!$F$41)</f>
        <v>7.2023313979689805</v>
      </c>
      <c r="AK61" s="352">
        <f>E61*('Assumptions-Output Override'!$D$10/'Winners-Losers Values PMPM'!$H$107)*(1+'Assumptions-Output Override'!$F$37)</f>
        <v>129.80300200371732</v>
      </c>
      <c r="AL61" s="352">
        <f>F61*('Assumptions-Output Override'!$D$10/'Winners-Losers Values PMPM'!$H$107)*(1+'Assumptions-Output Override'!$F$38)</f>
        <v>15.294757257885982</v>
      </c>
      <c r="AM61" s="352">
        <f>G61*('Shoppable Detail'!$X$21/'Shoppable Detail'!$H$21)*('Assumptions-Output Override'!$D$10/'Winners-Losers Values PMPM'!$H$107)*(1+'Assumptions-Output Override'!$F$39)</f>
        <v>4.635434924232084E-3</v>
      </c>
      <c r="AN61" s="352">
        <f t="shared" si="12"/>
        <v>152.30472609449652</v>
      </c>
      <c r="AO61" s="352">
        <v>0</v>
      </c>
      <c r="AP61" s="352">
        <f>U61*'Assumptions-Output Override'!$D$10/'Winners-Losers Values PMPM'!$H$107*(1+'Assumptions-Output Override'!$F$37)</f>
        <v>60.352443411988595</v>
      </c>
      <c r="AQ61" s="352">
        <f>AH61*'Assumptions-Output Override'!$D$10/'Winners-Losers Values PMPM'!$H$107*(1+'Assumptions-Output Override'!$F$38)</f>
        <v>7.1110088274136896</v>
      </c>
      <c r="AR61" s="352">
        <f>AM61*('Shoppable Detail'!$AA$23/'Shoppable Detail'!$Y$23)</f>
        <v>1.5488443640162839E-4</v>
      </c>
      <c r="AS61" s="352">
        <f t="shared" si="13"/>
        <v>67.463607123838685</v>
      </c>
      <c r="AT61" s="352">
        <f t="shared" si="14"/>
        <v>7.2023313979689805</v>
      </c>
      <c r="AU61" s="352">
        <f t="shared" si="14"/>
        <v>69.450558591728736</v>
      </c>
      <c r="AV61" s="352">
        <f t="shared" si="14"/>
        <v>8.1837484304722921</v>
      </c>
      <c r="AW61" s="352">
        <f t="shared" si="14"/>
        <v>4.4805504878304555E-3</v>
      </c>
      <c r="AX61" s="352">
        <f t="shared" si="15"/>
        <v>84.841118970657831</v>
      </c>
      <c r="AY61" s="352">
        <f>AT61*'Assumptions-Output Override'!$D$24</f>
        <v>2.1942329116566124</v>
      </c>
      <c r="AZ61" s="352">
        <f>$AU$107*'Assumptions-Output Override'!$D$21</f>
        <v>46.041131296780591</v>
      </c>
      <c r="BA61" s="352">
        <f>AV61*'Assumptions-Output Override'!$D$22</f>
        <v>1.2275622645708437</v>
      </c>
      <c r="BB61" s="352">
        <f>AW61*'Assumptions-Output Override'!$D$23</f>
        <v>6.7208257317456831E-4</v>
      </c>
      <c r="BC61" s="352">
        <f t="shared" si="16"/>
        <v>49.463598555581221</v>
      </c>
      <c r="BD61" s="352">
        <f t="shared" si="17"/>
        <v>2.1942329116566124</v>
      </c>
      <c r="BE61" s="352">
        <f t="shared" si="17"/>
        <v>106.39357470876919</v>
      </c>
      <c r="BF61" s="352">
        <f t="shared" si="17"/>
        <v>8.3385710919845337</v>
      </c>
      <c r="BG61" s="352">
        <f t="shared" si="17"/>
        <v>8.2696700957619667E-4</v>
      </c>
      <c r="BH61" s="352">
        <f t="shared" si="18"/>
        <v>116.92720567941991</v>
      </c>
      <c r="BJ61" s="401">
        <f>D61*'Assumptions-Output Override'!$D$10/'Winners-Losers Values PMPM'!$H$107</f>
        <v>10.194420690000337</v>
      </c>
      <c r="BK61" s="401">
        <f>E61*'Assumptions-Output Override'!$D$10/'Winners-Losers Values PMPM'!$H$107</f>
        <v>133.24960369336983</v>
      </c>
      <c r="BL61" s="401">
        <f>F61*'Assumptions-Output Override'!$D$10/'Winners-Losers Values PMPM'!$H$107</f>
        <v>15.382458615900815</v>
      </c>
      <c r="BM61" s="401">
        <f>G61*'Assumptions-Output Override'!$D$10/'Winners-Losers Values PMPM'!$H$107</f>
        <v>4.5670072376576805E-3</v>
      </c>
      <c r="BN61" s="401">
        <f t="shared" si="2"/>
        <v>158.83105000650863</v>
      </c>
      <c r="BO61" s="401">
        <f>BJ61*(1-'Assumptions-Output Override'!$D$11)</f>
        <v>1.4529066194039379</v>
      </c>
      <c r="BP61" s="401">
        <f>BK61*(1-'Assumptions-Output Override'!$D$11)</f>
        <v>18.990704535957505</v>
      </c>
      <c r="BQ61" s="401">
        <f>BL61*(1-'Assumptions-Output Override'!$D$11)</f>
        <v>2.1923046561803887</v>
      </c>
      <c r="BR61" s="401">
        <f>BM61*(1-'Assumptions-Output Override'!$D$11)</f>
        <v>6.508888781652112E-4</v>
      </c>
      <c r="BS61" s="352">
        <f t="shared" si="3"/>
        <v>22.636566700419998</v>
      </c>
      <c r="BT61" s="352">
        <f t="shared" si="19"/>
        <v>8.7415140705963985</v>
      </c>
      <c r="BU61" s="352">
        <f t="shared" si="19"/>
        <v>114.25889915741233</v>
      </c>
      <c r="BV61" s="352">
        <f t="shared" si="19"/>
        <v>13.190153959720426</v>
      </c>
      <c r="BW61" s="352">
        <f t="shared" si="19"/>
        <v>3.9161183594924693E-3</v>
      </c>
      <c r="BX61" s="352">
        <f t="shared" si="4"/>
        <v>136.19448330608864</v>
      </c>
      <c r="BY61" s="352">
        <f>BT$107*(1-'Assumptions-Output Override'!$D$12)</f>
        <v>22.753074310428271</v>
      </c>
      <c r="BZ61" s="352">
        <f>BU$107*(1-'Assumptions-Output Override'!$D$12)</f>
        <v>51.446038369839215</v>
      </c>
      <c r="CA61" s="352">
        <f>BV$107*(1-'Assumptions-Output Override'!$D$12)</f>
        <v>9.7401900534537411</v>
      </c>
      <c r="CB61" s="352">
        <f>BW$107*(1-'Assumptions-Output Override'!$D$12)</f>
        <v>1.7000814189516649</v>
      </c>
      <c r="CC61" s="352">
        <f t="shared" si="5"/>
        <v>85.639384152672903</v>
      </c>
      <c r="CD61" s="352">
        <f t="shared" si="20"/>
        <v>24.205980929832208</v>
      </c>
      <c r="CE61" s="352">
        <f t="shared" si="20"/>
        <v>70.43674290579672</v>
      </c>
      <c r="CF61" s="352">
        <f t="shared" si="20"/>
        <v>11.932494709634129</v>
      </c>
      <c r="CG61" s="352">
        <f t="shared" si="20"/>
        <v>1.70073230782983</v>
      </c>
      <c r="CH61" s="352">
        <f t="shared" si="6"/>
        <v>108.27595085309288</v>
      </c>
      <c r="CJ61" s="352">
        <f t="shared" si="21"/>
        <v>108.27595085309288</v>
      </c>
      <c r="CK61" s="352">
        <f t="shared" si="22"/>
        <v>116.92720567941991</v>
      </c>
      <c r="CL61" s="352">
        <f t="shared" si="23"/>
        <v>-8.6512548263270332</v>
      </c>
      <c r="CN61" s="352">
        <f t="shared" si="24"/>
        <v>6.0340641898455916</v>
      </c>
      <c r="CO61" s="352">
        <f t="shared" si="24"/>
        <v>78.870265060373256</v>
      </c>
      <c r="CP61" s="352">
        <f t="shared" si="24"/>
        <v>9.1048570103678763</v>
      </c>
      <c r="CQ61" s="352">
        <f t="shared" si="24"/>
        <v>2.7032055734708882E-3</v>
      </c>
      <c r="CR61" s="352">
        <f t="shared" si="7"/>
        <v>94.011889466160198</v>
      </c>
      <c r="CT61" s="352">
        <f t="shared" si="32"/>
        <v>-4.1603565001547453</v>
      </c>
      <c r="CU61" s="352">
        <f t="shared" si="32"/>
        <v>-54.379338632996578</v>
      </c>
      <c r="CV61" s="352">
        <f t="shared" si="32"/>
        <v>-6.2776016055329382</v>
      </c>
      <c r="CW61" s="352">
        <f t="shared" si="32"/>
        <v>-1.8638016641867924E-3</v>
      </c>
      <c r="CX61" s="352">
        <f t="shared" si="9"/>
        <v>-64.819160540348449</v>
      </c>
      <c r="CZ61" s="352">
        <f t="shared" si="25"/>
        <v>22.011748018175595</v>
      </c>
      <c r="DA61" s="352">
        <f t="shared" si="25"/>
        <v>-35.956831802972474</v>
      </c>
      <c r="DB61" s="352">
        <f t="shared" si="25"/>
        <v>3.5939236176495957</v>
      </c>
      <c r="DC61" s="352">
        <f t="shared" si="25"/>
        <v>1.6999053408202538</v>
      </c>
      <c r="DD61" s="352">
        <f t="shared" si="26"/>
        <v>-8.6512548263270297</v>
      </c>
      <c r="DF61" s="352">
        <f t="shared" si="27"/>
        <v>2.1942329116566124</v>
      </c>
      <c r="DG61" s="352">
        <f t="shared" si="27"/>
        <v>106.39357470876919</v>
      </c>
      <c r="DH61" s="352">
        <f t="shared" si="27"/>
        <v>8.3385710919845337</v>
      </c>
      <c r="DI61" s="352">
        <f t="shared" si="27"/>
        <v>8.2696700957619667E-4</v>
      </c>
      <c r="DJ61" s="352">
        <f t="shared" si="28"/>
        <v>116.92720567941991</v>
      </c>
    </row>
    <row r="62" spans="1:114" x14ac:dyDescent="0.2">
      <c r="A62">
        <v>57</v>
      </c>
      <c r="B62" s="397">
        <v>34308</v>
      </c>
      <c r="C62" s="398">
        <v>397997.79676138877</v>
      </c>
      <c r="D62" s="399">
        <v>7.0125483012239211</v>
      </c>
      <c r="E62" s="399">
        <v>82.05161915640312</v>
      </c>
      <c r="F62" s="399">
        <v>9.5273031009990277</v>
      </c>
      <c r="G62" s="399">
        <v>5.7266704417907061E-3</v>
      </c>
      <c r="H62" s="399">
        <v>98.597197229067859</v>
      </c>
      <c r="I62" s="400">
        <v>6.8727701330571688E-3</v>
      </c>
      <c r="J62" s="400">
        <v>3.7837038548824538E-2</v>
      </c>
      <c r="K62" s="400">
        <v>9.7990492202100382E-5</v>
      </c>
      <c r="L62" s="400">
        <v>0.40651045002628489</v>
      </c>
      <c r="M62" s="400">
        <v>0.3848534369949122</v>
      </c>
      <c r="N62" s="400">
        <v>0.27351015730693001</v>
      </c>
      <c r="O62" s="399">
        <f t="shared" si="30"/>
        <v>1.7181925332642922</v>
      </c>
      <c r="P62" s="399">
        <f t="shared" si="30"/>
        <v>0</v>
      </c>
      <c r="Q62" s="399">
        <f t="shared" si="30"/>
        <v>9.7990492202100377E-2</v>
      </c>
      <c r="R62" s="399">
        <f t="shared" si="30"/>
        <v>8.4401592716334513</v>
      </c>
      <c r="S62" s="399">
        <f t="shared" si="30"/>
        <v>11.545603109847367</v>
      </c>
      <c r="T62" s="399">
        <f t="shared" si="30"/>
        <v>16.410609438415801</v>
      </c>
      <c r="U62" s="399">
        <f t="shared" si="10"/>
        <v>38.212554845363016</v>
      </c>
      <c r="V62" s="400">
        <v>4.6434433650407807E-4</v>
      </c>
      <c r="W62" s="400">
        <v>5.605654222769786E-3</v>
      </c>
      <c r="X62" s="400">
        <v>5.0251534462615584E-6</v>
      </c>
      <c r="Y62" s="400">
        <v>6.9367977579103984E-2</v>
      </c>
      <c r="Z62" s="400">
        <v>2.2739824375022248E-2</v>
      </c>
      <c r="AA62" s="400">
        <v>1.8436986485126629E-2</v>
      </c>
      <c r="AB62" s="352">
        <f t="shared" si="31"/>
        <v>0.11608608412601952</v>
      </c>
      <c r="AC62" s="352">
        <f t="shared" si="31"/>
        <v>0</v>
      </c>
      <c r="AD62" s="352">
        <f t="shared" si="31"/>
        <v>5.0251534462615582E-3</v>
      </c>
      <c r="AE62" s="352">
        <f t="shared" si="31"/>
        <v>2.458986289834193</v>
      </c>
      <c r="AF62" s="352">
        <f t="shared" si="31"/>
        <v>0.68219473125066743</v>
      </c>
      <c r="AG62" s="352">
        <f t="shared" si="31"/>
        <v>1.1062191891075976</v>
      </c>
      <c r="AH62" s="400">
        <f t="shared" si="11"/>
        <v>4.3685114477647389</v>
      </c>
      <c r="AJ62" s="352">
        <f>D62*('Assumptions-Output Override'!$D$10/'Winners-Losers Values PMPM'!$H$107)*(1+'Assumptions-Output Override'!$F$41)</f>
        <v>8.370261770611279</v>
      </c>
      <c r="AK62" s="352">
        <f>E62*('Assumptions-Output Override'!$D$10/'Winners-Losers Values PMPM'!$H$107)*(1+'Assumptions-Output Override'!$F$37)</f>
        <v>135.03880680018145</v>
      </c>
      <c r="AL62" s="352">
        <f>F62*('Assumptions-Output Override'!$D$10/'Winners-Losers Values PMPM'!$H$107)*(1+'Assumptions-Output Override'!$F$38)</f>
        <v>16.004401616209112</v>
      </c>
      <c r="AM62" s="352">
        <f>G62*('Shoppable Detail'!$X$21/'Shoppable Detail'!$H$21)*('Assumptions-Output Override'!$D$10/'Winners-Losers Values PMPM'!$H$107)*(1+'Assumptions-Output Override'!$F$39)</f>
        <v>9.8200478816562707E-3</v>
      </c>
      <c r="AN62" s="352">
        <f t="shared" si="12"/>
        <v>159.4232902348835</v>
      </c>
      <c r="AO62" s="352">
        <v>0</v>
      </c>
      <c r="AP62" s="352">
        <f>U62*'Assumptions-Output Override'!$D$10/'Winners-Losers Values PMPM'!$H$107*(1+'Assumptions-Output Override'!$F$37)</f>
        <v>62.889408693668962</v>
      </c>
      <c r="AQ62" s="352">
        <f>AH62*'Assumptions-Output Override'!$D$10/'Winners-Losers Values PMPM'!$H$107*(1+'Assumptions-Output Override'!$F$38)</f>
        <v>7.3384263032108956</v>
      </c>
      <c r="AR62" s="352">
        <f>AM62*('Shoppable Detail'!$AA$23/'Shoppable Detail'!$Y$23)</f>
        <v>3.281186353488295E-4</v>
      </c>
      <c r="AS62" s="352">
        <f t="shared" si="13"/>
        <v>70.228163115515216</v>
      </c>
      <c r="AT62" s="352">
        <f t="shared" si="14"/>
        <v>8.370261770611279</v>
      </c>
      <c r="AU62" s="352">
        <f t="shared" si="14"/>
        <v>72.149398106512479</v>
      </c>
      <c r="AV62" s="352">
        <f t="shared" si="14"/>
        <v>8.6659753129982171</v>
      </c>
      <c r="AW62" s="352">
        <f t="shared" si="14"/>
        <v>9.4919292463074411E-3</v>
      </c>
      <c r="AX62" s="352">
        <f t="shared" si="15"/>
        <v>89.19512711936828</v>
      </c>
      <c r="AY62" s="352">
        <f>AT62*'Assumptions-Output Override'!$D$24</f>
        <v>2.5500498160131344</v>
      </c>
      <c r="AZ62" s="352">
        <f>$AU$107*'Assumptions-Output Override'!$D$21</f>
        <v>46.041131296780591</v>
      </c>
      <c r="BA62" s="352">
        <f>AV62*'Assumptions-Output Override'!$D$22</f>
        <v>1.2998962969497325</v>
      </c>
      <c r="BB62" s="352">
        <f>AW62*'Assumptions-Output Override'!$D$23</f>
        <v>1.4237893869461162E-3</v>
      </c>
      <c r="BC62" s="352">
        <f t="shared" si="16"/>
        <v>49.892501199130407</v>
      </c>
      <c r="BD62" s="352">
        <f t="shared" si="17"/>
        <v>2.5500498160131344</v>
      </c>
      <c r="BE62" s="352">
        <f t="shared" si="17"/>
        <v>108.93053999044955</v>
      </c>
      <c r="BF62" s="352">
        <f t="shared" si="17"/>
        <v>8.6383226001606275</v>
      </c>
      <c r="BG62" s="352">
        <f t="shared" si="17"/>
        <v>1.7519080222949458E-3</v>
      </c>
      <c r="BH62" s="352">
        <f t="shared" si="18"/>
        <v>120.12066431464561</v>
      </c>
      <c r="BJ62" s="401">
        <f>D62*'Assumptions-Output Override'!$D$10/'Winners-Losers Values PMPM'!$H$107</f>
        <v>11.847548392330447</v>
      </c>
      <c r="BK62" s="401">
        <f>E62*'Assumptions-Output Override'!$D$10/'Winners-Losers Values PMPM'!$H$107</f>
        <v>138.62443249836704</v>
      </c>
      <c r="BL62" s="401">
        <f>F62*'Assumptions-Output Override'!$D$10/'Winners-Losers Values PMPM'!$H$107</f>
        <v>16.096172131575262</v>
      </c>
      <c r="BM62" s="401">
        <f>G62*'Assumptions-Output Override'!$D$10/'Winners-Losers Values PMPM'!$H$107</f>
        <v>9.675085613913309E-3</v>
      </c>
      <c r="BN62" s="401">
        <f t="shared" si="2"/>
        <v>166.57782810788666</v>
      </c>
      <c r="BO62" s="401">
        <f>BJ62*(1-'Assumptions-Output Override'!$D$11)</f>
        <v>1.6885100199768999</v>
      </c>
      <c r="BP62" s="401">
        <f>BK62*(1-'Assumptions-Output Override'!$D$11)</f>
        <v>19.756723968194919</v>
      </c>
      <c r="BQ62" s="401">
        <f>BL62*(1-'Assumptions-Output Override'!$D$11)</f>
        <v>2.2940229511982322</v>
      </c>
      <c r="BR62" s="401">
        <f>BM62*(1-'Assumptions-Output Override'!$D$11)</f>
        <v>1.3788910973178599E-3</v>
      </c>
      <c r="BS62" s="352">
        <f t="shared" si="3"/>
        <v>23.740635830467369</v>
      </c>
      <c r="BT62" s="352">
        <f t="shared" si="19"/>
        <v>10.159038372353548</v>
      </c>
      <c r="BU62" s="352">
        <f t="shared" si="19"/>
        <v>118.86770853017212</v>
      </c>
      <c r="BV62" s="352">
        <f t="shared" si="19"/>
        <v>13.802149180377029</v>
      </c>
      <c r="BW62" s="352">
        <f t="shared" si="19"/>
        <v>8.2961945165954485E-3</v>
      </c>
      <c r="BX62" s="352">
        <f t="shared" si="4"/>
        <v>142.83719227741929</v>
      </c>
      <c r="BY62" s="352">
        <f>BT$107*(1-'Assumptions-Output Override'!$D$12)</f>
        <v>22.753074310428271</v>
      </c>
      <c r="BZ62" s="352">
        <f>BU$107*(1-'Assumptions-Output Override'!$D$12)</f>
        <v>51.446038369839215</v>
      </c>
      <c r="CA62" s="352">
        <f>BV$107*(1-'Assumptions-Output Override'!$D$12)</f>
        <v>9.7401900534537411</v>
      </c>
      <c r="CB62" s="352">
        <f>BW$107*(1-'Assumptions-Output Override'!$D$12)</f>
        <v>1.7000814189516649</v>
      </c>
      <c r="CC62" s="352">
        <f t="shared" si="5"/>
        <v>85.639384152672903</v>
      </c>
      <c r="CD62" s="352">
        <f t="shared" si="20"/>
        <v>24.441584330405171</v>
      </c>
      <c r="CE62" s="352">
        <f t="shared" si="20"/>
        <v>71.202762338034134</v>
      </c>
      <c r="CF62" s="352">
        <f t="shared" si="20"/>
        <v>12.034213004651974</v>
      </c>
      <c r="CG62" s="352">
        <f t="shared" si="20"/>
        <v>1.7014603100489827</v>
      </c>
      <c r="CH62" s="352">
        <f t="shared" si="6"/>
        <v>109.38001998314027</v>
      </c>
      <c r="CJ62" s="352">
        <f t="shared" si="21"/>
        <v>109.38001998314027</v>
      </c>
      <c r="CK62" s="352">
        <f t="shared" si="22"/>
        <v>120.12066431464561</v>
      </c>
      <c r="CL62" s="352">
        <f t="shared" si="23"/>
        <v>-10.740644331505337</v>
      </c>
      <c r="CN62" s="352">
        <f t="shared" si="24"/>
        <v>7.0125483012239211</v>
      </c>
      <c r="CO62" s="352">
        <f t="shared" si="24"/>
        <v>82.05161915640312</v>
      </c>
      <c r="CP62" s="352">
        <f t="shared" si="24"/>
        <v>9.5273031009990277</v>
      </c>
      <c r="CQ62" s="352">
        <f t="shared" si="24"/>
        <v>5.7266704417907061E-3</v>
      </c>
      <c r="CR62" s="352">
        <f t="shared" si="7"/>
        <v>98.597197229067859</v>
      </c>
      <c r="CT62" s="352">
        <f t="shared" si="32"/>
        <v>-4.8350000911065258</v>
      </c>
      <c r="CU62" s="352">
        <f t="shared" si="32"/>
        <v>-56.572813341963922</v>
      </c>
      <c r="CV62" s="352">
        <f t="shared" si="32"/>
        <v>-6.5688690305762343</v>
      </c>
      <c r="CW62" s="352">
        <f t="shared" si="32"/>
        <v>-3.9484151721226029E-3</v>
      </c>
      <c r="CX62" s="352">
        <f t="shared" si="9"/>
        <v>-67.980630878818801</v>
      </c>
      <c r="CZ62" s="352">
        <f t="shared" si="25"/>
        <v>21.891534514392035</v>
      </c>
      <c r="DA62" s="352">
        <f t="shared" si="25"/>
        <v>-37.727777652415412</v>
      </c>
      <c r="DB62" s="352">
        <f t="shared" si="25"/>
        <v>3.3958904044913467</v>
      </c>
      <c r="DC62" s="352">
        <f t="shared" si="25"/>
        <v>1.6997084020266877</v>
      </c>
      <c r="DD62" s="352">
        <f t="shared" si="26"/>
        <v>-10.740644331505344</v>
      </c>
      <c r="DF62" s="352">
        <f t="shared" si="27"/>
        <v>2.5500498160131344</v>
      </c>
      <c r="DG62" s="352">
        <f t="shared" si="27"/>
        <v>108.93053999044955</v>
      </c>
      <c r="DH62" s="352">
        <f t="shared" si="27"/>
        <v>8.6383226001606275</v>
      </c>
      <c r="DI62" s="352">
        <f t="shared" si="27"/>
        <v>1.7519080222949458E-3</v>
      </c>
      <c r="DJ62" s="352">
        <f t="shared" si="28"/>
        <v>120.12066431464561</v>
      </c>
    </row>
    <row r="63" spans="1:114" x14ac:dyDescent="0.2">
      <c r="A63">
        <v>58</v>
      </c>
      <c r="B63" s="397">
        <v>34308</v>
      </c>
      <c r="C63" s="398">
        <v>397997.79676138877</v>
      </c>
      <c r="D63" s="399">
        <v>7.4978003416499801</v>
      </c>
      <c r="E63" s="399">
        <v>85.660913015624701</v>
      </c>
      <c r="F63" s="399">
        <v>10.272247932457134</v>
      </c>
      <c r="G63" s="399">
        <v>0</v>
      </c>
      <c r="H63" s="399">
        <v>103.43096128973181</v>
      </c>
      <c r="I63" s="400">
        <v>7.6637188105591432E-3</v>
      </c>
      <c r="J63" s="400">
        <v>3.8972311887195021E-2</v>
      </c>
      <c r="K63" s="400">
        <v>7.7889878417054155E-5</v>
      </c>
      <c r="L63" s="400">
        <v>0.42010844946965775</v>
      </c>
      <c r="M63" s="400">
        <v>0.39134734229045209</v>
      </c>
      <c r="N63" s="400">
        <v>0.28470368660847511</v>
      </c>
      <c r="O63" s="399">
        <f t="shared" si="30"/>
        <v>1.9159297026397857</v>
      </c>
      <c r="P63" s="399">
        <f t="shared" si="30"/>
        <v>0</v>
      </c>
      <c r="Q63" s="399">
        <f t="shared" si="30"/>
        <v>7.7889878417054151E-2</v>
      </c>
      <c r="R63" s="399">
        <f t="shared" si="30"/>
        <v>8.7224872685403678</v>
      </c>
      <c r="S63" s="399">
        <f t="shared" si="30"/>
        <v>11.740420268713564</v>
      </c>
      <c r="T63" s="399">
        <f t="shared" si="30"/>
        <v>17.082221196508506</v>
      </c>
      <c r="U63" s="399">
        <f t="shared" si="10"/>
        <v>39.53894831481928</v>
      </c>
      <c r="V63" s="400">
        <v>4.9041714684254403E-4</v>
      </c>
      <c r="W63" s="400">
        <v>6.2785810419815711E-3</v>
      </c>
      <c r="X63" s="400">
        <v>5.0251534462615584E-6</v>
      </c>
      <c r="Y63" s="400">
        <v>7.2579447849528106E-2</v>
      </c>
      <c r="Z63" s="400">
        <v>2.4521743787066549E-2</v>
      </c>
      <c r="AA63" s="400">
        <v>1.95549826238509E-2</v>
      </c>
      <c r="AB63" s="352">
        <f t="shared" si="31"/>
        <v>0.122604286710636</v>
      </c>
      <c r="AC63" s="352">
        <f t="shared" si="31"/>
        <v>0</v>
      </c>
      <c r="AD63" s="352">
        <f t="shared" si="31"/>
        <v>5.0251534462615582E-3</v>
      </c>
      <c r="AE63" s="352">
        <f t="shared" si="31"/>
        <v>2.5728278870780752</v>
      </c>
      <c r="AF63" s="352">
        <f t="shared" si="31"/>
        <v>0.73565231361199646</v>
      </c>
      <c r="AG63" s="352">
        <f t="shared" si="31"/>
        <v>1.1732989574310539</v>
      </c>
      <c r="AH63" s="400">
        <f t="shared" si="11"/>
        <v>4.6094085982780229</v>
      </c>
      <c r="AJ63" s="352">
        <f>D63*('Assumptions-Output Override'!$D$10/'Winners-Losers Values PMPM'!$H$107)*(1+'Assumptions-Output Override'!$F$41)</f>
        <v>8.949464426852586</v>
      </c>
      <c r="AK63" s="352">
        <f>E63*('Assumptions-Output Override'!$D$10/'Winners-Losers Values PMPM'!$H$107)*(1+'Assumptions-Output Override'!$F$37)</f>
        <v>140.97890574218346</v>
      </c>
      <c r="AL63" s="352">
        <f>F63*('Assumptions-Output Override'!$D$10/'Winners-Losers Values PMPM'!$H$107)*(1+'Assumptions-Output Override'!$F$38)</f>
        <v>17.255794181154858</v>
      </c>
      <c r="AM63" s="352">
        <f>G63*('Shoppable Detail'!$X$21/'Shoppable Detail'!$H$21)*('Assumptions-Output Override'!$D$10/'Winners-Losers Values PMPM'!$H$107)*(1+'Assumptions-Output Override'!$F$39)</f>
        <v>0</v>
      </c>
      <c r="AN63" s="352">
        <f t="shared" si="12"/>
        <v>167.18416435019091</v>
      </c>
      <c r="AO63" s="352">
        <v>0</v>
      </c>
      <c r="AP63" s="352">
        <f>U63*'Assumptions-Output Override'!$D$10/'Winners-Losers Values PMPM'!$H$107*(1+'Assumptions-Output Override'!$F$37)</f>
        <v>65.072358808541253</v>
      </c>
      <c r="AQ63" s="352">
        <f>AH63*'Assumptions-Output Override'!$D$10/'Winners-Losers Values PMPM'!$H$107*(1+'Assumptions-Output Override'!$F$38)</f>
        <v>7.7430964080814642</v>
      </c>
      <c r="AR63" s="352">
        <f>AM63*('Shoppable Detail'!$AA$23/'Shoppable Detail'!$Y$23)</f>
        <v>0</v>
      </c>
      <c r="AS63" s="352">
        <f t="shared" si="13"/>
        <v>72.815455216622723</v>
      </c>
      <c r="AT63" s="352">
        <f t="shared" si="14"/>
        <v>8.949464426852586</v>
      </c>
      <c r="AU63" s="352">
        <f t="shared" si="14"/>
        <v>75.906546933642204</v>
      </c>
      <c r="AV63" s="352">
        <f t="shared" si="14"/>
        <v>9.5126977730733948</v>
      </c>
      <c r="AW63" s="352">
        <f t="shared" si="14"/>
        <v>0</v>
      </c>
      <c r="AX63" s="352">
        <f t="shared" si="15"/>
        <v>94.368709133568188</v>
      </c>
      <c r="AY63" s="352">
        <f>AT63*'Assumptions-Output Override'!$D$24</f>
        <v>2.7265073351994906</v>
      </c>
      <c r="AZ63" s="352">
        <f>$AU$107*'Assumptions-Output Override'!$D$21</f>
        <v>46.041131296780591</v>
      </c>
      <c r="BA63" s="352">
        <f>AV63*'Assumptions-Output Override'!$D$22</f>
        <v>1.4269046659610092</v>
      </c>
      <c r="BB63" s="352">
        <f>AW63*'Assumptions-Output Override'!$D$23</f>
        <v>0</v>
      </c>
      <c r="BC63" s="352">
        <f t="shared" si="16"/>
        <v>50.194543297941095</v>
      </c>
      <c r="BD63" s="352">
        <f t="shared" si="17"/>
        <v>2.7265073351994906</v>
      </c>
      <c r="BE63" s="352">
        <f t="shared" si="17"/>
        <v>111.11349010532184</v>
      </c>
      <c r="BF63" s="352">
        <f t="shared" si="17"/>
        <v>9.1700010740424727</v>
      </c>
      <c r="BG63" s="352">
        <f t="shared" si="17"/>
        <v>0</v>
      </c>
      <c r="BH63" s="352">
        <f t="shared" si="18"/>
        <v>123.0099985145638</v>
      </c>
      <c r="BJ63" s="401">
        <f>D63*'Assumptions-Output Override'!$D$10/'Winners-Losers Values PMPM'!$H$107</f>
        <v>12.667371199172493</v>
      </c>
      <c r="BK63" s="401">
        <f>E63*'Assumptions-Output Override'!$D$10/'Winners-Losers Values PMPM'!$H$107</f>
        <v>144.72225625978135</v>
      </c>
      <c r="BL63" s="401">
        <f>F63*'Assumptions-Output Override'!$D$10/'Winners-Losers Values PMPM'!$H$107</f>
        <v>17.354740281298518</v>
      </c>
      <c r="BM63" s="401">
        <f>G63*'Assumptions-Output Override'!$D$10/'Winners-Losers Values PMPM'!$H$107</f>
        <v>0</v>
      </c>
      <c r="BN63" s="401">
        <f t="shared" si="2"/>
        <v>174.74436774025236</v>
      </c>
      <c r="BO63" s="401">
        <f>BJ63*(1-'Assumptions-Output Override'!$D$11)</f>
        <v>1.8053509880926746</v>
      </c>
      <c r="BP63" s="401">
        <f>BK63*(1-'Assumptions-Output Override'!$D$11)</f>
        <v>20.625784484366061</v>
      </c>
      <c r="BQ63" s="401">
        <f>BL63*(1-'Assumptions-Output Override'!$D$11)</f>
        <v>2.4733938101522415</v>
      </c>
      <c r="BR63" s="401">
        <f>BM63*(1-'Assumptions-Output Override'!$D$11)</f>
        <v>0</v>
      </c>
      <c r="BS63" s="352">
        <f t="shared" si="3"/>
        <v>24.904529282610977</v>
      </c>
      <c r="BT63" s="352">
        <f t="shared" si="19"/>
        <v>10.862020211079818</v>
      </c>
      <c r="BU63" s="352">
        <f t="shared" si="19"/>
        <v>124.09647177541528</v>
      </c>
      <c r="BV63" s="352">
        <f t="shared" si="19"/>
        <v>14.881346471146276</v>
      </c>
      <c r="BW63" s="352">
        <f t="shared" si="19"/>
        <v>0</v>
      </c>
      <c r="BX63" s="352">
        <f t="shared" si="4"/>
        <v>149.83983845764138</v>
      </c>
      <c r="BY63" s="352">
        <f>BT$107*(1-'Assumptions-Output Override'!$D$12)</f>
        <v>22.753074310428271</v>
      </c>
      <c r="BZ63" s="352">
        <f>BU$107*(1-'Assumptions-Output Override'!$D$12)</f>
        <v>51.446038369839215</v>
      </c>
      <c r="CA63" s="352">
        <f>BV$107*(1-'Assumptions-Output Override'!$D$12)</f>
        <v>9.7401900534537411</v>
      </c>
      <c r="CB63" s="352">
        <f>BW$107*(1-'Assumptions-Output Override'!$D$12)</f>
        <v>1.7000814189516649</v>
      </c>
      <c r="CC63" s="352">
        <f t="shared" si="5"/>
        <v>85.639384152672903</v>
      </c>
      <c r="CD63" s="352">
        <f t="shared" si="20"/>
        <v>24.558425298520945</v>
      </c>
      <c r="CE63" s="352">
        <f t="shared" si="20"/>
        <v>72.07182285420528</v>
      </c>
      <c r="CF63" s="352">
        <f t="shared" si="20"/>
        <v>12.213583863605983</v>
      </c>
      <c r="CG63" s="352">
        <f t="shared" si="20"/>
        <v>1.7000814189516649</v>
      </c>
      <c r="CH63" s="352">
        <f t="shared" si="6"/>
        <v>110.54391343528388</v>
      </c>
      <c r="CJ63" s="352">
        <f t="shared" si="21"/>
        <v>110.54391343528388</v>
      </c>
      <c r="CK63" s="352">
        <f t="shared" si="22"/>
        <v>123.0099985145638</v>
      </c>
      <c r="CL63" s="352">
        <f t="shared" si="23"/>
        <v>-12.466085079279921</v>
      </c>
      <c r="CN63" s="352">
        <f t="shared" si="24"/>
        <v>7.4978003416499801</v>
      </c>
      <c r="CO63" s="352">
        <f t="shared" si="24"/>
        <v>85.660913015624701</v>
      </c>
      <c r="CP63" s="352">
        <f t="shared" si="24"/>
        <v>10.272247932457134</v>
      </c>
      <c r="CQ63" s="352">
        <f t="shared" si="24"/>
        <v>0</v>
      </c>
      <c r="CR63" s="352">
        <f t="shared" si="7"/>
        <v>103.43096128973181</v>
      </c>
      <c r="CT63" s="352">
        <f t="shared" si="32"/>
        <v>-5.1695708575225128</v>
      </c>
      <c r="CU63" s="352">
        <f t="shared" si="32"/>
        <v>-59.061343244156646</v>
      </c>
      <c r="CV63" s="352">
        <f t="shared" si="32"/>
        <v>-7.0824923488413845</v>
      </c>
      <c r="CW63" s="352">
        <f t="shared" si="32"/>
        <v>0</v>
      </c>
      <c r="CX63" s="352">
        <f t="shared" si="9"/>
        <v>-71.313406450520546</v>
      </c>
      <c r="CZ63" s="352">
        <f t="shared" si="25"/>
        <v>21.831917963321455</v>
      </c>
      <c r="DA63" s="352">
        <f t="shared" si="25"/>
        <v>-39.041667251116564</v>
      </c>
      <c r="DB63" s="352">
        <f t="shared" si="25"/>
        <v>3.0435827895635104</v>
      </c>
      <c r="DC63" s="352">
        <f t="shared" si="25"/>
        <v>1.7000814189516649</v>
      </c>
      <c r="DD63" s="352">
        <f t="shared" si="26"/>
        <v>-12.466085079279933</v>
      </c>
      <c r="DF63" s="352">
        <f t="shared" si="27"/>
        <v>2.7265073351994906</v>
      </c>
      <c r="DG63" s="352">
        <f t="shared" si="27"/>
        <v>111.11349010532184</v>
      </c>
      <c r="DH63" s="352">
        <f t="shared" si="27"/>
        <v>9.1700010740424727</v>
      </c>
      <c r="DI63" s="352">
        <f t="shared" si="27"/>
        <v>0</v>
      </c>
      <c r="DJ63" s="352">
        <f t="shared" si="28"/>
        <v>123.0099985145638</v>
      </c>
    </row>
    <row r="64" spans="1:114" x14ac:dyDescent="0.2">
      <c r="A64">
        <v>59</v>
      </c>
      <c r="B64" s="397">
        <v>34308</v>
      </c>
      <c r="C64" s="398">
        <v>397997.79676138877</v>
      </c>
      <c r="D64" s="399">
        <v>8.0405253066862823</v>
      </c>
      <c r="E64" s="399">
        <v>89.564928283796505</v>
      </c>
      <c r="F64" s="399">
        <v>10.901631495104713</v>
      </c>
      <c r="G64" s="399">
        <v>1.2823942103062159E-2</v>
      </c>
      <c r="H64" s="399">
        <v>108.51990902769056</v>
      </c>
      <c r="I64" s="400">
        <v>8.0342420869284111E-3</v>
      </c>
      <c r="J64" s="400">
        <v>4.0226102771878158E-2</v>
      </c>
      <c r="K64" s="400">
        <v>1.2562883615653894E-4</v>
      </c>
      <c r="L64" s="400">
        <v>0.43315245634310895</v>
      </c>
      <c r="M64" s="400">
        <v>0.40219926166072034</v>
      </c>
      <c r="N64" s="400">
        <v>0.28970843793175238</v>
      </c>
      <c r="O64" s="399">
        <f t="shared" si="30"/>
        <v>2.008560521732103</v>
      </c>
      <c r="P64" s="399">
        <f t="shared" si="30"/>
        <v>0</v>
      </c>
      <c r="Q64" s="399">
        <f t="shared" si="30"/>
        <v>0.12562883615653894</v>
      </c>
      <c r="R64" s="399">
        <f t="shared" ref="R64:T105" si="33">L64*R$2</f>
        <v>8.9933130137213109</v>
      </c>
      <c r="S64" s="399">
        <f t="shared" si="33"/>
        <v>12.065977849821611</v>
      </c>
      <c r="T64" s="399">
        <f t="shared" si="33"/>
        <v>17.382506275905143</v>
      </c>
      <c r="U64" s="399">
        <f t="shared" si="10"/>
        <v>40.575986497336707</v>
      </c>
      <c r="V64" s="400">
        <v>6.0339932497588888E-4</v>
      </c>
      <c r="W64" s="400">
        <v>6.3207941634819461E-3</v>
      </c>
      <c r="X64" s="400">
        <v>0</v>
      </c>
      <c r="Y64" s="400">
        <v>7.6462217584620309E-2</v>
      </c>
      <c r="Z64" s="400">
        <v>2.4973103069609738E-2</v>
      </c>
      <c r="AA64" s="400">
        <v>2.006694525695598E-2</v>
      </c>
      <c r="AB64" s="352">
        <f t="shared" si="31"/>
        <v>0.15084983124397222</v>
      </c>
      <c r="AC64" s="352">
        <f t="shared" si="31"/>
        <v>0</v>
      </c>
      <c r="AD64" s="352">
        <f t="shared" si="31"/>
        <v>0</v>
      </c>
      <c r="AE64" s="352">
        <f t="shared" ref="AE64:AG105" si="34">Y64*AE$2</f>
        <v>2.7104660002014853</v>
      </c>
      <c r="AF64" s="352">
        <f t="shared" si="34"/>
        <v>0.7491930920882921</v>
      </c>
      <c r="AG64" s="352">
        <f t="shared" si="34"/>
        <v>1.2040167154173589</v>
      </c>
      <c r="AH64" s="400">
        <f t="shared" si="11"/>
        <v>4.8145256389511086</v>
      </c>
      <c r="AJ64" s="352">
        <f>D64*('Assumptions-Output Override'!$D$10/'Winners-Losers Values PMPM'!$H$107)*(1+'Assumptions-Output Override'!$F$41)</f>
        <v>9.5972674553189776</v>
      </c>
      <c r="AK64" s="352">
        <f>E64*('Assumptions-Output Override'!$D$10/'Winners-Losers Values PMPM'!$H$107)*(1+'Assumptions-Output Override'!$F$37)</f>
        <v>147.4040509003637</v>
      </c>
      <c r="AL64" s="352">
        <f>F64*('Assumptions-Output Override'!$D$10/'Winners-Losers Values PMPM'!$H$107)*(1+'Assumptions-Output Override'!$F$38)</f>
        <v>18.31306161565016</v>
      </c>
      <c r="AM64" s="352">
        <f>G64*('Shoppable Detail'!$X$21/'Shoppable Detail'!$H$21)*('Assumptions-Output Override'!$D$10/'Winners-Losers Values PMPM'!$H$107)*(1+'Assumptions-Output Override'!$F$39)</f>
        <v>2.1990391583329855E-2</v>
      </c>
      <c r="AN64" s="352">
        <f t="shared" si="12"/>
        <v>175.33637036291617</v>
      </c>
      <c r="AO64" s="352">
        <v>0</v>
      </c>
      <c r="AP64" s="352">
        <f>U64*'Assumptions-Output Override'!$D$10/'Winners-Losers Values PMPM'!$H$107*(1+'Assumptions-Output Override'!$F$37)</f>
        <v>66.779094156523144</v>
      </c>
      <c r="AQ64" s="352">
        <f>AH64*'Assumptions-Output Override'!$D$10/'Winners-Losers Values PMPM'!$H$107*(1+'Assumptions-Output Override'!$F$38)</f>
        <v>8.0876614400175342</v>
      </c>
      <c r="AR64" s="352">
        <f>AM64*('Shoppable Detail'!$AA$23/'Shoppable Detail'!$Y$23)</f>
        <v>7.3476803413422898E-4</v>
      </c>
      <c r="AS64" s="352">
        <f t="shared" si="13"/>
        <v>74.86749036457482</v>
      </c>
      <c r="AT64" s="352">
        <f t="shared" si="14"/>
        <v>9.5972674553189776</v>
      </c>
      <c r="AU64" s="352">
        <f t="shared" si="14"/>
        <v>80.624956743840556</v>
      </c>
      <c r="AV64" s="352">
        <f t="shared" si="14"/>
        <v>10.225400175632625</v>
      </c>
      <c r="AW64" s="352">
        <f t="shared" si="14"/>
        <v>2.1255623549195624E-2</v>
      </c>
      <c r="AX64" s="352">
        <f t="shared" si="15"/>
        <v>100.46887999834136</v>
      </c>
      <c r="AY64" s="352">
        <f>AT64*'Assumptions-Output Override'!$D$24</f>
        <v>2.9238643640266586</v>
      </c>
      <c r="AZ64" s="352">
        <f>$AU$107*'Assumptions-Output Override'!$D$21</f>
        <v>46.041131296780591</v>
      </c>
      <c r="BA64" s="352">
        <f>AV64*'Assumptions-Output Override'!$D$22</f>
        <v>1.5338100263448937</v>
      </c>
      <c r="BB64" s="352">
        <f>AW64*'Assumptions-Output Override'!$D$23</f>
        <v>3.1883435323793435E-3</v>
      </c>
      <c r="BC64" s="352">
        <f t="shared" si="16"/>
        <v>50.501994030684521</v>
      </c>
      <c r="BD64" s="352">
        <f t="shared" si="17"/>
        <v>2.9238643640266586</v>
      </c>
      <c r="BE64" s="352">
        <f t="shared" si="17"/>
        <v>112.82022545330373</v>
      </c>
      <c r="BF64" s="352">
        <f t="shared" si="17"/>
        <v>9.6214714663624274</v>
      </c>
      <c r="BG64" s="352">
        <f t="shared" si="17"/>
        <v>3.9231115665135721E-3</v>
      </c>
      <c r="BH64" s="352">
        <f t="shared" si="18"/>
        <v>125.36948439525932</v>
      </c>
      <c r="BJ64" s="401">
        <f>D64*'Assumptions-Output Override'!$D$10/'Winners-Losers Values PMPM'!$H$107</f>
        <v>13.584293266699815</v>
      </c>
      <c r="BK64" s="401">
        <f>E64*'Assumptions-Output Override'!$D$10/'Winners-Losers Values PMPM'!$H$107</f>
        <v>151.31800545497615</v>
      </c>
      <c r="BL64" s="401">
        <f>F64*'Assumptions-Output Override'!$D$10/'Winners-Losers Values PMPM'!$H$107</f>
        <v>18.418070171590056</v>
      </c>
      <c r="BM64" s="401">
        <f>G64*'Assumptions-Output Override'!$D$10/'Winners-Losers Values PMPM'!$H$107</f>
        <v>2.1665772287080807E-2</v>
      </c>
      <c r="BN64" s="401">
        <f t="shared" si="2"/>
        <v>183.34203466555309</v>
      </c>
      <c r="BO64" s="401">
        <f>BJ64*(1-'Assumptions-Output Override'!$D$11)</f>
        <v>1.9360305217217646</v>
      </c>
      <c r="BP64" s="401">
        <f>BK64*(1-'Assumptions-Output Override'!$D$11)</f>
        <v>21.565809225058455</v>
      </c>
      <c r="BQ64" s="401">
        <f>BL64*(1-'Assumptions-Output Override'!$D$11)</f>
        <v>2.624939354837291</v>
      </c>
      <c r="BR64" s="401">
        <f>BM64*(1-'Assumptions-Output Override'!$D$11)</f>
        <v>3.0878011539464006E-3</v>
      </c>
      <c r="BS64" s="352">
        <f t="shared" si="3"/>
        <v>26.129866902771457</v>
      </c>
      <c r="BT64" s="352">
        <f t="shared" si="19"/>
        <v>11.64826274497805</v>
      </c>
      <c r="BU64" s="352">
        <f t="shared" si="19"/>
        <v>129.7521962299177</v>
      </c>
      <c r="BV64" s="352">
        <f t="shared" si="19"/>
        <v>15.793130816752765</v>
      </c>
      <c r="BW64" s="352">
        <f t="shared" si="19"/>
        <v>1.8577971133134405E-2</v>
      </c>
      <c r="BX64" s="352">
        <f t="shared" si="4"/>
        <v>157.21216776278163</v>
      </c>
      <c r="BY64" s="352">
        <f>BT$107*(1-'Assumptions-Output Override'!$D$12)</f>
        <v>22.753074310428271</v>
      </c>
      <c r="BZ64" s="352">
        <f>BU$107*(1-'Assumptions-Output Override'!$D$12)</f>
        <v>51.446038369839215</v>
      </c>
      <c r="CA64" s="352">
        <f>BV$107*(1-'Assumptions-Output Override'!$D$12)</f>
        <v>9.7401900534537411</v>
      </c>
      <c r="CB64" s="352">
        <f>BW$107*(1-'Assumptions-Output Override'!$D$12)</f>
        <v>1.7000814189516649</v>
      </c>
      <c r="CC64" s="352">
        <f t="shared" si="5"/>
        <v>85.639384152672903</v>
      </c>
      <c r="CD64" s="352">
        <f t="shared" si="20"/>
        <v>24.689104832150036</v>
      </c>
      <c r="CE64" s="352">
        <f t="shared" si="20"/>
        <v>73.011847594897674</v>
      </c>
      <c r="CF64" s="352">
        <f t="shared" si="20"/>
        <v>12.365129408291033</v>
      </c>
      <c r="CG64" s="352">
        <f t="shared" si="20"/>
        <v>1.7031692201056112</v>
      </c>
      <c r="CH64" s="352">
        <f t="shared" si="6"/>
        <v>111.76925105544434</v>
      </c>
      <c r="CJ64" s="352">
        <f t="shared" si="21"/>
        <v>111.76925105544434</v>
      </c>
      <c r="CK64" s="352">
        <f t="shared" si="22"/>
        <v>125.36948439525932</v>
      </c>
      <c r="CL64" s="352">
        <f t="shared" si="23"/>
        <v>-13.600233339814977</v>
      </c>
      <c r="CN64" s="352">
        <f t="shared" si="24"/>
        <v>8.0405253066862823</v>
      </c>
      <c r="CO64" s="352">
        <f t="shared" si="24"/>
        <v>89.564928283796505</v>
      </c>
      <c r="CP64" s="352">
        <f t="shared" si="24"/>
        <v>10.901631495104713</v>
      </c>
      <c r="CQ64" s="352">
        <f t="shared" si="24"/>
        <v>1.2823942103062159E-2</v>
      </c>
      <c r="CR64" s="352">
        <f t="shared" si="7"/>
        <v>108.51990902769056</v>
      </c>
      <c r="CT64" s="352">
        <f t="shared" si="32"/>
        <v>-5.5437679600135326</v>
      </c>
      <c r="CU64" s="352">
        <f t="shared" si="32"/>
        <v>-61.75307717117964</v>
      </c>
      <c r="CV64" s="352">
        <f t="shared" si="32"/>
        <v>-7.5164386764853433</v>
      </c>
      <c r="CW64" s="352">
        <f t="shared" si="32"/>
        <v>-8.8418301840186477E-3</v>
      </c>
      <c r="CX64" s="352">
        <f t="shared" si="9"/>
        <v>-74.822125637862541</v>
      </c>
      <c r="CZ64" s="352">
        <f t="shared" si="25"/>
        <v>21.765240468123377</v>
      </c>
      <c r="DA64" s="352">
        <f t="shared" si="25"/>
        <v>-39.808377858406061</v>
      </c>
      <c r="DB64" s="352">
        <f t="shared" si="25"/>
        <v>2.7436579419286051</v>
      </c>
      <c r="DC64" s="352">
        <f t="shared" si="25"/>
        <v>1.6992461085390977</v>
      </c>
      <c r="DD64" s="352">
        <f t="shared" si="26"/>
        <v>-13.600233339814981</v>
      </c>
      <c r="DF64" s="352">
        <f t="shared" si="27"/>
        <v>2.9238643640266586</v>
      </c>
      <c r="DG64" s="352">
        <f t="shared" si="27"/>
        <v>112.82022545330373</v>
      </c>
      <c r="DH64" s="352">
        <f t="shared" si="27"/>
        <v>9.6214714663624274</v>
      </c>
      <c r="DI64" s="352">
        <f t="shared" si="27"/>
        <v>3.9231115665135721E-3</v>
      </c>
      <c r="DJ64" s="352">
        <f t="shared" si="28"/>
        <v>125.36948439525932</v>
      </c>
    </row>
    <row r="65" spans="1:114" x14ac:dyDescent="0.2">
      <c r="A65">
        <v>60</v>
      </c>
      <c r="B65" s="397">
        <v>34308</v>
      </c>
      <c r="C65" s="398">
        <v>397997.79676138877</v>
      </c>
      <c r="D65" s="399">
        <v>8.8293306322371876</v>
      </c>
      <c r="E65" s="399">
        <v>92.854007251283619</v>
      </c>
      <c r="F65" s="399">
        <v>11.13648305215918</v>
      </c>
      <c r="G65" s="399">
        <v>0.99657907402444723</v>
      </c>
      <c r="H65" s="399">
        <v>113.81640000970444</v>
      </c>
      <c r="I65" s="400">
        <v>8.8127152332394508E-3</v>
      </c>
      <c r="J65" s="400">
        <v>4.418708392498271E-2</v>
      </c>
      <c r="K65" s="400">
        <v>1.6080491028036987E-4</v>
      </c>
      <c r="L65" s="400">
        <v>0.44139261156135301</v>
      </c>
      <c r="M65" s="400">
        <v>0.41044930733112023</v>
      </c>
      <c r="N65" s="400">
        <v>0.30036301952618089</v>
      </c>
      <c r="O65" s="399">
        <f t="shared" ref="O65:Q105" si="35">I65*O$2</f>
        <v>2.2031788083098629</v>
      </c>
      <c r="P65" s="399">
        <f t="shared" si="35"/>
        <v>0</v>
      </c>
      <c r="Q65" s="399">
        <f t="shared" si="35"/>
        <v>0.16080491028036986</v>
      </c>
      <c r="R65" s="399">
        <f t="shared" si="33"/>
        <v>9.1643989537271953</v>
      </c>
      <c r="S65" s="399">
        <f t="shared" si="33"/>
        <v>12.313479219933607</v>
      </c>
      <c r="T65" s="399">
        <f t="shared" si="33"/>
        <v>18.021781171570854</v>
      </c>
      <c r="U65" s="399">
        <f t="shared" si="10"/>
        <v>41.863643063821883</v>
      </c>
      <c r="V65" s="400">
        <v>6.0836557456416744E-4</v>
      </c>
      <c r="W65" s="400">
        <v>6.8410088078541594E-3</v>
      </c>
      <c r="X65" s="400">
        <v>0</v>
      </c>
      <c r="Y65" s="400">
        <v>7.5022933953332441E-2</v>
      </c>
      <c r="Z65" s="400">
        <v>2.5288783209104011E-2</v>
      </c>
      <c r="AA65" s="400">
        <v>2.005880450837311E-2</v>
      </c>
      <c r="AB65" s="352">
        <f t="shared" ref="AB65:AD105" si="36">V65*AB$2</f>
        <v>0.15209139364104185</v>
      </c>
      <c r="AC65" s="352">
        <f t="shared" si="36"/>
        <v>0</v>
      </c>
      <c r="AD65" s="352">
        <f t="shared" si="36"/>
        <v>0</v>
      </c>
      <c r="AE65" s="352">
        <f t="shared" si="34"/>
        <v>2.6594456470063279</v>
      </c>
      <c r="AF65" s="352">
        <f t="shared" si="34"/>
        <v>0.75866349627312035</v>
      </c>
      <c r="AG65" s="352">
        <f t="shared" si="34"/>
        <v>1.2035282705023866</v>
      </c>
      <c r="AH65" s="400">
        <f t="shared" si="11"/>
        <v>4.7737288074228772</v>
      </c>
      <c r="AJ65" s="352">
        <f>D65*('Assumptions-Output Override'!$D$10/'Winners-Losers Values PMPM'!$H$107)*(1+'Assumptions-Output Override'!$F$41)</f>
        <v>10.53879495392615</v>
      </c>
      <c r="AK65" s="352">
        <f>E65*('Assumptions-Output Override'!$D$10/'Winners-Losers Values PMPM'!$H$107)*(1+'Assumptions-Output Override'!$F$37)</f>
        <v>152.8171469953281</v>
      </c>
      <c r="AL65" s="352">
        <f>F65*('Assumptions-Output Override'!$D$10/'Winners-Losers Values PMPM'!$H$107)*(1+'Assumptions-Output Override'!$F$38)</f>
        <v>18.707576054778016</v>
      </c>
      <c r="AM65" s="352">
        <f>G65*('Shoppable Detail'!$X$21/'Shoppable Detail'!$H$21)*('Assumptions-Output Override'!$D$10/'Winners-Losers Values PMPM'!$H$107)*(1+'Assumptions-Output Override'!$F$39)</f>
        <v>1.7089256880157675</v>
      </c>
      <c r="AN65" s="352">
        <f t="shared" si="12"/>
        <v>183.77244369204806</v>
      </c>
      <c r="AO65" s="352">
        <v>0</v>
      </c>
      <c r="AP65" s="352">
        <f>U65*'Assumptions-Output Override'!$D$10/'Winners-Losers Values PMPM'!$H$107*(1+'Assumptions-Output Override'!$F$37)</f>
        <v>68.898291901727021</v>
      </c>
      <c r="AQ65" s="352">
        <f>AH65*'Assumptions-Output Override'!$D$10/'Winners-Losers Values PMPM'!$H$107*(1+'Assumptions-Output Override'!$F$38)</f>
        <v>8.0191290474270041</v>
      </c>
      <c r="AR65" s="352">
        <f>AM65*('Shoppable Detail'!$AA$23/'Shoppable Detail'!$Y$23)</f>
        <v>5.7100573380271462E-2</v>
      </c>
      <c r="AS65" s="352">
        <f t="shared" si="13"/>
        <v>76.974521522534289</v>
      </c>
      <c r="AT65" s="352">
        <f t="shared" si="14"/>
        <v>10.53879495392615</v>
      </c>
      <c r="AU65" s="352">
        <f t="shared" si="14"/>
        <v>83.918855093601081</v>
      </c>
      <c r="AV65" s="352">
        <f t="shared" si="14"/>
        <v>10.688447007351012</v>
      </c>
      <c r="AW65" s="352">
        <f t="shared" si="14"/>
        <v>1.6518251146354961</v>
      </c>
      <c r="AX65" s="352">
        <f t="shared" si="15"/>
        <v>106.79792216951375</v>
      </c>
      <c r="AY65" s="352">
        <f>AT65*'Assumptions-Output Override'!$D$24</f>
        <v>3.2107062920801446</v>
      </c>
      <c r="AZ65" s="352">
        <f>$AU$107*'Assumptions-Output Override'!$D$21</f>
        <v>46.041131296780591</v>
      </c>
      <c r="BA65" s="352">
        <f>AV65*'Assumptions-Output Override'!$D$22</f>
        <v>1.6032670511026519</v>
      </c>
      <c r="BB65" s="352">
        <f>AW65*'Assumptions-Output Override'!$D$23</f>
        <v>0.2477737671953244</v>
      </c>
      <c r="BC65" s="352">
        <f t="shared" si="16"/>
        <v>51.10287840715872</v>
      </c>
      <c r="BD65" s="352">
        <f t="shared" si="17"/>
        <v>3.2107062920801446</v>
      </c>
      <c r="BE65" s="352">
        <f t="shared" si="17"/>
        <v>114.93942319850761</v>
      </c>
      <c r="BF65" s="352">
        <f t="shared" si="17"/>
        <v>9.6223960985296557</v>
      </c>
      <c r="BG65" s="352">
        <f t="shared" si="17"/>
        <v>0.30487434057559587</v>
      </c>
      <c r="BH65" s="352">
        <f t="shared" si="18"/>
        <v>128.077399929693</v>
      </c>
      <c r="BJ65" s="401">
        <f>D65*'Assumptions-Output Override'!$D$10/'Winners-Losers Values PMPM'!$H$107</f>
        <v>14.916962770731786</v>
      </c>
      <c r="BK65" s="401">
        <f>E65*'Assumptions-Output Override'!$D$10/'Winners-Losers Values PMPM'!$H$107</f>
        <v>156.87483309589217</v>
      </c>
      <c r="BL65" s="401">
        <f>F65*'Assumptions-Output Override'!$D$10/'Winners-Losers Values PMPM'!$H$107</f>
        <v>18.814846787978041</v>
      </c>
      <c r="BM65" s="401">
        <f>G65*'Assumptions-Output Override'!$D$10/'Winners-Losers Values PMPM'!$H$107</f>
        <v>1.6836987496011671</v>
      </c>
      <c r="BN65" s="401">
        <f t="shared" si="2"/>
        <v>192.29034140420316</v>
      </c>
      <c r="BO65" s="401">
        <f>BJ65*(1-'Assumptions-Output Override'!$D$11)</f>
        <v>2.1259622895744554</v>
      </c>
      <c r="BP65" s="401">
        <f>BK65*(1-'Assumptions-Output Override'!$D$11)</f>
        <v>22.357767091805407</v>
      </c>
      <c r="BQ65" s="401">
        <f>BL65*(1-'Assumptions-Output Override'!$D$11)</f>
        <v>2.6814878719041086</v>
      </c>
      <c r="BR65" s="401">
        <f>BM65*(1-'Assumptions-Output Override'!$D$11)</f>
        <v>0.23996037958068495</v>
      </c>
      <c r="BS65" s="352">
        <f t="shared" si="3"/>
        <v>27.405177632864653</v>
      </c>
      <c r="BT65" s="352">
        <f t="shared" si="19"/>
        <v>12.791000481157329</v>
      </c>
      <c r="BU65" s="352">
        <f t="shared" si="19"/>
        <v>134.51706600408676</v>
      </c>
      <c r="BV65" s="352">
        <f t="shared" si="19"/>
        <v>16.133358916073931</v>
      </c>
      <c r="BW65" s="352">
        <f t="shared" si="19"/>
        <v>1.443738370020482</v>
      </c>
      <c r="BX65" s="352">
        <f t="shared" si="4"/>
        <v>164.88516377133851</v>
      </c>
      <c r="BY65" s="352">
        <f>BT$107*(1-'Assumptions-Output Override'!$D$12)</f>
        <v>22.753074310428271</v>
      </c>
      <c r="BZ65" s="352">
        <f>BU$107*(1-'Assumptions-Output Override'!$D$12)</f>
        <v>51.446038369839215</v>
      </c>
      <c r="CA65" s="352">
        <f>BV$107*(1-'Assumptions-Output Override'!$D$12)</f>
        <v>9.7401900534537411</v>
      </c>
      <c r="CB65" s="352">
        <f>BW$107*(1-'Assumptions-Output Override'!$D$12)</f>
        <v>1.7000814189516649</v>
      </c>
      <c r="CC65" s="352">
        <f t="shared" si="5"/>
        <v>85.639384152672903</v>
      </c>
      <c r="CD65" s="352">
        <f t="shared" si="20"/>
        <v>24.879036600002728</v>
      </c>
      <c r="CE65" s="352">
        <f t="shared" si="20"/>
        <v>73.803805461644629</v>
      </c>
      <c r="CF65" s="352">
        <f t="shared" si="20"/>
        <v>12.42167792535785</v>
      </c>
      <c r="CG65" s="352">
        <f t="shared" si="20"/>
        <v>1.9400417985323499</v>
      </c>
      <c r="CH65" s="352">
        <f t="shared" si="6"/>
        <v>113.04456178553757</v>
      </c>
      <c r="CJ65" s="352">
        <f t="shared" si="21"/>
        <v>113.04456178553757</v>
      </c>
      <c r="CK65" s="352">
        <f t="shared" si="22"/>
        <v>128.077399929693</v>
      </c>
      <c r="CL65" s="352">
        <f t="shared" si="23"/>
        <v>-15.032838144155434</v>
      </c>
      <c r="CN65" s="352">
        <f t="shared" si="24"/>
        <v>8.8293306322371876</v>
      </c>
      <c r="CO65" s="352">
        <f t="shared" si="24"/>
        <v>92.854007251283619</v>
      </c>
      <c r="CP65" s="352">
        <f t="shared" si="24"/>
        <v>11.13648305215918</v>
      </c>
      <c r="CQ65" s="352">
        <f t="shared" si="24"/>
        <v>0.99657907402444723</v>
      </c>
      <c r="CR65" s="352">
        <f t="shared" si="7"/>
        <v>113.81640000970444</v>
      </c>
      <c r="CT65" s="352">
        <f t="shared" si="32"/>
        <v>-6.0876321384945982</v>
      </c>
      <c r="CU65" s="352">
        <f t="shared" si="32"/>
        <v>-64.020825844608552</v>
      </c>
      <c r="CV65" s="352">
        <f t="shared" si="32"/>
        <v>-7.678363735818861</v>
      </c>
      <c r="CW65" s="352">
        <f t="shared" si="32"/>
        <v>-0.68711967557671982</v>
      </c>
      <c r="CX65" s="352">
        <f t="shared" si="9"/>
        <v>-78.473941394498738</v>
      </c>
      <c r="CZ65" s="352">
        <f t="shared" si="25"/>
        <v>21.668330307922584</v>
      </c>
      <c r="DA65" s="352">
        <f t="shared" si="25"/>
        <v>-41.135617736862983</v>
      </c>
      <c r="DB65" s="352">
        <f t="shared" si="25"/>
        <v>2.799281826828194</v>
      </c>
      <c r="DC65" s="352">
        <f t="shared" si="25"/>
        <v>1.6351674579567541</v>
      </c>
      <c r="DD65" s="352">
        <f t="shared" si="26"/>
        <v>-15.032838144155448</v>
      </c>
      <c r="DF65" s="352">
        <f t="shared" si="27"/>
        <v>3.2107062920801446</v>
      </c>
      <c r="DG65" s="352">
        <f t="shared" si="27"/>
        <v>114.93942319850761</v>
      </c>
      <c r="DH65" s="352">
        <f t="shared" si="27"/>
        <v>9.6223960985296557</v>
      </c>
      <c r="DI65" s="352">
        <f t="shared" si="27"/>
        <v>0.30487434057559587</v>
      </c>
      <c r="DJ65" s="352">
        <f t="shared" si="28"/>
        <v>128.077399929693</v>
      </c>
    </row>
    <row r="66" spans="1:114" x14ac:dyDescent="0.2">
      <c r="A66">
        <v>61</v>
      </c>
      <c r="B66" s="397">
        <v>34308</v>
      </c>
      <c r="C66" s="398">
        <v>397997.79676138877</v>
      </c>
      <c r="D66" s="399">
        <v>10.189446511767366</v>
      </c>
      <c r="E66" s="399">
        <v>97.196783238585482</v>
      </c>
      <c r="F66" s="399">
        <v>12.001326669307321</v>
      </c>
      <c r="G66" s="399">
        <v>3.4836611906468684E-3</v>
      </c>
      <c r="H66" s="399">
        <v>119.39104008085081</v>
      </c>
      <c r="I66" s="400">
        <v>1.0140111751949434E-2</v>
      </c>
      <c r="J66" s="400">
        <v>4.5860052657679715E-2</v>
      </c>
      <c r="K66" s="400">
        <v>2.3869478869742401E-4</v>
      </c>
      <c r="L66" s="400">
        <v>0.45556397394421427</v>
      </c>
      <c r="M66" s="400">
        <v>0.41804929915171174</v>
      </c>
      <c r="N66" s="400">
        <v>0.3111801145830741</v>
      </c>
      <c r="O66" s="399">
        <f t="shared" si="35"/>
        <v>2.5350279379873584</v>
      </c>
      <c r="P66" s="399">
        <f t="shared" si="35"/>
        <v>0</v>
      </c>
      <c r="Q66" s="399">
        <f t="shared" si="35"/>
        <v>0.238694788697424</v>
      </c>
      <c r="R66" s="399">
        <f t="shared" si="33"/>
        <v>9.4586313789936298</v>
      </c>
      <c r="S66" s="399">
        <f t="shared" si="33"/>
        <v>12.541478974551353</v>
      </c>
      <c r="T66" s="399">
        <f t="shared" si="33"/>
        <v>18.670806874984446</v>
      </c>
      <c r="U66" s="399">
        <f t="shared" si="10"/>
        <v>43.444639955214214</v>
      </c>
      <c r="V66" s="400">
        <v>6.555449456528183E-4</v>
      </c>
      <c r="W66" s="400">
        <v>6.8645984933984952E-3</v>
      </c>
      <c r="X66" s="400">
        <v>0</v>
      </c>
      <c r="Y66" s="400">
        <v>8.0371355874790704E-2</v>
      </c>
      <c r="Z66" s="400">
        <v>2.5786273400283659E-2</v>
      </c>
      <c r="AA66" s="400">
        <v>2.093438724484965E-2</v>
      </c>
      <c r="AB66" s="352">
        <f t="shared" si="36"/>
        <v>0.16388623641320457</v>
      </c>
      <c r="AC66" s="352">
        <f t="shared" si="36"/>
        <v>0</v>
      </c>
      <c r="AD66" s="352">
        <f t="shared" si="36"/>
        <v>0</v>
      </c>
      <c r="AE66" s="352">
        <f t="shared" si="34"/>
        <v>2.8490388373529392</v>
      </c>
      <c r="AF66" s="352">
        <f t="shared" si="34"/>
        <v>0.77358820200850975</v>
      </c>
      <c r="AG66" s="352">
        <f t="shared" si="34"/>
        <v>1.256063234690979</v>
      </c>
      <c r="AH66" s="400">
        <f t="shared" si="11"/>
        <v>5.0425765104656328</v>
      </c>
      <c r="AJ66" s="352">
        <f>D66*('Assumptions-Output Override'!$D$10/'Winners-Losers Values PMPM'!$H$107)*(1+'Assumptions-Output Override'!$F$41)</f>
        <v>12.162245582857407</v>
      </c>
      <c r="AK66" s="352">
        <f>E66*('Assumptions-Output Override'!$D$10/'Winners-Losers Values PMPM'!$H$107)*(1+'Assumptions-Output Override'!$F$37)</f>
        <v>159.96439519780262</v>
      </c>
      <c r="AL66" s="352">
        <f>F66*('Assumptions-Output Override'!$D$10/'Winners-Losers Values PMPM'!$H$107)*(1+'Assumptions-Output Override'!$F$38)</f>
        <v>20.160380110377179</v>
      </c>
      <c r="AM66" s="352">
        <f>G66*('Shoppable Detail'!$X$21/'Shoppable Detail'!$H$21)*('Assumptions-Output Override'!$D$10/'Winners-Losers Values PMPM'!$H$107)*(1+'Assumptions-Output Override'!$F$39)</f>
        <v>5.9737538668145716E-3</v>
      </c>
      <c r="AN66" s="352">
        <f t="shared" si="12"/>
        <v>192.29299464490401</v>
      </c>
      <c r="AO66" s="352">
        <v>0</v>
      </c>
      <c r="AP66" s="352">
        <f>U66*'Assumptions-Output Override'!$D$10/'Winners-Losers Values PMPM'!$H$107*(1+'Assumptions-Output Override'!$F$37)</f>
        <v>71.500262904413276</v>
      </c>
      <c r="AQ66" s="352">
        <f>AH66*'Assumptions-Output Override'!$D$10/'Winners-Losers Values PMPM'!$H$107*(1+'Assumptions-Output Override'!$F$38)</f>
        <v>8.4707517750213857</v>
      </c>
      <c r="AR66" s="352">
        <f>AM66*('Shoppable Detail'!$AA$23/'Shoppable Detail'!$Y$23)</f>
        <v>1.9960187468641912E-4</v>
      </c>
      <c r="AS66" s="352">
        <f t="shared" si="13"/>
        <v>79.971214281309344</v>
      </c>
      <c r="AT66" s="352">
        <f t="shared" si="14"/>
        <v>12.162245582857407</v>
      </c>
      <c r="AU66" s="352">
        <f t="shared" si="14"/>
        <v>88.464132293389341</v>
      </c>
      <c r="AV66" s="352">
        <f t="shared" si="14"/>
        <v>11.689628335355794</v>
      </c>
      <c r="AW66" s="352">
        <f t="shared" si="14"/>
        <v>5.7741519921281521E-3</v>
      </c>
      <c r="AX66" s="352">
        <f t="shared" si="15"/>
        <v>112.32178036359467</v>
      </c>
      <c r="AY66" s="352">
        <f>AT66*'Assumptions-Output Override'!$D$24</f>
        <v>3.7053001400465297</v>
      </c>
      <c r="AZ66" s="352">
        <f>$AU$107*'Assumptions-Output Override'!$D$21</f>
        <v>46.041131296780591</v>
      </c>
      <c r="BA66" s="352">
        <f>AV66*'Assumptions-Output Override'!$D$22</f>
        <v>1.7534442503033689</v>
      </c>
      <c r="BB66" s="352">
        <f>AW66*'Assumptions-Output Override'!$D$23</f>
        <v>8.6612279881922278E-4</v>
      </c>
      <c r="BC66" s="352">
        <f t="shared" si="16"/>
        <v>51.500741809929309</v>
      </c>
      <c r="BD66" s="352">
        <f t="shared" si="17"/>
        <v>3.7053001400465297</v>
      </c>
      <c r="BE66" s="352">
        <f t="shared" si="17"/>
        <v>117.54139420119387</v>
      </c>
      <c r="BF66" s="352">
        <f t="shared" si="17"/>
        <v>10.224196025324755</v>
      </c>
      <c r="BG66" s="352">
        <f t="shared" si="17"/>
        <v>1.065724673505642E-3</v>
      </c>
      <c r="BH66" s="352">
        <f t="shared" si="18"/>
        <v>131.47195609123867</v>
      </c>
      <c r="BJ66" s="401">
        <f>D66*'Assumptions-Output Override'!$D$10/'Winners-Losers Values PMPM'!$H$107</f>
        <v>17.214849075357801</v>
      </c>
      <c r="BK66" s="401">
        <f>E66*'Assumptions-Output Override'!$D$10/'Winners-Losers Values PMPM'!$H$107</f>
        <v>164.21185901807078</v>
      </c>
      <c r="BL66" s="401">
        <f>F66*'Assumptions-Output Override'!$D$10/'Winners-Losers Values PMPM'!$H$107</f>
        <v>20.275981337906543</v>
      </c>
      <c r="BM66" s="401">
        <f>G66*'Assumptions-Output Override'!$D$10/'Winners-Losers Values PMPM'!$H$107</f>
        <v>5.88557009032919E-3</v>
      </c>
      <c r="BN66" s="401">
        <f t="shared" si="2"/>
        <v>201.70857500142543</v>
      </c>
      <c r="BO66" s="401">
        <f>BJ66*(1-'Assumptions-Output Override'!$D$11)</f>
        <v>2.4534565459085722</v>
      </c>
      <c r="BP66" s="401">
        <f>BK66*(1-'Assumptions-Output Override'!$D$11)</f>
        <v>23.403438430396324</v>
      </c>
      <c r="BQ66" s="401">
        <f>BL66*(1-'Assumptions-Output Override'!$D$11)</f>
        <v>2.8897284501562157</v>
      </c>
      <c r="BR66" s="401">
        <f>BM66*(1-'Assumptions-Output Override'!$D$11)</f>
        <v>8.3881016913427283E-4</v>
      </c>
      <c r="BS66" s="352">
        <f t="shared" si="3"/>
        <v>28.747462236630248</v>
      </c>
      <c r="BT66" s="352">
        <f t="shared" si="19"/>
        <v>14.761392529449228</v>
      </c>
      <c r="BU66" s="352">
        <f t="shared" si="19"/>
        <v>140.80842058767445</v>
      </c>
      <c r="BV66" s="352">
        <f t="shared" si="19"/>
        <v>17.386252887750327</v>
      </c>
      <c r="BW66" s="352">
        <f t="shared" si="19"/>
        <v>5.0467599211949168E-3</v>
      </c>
      <c r="BX66" s="352">
        <f t="shared" si="4"/>
        <v>172.96111276479519</v>
      </c>
      <c r="BY66" s="352">
        <f>BT$107*(1-'Assumptions-Output Override'!$D$12)</f>
        <v>22.753074310428271</v>
      </c>
      <c r="BZ66" s="352">
        <f>BU$107*(1-'Assumptions-Output Override'!$D$12)</f>
        <v>51.446038369839215</v>
      </c>
      <c r="CA66" s="352">
        <f>BV$107*(1-'Assumptions-Output Override'!$D$12)</f>
        <v>9.7401900534537411</v>
      </c>
      <c r="CB66" s="352">
        <f>BW$107*(1-'Assumptions-Output Override'!$D$12)</f>
        <v>1.7000814189516649</v>
      </c>
      <c r="CC66" s="352">
        <f t="shared" si="5"/>
        <v>85.639384152672903</v>
      </c>
      <c r="CD66" s="352">
        <f t="shared" si="20"/>
        <v>25.206530856336844</v>
      </c>
      <c r="CE66" s="352">
        <f t="shared" si="20"/>
        <v>74.849476800235536</v>
      </c>
      <c r="CF66" s="352">
        <f t="shared" si="20"/>
        <v>12.629918503609957</v>
      </c>
      <c r="CG66" s="352">
        <f t="shared" si="20"/>
        <v>1.7009202291207992</v>
      </c>
      <c r="CH66" s="352">
        <f t="shared" si="6"/>
        <v>114.38684638930313</v>
      </c>
      <c r="CJ66" s="352">
        <f t="shared" si="21"/>
        <v>114.38684638930313</v>
      </c>
      <c r="CK66" s="352">
        <f t="shared" si="22"/>
        <v>131.47195609123867</v>
      </c>
      <c r="CL66" s="352">
        <f t="shared" si="23"/>
        <v>-17.085109701935536</v>
      </c>
      <c r="CN66" s="352">
        <f t="shared" si="24"/>
        <v>10.189446511767366</v>
      </c>
      <c r="CO66" s="352">
        <f t="shared" si="24"/>
        <v>97.196783238585482</v>
      </c>
      <c r="CP66" s="352">
        <f t="shared" si="24"/>
        <v>12.001326669307321</v>
      </c>
      <c r="CQ66" s="352">
        <f t="shared" si="24"/>
        <v>3.4836611906468684E-3</v>
      </c>
      <c r="CR66" s="352">
        <f t="shared" si="7"/>
        <v>119.39104008085081</v>
      </c>
      <c r="CT66" s="352">
        <f t="shared" si="32"/>
        <v>-7.0254025635904345</v>
      </c>
      <c r="CU66" s="352">
        <f t="shared" si="32"/>
        <v>-67.015075779485301</v>
      </c>
      <c r="CV66" s="352">
        <f t="shared" si="32"/>
        <v>-8.2746546685992222</v>
      </c>
      <c r="CW66" s="352">
        <f t="shared" si="32"/>
        <v>-2.4019088996823216E-3</v>
      </c>
      <c r="CX66" s="352">
        <f t="shared" si="9"/>
        <v>-82.317534920574644</v>
      </c>
      <c r="CZ66" s="352">
        <f t="shared" si="25"/>
        <v>21.501230716290316</v>
      </c>
      <c r="DA66" s="352">
        <f t="shared" si="25"/>
        <v>-42.691917400958332</v>
      </c>
      <c r="DB66" s="352">
        <f t="shared" si="25"/>
        <v>2.4057224782852025</v>
      </c>
      <c r="DC66" s="352">
        <f t="shared" si="25"/>
        <v>1.6998545044472935</v>
      </c>
      <c r="DD66" s="352">
        <f t="shared" si="26"/>
        <v>-17.085109701935519</v>
      </c>
      <c r="DF66" s="352">
        <f t="shared" si="27"/>
        <v>3.7053001400465297</v>
      </c>
      <c r="DG66" s="352">
        <f t="shared" si="27"/>
        <v>117.54139420119387</v>
      </c>
      <c r="DH66" s="352">
        <f t="shared" si="27"/>
        <v>10.224196025324755</v>
      </c>
      <c r="DI66" s="352">
        <f t="shared" si="27"/>
        <v>1.065724673505642E-3</v>
      </c>
      <c r="DJ66" s="352">
        <f t="shared" si="28"/>
        <v>131.47195609123867</v>
      </c>
    </row>
    <row r="67" spans="1:114" x14ac:dyDescent="0.2">
      <c r="A67">
        <v>62</v>
      </c>
      <c r="B67" s="397">
        <v>34308</v>
      </c>
      <c r="C67" s="398">
        <v>397997.79676138877</v>
      </c>
      <c r="D67" s="399">
        <v>11.254302310714003</v>
      </c>
      <c r="E67" s="399">
        <v>101.22129880728521</v>
      </c>
      <c r="F67" s="399">
        <v>12.839938952015817</v>
      </c>
      <c r="G67" s="399">
        <v>0</v>
      </c>
      <c r="H67" s="399">
        <v>125.31554007001503</v>
      </c>
      <c r="I67" s="400">
        <v>1.0625409915274713E-2</v>
      </c>
      <c r="J67" s="400">
        <v>4.8083192315894627E-2</v>
      </c>
      <c r="K67" s="400">
        <v>2.5125767231307789E-4</v>
      </c>
      <c r="L67" s="400">
        <v>0.46643849942499671</v>
      </c>
      <c r="M67" s="400">
        <v>0.43125268882562867</v>
      </c>
      <c r="N67" s="400">
        <v>0.3234316396911926</v>
      </c>
      <c r="O67" s="399">
        <f t="shared" si="35"/>
        <v>2.6563524788186781</v>
      </c>
      <c r="P67" s="399">
        <f t="shared" si="35"/>
        <v>0</v>
      </c>
      <c r="Q67" s="399">
        <f t="shared" si="35"/>
        <v>0.25125767231307788</v>
      </c>
      <c r="R67" s="399">
        <f t="shared" si="33"/>
        <v>9.6844133411924016</v>
      </c>
      <c r="S67" s="399">
        <f t="shared" si="33"/>
        <v>12.937580664768861</v>
      </c>
      <c r="T67" s="399">
        <f t="shared" si="33"/>
        <v>19.405898381471555</v>
      </c>
      <c r="U67" s="399">
        <f t="shared" si="10"/>
        <v>44.935502538564577</v>
      </c>
      <c r="V67" s="400">
        <v>7.7597649816858088E-4</v>
      </c>
      <c r="W67" s="400">
        <v>7.4096443857121002E-3</v>
      </c>
      <c r="X67" s="400">
        <v>5.0251534462615584E-6</v>
      </c>
      <c r="Y67" s="400">
        <v>8.4258520369062562E-2</v>
      </c>
      <c r="Z67" s="400">
        <v>2.6745977205450688E-2</v>
      </c>
      <c r="AA67" s="400">
        <v>2.2788668866520163E-2</v>
      </c>
      <c r="AB67" s="352">
        <f t="shared" si="36"/>
        <v>0.19399412454214521</v>
      </c>
      <c r="AC67" s="352">
        <f t="shared" si="36"/>
        <v>0</v>
      </c>
      <c r="AD67" s="352">
        <f t="shared" si="36"/>
        <v>5.0251534462615582E-3</v>
      </c>
      <c r="AE67" s="352">
        <f t="shared" si="34"/>
        <v>2.9868327378143547</v>
      </c>
      <c r="AF67" s="352">
        <f t="shared" si="34"/>
        <v>0.80237931616352065</v>
      </c>
      <c r="AG67" s="352">
        <f t="shared" si="34"/>
        <v>1.3673201319912098</v>
      </c>
      <c r="AH67" s="400">
        <f t="shared" si="11"/>
        <v>5.3555514639574913</v>
      </c>
      <c r="AJ67" s="352">
        <f>D67*('Assumptions-Output Override'!$D$10/'Winners-Losers Values PMPM'!$H$107)*(1+'Assumptions-Output Override'!$F$41)</f>
        <v>13.433270237843544</v>
      </c>
      <c r="AK67" s="352">
        <f>E67*('Assumptions-Output Override'!$D$10/'Winners-Losers Values PMPM'!$H$107)*(1+'Assumptions-Output Override'!$F$37)</f>
        <v>166.58785718348304</v>
      </c>
      <c r="AL67" s="352">
        <f>F67*('Assumptions-Output Override'!$D$10/'Winners-Losers Values PMPM'!$H$107)*(1+'Assumptions-Output Override'!$F$38)</f>
        <v>21.56911956481369</v>
      </c>
      <c r="AM67" s="352">
        <f>G67*('Shoppable Detail'!$X$21/'Shoppable Detail'!$H$21)*('Assumptions-Output Override'!$D$10/'Winners-Losers Values PMPM'!$H$107)*(1+'Assumptions-Output Override'!$F$39)</f>
        <v>0</v>
      </c>
      <c r="AN67" s="352">
        <f t="shared" si="12"/>
        <v>201.59024698614027</v>
      </c>
      <c r="AO67" s="352">
        <v>0</v>
      </c>
      <c r="AP67" s="352">
        <f>U67*'Assumptions-Output Override'!$D$10/'Winners-Losers Values PMPM'!$H$107*(1+'Assumptions-Output Override'!$F$37)</f>
        <v>73.953892783123081</v>
      </c>
      <c r="AQ67" s="352">
        <f>AH67*'Assumptions-Output Override'!$D$10/'Winners-Losers Values PMPM'!$H$107*(1+'Assumptions-Output Override'!$F$38)</f>
        <v>8.9965014859729386</v>
      </c>
      <c r="AR67" s="352">
        <f>AM67*('Shoppable Detail'!$AA$23/'Shoppable Detail'!$Y$23)</f>
        <v>0</v>
      </c>
      <c r="AS67" s="352">
        <f t="shared" si="13"/>
        <v>82.950394269096023</v>
      </c>
      <c r="AT67" s="352">
        <f t="shared" si="14"/>
        <v>13.433270237843544</v>
      </c>
      <c r="AU67" s="352">
        <f t="shared" si="14"/>
        <v>92.633964400359957</v>
      </c>
      <c r="AV67" s="352">
        <f t="shared" si="14"/>
        <v>12.572618078840751</v>
      </c>
      <c r="AW67" s="352">
        <f t="shared" si="14"/>
        <v>0</v>
      </c>
      <c r="AX67" s="352">
        <f t="shared" si="15"/>
        <v>118.63985271704425</v>
      </c>
      <c r="AY67" s="352">
        <f>AT67*'Assumptions-Output Override'!$D$24</f>
        <v>4.0925253280299696</v>
      </c>
      <c r="AZ67" s="352">
        <f>$AU$107*'Assumptions-Output Override'!$D$21</f>
        <v>46.041131296780591</v>
      </c>
      <c r="BA67" s="352">
        <f>AV67*'Assumptions-Output Override'!$D$22</f>
        <v>1.8858927118261126</v>
      </c>
      <c r="BB67" s="352">
        <f>AW67*'Assumptions-Output Override'!$D$23</f>
        <v>0</v>
      </c>
      <c r="BC67" s="352">
        <f t="shared" si="16"/>
        <v>52.019549336636672</v>
      </c>
      <c r="BD67" s="352">
        <f t="shared" si="17"/>
        <v>4.0925253280299696</v>
      </c>
      <c r="BE67" s="352">
        <f t="shared" si="17"/>
        <v>119.99502407990367</v>
      </c>
      <c r="BF67" s="352">
        <f t="shared" si="17"/>
        <v>10.882394197799051</v>
      </c>
      <c r="BG67" s="352">
        <f t="shared" si="17"/>
        <v>0</v>
      </c>
      <c r="BH67" s="352">
        <f t="shared" si="18"/>
        <v>134.96994360573268</v>
      </c>
      <c r="BJ67" s="401">
        <f>D67*'Assumptions-Output Override'!$D$10/'Winners-Losers Values PMPM'!$H$107</f>
        <v>19.013899872151896</v>
      </c>
      <c r="BK67" s="401">
        <f>E67*'Assumptions-Output Override'!$D$10/'Winners-Losers Values PMPM'!$H$107</f>
        <v>171.01119085975455</v>
      </c>
      <c r="BL67" s="401">
        <f>F67*'Assumptions-Output Override'!$D$10/'Winners-Losers Values PMPM'!$H$107</f>
        <v>21.692798616734773</v>
      </c>
      <c r="BM67" s="401">
        <f>G67*'Assumptions-Output Override'!$D$10/'Winners-Losers Values PMPM'!$H$107</f>
        <v>0</v>
      </c>
      <c r="BN67" s="401">
        <f t="shared" si="2"/>
        <v>211.71788934864122</v>
      </c>
      <c r="BO67" s="401">
        <f>BJ67*(1-'Assumptions-Output Override'!$D$11)</f>
        <v>2.7098568741655753</v>
      </c>
      <c r="BP67" s="401">
        <f>BK67*(1-'Assumptions-Output Override'!$D$11)</f>
        <v>24.37247772558613</v>
      </c>
      <c r="BQ67" s="401">
        <f>BL67*(1-'Assumptions-Output Override'!$D$11)</f>
        <v>3.0916529405703286</v>
      </c>
      <c r="BR67" s="401">
        <f>BM67*(1-'Assumptions-Output Override'!$D$11)</f>
        <v>0</v>
      </c>
      <c r="BS67" s="352">
        <f t="shared" si="3"/>
        <v>30.173987540322031</v>
      </c>
      <c r="BT67" s="352">
        <f t="shared" si="19"/>
        <v>16.304042997986322</v>
      </c>
      <c r="BU67" s="352">
        <f t="shared" si="19"/>
        <v>146.63871313416843</v>
      </c>
      <c r="BV67" s="352">
        <f t="shared" si="19"/>
        <v>18.601145676164446</v>
      </c>
      <c r="BW67" s="352">
        <f t="shared" si="19"/>
        <v>0</v>
      </c>
      <c r="BX67" s="352">
        <f t="shared" si="4"/>
        <v>181.54390180831919</v>
      </c>
      <c r="BY67" s="352">
        <f>BT$107*(1-'Assumptions-Output Override'!$D$12)</f>
        <v>22.753074310428271</v>
      </c>
      <c r="BZ67" s="352">
        <f>BU$107*(1-'Assumptions-Output Override'!$D$12)</f>
        <v>51.446038369839215</v>
      </c>
      <c r="CA67" s="352">
        <f>BV$107*(1-'Assumptions-Output Override'!$D$12)</f>
        <v>9.7401900534537411</v>
      </c>
      <c r="CB67" s="352">
        <f>BW$107*(1-'Assumptions-Output Override'!$D$12)</f>
        <v>1.7000814189516649</v>
      </c>
      <c r="CC67" s="352">
        <f t="shared" si="5"/>
        <v>85.639384152672903</v>
      </c>
      <c r="CD67" s="352">
        <f t="shared" si="20"/>
        <v>25.462931184593845</v>
      </c>
      <c r="CE67" s="352">
        <f t="shared" si="20"/>
        <v>75.818516095425338</v>
      </c>
      <c r="CF67" s="352">
        <f t="shared" si="20"/>
        <v>12.83184299402407</v>
      </c>
      <c r="CG67" s="352">
        <f t="shared" si="20"/>
        <v>1.7000814189516649</v>
      </c>
      <c r="CH67" s="352">
        <f t="shared" si="6"/>
        <v>115.81337169299492</v>
      </c>
      <c r="CJ67" s="352">
        <f t="shared" si="21"/>
        <v>115.81337169299492</v>
      </c>
      <c r="CK67" s="352">
        <f t="shared" si="22"/>
        <v>134.96994360573268</v>
      </c>
      <c r="CL67" s="352">
        <f t="shared" si="23"/>
        <v>-19.15657191273776</v>
      </c>
      <c r="CN67" s="352">
        <f t="shared" si="24"/>
        <v>11.254302310714003</v>
      </c>
      <c r="CO67" s="352">
        <f t="shared" si="24"/>
        <v>101.22129880728521</v>
      </c>
      <c r="CP67" s="352">
        <f t="shared" si="24"/>
        <v>12.839938952015817</v>
      </c>
      <c r="CQ67" s="352">
        <f t="shared" si="24"/>
        <v>0</v>
      </c>
      <c r="CR67" s="352">
        <f t="shared" si="7"/>
        <v>125.31554007001503</v>
      </c>
      <c r="CT67" s="352">
        <f t="shared" si="32"/>
        <v>-7.7595975614378929</v>
      </c>
      <c r="CU67" s="352">
        <f t="shared" si="32"/>
        <v>-69.789892052469341</v>
      </c>
      <c r="CV67" s="352">
        <f t="shared" si="32"/>
        <v>-8.8528596647189559</v>
      </c>
      <c r="CW67" s="352">
        <f t="shared" si="32"/>
        <v>0</v>
      </c>
      <c r="CX67" s="352">
        <f t="shared" si="9"/>
        <v>-86.40234927862619</v>
      </c>
      <c r="CZ67" s="352">
        <f t="shared" si="25"/>
        <v>21.370405856563877</v>
      </c>
      <c r="DA67" s="352">
        <f t="shared" si="25"/>
        <v>-44.176507984478334</v>
      </c>
      <c r="DB67" s="352">
        <f t="shared" si="25"/>
        <v>1.9494487962250187</v>
      </c>
      <c r="DC67" s="352">
        <f t="shared" si="25"/>
        <v>1.7000814189516649</v>
      </c>
      <c r="DD67" s="352">
        <f t="shared" si="26"/>
        <v>-19.156571912737771</v>
      </c>
      <c r="DF67" s="352">
        <f t="shared" si="27"/>
        <v>4.0925253280299696</v>
      </c>
      <c r="DG67" s="352">
        <f t="shared" si="27"/>
        <v>119.99502407990367</v>
      </c>
      <c r="DH67" s="352">
        <f t="shared" si="27"/>
        <v>10.882394197799051</v>
      </c>
      <c r="DI67" s="352">
        <f t="shared" si="27"/>
        <v>0</v>
      </c>
      <c r="DJ67" s="352">
        <f t="shared" si="28"/>
        <v>134.96994360573268</v>
      </c>
    </row>
    <row r="68" spans="1:114" x14ac:dyDescent="0.2">
      <c r="A68">
        <v>63</v>
      </c>
      <c r="B68" s="397">
        <v>34308</v>
      </c>
      <c r="C68" s="398">
        <v>397997.79676138877</v>
      </c>
      <c r="D68" s="399">
        <v>12.408568876956556</v>
      </c>
      <c r="E68" s="399">
        <v>105.64450467358735</v>
      </c>
      <c r="F68" s="399">
        <v>13.55643085704873</v>
      </c>
      <c r="G68" s="399">
        <v>3.808642953063946E-3</v>
      </c>
      <c r="H68" s="399">
        <v>131.61331305054568</v>
      </c>
      <c r="I68" s="400">
        <v>1.1811832931527499E-2</v>
      </c>
      <c r="J68" s="400">
        <v>5.0156625599818913E-2</v>
      </c>
      <c r="K68" s="400">
        <v>2.9397147660630116E-4</v>
      </c>
      <c r="L68" s="400">
        <v>0.48076288772752285</v>
      </c>
      <c r="M68" s="400">
        <v>0.44106651199696822</v>
      </c>
      <c r="N68" s="400">
        <v>0.33234168901523203</v>
      </c>
      <c r="O68" s="399">
        <f t="shared" si="35"/>
        <v>2.9529582328818749</v>
      </c>
      <c r="P68" s="399">
        <f t="shared" si="35"/>
        <v>0</v>
      </c>
      <c r="Q68" s="399">
        <f t="shared" si="35"/>
        <v>0.29397147660630119</v>
      </c>
      <c r="R68" s="399">
        <f t="shared" si="33"/>
        <v>9.9818229618656868</v>
      </c>
      <c r="S68" s="399">
        <f t="shared" si="33"/>
        <v>13.231995359909046</v>
      </c>
      <c r="T68" s="399">
        <f t="shared" si="33"/>
        <v>19.940501340913922</v>
      </c>
      <c r="U68" s="399">
        <f t="shared" si="10"/>
        <v>46.401249372176835</v>
      </c>
      <c r="V68" s="400">
        <v>8.4674555480155581E-4</v>
      </c>
      <c r="W68" s="400">
        <v>8.0018696491143543E-3</v>
      </c>
      <c r="X68" s="400">
        <v>5.0251534462615584E-6</v>
      </c>
      <c r="Y68" s="400">
        <v>8.6964593333843584E-2</v>
      </c>
      <c r="Z68" s="400">
        <v>2.7600755806660032E-2</v>
      </c>
      <c r="AA68" s="400">
        <v>2.3051886404035316E-2</v>
      </c>
      <c r="AB68" s="352">
        <f t="shared" si="36"/>
        <v>0.21168638870038894</v>
      </c>
      <c r="AC68" s="352">
        <f t="shared" si="36"/>
        <v>0</v>
      </c>
      <c r="AD68" s="352">
        <f t="shared" si="36"/>
        <v>5.0251534462615582E-3</v>
      </c>
      <c r="AE68" s="352">
        <f t="shared" si="34"/>
        <v>3.0827587911881809</v>
      </c>
      <c r="AF68" s="352">
        <f t="shared" si="34"/>
        <v>0.82802267419980091</v>
      </c>
      <c r="AG68" s="352">
        <f t="shared" si="34"/>
        <v>1.3831131842421189</v>
      </c>
      <c r="AH68" s="400">
        <f t="shared" si="11"/>
        <v>5.510606191776751</v>
      </c>
      <c r="AJ68" s="352">
        <f>D68*('Assumptions-Output Override'!$D$10/'Winners-Losers Values PMPM'!$H$107)*(1+'Assumptions-Output Override'!$F$41)</f>
        <v>14.811016657191351</v>
      </c>
      <c r="AK68" s="352">
        <f>E68*('Assumptions-Output Override'!$D$10/'Winners-Losers Values PMPM'!$H$107)*(1+'Assumptions-Output Override'!$F$37)</f>
        <v>173.8674751673579</v>
      </c>
      <c r="AL68" s="352">
        <f>F68*('Assumptions-Output Override'!$D$10/'Winners-Losers Values PMPM'!$H$107)*(1+'Assumptions-Output Override'!$F$38)</f>
        <v>22.772715596276893</v>
      </c>
      <c r="AM68" s="352">
        <f>G68*('Shoppable Detail'!$X$21/'Shoppable Detail'!$H$21)*('Assumptions-Output Override'!$D$10/'Winners-Losers Values PMPM'!$H$107)*(1+'Assumptions-Output Override'!$F$39)</f>
        <v>6.5310299489707551E-3</v>
      </c>
      <c r="AN68" s="352">
        <f t="shared" si="12"/>
        <v>211.45773845077511</v>
      </c>
      <c r="AO68" s="352">
        <v>0</v>
      </c>
      <c r="AP68" s="352">
        <f>U68*'Assumptions-Output Override'!$D$10/'Winners-Losers Values PMPM'!$H$107*(1+'Assumptions-Output Override'!$F$37)</f>
        <v>76.36618769597365</v>
      </c>
      <c r="AQ68" s="352">
        <f>AH68*'Assumptions-Output Override'!$D$10/'Winners-Losers Values PMPM'!$H$107*(1+'Assumptions-Output Override'!$F$38)</f>
        <v>9.2569695439537139</v>
      </c>
      <c r="AR68" s="352">
        <f>AM68*('Shoppable Detail'!$AA$23/'Shoppable Detail'!$Y$23)</f>
        <v>2.1822221847630997E-4</v>
      </c>
      <c r="AS68" s="352">
        <f t="shared" si="13"/>
        <v>85.623375462145844</v>
      </c>
      <c r="AT68" s="352">
        <f t="shared" si="14"/>
        <v>14.811016657191351</v>
      </c>
      <c r="AU68" s="352">
        <f t="shared" si="14"/>
        <v>97.501287471384245</v>
      </c>
      <c r="AV68" s="352">
        <f t="shared" si="14"/>
        <v>13.515746052323179</v>
      </c>
      <c r="AW68" s="352">
        <f t="shared" si="14"/>
        <v>6.3128077304944455E-3</v>
      </c>
      <c r="AX68" s="352">
        <f t="shared" si="15"/>
        <v>125.83436298862927</v>
      </c>
      <c r="AY68" s="352">
        <f>AT68*'Assumptions-Output Override'!$D$24</f>
        <v>4.5122639335185353</v>
      </c>
      <c r="AZ68" s="352">
        <f>$AU$107*'Assumptions-Output Override'!$D$21</f>
        <v>46.041131296780591</v>
      </c>
      <c r="BA68" s="352">
        <f>AV68*'Assumptions-Output Override'!$D$22</f>
        <v>2.0273619078484768</v>
      </c>
      <c r="BB68" s="352">
        <f>AW68*'Assumptions-Output Override'!$D$23</f>
        <v>9.469211595741668E-4</v>
      </c>
      <c r="BC68" s="352">
        <f t="shared" si="16"/>
        <v>52.581704059307178</v>
      </c>
      <c r="BD68" s="352">
        <f t="shared" si="17"/>
        <v>4.5122639335185353</v>
      </c>
      <c r="BE68" s="352">
        <f t="shared" si="17"/>
        <v>122.40731899275424</v>
      </c>
      <c r="BF68" s="352">
        <f t="shared" si="17"/>
        <v>11.28433145180219</v>
      </c>
      <c r="BG68" s="352">
        <f t="shared" si="17"/>
        <v>1.1651433780504768E-3</v>
      </c>
      <c r="BH68" s="352">
        <f t="shared" si="18"/>
        <v>138.20507952145303</v>
      </c>
      <c r="BJ68" s="401">
        <f>D68*'Assumptions-Output Override'!$D$10/'Winners-Losers Values PMPM'!$H$107</f>
        <v>20.964008222752632</v>
      </c>
      <c r="BK68" s="401">
        <f>E68*'Assumptions-Output Override'!$D$10/'Winners-Losers Values PMPM'!$H$107</f>
        <v>178.48410131958104</v>
      </c>
      <c r="BL68" s="401">
        <f>F68*'Assumptions-Output Override'!$D$10/'Winners-Losers Values PMPM'!$H$107</f>
        <v>22.903296163840285</v>
      </c>
      <c r="BM68" s="401">
        <f>G68*'Assumptions-Output Override'!$D$10/'Winners-Losers Values PMPM'!$H$107</f>
        <v>6.4346197355472012E-3</v>
      </c>
      <c r="BN68" s="401">
        <f t="shared" si="2"/>
        <v>222.35784032590951</v>
      </c>
      <c r="BO68" s="401">
        <f>BJ68*(1-'Assumptions-Output Override'!$D$11)</f>
        <v>2.9877858921353653</v>
      </c>
      <c r="BP68" s="401">
        <f>BK68*(1-'Assumptions-Output Override'!$D$11)</f>
        <v>25.437515298927089</v>
      </c>
      <c r="BQ68" s="401">
        <f>BL68*(1-'Assumptions-Output Override'!$D$11)</f>
        <v>3.2641727876948412</v>
      </c>
      <c r="BR68" s="401">
        <f>BM68*(1-'Assumptions-Output Override'!$D$11)</f>
        <v>9.1706060514983869E-4</v>
      </c>
      <c r="BS68" s="352">
        <f t="shared" si="3"/>
        <v>31.690391039362442</v>
      </c>
      <c r="BT68" s="352">
        <f t="shared" si="19"/>
        <v>17.976222330617269</v>
      </c>
      <c r="BU68" s="352">
        <f t="shared" si="19"/>
        <v>153.04658602065396</v>
      </c>
      <c r="BV68" s="352">
        <f t="shared" si="19"/>
        <v>19.639123376145442</v>
      </c>
      <c r="BW68" s="352">
        <f t="shared" si="19"/>
        <v>5.5175591303973622E-3</v>
      </c>
      <c r="BX68" s="352">
        <f t="shared" si="4"/>
        <v>190.66744928654708</v>
      </c>
      <c r="BY68" s="352">
        <f>BT$107*(1-'Assumptions-Output Override'!$D$12)</f>
        <v>22.753074310428271</v>
      </c>
      <c r="BZ68" s="352">
        <f>BU$107*(1-'Assumptions-Output Override'!$D$12)</f>
        <v>51.446038369839215</v>
      </c>
      <c r="CA68" s="352">
        <f>BV$107*(1-'Assumptions-Output Override'!$D$12)</f>
        <v>9.7401900534537411</v>
      </c>
      <c r="CB68" s="352">
        <f>BW$107*(1-'Assumptions-Output Override'!$D$12)</f>
        <v>1.7000814189516649</v>
      </c>
      <c r="CC68" s="352">
        <f t="shared" si="5"/>
        <v>85.639384152672903</v>
      </c>
      <c r="CD68" s="352">
        <f t="shared" si="20"/>
        <v>25.740860202563638</v>
      </c>
      <c r="CE68" s="352">
        <f t="shared" si="20"/>
        <v>76.883553668766297</v>
      </c>
      <c r="CF68" s="352">
        <f t="shared" si="20"/>
        <v>13.004362841148582</v>
      </c>
      <c r="CG68" s="352">
        <f t="shared" si="20"/>
        <v>1.7009984795568147</v>
      </c>
      <c r="CH68" s="352">
        <f t="shared" si="6"/>
        <v>117.32977519203533</v>
      </c>
      <c r="CJ68" s="352">
        <f t="shared" si="21"/>
        <v>117.32977519203533</v>
      </c>
      <c r="CK68" s="352">
        <f t="shared" si="22"/>
        <v>138.20507952145303</v>
      </c>
      <c r="CL68" s="352">
        <f t="shared" si="23"/>
        <v>-20.875304329417702</v>
      </c>
      <c r="CN68" s="352">
        <f t="shared" si="24"/>
        <v>12.408568876956556</v>
      </c>
      <c r="CO68" s="352">
        <f t="shared" si="24"/>
        <v>105.64450467358735</v>
      </c>
      <c r="CP68" s="352">
        <f t="shared" si="24"/>
        <v>13.55643085704873</v>
      </c>
      <c r="CQ68" s="352">
        <f t="shared" si="24"/>
        <v>3.808642953063946E-3</v>
      </c>
      <c r="CR68" s="352">
        <f t="shared" si="7"/>
        <v>131.61331305054568</v>
      </c>
      <c r="CT68" s="352">
        <f t="shared" si="32"/>
        <v>-8.555439345796076</v>
      </c>
      <c r="CU68" s="352">
        <f t="shared" si="32"/>
        <v>-72.839596645993694</v>
      </c>
      <c r="CV68" s="352">
        <f t="shared" si="32"/>
        <v>-9.346865306791555</v>
      </c>
      <c r="CW68" s="352">
        <f t="shared" si="32"/>
        <v>-2.6259767824832552E-3</v>
      </c>
      <c r="CX68" s="352">
        <f t="shared" si="9"/>
        <v>-90.744527275363808</v>
      </c>
      <c r="CZ68" s="352">
        <f t="shared" si="25"/>
        <v>21.228596269045102</v>
      </c>
      <c r="DA68" s="352">
        <f t="shared" si="25"/>
        <v>-45.523765323987945</v>
      </c>
      <c r="DB68" s="352">
        <f t="shared" si="25"/>
        <v>1.7200313893463921</v>
      </c>
      <c r="DC68" s="352">
        <f t="shared" si="25"/>
        <v>1.6998333361787643</v>
      </c>
      <c r="DD68" s="352">
        <f t="shared" si="26"/>
        <v>-20.875304329417688</v>
      </c>
      <c r="DF68" s="352">
        <f t="shared" si="27"/>
        <v>4.5122639335185353</v>
      </c>
      <c r="DG68" s="352">
        <f t="shared" si="27"/>
        <v>122.40731899275424</v>
      </c>
      <c r="DH68" s="352">
        <f t="shared" si="27"/>
        <v>11.28433145180219</v>
      </c>
      <c r="DI68" s="352">
        <f t="shared" si="27"/>
        <v>1.1651433780504768E-3</v>
      </c>
      <c r="DJ68" s="352">
        <f t="shared" si="28"/>
        <v>138.20507952145303</v>
      </c>
    </row>
    <row r="69" spans="1:114" x14ac:dyDescent="0.2">
      <c r="A69">
        <v>64</v>
      </c>
      <c r="B69" s="397">
        <v>34308</v>
      </c>
      <c r="C69" s="398">
        <v>397997.79676138877</v>
      </c>
      <c r="D69" s="399">
        <v>13.330196861410503</v>
      </c>
      <c r="E69" s="399">
        <v>110.58907811777082</v>
      </c>
      <c r="F69" s="399">
        <v>14.308322301256849</v>
      </c>
      <c r="G69" s="399">
        <v>0</v>
      </c>
      <c r="H69" s="399">
        <v>138.22759728043818</v>
      </c>
      <c r="I69" s="400">
        <v>1.2728784474057279E-2</v>
      </c>
      <c r="J69" s="400">
        <v>5.4304739720786747E-2</v>
      </c>
      <c r="K69" s="400">
        <v>4.0703742914718622E-4</v>
      </c>
      <c r="L69" s="400">
        <v>0.49278607612424119</v>
      </c>
      <c r="M69" s="400">
        <v>0.45134300104611264</v>
      </c>
      <c r="N69" s="400">
        <v>0.33885549391840908</v>
      </c>
      <c r="O69" s="399">
        <f t="shared" si="35"/>
        <v>3.1821961185143199</v>
      </c>
      <c r="P69" s="399">
        <f t="shared" si="35"/>
        <v>0</v>
      </c>
      <c r="Q69" s="399">
        <f t="shared" si="35"/>
        <v>0.40703742914718621</v>
      </c>
      <c r="R69" s="399">
        <f t="shared" si="33"/>
        <v>10.231453998446902</v>
      </c>
      <c r="S69" s="399">
        <f t="shared" si="33"/>
        <v>13.540290031383378</v>
      </c>
      <c r="T69" s="399">
        <f t="shared" si="33"/>
        <v>20.331329635104545</v>
      </c>
      <c r="U69" s="399">
        <f t="shared" si="10"/>
        <v>47.692307212596333</v>
      </c>
      <c r="V69" s="400">
        <v>7.1762306550630451E-4</v>
      </c>
      <c r="W69" s="400">
        <v>8.1496155743656287E-3</v>
      </c>
      <c r="X69" s="400">
        <v>5.0251534462615584E-6</v>
      </c>
      <c r="Y69" s="400">
        <v>8.6275714832456107E-2</v>
      </c>
      <c r="Z69" s="400">
        <v>2.9133930123114431E-2</v>
      </c>
      <c r="AA69" s="400">
        <v>2.3526763404707034E-2</v>
      </c>
      <c r="AB69" s="352">
        <f t="shared" si="36"/>
        <v>0.17940576637657613</v>
      </c>
      <c r="AC69" s="352">
        <f t="shared" si="36"/>
        <v>0</v>
      </c>
      <c r="AD69" s="352">
        <f t="shared" si="36"/>
        <v>5.0251534462615582E-3</v>
      </c>
      <c r="AE69" s="352">
        <f t="shared" si="34"/>
        <v>3.0583391259566026</v>
      </c>
      <c r="AF69" s="352">
        <f t="shared" si="34"/>
        <v>0.87401790369343291</v>
      </c>
      <c r="AG69" s="352">
        <f t="shared" si="34"/>
        <v>1.411605804282422</v>
      </c>
      <c r="AH69" s="400">
        <f t="shared" si="11"/>
        <v>5.528393753755295</v>
      </c>
      <c r="AJ69" s="352">
        <f>D69*('Assumptions-Output Override'!$D$10/'Winners-Losers Values PMPM'!$H$107)*(1+'Assumptions-Output Override'!$F$41)</f>
        <v>15.911082874725137</v>
      </c>
      <c r="AK69" s="352">
        <f>E69*('Assumptions-Output Override'!$D$10/'Winners-Losers Values PMPM'!$H$107)*(1+'Assumptions-Output Override'!$F$37)</f>
        <v>182.00514880382377</v>
      </c>
      <c r="AL69" s="352">
        <f>F69*('Assumptions-Output Override'!$D$10/'Winners-Losers Values PMPM'!$H$107)*(1+'Assumptions-Output Override'!$F$38)</f>
        <v>24.03577740058082</v>
      </c>
      <c r="AM69" s="352">
        <f>G69*('Shoppable Detail'!$X$21/'Shoppable Detail'!$H$21)*('Assumptions-Output Override'!$D$10/'Winners-Losers Values PMPM'!$H$107)*(1+'Assumptions-Output Override'!$F$39)</f>
        <v>0</v>
      </c>
      <c r="AN69" s="352">
        <f t="shared" si="12"/>
        <v>221.95200907912974</v>
      </c>
      <c r="AO69" s="352">
        <v>0</v>
      </c>
      <c r="AP69" s="352">
        <f>U69*'Assumptions-Output Override'!$D$10/'Winners-Losers Values PMPM'!$H$107*(1+'Assumptions-Output Override'!$F$37)</f>
        <v>78.490983185358729</v>
      </c>
      <c r="AQ69" s="352">
        <f>AH69*'Assumptions-Output Override'!$D$10/'Winners-Losers Values PMPM'!$H$107*(1+'Assumptions-Output Override'!$F$38)</f>
        <v>9.2868499080672446</v>
      </c>
      <c r="AR69" s="352">
        <f>AM69*('Shoppable Detail'!$AA$23/'Shoppable Detail'!$Y$23)</f>
        <v>0</v>
      </c>
      <c r="AS69" s="352">
        <f t="shared" si="13"/>
        <v>87.777833093425969</v>
      </c>
      <c r="AT69" s="352">
        <f t="shared" si="14"/>
        <v>15.911082874725137</v>
      </c>
      <c r="AU69" s="352">
        <f t="shared" si="14"/>
        <v>103.51416561846504</v>
      </c>
      <c r="AV69" s="352">
        <f t="shared" si="14"/>
        <v>14.748927492513575</v>
      </c>
      <c r="AW69" s="352">
        <f t="shared" si="14"/>
        <v>0</v>
      </c>
      <c r="AX69" s="352">
        <f t="shared" si="15"/>
        <v>134.17417598570376</v>
      </c>
      <c r="AY69" s="352">
        <f>AT69*'Assumptions-Output Override'!$D$24</f>
        <v>4.8474056211385905</v>
      </c>
      <c r="AZ69" s="352">
        <f>$AU$107*'Assumptions-Output Override'!$D$21</f>
        <v>46.041131296780591</v>
      </c>
      <c r="BA69" s="352">
        <f>AV69*'Assumptions-Output Override'!$D$22</f>
        <v>2.2123391238770362</v>
      </c>
      <c r="BB69" s="352">
        <f>AW69*'Assumptions-Output Override'!$D$23</f>
        <v>0</v>
      </c>
      <c r="BC69" s="352">
        <f t="shared" si="16"/>
        <v>53.100876041796219</v>
      </c>
      <c r="BD69" s="352">
        <f t="shared" si="17"/>
        <v>4.8474056211385905</v>
      </c>
      <c r="BE69" s="352">
        <f t="shared" si="17"/>
        <v>124.53211448213932</v>
      </c>
      <c r="BF69" s="352">
        <f t="shared" si="17"/>
        <v>11.499189031944281</v>
      </c>
      <c r="BG69" s="352">
        <f t="shared" si="17"/>
        <v>0</v>
      </c>
      <c r="BH69" s="352">
        <f t="shared" si="18"/>
        <v>140.87870913522218</v>
      </c>
      <c r="BJ69" s="401">
        <f>D69*'Assumptions-Output Override'!$D$10/'Winners-Losers Values PMPM'!$H$107</f>
        <v>22.521078730721658</v>
      </c>
      <c r="BK69" s="401">
        <f>E69*'Assumptions-Output Override'!$D$10/'Winners-Losers Values PMPM'!$H$107</f>
        <v>186.83785100415309</v>
      </c>
      <c r="BL69" s="401">
        <f>F69*'Assumptions-Output Override'!$D$10/'Winners-Losers Values PMPM'!$H$107</f>
        <v>24.173600465270933</v>
      </c>
      <c r="BM69" s="401">
        <f>G69*'Assumptions-Output Override'!$D$10/'Winners-Losers Values PMPM'!$H$107</f>
        <v>0</v>
      </c>
      <c r="BN69" s="401">
        <f t="shared" si="2"/>
        <v>233.53253020014569</v>
      </c>
      <c r="BO69" s="401">
        <f>BJ69*(1-'Assumptions-Output Override'!$D$11)</f>
        <v>3.2096992422608817</v>
      </c>
      <c r="BP69" s="401">
        <f>BK69*(1-'Assumptions-Output Override'!$D$11)</f>
        <v>26.628089886992072</v>
      </c>
      <c r="BQ69" s="401">
        <f>BL69*(1-'Assumptions-Output Override'!$D$11)</f>
        <v>3.4452162804375197</v>
      </c>
      <c r="BR69" s="401">
        <f>BM69*(1-'Assumptions-Output Override'!$D$11)</f>
        <v>0</v>
      </c>
      <c r="BS69" s="352">
        <f t="shared" si="3"/>
        <v>33.283005409690475</v>
      </c>
      <c r="BT69" s="352">
        <f t="shared" si="19"/>
        <v>19.311379488460776</v>
      </c>
      <c r="BU69" s="352">
        <f t="shared" si="19"/>
        <v>160.20976111716101</v>
      </c>
      <c r="BV69" s="352">
        <f t="shared" si="19"/>
        <v>20.728384184833413</v>
      </c>
      <c r="BW69" s="352">
        <f t="shared" si="19"/>
        <v>0</v>
      </c>
      <c r="BX69" s="352">
        <f t="shared" si="4"/>
        <v>200.24952479045518</v>
      </c>
      <c r="BY69" s="352">
        <f>BT$107*(1-'Assumptions-Output Override'!$D$12)</f>
        <v>22.753074310428271</v>
      </c>
      <c r="BZ69" s="352">
        <f>BU$107*(1-'Assumptions-Output Override'!$D$12)</f>
        <v>51.446038369839215</v>
      </c>
      <c r="CA69" s="352">
        <f>BV$107*(1-'Assumptions-Output Override'!$D$12)</f>
        <v>9.7401900534537411</v>
      </c>
      <c r="CB69" s="352">
        <f>BW$107*(1-'Assumptions-Output Override'!$D$12)</f>
        <v>1.7000814189516649</v>
      </c>
      <c r="CC69" s="352">
        <f t="shared" si="5"/>
        <v>85.639384152672903</v>
      </c>
      <c r="CD69" s="352">
        <f t="shared" si="20"/>
        <v>25.962773552689153</v>
      </c>
      <c r="CE69" s="352">
        <f t="shared" si="20"/>
        <v>78.074128256831287</v>
      </c>
      <c r="CF69" s="352">
        <f t="shared" si="20"/>
        <v>13.185406333891262</v>
      </c>
      <c r="CG69" s="352">
        <f t="shared" si="20"/>
        <v>1.7000814189516649</v>
      </c>
      <c r="CH69" s="352">
        <f t="shared" si="6"/>
        <v>118.92238956236338</v>
      </c>
      <c r="CJ69" s="352">
        <f t="shared" si="21"/>
        <v>118.92238956236338</v>
      </c>
      <c r="CK69" s="352">
        <f t="shared" si="22"/>
        <v>140.87870913522218</v>
      </c>
      <c r="CL69" s="352">
        <f t="shared" si="23"/>
        <v>-21.956319572858803</v>
      </c>
      <c r="CN69" s="352">
        <f t="shared" si="24"/>
        <v>13.330196861410503</v>
      </c>
      <c r="CO69" s="352">
        <f t="shared" si="24"/>
        <v>110.58907811777082</v>
      </c>
      <c r="CP69" s="352">
        <f t="shared" si="24"/>
        <v>14.308322301256849</v>
      </c>
      <c r="CQ69" s="352">
        <f t="shared" si="24"/>
        <v>0</v>
      </c>
      <c r="CR69" s="352">
        <f t="shared" si="7"/>
        <v>138.22759728043818</v>
      </c>
      <c r="CT69" s="352">
        <f t="shared" si="32"/>
        <v>-9.1908818693111556</v>
      </c>
      <c r="CU69" s="352">
        <f t="shared" si="32"/>
        <v>-76.24877288638227</v>
      </c>
      <c r="CV69" s="352">
        <f t="shared" si="32"/>
        <v>-9.8652781640140841</v>
      </c>
      <c r="CW69" s="352">
        <f t="shared" si="32"/>
        <v>0</v>
      </c>
      <c r="CX69" s="352">
        <f t="shared" si="9"/>
        <v>-95.304932919707511</v>
      </c>
      <c r="CZ69" s="352">
        <f t="shared" si="25"/>
        <v>21.115367931550562</v>
      </c>
      <c r="DA69" s="352">
        <f t="shared" si="25"/>
        <v>-46.457986225308034</v>
      </c>
      <c r="DB69" s="352">
        <f t="shared" si="25"/>
        <v>1.6862173019469804</v>
      </c>
      <c r="DC69" s="352">
        <f t="shared" si="25"/>
        <v>1.7000814189516649</v>
      </c>
      <c r="DD69" s="352">
        <f t="shared" si="26"/>
        <v>-21.956319572858828</v>
      </c>
      <c r="DF69" s="352">
        <f t="shared" si="27"/>
        <v>4.8474056211385905</v>
      </c>
      <c r="DG69" s="352">
        <f t="shared" si="27"/>
        <v>124.53211448213932</v>
      </c>
      <c r="DH69" s="352">
        <f t="shared" si="27"/>
        <v>11.499189031944281</v>
      </c>
      <c r="DI69" s="352">
        <f t="shared" si="27"/>
        <v>0</v>
      </c>
      <c r="DJ69" s="352">
        <f t="shared" si="28"/>
        <v>140.87870913522218</v>
      </c>
    </row>
    <row r="70" spans="1:114" x14ac:dyDescent="0.2">
      <c r="A70">
        <v>65</v>
      </c>
      <c r="B70" s="397">
        <v>34308</v>
      </c>
      <c r="C70" s="398">
        <v>397997.79676138877</v>
      </c>
      <c r="D70" s="399">
        <v>14.751782539948534</v>
      </c>
      <c r="E70" s="399">
        <v>115.20567394889517</v>
      </c>
      <c r="F70" s="399">
        <v>15.180343509691941</v>
      </c>
      <c r="G70" s="399">
        <v>8.3321697897144626E-3</v>
      </c>
      <c r="H70" s="399">
        <v>145.14613216832535</v>
      </c>
      <c r="I70" s="400">
        <v>1.3814155687663952E-2</v>
      </c>
      <c r="J70" s="400">
        <v>5.4849920433828199E-2</v>
      </c>
      <c r="K70" s="400">
        <v>4.0201227570092464E-4</v>
      </c>
      <c r="L70" s="400">
        <v>0.50367028678981196</v>
      </c>
      <c r="M70" s="400">
        <v>0.46149180094617487</v>
      </c>
      <c r="N70" s="400">
        <v>0.35381004906528429</v>
      </c>
      <c r="O70" s="399">
        <f t="shared" si="35"/>
        <v>3.453538921915988</v>
      </c>
      <c r="P70" s="399">
        <f t="shared" si="35"/>
        <v>0</v>
      </c>
      <c r="Q70" s="399">
        <f t="shared" si="35"/>
        <v>0.40201227570092463</v>
      </c>
      <c r="R70" s="399">
        <f t="shared" si="33"/>
        <v>10.45743704896255</v>
      </c>
      <c r="S70" s="399">
        <f t="shared" si="33"/>
        <v>13.844754028385246</v>
      </c>
      <c r="T70" s="399">
        <f t="shared" si="33"/>
        <v>21.228602943917057</v>
      </c>
      <c r="U70" s="399">
        <f t="shared" si="10"/>
        <v>49.386345218881772</v>
      </c>
      <c r="V70" s="400">
        <v>8.7530148993416094E-4</v>
      </c>
      <c r="W70" s="400">
        <v>7.6641646771113802E-3</v>
      </c>
      <c r="X70" s="400">
        <v>5.0251534462615584E-6</v>
      </c>
      <c r="Y70" s="400">
        <v>9.2604168050943986E-2</v>
      </c>
      <c r="Z70" s="400">
        <v>3.0382178239165804E-2</v>
      </c>
      <c r="AA70" s="400">
        <v>2.4503653234660232E-2</v>
      </c>
      <c r="AB70" s="352">
        <f t="shared" si="36"/>
        <v>0.21882537248354023</v>
      </c>
      <c r="AC70" s="352">
        <f t="shared" si="36"/>
        <v>0</v>
      </c>
      <c r="AD70" s="352">
        <f t="shared" si="36"/>
        <v>5.0251534462615582E-3</v>
      </c>
      <c r="AE70" s="352">
        <f t="shared" si="34"/>
        <v>3.2826728926773217</v>
      </c>
      <c r="AF70" s="352">
        <f t="shared" si="34"/>
        <v>0.91146534717497418</v>
      </c>
      <c r="AG70" s="352">
        <f t="shared" si="34"/>
        <v>1.4702191940796139</v>
      </c>
      <c r="AH70" s="400">
        <f t="shared" si="11"/>
        <v>5.8882079598617114</v>
      </c>
      <c r="AJ70" s="352">
        <f>D70*('Assumptions-Output Override'!$D$10/'Winners-Losers Values PMPM'!$H$107)*(1+'Assumptions-Output Override'!$F$41)</f>
        <v>17.607904593106543</v>
      </c>
      <c r="AK70" s="352">
        <f>E70*('Assumptions-Output Override'!$D$10/'Winners-Losers Values PMPM'!$H$107)*(1+'Assumptions-Output Override'!$F$37)</f>
        <v>189.60304387187099</v>
      </c>
      <c r="AL70" s="352">
        <f>F70*('Assumptions-Output Override'!$D$10/'Winners-Losers Values PMPM'!$H$107)*(1+'Assumptions-Output Override'!$F$38)</f>
        <v>25.500638703900094</v>
      </c>
      <c r="AM70" s="352">
        <f>G70*('Shoppable Detail'!$X$21/'Shoppable Detail'!$H$21)*('Assumptions-Output Override'!$D$10/'Winners-Losers Values PMPM'!$H$107)*(1+'Assumptions-Output Override'!$F$39)</f>
        <v>1.4287936965253475E-2</v>
      </c>
      <c r="AN70" s="352">
        <f t="shared" si="12"/>
        <v>232.7258751058429</v>
      </c>
      <c r="AO70" s="352">
        <v>0</v>
      </c>
      <c r="AP70" s="352">
        <f>U70*'Assumptions-Output Override'!$D$10/'Winners-Losers Values PMPM'!$H$107*(1+'Assumptions-Output Override'!$F$37)</f>
        <v>81.278994846736069</v>
      </c>
      <c r="AQ70" s="352">
        <f>AH70*'Assumptions-Output Override'!$D$10/'Winners-Losers Values PMPM'!$H$107*(1+'Assumptions-Output Override'!$F$38)</f>
        <v>9.8912823482549292</v>
      </c>
      <c r="AR70" s="352">
        <f>AM70*('Shoppable Detail'!$AA$23/'Shoppable Detail'!$Y$23)</f>
        <v>4.774048391094357E-4</v>
      </c>
      <c r="AS70" s="352">
        <f t="shared" si="13"/>
        <v>91.170754599830104</v>
      </c>
      <c r="AT70" s="352">
        <f t="shared" si="14"/>
        <v>17.607904593106543</v>
      </c>
      <c r="AU70" s="352">
        <f t="shared" si="14"/>
        <v>108.32404902513493</v>
      </c>
      <c r="AV70" s="352">
        <f t="shared" si="14"/>
        <v>15.609356355645165</v>
      </c>
      <c r="AW70" s="352">
        <f t="shared" ref="AW70:AW105" si="37">AM70-AR70</f>
        <v>1.381053212614404E-2</v>
      </c>
      <c r="AX70" s="352">
        <f t="shared" si="15"/>
        <v>141.55512050601277</v>
      </c>
      <c r="AY70" s="352">
        <f>AT70*'Assumptions-Output Override'!$D$24</f>
        <v>5.3643524059999672</v>
      </c>
      <c r="AZ70" s="352">
        <f>$AU$107*'Assumptions-Output Override'!$D$21</f>
        <v>46.041131296780591</v>
      </c>
      <c r="BA70" s="352">
        <f>AV70*'Assumptions-Output Override'!$D$22</f>
        <v>2.3414034533467745</v>
      </c>
      <c r="BB70" s="352">
        <f>AW70*'Assumptions-Output Override'!$D$23</f>
        <v>2.0715798189216059E-3</v>
      </c>
      <c r="BC70" s="352">
        <f t="shared" si="16"/>
        <v>53.748958735946253</v>
      </c>
      <c r="BD70" s="352">
        <f t="shared" si="17"/>
        <v>5.3643524059999672</v>
      </c>
      <c r="BE70" s="352">
        <f t="shared" si="17"/>
        <v>127.32012614351666</v>
      </c>
      <c r="BF70" s="352">
        <f t="shared" si="17"/>
        <v>12.232685801601704</v>
      </c>
      <c r="BG70" s="352">
        <f t="shared" ref="BG70:BG105" si="38">AR70+BB70</f>
        <v>2.5489846580310418E-3</v>
      </c>
      <c r="BH70" s="352">
        <f t="shared" si="18"/>
        <v>144.91971333577638</v>
      </c>
      <c r="BJ70" s="401">
        <f>D70*'Assumptions-Output Override'!$D$10/'Winners-Losers Values PMPM'!$H$107</f>
        <v>24.922816928715065</v>
      </c>
      <c r="BK70" s="401">
        <f>E70*'Assumptions-Output Override'!$D$10/'Winners-Losers Values PMPM'!$H$107</f>
        <v>194.63748961876777</v>
      </c>
      <c r="BL70" s="401">
        <f>F70*'Assumptions-Output Override'!$D$10/'Winners-Losers Values PMPM'!$H$107</f>
        <v>25.646861400139652</v>
      </c>
      <c r="BM70" s="401">
        <f>G70*'Assumptions-Output Override'!$D$10/'Winners-Losers Values PMPM'!$H$107</f>
        <v>1.4077020300812293E-2</v>
      </c>
      <c r="BN70" s="401">
        <f t="shared" ref="BN70:BN101" si="39">SUM(BJ70:BM70)</f>
        <v>245.2212449679233</v>
      </c>
      <c r="BO70" s="401">
        <f>BJ70*(1-'Assumptions-Output Override'!$D$11)</f>
        <v>3.5519944478494385</v>
      </c>
      <c r="BP70" s="401">
        <f>BK70*(1-'Assumptions-Output Override'!$D$11)</f>
        <v>27.739692685888521</v>
      </c>
      <c r="BQ70" s="401">
        <f>BL70*(1-'Assumptions-Output Override'!$D$11)</f>
        <v>3.6551851084337601</v>
      </c>
      <c r="BR70" s="401">
        <f>BM70*(1-'Assumptions-Output Override'!$D$11)</f>
        <v>2.0062538714530052E-3</v>
      </c>
      <c r="BS70" s="352">
        <f t="shared" ref="BS70:BS101" si="40">SUM(BO70:BR70)</f>
        <v>34.948878496043172</v>
      </c>
      <c r="BT70" s="352">
        <f t="shared" si="19"/>
        <v>21.370822480865627</v>
      </c>
      <c r="BU70" s="352">
        <f t="shared" si="19"/>
        <v>166.89779693287926</v>
      </c>
      <c r="BV70" s="352">
        <f t="shared" si="19"/>
        <v>21.991676291705893</v>
      </c>
      <c r="BW70" s="352">
        <f t="shared" ref="BW70:BW105" si="41">BM70-BR70</f>
        <v>1.2070766429359288E-2</v>
      </c>
      <c r="BX70" s="352">
        <f t="shared" ref="BX70:BX101" si="42">SUM(BT70:BW70)</f>
        <v>210.27236647188013</v>
      </c>
      <c r="BY70" s="352">
        <f>BT$107*(1-'Assumptions-Output Override'!$D$12)</f>
        <v>22.753074310428271</v>
      </c>
      <c r="BZ70" s="352">
        <f>BU$107*(1-'Assumptions-Output Override'!$D$12)</f>
        <v>51.446038369839215</v>
      </c>
      <c r="CA70" s="352">
        <f>BV$107*(1-'Assumptions-Output Override'!$D$12)</f>
        <v>9.7401900534537411</v>
      </c>
      <c r="CB70" s="352">
        <f>BW$107*(1-'Assumptions-Output Override'!$D$12)</f>
        <v>1.7000814189516649</v>
      </c>
      <c r="CC70" s="352">
        <f t="shared" ref="CC70:CC101" si="43">SUM(BY70:CB70)</f>
        <v>85.639384152672903</v>
      </c>
      <c r="CD70" s="352">
        <f t="shared" si="20"/>
        <v>26.305068758277709</v>
      </c>
      <c r="CE70" s="352">
        <f t="shared" si="20"/>
        <v>79.185731055727729</v>
      </c>
      <c r="CF70" s="352">
        <f t="shared" si="20"/>
        <v>13.3953751618875</v>
      </c>
      <c r="CG70" s="352">
        <f t="shared" ref="CG70:CG105" si="44">BR70+CB70</f>
        <v>1.7020876728231178</v>
      </c>
      <c r="CH70" s="352">
        <f t="shared" ref="CH70:CH101" si="45">SUM(CD70:CG70)</f>
        <v>120.58826264871605</v>
      </c>
      <c r="CJ70" s="352">
        <f t="shared" si="21"/>
        <v>120.58826264871605</v>
      </c>
      <c r="CK70" s="352">
        <f t="shared" si="22"/>
        <v>144.91971333577638</v>
      </c>
      <c r="CL70" s="352">
        <f t="shared" si="23"/>
        <v>-24.331450687060325</v>
      </c>
      <c r="CN70" s="352">
        <f t="shared" si="24"/>
        <v>14.751782539948534</v>
      </c>
      <c r="CO70" s="352">
        <f t="shared" si="24"/>
        <v>115.20567394889517</v>
      </c>
      <c r="CP70" s="352">
        <f t="shared" si="24"/>
        <v>15.180343509691941</v>
      </c>
      <c r="CQ70" s="352">
        <f t="shared" ref="CQ70:CQ105" si="46">G70</f>
        <v>8.3321697897144626E-3</v>
      </c>
      <c r="CR70" s="352">
        <f>SUM(CN70:CQ70)</f>
        <v>145.14613216832535</v>
      </c>
      <c r="CT70" s="352">
        <f t="shared" si="32"/>
        <v>-10.171034388766531</v>
      </c>
      <c r="CU70" s="352">
        <f t="shared" si="32"/>
        <v>-79.431815669872606</v>
      </c>
      <c r="CV70" s="352">
        <f t="shared" si="32"/>
        <v>-10.466517890447712</v>
      </c>
      <c r="CW70" s="352">
        <f t="shared" si="32"/>
        <v>-5.74485051109783E-3</v>
      </c>
      <c r="CX70" s="352">
        <f t="shared" ref="CX70:CX105" si="47">SUM(CT70:CW70)</f>
        <v>-100.07511279959795</v>
      </c>
      <c r="CZ70" s="352">
        <f t="shared" si="25"/>
        <v>20.940716352277743</v>
      </c>
      <c r="DA70" s="352">
        <f t="shared" si="25"/>
        <v>-48.134395087788931</v>
      </c>
      <c r="DB70" s="352">
        <f t="shared" si="25"/>
        <v>1.1626893602857962</v>
      </c>
      <c r="DC70" s="352">
        <f t="shared" ref="DC70:DC105" si="48">CG70-BG70</f>
        <v>1.6995386881650867</v>
      </c>
      <c r="DD70" s="352">
        <f t="shared" si="26"/>
        <v>-24.331450687060304</v>
      </c>
      <c r="DF70" s="352">
        <f t="shared" si="27"/>
        <v>5.3643524059999672</v>
      </c>
      <c r="DG70" s="352">
        <f t="shared" si="27"/>
        <v>127.32012614351666</v>
      </c>
      <c r="DH70" s="352">
        <f t="shared" si="27"/>
        <v>12.232685801601704</v>
      </c>
      <c r="DI70" s="352">
        <f t="shared" ref="DI70:DI105" si="49">BG70</f>
        <v>2.5489846580310418E-3</v>
      </c>
      <c r="DJ70" s="352">
        <f t="shared" si="28"/>
        <v>144.91971333577638</v>
      </c>
    </row>
    <row r="71" spans="1:114" x14ac:dyDescent="0.2">
      <c r="A71">
        <v>66</v>
      </c>
      <c r="B71" s="397">
        <v>34308</v>
      </c>
      <c r="C71" s="398">
        <v>397997.79676138877</v>
      </c>
      <c r="D71" s="399">
        <v>15.821542634035856</v>
      </c>
      <c r="E71" s="399">
        <v>120.5764702589429</v>
      </c>
      <c r="F71" s="399">
        <v>16.057730101434569</v>
      </c>
      <c r="G71" s="399">
        <v>4.4782020042439313E-3</v>
      </c>
      <c r="H71" s="399">
        <v>152.46022119641756</v>
      </c>
      <c r="I71" s="400">
        <v>1.4141014604865124E-2</v>
      </c>
      <c r="J71" s="400">
        <v>5.866244276576088E-2</v>
      </c>
      <c r="K71" s="400">
        <v>5.3517884202685599E-4</v>
      </c>
      <c r="L71" s="400">
        <v>0.50961699025008755</v>
      </c>
      <c r="M71" s="400">
        <v>0.47203195979664209</v>
      </c>
      <c r="N71" s="400">
        <v>0.36636338488938525</v>
      </c>
      <c r="O71" s="399">
        <f t="shared" si="35"/>
        <v>3.5352536512162809</v>
      </c>
      <c r="P71" s="399">
        <f t="shared" si="35"/>
        <v>0</v>
      </c>
      <c r="Q71" s="399">
        <f t="shared" si="35"/>
        <v>0.53517884202685595</v>
      </c>
      <c r="R71" s="399">
        <f t="shared" si="33"/>
        <v>10.580905275530046</v>
      </c>
      <c r="S71" s="399">
        <f t="shared" si="33"/>
        <v>14.160958793899262</v>
      </c>
      <c r="T71" s="399">
        <f t="shared" si="33"/>
        <v>21.981803093363116</v>
      </c>
      <c r="U71" s="399">
        <f t="shared" ref="U71:U105" si="50">SUM(O71:T71)</f>
        <v>50.794099656035556</v>
      </c>
      <c r="V71" s="400">
        <v>1.0516033503180607E-3</v>
      </c>
      <c r="W71" s="400">
        <v>8.4388996128828969E-3</v>
      </c>
      <c r="X71" s="400">
        <v>7.5377301693923375E-6</v>
      </c>
      <c r="Y71" s="400">
        <v>9.451369091443898E-2</v>
      </c>
      <c r="Z71" s="400">
        <v>3.0934844615185648E-2</v>
      </c>
      <c r="AA71" s="400">
        <v>2.5698534221112432E-2</v>
      </c>
      <c r="AB71" s="352">
        <f t="shared" si="36"/>
        <v>0.26290083757951516</v>
      </c>
      <c r="AC71" s="352">
        <f t="shared" si="36"/>
        <v>0</v>
      </c>
      <c r="AD71" s="352">
        <f t="shared" si="36"/>
        <v>7.5377301693923373E-3</v>
      </c>
      <c r="AE71" s="352">
        <f t="shared" si="34"/>
        <v>3.3503624910385339</v>
      </c>
      <c r="AF71" s="352">
        <f t="shared" si="34"/>
        <v>0.92804533845556947</v>
      </c>
      <c r="AG71" s="352">
        <f t="shared" si="34"/>
        <v>1.5419120532667459</v>
      </c>
      <c r="AH71" s="400">
        <f t="shared" ref="AH71:AH105" si="51">SUM(AB71:AG71)</f>
        <v>6.0907584505097567</v>
      </c>
      <c r="AJ71" s="352">
        <f>D71*('Assumptions-Output Override'!$D$10/'Winners-Losers Values PMPM'!$H$107)*(1+'Assumptions-Output Override'!$F$41)</f>
        <v>18.88478307360155</v>
      </c>
      <c r="AK71" s="352">
        <f>E71*('Assumptions-Output Override'!$D$10/'Winners-Losers Values PMPM'!$H$107)*(1+'Assumptions-Output Override'!$F$37)</f>
        <v>198.44218602082961</v>
      </c>
      <c r="AL71" s="352">
        <f>F71*('Assumptions-Output Override'!$D$10/'Winners-Losers Values PMPM'!$H$107)*(1+'Assumptions-Output Override'!$F$38)</f>
        <v>26.974513024688047</v>
      </c>
      <c r="AM71" s="352">
        <f>G71*('Shoppable Detail'!$X$21/'Shoppable Detail'!$H$21)*('Assumptions-Output Override'!$D$10/'Winners-Losers Values PMPM'!$H$107)*(1+'Assumptions-Output Override'!$F$39)</f>
        <v>7.6791843624326528E-3</v>
      </c>
      <c r="AN71" s="352">
        <f t="shared" ref="AN71:AN105" si="52">SUM(AJ71:AM71)</f>
        <v>244.30916130348163</v>
      </c>
      <c r="AO71" s="352">
        <v>0</v>
      </c>
      <c r="AP71" s="352">
        <f>U71*'Assumptions-Output Override'!$D$10/'Winners-Losers Values PMPM'!$H$107*(1+'Assumptions-Output Override'!$F$37)</f>
        <v>83.595847108950963</v>
      </c>
      <c r="AQ71" s="352">
        <f>AH71*'Assumptions-Output Override'!$D$10/'Winners-Losers Values PMPM'!$H$107*(1+'Assumptions-Output Override'!$F$38)</f>
        <v>10.231535971502373</v>
      </c>
      <c r="AR71" s="352">
        <f>AM71*('Shoppable Detail'!$AA$23/'Shoppable Detail'!$Y$23)</f>
        <v>2.5658566271354044E-4</v>
      </c>
      <c r="AS71" s="352">
        <f t="shared" ref="AS71:AS105" si="53">SUM(AO71:AR71)</f>
        <v>93.827639666116042</v>
      </c>
      <c r="AT71" s="352">
        <f t="shared" ref="AT71:AV105" si="54">AJ71-AO71</f>
        <v>18.88478307360155</v>
      </c>
      <c r="AU71" s="352">
        <f t="shared" si="54"/>
        <v>114.84633891187865</v>
      </c>
      <c r="AV71" s="352">
        <f t="shared" si="54"/>
        <v>16.742977053185676</v>
      </c>
      <c r="AW71" s="352">
        <f t="shared" si="37"/>
        <v>7.4225986997191124E-3</v>
      </c>
      <c r="AX71" s="352">
        <f t="shared" ref="AX71:AX105" si="55">SUM(AT71:AW71)</f>
        <v>150.4815216373656</v>
      </c>
      <c r="AY71" s="352">
        <f>AT71*'Assumptions-Output Override'!$D$24</f>
        <v>5.753360996590275</v>
      </c>
      <c r="AZ71" s="352">
        <f>$AU$107*'Assumptions-Output Override'!$D$21</f>
        <v>46.041131296780591</v>
      </c>
      <c r="BA71" s="352">
        <f>AV71*'Assumptions-Output Override'!$D$22</f>
        <v>2.5114465579778513</v>
      </c>
      <c r="BB71" s="352">
        <f>AW71*'Assumptions-Output Override'!$D$23</f>
        <v>1.1133898049578669E-3</v>
      </c>
      <c r="BC71" s="352">
        <f t="shared" ref="BC71:BC107" si="56">SUM(AY71:BB71)</f>
        <v>54.30705224115367</v>
      </c>
      <c r="BD71" s="352">
        <f t="shared" ref="BD71:BF105" si="57">AO71+AY71</f>
        <v>5.753360996590275</v>
      </c>
      <c r="BE71" s="352">
        <f t="shared" si="57"/>
        <v>129.63697840573155</v>
      </c>
      <c r="BF71" s="352">
        <f t="shared" si="57"/>
        <v>12.742982529480225</v>
      </c>
      <c r="BG71" s="352">
        <f t="shared" si="38"/>
        <v>1.3699754676714073E-3</v>
      </c>
      <c r="BH71" s="352">
        <f t="shared" ref="BH71:BH105" si="58">SUM(BD71:BG71)</f>
        <v>148.13469190726974</v>
      </c>
      <c r="BJ71" s="401">
        <f>D71*'Assumptions-Output Override'!$D$10/'Winners-Losers Values PMPM'!$H$107</f>
        <v>26.730153425872803</v>
      </c>
      <c r="BK71" s="401">
        <f>E71*'Assumptions-Output Override'!$D$10/'Winners-Losers Values PMPM'!$H$107</f>
        <v>203.71133359892755</v>
      </c>
      <c r="BL71" s="401">
        <f>F71*'Assumptions-Output Override'!$D$10/'Winners-Losers Values PMPM'!$H$107</f>
        <v>27.129187033838093</v>
      </c>
      <c r="BM71" s="401">
        <f>G71*'Assumptions-Output Override'!$D$10/'Winners-Losers Values PMPM'!$H$107</f>
        <v>7.5658252431075879E-3</v>
      </c>
      <c r="BN71" s="401">
        <f t="shared" si="39"/>
        <v>257.57823988388157</v>
      </c>
      <c r="BO71" s="401">
        <f>BJ71*(1-'Assumptions-Output Override'!$D$11)</f>
        <v>3.8095756523200888</v>
      </c>
      <c r="BP71" s="401">
        <f>BK71*(1-'Assumptions-Output Override'!$D$11)</f>
        <v>29.032894956336737</v>
      </c>
      <c r="BQ71" s="401">
        <f>BL71*(1-'Assumptions-Output Override'!$D$11)</f>
        <v>3.8664458353355973</v>
      </c>
      <c r="BR71" s="401">
        <f>BM71*(1-'Assumptions-Output Override'!$D$11)</f>
        <v>1.0782797680447755E-3</v>
      </c>
      <c r="BS71" s="352">
        <f t="shared" si="40"/>
        <v>36.709994723760467</v>
      </c>
      <c r="BT71" s="352">
        <f t="shared" ref="BT71:BV105" si="59">BJ71-BO71</f>
        <v>22.920577773552715</v>
      </c>
      <c r="BU71" s="352">
        <f t="shared" si="59"/>
        <v>174.67843864259081</v>
      </c>
      <c r="BV71" s="352">
        <f t="shared" si="59"/>
        <v>23.262741198502496</v>
      </c>
      <c r="BW71" s="352">
        <f t="shared" si="41"/>
        <v>6.4875454750628128E-3</v>
      </c>
      <c r="BX71" s="352">
        <f t="shared" si="42"/>
        <v>220.86824516012109</v>
      </c>
      <c r="BY71" s="352">
        <f>BT$107*(1-'Assumptions-Output Override'!$D$12)</f>
        <v>22.753074310428271</v>
      </c>
      <c r="BZ71" s="352">
        <f>BU$107*(1-'Assumptions-Output Override'!$D$12)</f>
        <v>51.446038369839215</v>
      </c>
      <c r="CA71" s="352">
        <f>BV$107*(1-'Assumptions-Output Override'!$D$12)</f>
        <v>9.7401900534537411</v>
      </c>
      <c r="CB71" s="352">
        <f>BW$107*(1-'Assumptions-Output Override'!$D$12)</f>
        <v>1.7000814189516649</v>
      </c>
      <c r="CC71" s="352">
        <f t="shared" si="43"/>
        <v>85.639384152672903</v>
      </c>
      <c r="CD71" s="352">
        <f t="shared" ref="CD71:CF105" si="60">BO71+BY71</f>
        <v>26.56264996274836</v>
      </c>
      <c r="CE71" s="352">
        <f t="shared" si="60"/>
        <v>80.478933326175948</v>
      </c>
      <c r="CF71" s="352">
        <f t="shared" si="60"/>
        <v>13.606635888789338</v>
      </c>
      <c r="CG71" s="352">
        <f t="shared" si="44"/>
        <v>1.7011596987197097</v>
      </c>
      <c r="CH71" s="352">
        <f t="shared" si="45"/>
        <v>122.34937887643335</v>
      </c>
      <c r="CJ71" s="352">
        <f t="shared" ref="CJ71:CJ105" si="61">CH71</f>
        <v>122.34937887643335</v>
      </c>
      <c r="CK71" s="352">
        <f t="shared" ref="CK71:CK105" si="62">BH71</f>
        <v>148.13469190726974</v>
      </c>
      <c r="CL71" s="352">
        <f t="shared" ref="CL71:CL105" si="63">CJ71-CK71</f>
        <v>-25.785313030836392</v>
      </c>
      <c r="CN71" s="352">
        <f t="shared" ref="CN71:CP105" si="64">D71</f>
        <v>15.821542634035856</v>
      </c>
      <c r="CO71" s="352">
        <f t="shared" si="64"/>
        <v>120.5764702589429</v>
      </c>
      <c r="CP71" s="352">
        <f t="shared" si="64"/>
        <v>16.057730101434569</v>
      </c>
      <c r="CQ71" s="352">
        <f t="shared" si="46"/>
        <v>4.4782020042439313E-3</v>
      </c>
      <c r="CR71" s="352">
        <f>SUM(CN71:CQ71)</f>
        <v>152.46022119641756</v>
      </c>
      <c r="CT71" s="352">
        <f t="shared" si="32"/>
        <v>-10.908610791836947</v>
      </c>
      <c r="CU71" s="352">
        <f t="shared" si="32"/>
        <v>-83.134863339984648</v>
      </c>
      <c r="CV71" s="352">
        <f t="shared" si="32"/>
        <v>-11.071456932403525</v>
      </c>
      <c r="CW71" s="352">
        <f t="shared" si="32"/>
        <v>-3.0876232388636566E-3</v>
      </c>
      <c r="CX71" s="352">
        <f t="shared" si="47"/>
        <v>-105.11801868746399</v>
      </c>
      <c r="CZ71" s="352">
        <f t="shared" ref="CZ71:DB105" si="65">CD71-BD71</f>
        <v>20.809288966158086</v>
      </c>
      <c r="DA71" s="352">
        <f t="shared" si="65"/>
        <v>-49.158045079555606</v>
      </c>
      <c r="DB71" s="352">
        <f t="shared" si="65"/>
        <v>0.86365335930911336</v>
      </c>
      <c r="DC71" s="352">
        <f t="shared" si="48"/>
        <v>1.6997897232520383</v>
      </c>
      <c r="DD71" s="352">
        <f t="shared" ref="DD71:DD105" si="66">SUM(CZ71:DC71)</f>
        <v>-25.78531303083637</v>
      </c>
      <c r="DF71" s="352">
        <f t="shared" ref="DF71:DH105" si="67">BD71</f>
        <v>5.753360996590275</v>
      </c>
      <c r="DG71" s="352">
        <f t="shared" si="67"/>
        <v>129.63697840573155</v>
      </c>
      <c r="DH71" s="352">
        <f t="shared" si="67"/>
        <v>12.742982529480225</v>
      </c>
      <c r="DI71" s="352">
        <f t="shared" si="49"/>
        <v>1.3699754676714073E-3</v>
      </c>
      <c r="DJ71" s="352">
        <f t="shared" ref="DJ71:DJ105" si="68">SUM(DF71:DI71)</f>
        <v>148.13469190726974</v>
      </c>
    </row>
    <row r="72" spans="1:114" x14ac:dyDescent="0.2">
      <c r="A72">
        <v>67</v>
      </c>
      <c r="B72" s="397">
        <v>34308</v>
      </c>
      <c r="C72" s="398">
        <v>397997.79676138877</v>
      </c>
      <c r="D72" s="399">
        <v>16.706126902148025</v>
      </c>
      <c r="E72" s="399">
        <v>126.49489190717053</v>
      </c>
      <c r="F72" s="399">
        <v>17.056424641129844</v>
      </c>
      <c r="G72" s="399">
        <v>0</v>
      </c>
      <c r="H72" s="399">
        <v>160.25744345044839</v>
      </c>
      <c r="I72" s="400">
        <v>1.416846077348502E-2</v>
      </c>
      <c r="J72" s="400">
        <v>6.1946002575200963E-2</v>
      </c>
      <c r="K72" s="400">
        <v>5.1759080496494047E-4</v>
      </c>
      <c r="L72" s="400">
        <v>0.53785705205705137</v>
      </c>
      <c r="M72" s="400">
        <v>0.48554213508844823</v>
      </c>
      <c r="N72" s="400">
        <v>0.37479252702861993</v>
      </c>
      <c r="O72" s="399">
        <f t="shared" si="35"/>
        <v>3.5421151933712549</v>
      </c>
      <c r="P72" s="399">
        <f t="shared" si="35"/>
        <v>0</v>
      </c>
      <c r="Q72" s="399">
        <f t="shared" si="35"/>
        <v>0.51759080496494048</v>
      </c>
      <c r="R72" s="399">
        <f t="shared" si="33"/>
        <v>11.16723858990397</v>
      </c>
      <c r="S72" s="399">
        <f t="shared" si="33"/>
        <v>14.566264052653446</v>
      </c>
      <c r="T72" s="399">
        <f t="shared" si="33"/>
        <v>22.487551621717195</v>
      </c>
      <c r="U72" s="399">
        <f t="shared" si="50"/>
        <v>52.280760262610805</v>
      </c>
      <c r="V72" s="400">
        <v>1.0044239792294123E-3</v>
      </c>
      <c r="W72" s="400">
        <v>8.9678051940346015E-3</v>
      </c>
      <c r="X72" s="400">
        <v>5.0251534462615584E-6</v>
      </c>
      <c r="Y72" s="400">
        <v>9.5996922137522145E-2</v>
      </c>
      <c r="Z72" s="400">
        <v>3.1577963753238208E-2</v>
      </c>
      <c r="AA72" s="400">
        <v>2.6681755744407971E-2</v>
      </c>
      <c r="AB72" s="352">
        <f t="shared" si="36"/>
        <v>0.25110599480735307</v>
      </c>
      <c r="AC72" s="352">
        <f t="shared" si="36"/>
        <v>0</v>
      </c>
      <c r="AD72" s="352">
        <f t="shared" si="36"/>
        <v>5.0251534462615582E-3</v>
      </c>
      <c r="AE72" s="352">
        <f t="shared" si="34"/>
        <v>3.4029407176137045</v>
      </c>
      <c r="AF72" s="352">
        <f t="shared" si="34"/>
        <v>0.94733891259714631</v>
      </c>
      <c r="AG72" s="352">
        <f t="shared" si="34"/>
        <v>1.6009053446644783</v>
      </c>
      <c r="AH72" s="400">
        <f t="shared" si="51"/>
        <v>6.207316123128944</v>
      </c>
      <c r="AJ72" s="352">
        <f>D72*('Assumptions-Output Override'!$D$10/'Winners-Losers Values PMPM'!$H$107)*(1+'Assumptions-Output Override'!$F$41)</f>
        <v>19.94063346695587</v>
      </c>
      <c r="AK72" s="352">
        <f>E72*('Assumptions-Output Override'!$D$10/'Winners-Losers Values PMPM'!$H$107)*(1+'Assumptions-Output Override'!$F$37)</f>
        <v>208.18259828488976</v>
      </c>
      <c r="AL72" s="352">
        <f>F72*('Assumptions-Output Override'!$D$10/'Winners-Losers Values PMPM'!$H$107)*(1+'Assumptions-Output Override'!$F$38)</f>
        <v>28.652166011662114</v>
      </c>
      <c r="AM72" s="352">
        <f>G72*('Shoppable Detail'!$X$21/'Shoppable Detail'!$H$21)*('Assumptions-Output Override'!$D$10/'Winners-Losers Values PMPM'!$H$107)*(1+'Assumptions-Output Override'!$F$39)</f>
        <v>0</v>
      </c>
      <c r="AN72" s="352">
        <f t="shared" si="52"/>
        <v>256.77539776350773</v>
      </c>
      <c r="AO72" s="352">
        <v>0</v>
      </c>
      <c r="AP72" s="352">
        <f>U72*'Assumptions-Output Override'!$D$10/'Winners-Losers Values PMPM'!$H$107*(1+'Assumptions-Output Override'!$F$37)</f>
        <v>86.042561463802173</v>
      </c>
      <c r="AQ72" s="352">
        <f>AH72*'Assumptions-Output Override'!$D$10/'Winners-Losers Values PMPM'!$H$107*(1+'Assumptions-Output Override'!$F$38)</f>
        <v>10.42733490686452</v>
      </c>
      <c r="AR72" s="352">
        <f>AM72*('Shoppable Detail'!$AA$23/'Shoppable Detail'!$Y$23)</f>
        <v>0</v>
      </c>
      <c r="AS72" s="352">
        <f t="shared" si="53"/>
        <v>96.469896370666689</v>
      </c>
      <c r="AT72" s="352">
        <f t="shared" si="54"/>
        <v>19.94063346695587</v>
      </c>
      <c r="AU72" s="352">
        <f t="shared" si="54"/>
        <v>122.14003682108759</v>
      </c>
      <c r="AV72" s="352">
        <f t="shared" si="54"/>
        <v>18.224831104797595</v>
      </c>
      <c r="AW72" s="352">
        <f t="shared" si="37"/>
        <v>0</v>
      </c>
      <c r="AX72" s="352">
        <f t="shared" si="55"/>
        <v>160.30550139284105</v>
      </c>
      <c r="AY72" s="352">
        <f>AT72*'Assumptions-Output Override'!$D$24</f>
        <v>6.0750320715337223</v>
      </c>
      <c r="AZ72" s="352">
        <f>$AU$107*'Assumptions-Output Override'!$D$21</f>
        <v>46.041131296780591</v>
      </c>
      <c r="BA72" s="352">
        <f>AV72*'Assumptions-Output Override'!$D$22</f>
        <v>2.733724665719639</v>
      </c>
      <c r="BB72" s="352">
        <f>AW72*'Assumptions-Output Override'!$D$23</f>
        <v>0</v>
      </c>
      <c r="BC72" s="352">
        <f t="shared" si="56"/>
        <v>54.849888034033953</v>
      </c>
      <c r="BD72" s="352">
        <f t="shared" si="57"/>
        <v>6.0750320715337223</v>
      </c>
      <c r="BE72" s="352">
        <f t="shared" si="57"/>
        <v>132.08369276058278</v>
      </c>
      <c r="BF72" s="352">
        <f t="shared" si="57"/>
        <v>13.161059572584158</v>
      </c>
      <c r="BG72" s="352">
        <f t="shared" si="38"/>
        <v>0</v>
      </c>
      <c r="BH72" s="352">
        <f t="shared" si="58"/>
        <v>151.31978440470064</v>
      </c>
      <c r="BJ72" s="401">
        <f>D72*'Assumptions-Output Override'!$D$10/'Winners-Losers Values PMPM'!$H$107</f>
        <v>28.224639377823252</v>
      </c>
      <c r="BK72" s="401">
        <f>E72*'Assumptions-Output Override'!$D$10/'Winners-Losers Values PMPM'!$H$107</f>
        <v>213.71037872084921</v>
      </c>
      <c r="BL72" s="401">
        <f>F72*'Assumptions-Output Override'!$D$10/'Winners-Losers Values PMPM'!$H$107</f>
        <v>28.816459816847782</v>
      </c>
      <c r="BM72" s="401">
        <f>G72*'Assumptions-Output Override'!$D$10/'Winners-Losers Values PMPM'!$H$107</f>
        <v>0</v>
      </c>
      <c r="BN72" s="401">
        <f t="shared" si="39"/>
        <v>270.75147791552024</v>
      </c>
      <c r="BO72" s="401">
        <f>BJ72*(1-'Assumptions-Output Override'!$D$11)</f>
        <v>4.0225694651342758</v>
      </c>
      <c r="BP72" s="401">
        <f>BK72*(1-'Assumptions-Output Override'!$D$11)</f>
        <v>30.457956692273214</v>
      </c>
      <c r="BQ72" s="401">
        <f>BL72*(1-'Assumptions-Output Override'!$D$11)</f>
        <v>4.1069155853802961</v>
      </c>
      <c r="BR72" s="401">
        <f>BM72*(1-'Assumptions-Output Override'!$D$11)</f>
        <v>0</v>
      </c>
      <c r="BS72" s="352">
        <f t="shared" si="40"/>
        <v>38.587441742787789</v>
      </c>
      <c r="BT72" s="352">
        <f t="shared" si="59"/>
        <v>24.202069912688977</v>
      </c>
      <c r="BU72" s="352">
        <f t="shared" si="59"/>
        <v>183.25242202857601</v>
      </c>
      <c r="BV72" s="352">
        <f t="shared" si="59"/>
        <v>24.709544231467486</v>
      </c>
      <c r="BW72" s="352">
        <f t="shared" si="41"/>
        <v>0</v>
      </c>
      <c r="BX72" s="352">
        <f t="shared" si="42"/>
        <v>232.16403617273247</v>
      </c>
      <c r="BY72" s="352">
        <f>BT$107*(1-'Assumptions-Output Override'!$D$12)</f>
        <v>22.753074310428271</v>
      </c>
      <c r="BZ72" s="352">
        <f>BU$107*(1-'Assumptions-Output Override'!$D$12)</f>
        <v>51.446038369839215</v>
      </c>
      <c r="CA72" s="352">
        <f>BV$107*(1-'Assumptions-Output Override'!$D$12)</f>
        <v>9.7401900534537411</v>
      </c>
      <c r="CB72" s="352">
        <f>BW$107*(1-'Assumptions-Output Override'!$D$12)</f>
        <v>1.7000814189516649</v>
      </c>
      <c r="CC72" s="352">
        <f t="shared" si="43"/>
        <v>85.639384152672903</v>
      </c>
      <c r="CD72" s="352">
        <f t="shared" si="60"/>
        <v>26.775643775562546</v>
      </c>
      <c r="CE72" s="352">
        <f t="shared" si="60"/>
        <v>81.903995062112429</v>
      </c>
      <c r="CF72" s="352">
        <f t="shared" si="60"/>
        <v>13.847105638834037</v>
      </c>
      <c r="CG72" s="352">
        <f t="shared" si="44"/>
        <v>1.7000814189516649</v>
      </c>
      <c r="CH72" s="352">
        <f t="shared" si="45"/>
        <v>124.22682589546068</v>
      </c>
      <c r="CJ72" s="352">
        <f t="shared" si="61"/>
        <v>124.22682589546068</v>
      </c>
      <c r="CK72" s="352">
        <f t="shared" si="62"/>
        <v>151.31978440470064</v>
      </c>
      <c r="CL72" s="352">
        <f t="shared" si="63"/>
        <v>-27.092958509239963</v>
      </c>
      <c r="CN72" s="352">
        <f t="shared" si="64"/>
        <v>16.706126902148025</v>
      </c>
      <c r="CO72" s="352">
        <f t="shared" si="64"/>
        <v>126.49489190717053</v>
      </c>
      <c r="CP72" s="352">
        <f t="shared" si="64"/>
        <v>17.056424641129844</v>
      </c>
      <c r="CQ72" s="352">
        <f t="shared" si="46"/>
        <v>0</v>
      </c>
      <c r="CR72" s="352">
        <f>SUM(CN72:CQ72)</f>
        <v>160.25744345044839</v>
      </c>
      <c r="CT72" s="352">
        <f t="shared" si="32"/>
        <v>-11.518512475675227</v>
      </c>
      <c r="CU72" s="352">
        <f t="shared" si="32"/>
        <v>-87.21548681367868</v>
      </c>
      <c r="CV72" s="352">
        <f t="shared" si="32"/>
        <v>-11.760035175717938</v>
      </c>
      <c r="CW72" s="352">
        <f t="shared" si="32"/>
        <v>0</v>
      </c>
      <c r="CX72" s="352">
        <f t="shared" si="47"/>
        <v>-110.49403446507185</v>
      </c>
      <c r="CZ72" s="352">
        <f t="shared" si="65"/>
        <v>20.700611704028823</v>
      </c>
      <c r="DA72" s="352">
        <f t="shared" si="65"/>
        <v>-50.179697698470349</v>
      </c>
      <c r="DB72" s="352">
        <f t="shared" si="65"/>
        <v>0.68604606624987952</v>
      </c>
      <c r="DC72" s="352">
        <f t="shared" si="48"/>
        <v>1.7000814189516649</v>
      </c>
      <c r="DD72" s="352">
        <f t="shared" si="66"/>
        <v>-27.092958509239981</v>
      </c>
      <c r="DF72" s="352">
        <f t="shared" si="67"/>
        <v>6.0750320715337223</v>
      </c>
      <c r="DG72" s="352">
        <f t="shared" si="67"/>
        <v>132.08369276058278</v>
      </c>
      <c r="DH72" s="352">
        <f t="shared" si="67"/>
        <v>13.161059572584158</v>
      </c>
      <c r="DI72" s="352">
        <f t="shared" si="49"/>
        <v>0</v>
      </c>
      <c r="DJ72" s="352">
        <f t="shared" si="68"/>
        <v>151.31978440470064</v>
      </c>
    </row>
    <row r="73" spans="1:114" x14ac:dyDescent="0.2">
      <c r="A73">
        <v>68</v>
      </c>
      <c r="B73" s="397">
        <v>34308</v>
      </c>
      <c r="C73" s="398">
        <v>397997.79676138877</v>
      </c>
      <c r="D73" s="399">
        <v>18.280989068977057</v>
      </c>
      <c r="E73" s="399">
        <v>131.58114950555552</v>
      </c>
      <c r="F73" s="399">
        <v>18.611949456828</v>
      </c>
      <c r="G73" s="399">
        <v>0</v>
      </c>
      <c r="H73" s="399">
        <v>168.47408803136057</v>
      </c>
      <c r="I73" s="400">
        <v>1.600984917725919E-2</v>
      </c>
      <c r="J73" s="400">
        <v>6.3062562616784876E-2</v>
      </c>
      <c r="K73" s="400">
        <v>6.9849632903035662E-4</v>
      </c>
      <c r="L73" s="400">
        <v>0.54763134054582974</v>
      </c>
      <c r="M73" s="400">
        <v>0.49938562880835247</v>
      </c>
      <c r="N73" s="400">
        <v>0.38923632557920457</v>
      </c>
      <c r="O73" s="399">
        <f t="shared" si="35"/>
        <v>4.0024622943147978</v>
      </c>
      <c r="P73" s="399">
        <f t="shared" si="35"/>
        <v>0</v>
      </c>
      <c r="Q73" s="399">
        <f t="shared" si="35"/>
        <v>0.69849632903035663</v>
      </c>
      <c r="R73" s="399">
        <f t="shared" si="33"/>
        <v>11.370176919304479</v>
      </c>
      <c r="S73" s="399">
        <f t="shared" si="33"/>
        <v>14.981568864250574</v>
      </c>
      <c r="T73" s="399">
        <f t="shared" si="33"/>
        <v>23.354179534752273</v>
      </c>
      <c r="U73" s="399">
        <f t="shared" si="50"/>
        <v>54.406883941652481</v>
      </c>
      <c r="V73" s="400">
        <v>1.6972157967943167E-3</v>
      </c>
      <c r="W73" s="400">
        <v>1.0468854132091908E-2</v>
      </c>
      <c r="X73" s="400">
        <v>7.5377301693923375E-6</v>
      </c>
      <c r="Y73" s="400">
        <v>0.10486554616176431</v>
      </c>
      <c r="Z73" s="400">
        <v>3.3115660707793988E-2</v>
      </c>
      <c r="AA73" s="400">
        <v>2.8431112162120291E-2</v>
      </c>
      <c r="AB73" s="352">
        <f t="shared" si="36"/>
        <v>0.42430394919857917</v>
      </c>
      <c r="AC73" s="352">
        <f t="shared" si="36"/>
        <v>0</v>
      </c>
      <c r="AD73" s="352">
        <f t="shared" si="36"/>
        <v>7.5377301693923373E-3</v>
      </c>
      <c r="AE73" s="352">
        <f t="shared" si="34"/>
        <v>3.7173195656987166</v>
      </c>
      <c r="AF73" s="352">
        <f t="shared" si="34"/>
        <v>0.99346982123381966</v>
      </c>
      <c r="AG73" s="352">
        <f t="shared" si="34"/>
        <v>1.7058667297272174</v>
      </c>
      <c r="AH73" s="400">
        <f t="shared" si="51"/>
        <v>6.8484977960277256</v>
      </c>
      <c r="AJ73" s="352">
        <f>D73*('Assumptions-Output Override'!$D$10/'Winners-Losers Values PMPM'!$H$107)*(1+'Assumptions-Output Override'!$F$41)</f>
        <v>21.820407840373075</v>
      </c>
      <c r="AK73" s="352">
        <f>E73*('Assumptions-Output Override'!$D$10/'Winners-Losers Values PMPM'!$H$107)*(1+'Assumptions-Output Override'!$F$37)</f>
        <v>216.55345268393626</v>
      </c>
      <c r="AL73" s="352">
        <f>F73*('Assumptions-Output Override'!$D$10/'Winners-Losers Values PMPM'!$H$107)*(1+'Assumptions-Output Override'!$F$38)</f>
        <v>31.265208087735296</v>
      </c>
      <c r="AM73" s="352">
        <f>G73*('Shoppable Detail'!$X$21/'Shoppable Detail'!$H$21)*('Assumptions-Output Override'!$D$10/'Winners-Losers Values PMPM'!$H$107)*(1+'Assumptions-Output Override'!$F$39)</f>
        <v>0</v>
      </c>
      <c r="AN73" s="352">
        <f t="shared" si="52"/>
        <v>269.63906861204464</v>
      </c>
      <c r="AO73" s="352">
        <v>0</v>
      </c>
      <c r="AP73" s="352">
        <f>U73*'Assumptions-Output Override'!$D$10/'Winners-Losers Values PMPM'!$H$107*(1+'Assumptions-Output Override'!$F$37)</f>
        <v>89.541690520355274</v>
      </c>
      <c r="AQ73" s="352">
        <f>AH73*'Assumptions-Output Override'!$D$10/'Winners-Losers Values PMPM'!$H$107*(1+'Assumptions-Output Override'!$F$38)</f>
        <v>11.504421349191404</v>
      </c>
      <c r="AR73" s="352">
        <f>AM73*('Shoppable Detail'!$AA$23/'Shoppable Detail'!$Y$23)</f>
        <v>0</v>
      </c>
      <c r="AS73" s="352">
        <f t="shared" si="53"/>
        <v>101.04611186954668</v>
      </c>
      <c r="AT73" s="352">
        <f t="shared" si="54"/>
        <v>21.820407840373075</v>
      </c>
      <c r="AU73" s="352">
        <f t="shared" si="54"/>
        <v>127.01176216358098</v>
      </c>
      <c r="AV73" s="352">
        <f t="shared" si="54"/>
        <v>19.760786738543892</v>
      </c>
      <c r="AW73" s="352">
        <f t="shared" si="37"/>
        <v>0</v>
      </c>
      <c r="AX73" s="352">
        <f t="shared" si="55"/>
        <v>168.59295674249793</v>
      </c>
      <c r="AY73" s="352">
        <f>AT73*'Assumptions-Output Override'!$D$24</f>
        <v>6.6477164661734713</v>
      </c>
      <c r="AZ73" s="352">
        <f>$AU$107*'Assumptions-Output Override'!$D$21</f>
        <v>46.041131296780591</v>
      </c>
      <c r="BA73" s="352">
        <f>AV73*'Assumptions-Output Override'!$D$22</f>
        <v>2.9641180107815837</v>
      </c>
      <c r="BB73" s="352">
        <f>AW73*'Assumptions-Output Override'!$D$23</f>
        <v>0</v>
      </c>
      <c r="BC73" s="352">
        <f t="shared" si="56"/>
        <v>55.652965773735644</v>
      </c>
      <c r="BD73" s="352">
        <f t="shared" si="57"/>
        <v>6.6477164661734713</v>
      </c>
      <c r="BE73" s="352">
        <f t="shared" si="57"/>
        <v>135.58282181713588</v>
      </c>
      <c r="BF73" s="352">
        <f t="shared" si="57"/>
        <v>14.468539359972986</v>
      </c>
      <c r="BG73" s="352">
        <f t="shared" si="38"/>
        <v>0</v>
      </c>
      <c r="BH73" s="352">
        <f t="shared" si="58"/>
        <v>156.69907764328235</v>
      </c>
      <c r="BJ73" s="401">
        <f>D73*'Assumptions-Output Override'!$D$10/'Winners-Losers Values PMPM'!$H$107</f>
        <v>30.885334881268253</v>
      </c>
      <c r="BK73" s="401">
        <f>E73*'Assumptions-Output Override'!$D$10/'Winners-Losers Values PMPM'!$H$107</f>
        <v>222.30350071363566</v>
      </c>
      <c r="BL73" s="401">
        <f>F73*'Assumptions-Output Override'!$D$10/'Winners-Losers Values PMPM'!$H$107</f>
        <v>31.444485284599399</v>
      </c>
      <c r="BM73" s="401">
        <f>G73*'Assumptions-Output Override'!$D$10/'Winners-Losers Values PMPM'!$H$107</f>
        <v>0</v>
      </c>
      <c r="BN73" s="401">
        <f t="shared" si="39"/>
        <v>284.63332087950329</v>
      </c>
      <c r="BO73" s="401">
        <f>BJ73*(1-'Assumptions-Output Override'!$D$11)</f>
        <v>4.4017712095713506</v>
      </c>
      <c r="BP73" s="401">
        <f>BK73*(1-'Assumptions-Output Override'!$D$11)</f>
        <v>31.682646569640301</v>
      </c>
      <c r="BQ73" s="401">
        <f>BL73*(1-'Assumptions-Output Override'!$D$11)</f>
        <v>4.4814612034362371</v>
      </c>
      <c r="BR73" s="401">
        <f>BM73*(1-'Assumptions-Output Override'!$D$11)</f>
        <v>0</v>
      </c>
      <c r="BS73" s="352">
        <f t="shared" si="40"/>
        <v>40.565878982647888</v>
      </c>
      <c r="BT73" s="352">
        <f t="shared" si="59"/>
        <v>26.483563671696903</v>
      </c>
      <c r="BU73" s="352">
        <f t="shared" si="59"/>
        <v>190.62085414399536</v>
      </c>
      <c r="BV73" s="352">
        <f t="shared" si="59"/>
        <v>26.963024081163162</v>
      </c>
      <c r="BW73" s="352">
        <f t="shared" si="41"/>
        <v>0</v>
      </c>
      <c r="BX73" s="352">
        <f t="shared" si="42"/>
        <v>244.06744189685543</v>
      </c>
      <c r="BY73" s="352">
        <f>BT$107*(1-'Assumptions-Output Override'!$D$12)</f>
        <v>22.753074310428271</v>
      </c>
      <c r="BZ73" s="352">
        <f>BU$107*(1-'Assumptions-Output Override'!$D$12)</f>
        <v>51.446038369839215</v>
      </c>
      <c r="CA73" s="352">
        <f>BV$107*(1-'Assumptions-Output Override'!$D$12)</f>
        <v>9.7401900534537411</v>
      </c>
      <c r="CB73" s="352">
        <f>BW$107*(1-'Assumptions-Output Override'!$D$12)</f>
        <v>1.7000814189516649</v>
      </c>
      <c r="CC73" s="352">
        <f t="shared" si="43"/>
        <v>85.639384152672903</v>
      </c>
      <c r="CD73" s="352">
        <f t="shared" si="60"/>
        <v>27.154845519999622</v>
      </c>
      <c r="CE73" s="352">
        <f t="shared" si="60"/>
        <v>83.128684939479513</v>
      </c>
      <c r="CF73" s="352">
        <f t="shared" si="60"/>
        <v>14.221651256889977</v>
      </c>
      <c r="CG73" s="352">
        <f t="shared" si="44"/>
        <v>1.7000814189516649</v>
      </c>
      <c r="CH73" s="352">
        <f t="shared" si="45"/>
        <v>126.20526313532079</v>
      </c>
      <c r="CJ73" s="352">
        <f t="shared" si="61"/>
        <v>126.20526313532079</v>
      </c>
      <c r="CK73" s="352">
        <f t="shared" si="62"/>
        <v>156.69907764328235</v>
      </c>
      <c r="CL73" s="352">
        <f t="shared" si="63"/>
        <v>-30.493814507961559</v>
      </c>
      <c r="CN73" s="352">
        <f t="shared" si="64"/>
        <v>18.280989068977057</v>
      </c>
      <c r="CO73" s="352">
        <f t="shared" si="64"/>
        <v>131.58114950555552</v>
      </c>
      <c r="CP73" s="352">
        <f t="shared" si="64"/>
        <v>18.611949456828</v>
      </c>
      <c r="CQ73" s="352">
        <f t="shared" si="46"/>
        <v>0</v>
      </c>
      <c r="CR73" s="352">
        <f>SUM(CN73:CQ73)</f>
        <v>168.47408803136057</v>
      </c>
      <c r="CT73" s="352">
        <f t="shared" si="32"/>
        <v>-12.604345812291196</v>
      </c>
      <c r="CU73" s="352">
        <f t="shared" si="32"/>
        <v>-90.722351208080141</v>
      </c>
      <c r="CV73" s="352">
        <f t="shared" si="32"/>
        <v>-12.832535827771398</v>
      </c>
      <c r="CW73" s="352">
        <f t="shared" si="32"/>
        <v>0</v>
      </c>
      <c r="CX73" s="352">
        <f t="shared" si="47"/>
        <v>-116.15923284814274</v>
      </c>
      <c r="CZ73" s="352">
        <f t="shared" si="65"/>
        <v>20.507129053826151</v>
      </c>
      <c r="DA73" s="352">
        <f t="shared" si="65"/>
        <v>-52.454136877656367</v>
      </c>
      <c r="DB73" s="352">
        <f t="shared" si="65"/>
        <v>-0.24688810308300901</v>
      </c>
      <c r="DC73" s="352">
        <f t="shared" si="48"/>
        <v>1.7000814189516649</v>
      </c>
      <c r="DD73" s="352">
        <f t="shared" si="66"/>
        <v>-30.493814507961563</v>
      </c>
      <c r="DF73" s="352">
        <f t="shared" si="67"/>
        <v>6.6477164661734713</v>
      </c>
      <c r="DG73" s="352">
        <f t="shared" si="67"/>
        <v>135.58282181713588</v>
      </c>
      <c r="DH73" s="352">
        <f t="shared" si="67"/>
        <v>14.468539359972986</v>
      </c>
      <c r="DI73" s="352">
        <f t="shared" si="49"/>
        <v>0</v>
      </c>
      <c r="DJ73" s="352">
        <f t="shared" si="68"/>
        <v>156.69907764328235</v>
      </c>
    </row>
    <row r="74" spans="1:114" x14ac:dyDescent="0.2">
      <c r="A74">
        <v>69</v>
      </c>
      <c r="B74" s="397">
        <v>34308</v>
      </c>
      <c r="C74" s="398">
        <v>397997.79676138877</v>
      </c>
      <c r="D74" s="399">
        <v>20.240077054191129</v>
      </c>
      <c r="E74" s="399">
        <v>137.76706304250416</v>
      </c>
      <c r="F74" s="399">
        <v>19.186539054116178</v>
      </c>
      <c r="G74" s="399">
        <v>5.2722822117600961E-3</v>
      </c>
      <c r="H74" s="399">
        <v>177.19895143302321</v>
      </c>
      <c r="I74" s="400">
        <v>1.7206252618464708E-2</v>
      </c>
      <c r="J74" s="400">
        <v>6.6021758615261716E-2</v>
      </c>
      <c r="K74" s="400">
        <v>8.6181381603385725E-4</v>
      </c>
      <c r="L74" s="400">
        <v>0.56566128054851805</v>
      </c>
      <c r="M74" s="400">
        <v>0.50675345853972165</v>
      </c>
      <c r="N74" s="400">
        <v>0.4017034297701802</v>
      </c>
      <c r="O74" s="399">
        <f t="shared" si="35"/>
        <v>4.3015631546161774</v>
      </c>
      <c r="P74" s="399">
        <f t="shared" si="35"/>
        <v>0</v>
      </c>
      <c r="Q74" s="399">
        <f t="shared" si="35"/>
        <v>0.86181381603385721</v>
      </c>
      <c r="R74" s="399">
        <f t="shared" si="33"/>
        <v>11.744522930017967</v>
      </c>
      <c r="S74" s="399">
        <f t="shared" si="33"/>
        <v>15.20260375619165</v>
      </c>
      <c r="T74" s="399">
        <f t="shared" si="33"/>
        <v>24.102205786210813</v>
      </c>
      <c r="U74" s="399">
        <f t="shared" si="50"/>
        <v>56.212709443070466</v>
      </c>
      <c r="V74" s="400">
        <v>1.4551111293657206E-3</v>
      </c>
      <c r="W74" s="400">
        <v>1.0378220077105803E-2</v>
      </c>
      <c r="X74" s="400">
        <v>5.0251534462615584E-6</v>
      </c>
      <c r="Y74" s="400">
        <v>0.10419204931750486</v>
      </c>
      <c r="Z74" s="400">
        <v>3.3946921590874826E-2</v>
      </c>
      <c r="AA74" s="400">
        <v>2.8559555084206736E-2</v>
      </c>
      <c r="AB74" s="352">
        <f t="shared" si="36"/>
        <v>0.36377778234143016</v>
      </c>
      <c r="AC74" s="352">
        <f t="shared" si="36"/>
        <v>0</v>
      </c>
      <c r="AD74" s="352">
        <f t="shared" si="36"/>
        <v>5.0251534462615582E-3</v>
      </c>
      <c r="AE74" s="352">
        <f t="shared" si="34"/>
        <v>3.6934451561501316</v>
      </c>
      <c r="AF74" s="352">
        <f t="shared" si="34"/>
        <v>1.0184076477262447</v>
      </c>
      <c r="AG74" s="352">
        <f t="shared" si="34"/>
        <v>1.7135733050524042</v>
      </c>
      <c r="AH74" s="400">
        <f t="shared" si="51"/>
        <v>6.7942290447164719</v>
      </c>
      <c r="AJ74" s="352">
        <f>D74*('Assumptions-Output Override'!$D$10/'Winners-Losers Values PMPM'!$H$107)*(1+'Assumptions-Output Override'!$F$41)</f>
        <v>24.158798759554227</v>
      </c>
      <c r="AK74" s="352">
        <f>E74*('Assumptions-Output Override'!$D$10/'Winners-Losers Values PMPM'!$H$107)*(1+'Assumptions-Output Override'!$F$37)</f>
        <v>226.73409739987235</v>
      </c>
      <c r="AL74" s="352">
        <f>F74*('Assumptions-Output Override'!$D$10/'Winners-Losers Values PMPM'!$H$107)*(1+'Assumptions-Output Override'!$F$38)</f>
        <v>32.230430100933511</v>
      </c>
      <c r="AM74" s="352">
        <f>G74*('Shoppable Detail'!$X$21/'Shoppable Detail'!$H$21)*('Assumptions-Output Override'!$D$10/'Winners-Losers Values PMPM'!$H$107)*(1+'Assumptions-Output Override'!$F$39)</f>
        <v>9.0408666416814509E-3</v>
      </c>
      <c r="AN74" s="352">
        <f t="shared" si="52"/>
        <v>283.13236712700177</v>
      </c>
      <c r="AO74" s="352">
        <v>0</v>
      </c>
      <c r="AP74" s="352">
        <f>U74*'Assumptions-Output Override'!$D$10/'Winners-Losers Values PMPM'!$H$107*(1+'Assumptions-Output Override'!$F$37)</f>
        <v>92.513679659728567</v>
      </c>
      <c r="AQ74" s="352">
        <f>AH74*'Assumptions-Output Override'!$D$10/'Winners-Losers Values PMPM'!$H$107*(1+'Assumptions-Output Override'!$F$38)</f>
        <v>11.413258206590807</v>
      </c>
      <c r="AR74" s="352">
        <f>AM74*('Shoppable Detail'!$AA$23/'Shoppable Detail'!$Y$23)</f>
        <v>3.0208374343882935E-4</v>
      </c>
      <c r="AS74" s="352">
        <f t="shared" si="53"/>
        <v>103.92723995006281</v>
      </c>
      <c r="AT74" s="352">
        <f t="shared" si="54"/>
        <v>24.158798759554227</v>
      </c>
      <c r="AU74" s="352">
        <f t="shared" si="54"/>
        <v>134.22041774014377</v>
      </c>
      <c r="AV74" s="352">
        <f t="shared" si="54"/>
        <v>20.817171894342703</v>
      </c>
      <c r="AW74" s="352">
        <f t="shared" si="37"/>
        <v>8.7387828982426214E-3</v>
      </c>
      <c r="AX74" s="352">
        <f t="shared" si="55"/>
        <v>179.20512717693893</v>
      </c>
      <c r="AY74" s="352">
        <f>AT74*'Assumptions-Output Override'!$D$24</f>
        <v>7.3601211073474593</v>
      </c>
      <c r="AZ74" s="352">
        <f>$AU$107*'Assumptions-Output Override'!$D$21</f>
        <v>46.041131296780591</v>
      </c>
      <c r="BA74" s="352">
        <f>AV74*'Assumptions-Output Override'!$D$22</f>
        <v>3.1225757841514055</v>
      </c>
      <c r="BB74" s="352">
        <f>AW74*'Assumptions-Output Override'!$D$23</f>
        <v>1.3108174347363931E-3</v>
      </c>
      <c r="BC74" s="352">
        <f t="shared" si="56"/>
        <v>56.525139005714195</v>
      </c>
      <c r="BD74" s="352">
        <f t="shared" si="57"/>
        <v>7.3601211073474593</v>
      </c>
      <c r="BE74" s="352">
        <f t="shared" si="57"/>
        <v>138.55481095650916</v>
      </c>
      <c r="BF74" s="352">
        <f t="shared" si="57"/>
        <v>14.535833990742212</v>
      </c>
      <c r="BG74" s="352">
        <f t="shared" si="38"/>
        <v>1.6129011781752223E-3</v>
      </c>
      <c r="BH74" s="352">
        <f t="shared" si="58"/>
        <v>160.45237895577699</v>
      </c>
      <c r="BJ74" s="401">
        <f>D74*'Assumptions-Output Override'!$D$10/'Winners-Losers Values PMPM'!$H$107</f>
        <v>34.195171578664819</v>
      </c>
      <c r="BK74" s="401">
        <f>E74*'Assumptions-Output Override'!$D$10/'Winners-Losers Values PMPM'!$H$107</f>
        <v>232.75446758497682</v>
      </c>
      <c r="BL74" s="401">
        <f>F74*'Assumptions-Output Override'!$D$10/'Winners-Losers Values PMPM'!$H$107</f>
        <v>32.415241957806664</v>
      </c>
      <c r="BM74" s="401">
        <f>G74*'Assumptions-Output Override'!$D$10/'Winners-Losers Values PMPM'!$H$107</f>
        <v>8.9074065459126706E-3</v>
      </c>
      <c r="BN74" s="401">
        <f t="shared" si="39"/>
        <v>299.37378852799418</v>
      </c>
      <c r="BO74" s="401">
        <f>BJ74*(1-'Assumptions-Output Override'!$D$11)</f>
        <v>4.8734884157791099</v>
      </c>
      <c r="BP74" s="401">
        <f>BK74*(1-'Assumptions-Output Override'!$D$11)</f>
        <v>33.172116095008924</v>
      </c>
      <c r="BQ74" s="401">
        <f>BL74*(1-'Assumptions-Output Override'!$D$11)</f>
        <v>4.6198132333575508</v>
      </c>
      <c r="BR74" s="401">
        <f>BM74*(1-'Assumptions-Output Override'!$D$11)</f>
        <v>1.2694816435202517E-3</v>
      </c>
      <c r="BS74" s="352">
        <f t="shared" si="40"/>
        <v>42.666687225789104</v>
      </c>
      <c r="BT74" s="352">
        <f t="shared" si="59"/>
        <v>29.321683162885709</v>
      </c>
      <c r="BU74" s="352">
        <f t="shared" si="59"/>
        <v>199.58235148996789</v>
      </c>
      <c r="BV74" s="352">
        <f t="shared" si="59"/>
        <v>27.795428724449113</v>
      </c>
      <c r="BW74" s="352">
        <f t="shared" si="41"/>
        <v>7.6379249023924185E-3</v>
      </c>
      <c r="BX74" s="352">
        <f t="shared" si="42"/>
        <v>256.7071013022051</v>
      </c>
      <c r="BY74" s="352">
        <f>BT$107*(1-'Assumptions-Output Override'!$D$12)</f>
        <v>22.753074310428271</v>
      </c>
      <c r="BZ74" s="352">
        <f>BU$107*(1-'Assumptions-Output Override'!$D$12)</f>
        <v>51.446038369839215</v>
      </c>
      <c r="CA74" s="352">
        <f>BV$107*(1-'Assumptions-Output Override'!$D$12)</f>
        <v>9.7401900534537411</v>
      </c>
      <c r="CB74" s="352">
        <f>BW$107*(1-'Assumptions-Output Override'!$D$12)</f>
        <v>1.7000814189516649</v>
      </c>
      <c r="CC74" s="352">
        <f t="shared" si="43"/>
        <v>85.639384152672903</v>
      </c>
      <c r="CD74" s="352">
        <f t="shared" si="60"/>
        <v>27.626562726207382</v>
      </c>
      <c r="CE74" s="352">
        <f t="shared" si="60"/>
        <v>84.618154464848146</v>
      </c>
      <c r="CF74" s="352">
        <f t="shared" si="60"/>
        <v>14.360003286811292</v>
      </c>
      <c r="CG74" s="352">
        <f t="shared" si="44"/>
        <v>1.701350900595185</v>
      </c>
      <c r="CH74" s="352">
        <f t="shared" si="45"/>
        <v>128.30607137846201</v>
      </c>
      <c r="CJ74" s="352">
        <f t="shared" si="61"/>
        <v>128.30607137846201</v>
      </c>
      <c r="CK74" s="352">
        <f t="shared" si="62"/>
        <v>160.45237895577699</v>
      </c>
      <c r="CL74" s="352">
        <f t="shared" si="63"/>
        <v>-32.146307577314985</v>
      </c>
      <c r="CN74" s="352">
        <f t="shared" si="64"/>
        <v>20.240077054191129</v>
      </c>
      <c r="CO74" s="352">
        <f t="shared" si="64"/>
        <v>137.76706304250416</v>
      </c>
      <c r="CP74" s="352">
        <f t="shared" si="64"/>
        <v>19.186539054116178</v>
      </c>
      <c r="CQ74" s="352">
        <f t="shared" si="46"/>
        <v>5.2722822117600961E-3</v>
      </c>
      <c r="CR74" s="352">
        <f t="shared" ref="CR74:CR105" si="69">SUM(CN74:CQ74)</f>
        <v>177.19895143302321</v>
      </c>
      <c r="CT74" s="352">
        <f t="shared" si="32"/>
        <v>-13.95509452447369</v>
      </c>
      <c r="CU74" s="352">
        <f t="shared" si="32"/>
        <v>-94.98740454247266</v>
      </c>
      <c r="CV74" s="352">
        <f t="shared" si="32"/>
        <v>-13.228702903690486</v>
      </c>
      <c r="CW74" s="352">
        <f t="shared" si="32"/>
        <v>-3.6351243341525745E-3</v>
      </c>
      <c r="CX74" s="352">
        <f t="shared" si="47"/>
        <v>-122.174837094971</v>
      </c>
      <c r="CZ74" s="352">
        <f t="shared" si="65"/>
        <v>20.266441618859922</v>
      </c>
      <c r="DA74" s="352">
        <f t="shared" si="65"/>
        <v>-53.936656491661012</v>
      </c>
      <c r="DB74" s="352">
        <f t="shared" si="65"/>
        <v>-0.17583070393092015</v>
      </c>
      <c r="DC74" s="352">
        <f t="shared" si="48"/>
        <v>1.6997379994170099</v>
      </c>
      <c r="DD74" s="352">
        <f t="shared" si="66"/>
        <v>-32.146307577315</v>
      </c>
      <c r="DF74" s="352">
        <f t="shared" si="67"/>
        <v>7.3601211073474593</v>
      </c>
      <c r="DG74" s="352">
        <f t="shared" si="67"/>
        <v>138.55481095650916</v>
      </c>
      <c r="DH74" s="352">
        <f t="shared" si="67"/>
        <v>14.535833990742212</v>
      </c>
      <c r="DI74" s="352">
        <f t="shared" si="49"/>
        <v>1.6129011781752223E-3</v>
      </c>
      <c r="DJ74" s="352">
        <f t="shared" si="68"/>
        <v>160.45237895577699</v>
      </c>
    </row>
    <row r="75" spans="1:114" x14ac:dyDescent="0.2">
      <c r="A75">
        <v>70</v>
      </c>
      <c r="B75" s="397">
        <v>34308</v>
      </c>
      <c r="C75" s="398">
        <v>397997.79676138877</v>
      </c>
      <c r="D75" s="399">
        <v>21.860659038953823</v>
      </c>
      <c r="E75" s="399">
        <v>144.19098446310718</v>
      </c>
      <c r="F75" s="399">
        <v>20.442013611950607</v>
      </c>
      <c r="G75" s="399">
        <v>1.6327795913655435E-2</v>
      </c>
      <c r="H75" s="399">
        <v>186.50998490992529</v>
      </c>
      <c r="I75" s="400">
        <v>1.7881178855891557E-2</v>
      </c>
      <c r="J75" s="400">
        <v>7.1055635450782847E-2</v>
      </c>
      <c r="K75" s="400">
        <v>1.0351816099298809E-3</v>
      </c>
      <c r="L75" s="400">
        <v>0.57885637630467746</v>
      </c>
      <c r="M75" s="400">
        <v>0.5189436265242664</v>
      </c>
      <c r="N75" s="400">
        <v>0.41422525788217318</v>
      </c>
      <c r="O75" s="399">
        <f t="shared" si="35"/>
        <v>4.4702947139728888</v>
      </c>
      <c r="P75" s="399">
        <f t="shared" si="35"/>
        <v>0</v>
      </c>
      <c r="Q75" s="399">
        <f t="shared" si="35"/>
        <v>1.035181609929881</v>
      </c>
      <c r="R75" s="399">
        <f t="shared" si="33"/>
        <v>12.018485652942406</v>
      </c>
      <c r="S75" s="399">
        <f t="shared" si="33"/>
        <v>15.568308795727992</v>
      </c>
      <c r="T75" s="399">
        <f t="shared" si="33"/>
        <v>24.85351547293039</v>
      </c>
      <c r="U75" s="399">
        <f t="shared" si="50"/>
        <v>57.945786245503555</v>
      </c>
      <c r="V75" s="400">
        <v>1.4315214438213992E-3</v>
      </c>
      <c r="W75" s="400">
        <v>1.0272687273354879E-2</v>
      </c>
      <c r="X75" s="400">
        <v>7.5377301693923375E-6</v>
      </c>
      <c r="Y75" s="400">
        <v>0.11096217583353338</v>
      </c>
      <c r="Z75" s="400">
        <v>3.5604920718934369E-2</v>
      </c>
      <c r="AA75" s="400">
        <v>2.9334735254827042E-2</v>
      </c>
      <c r="AB75" s="352">
        <f t="shared" si="36"/>
        <v>0.35788036095534981</v>
      </c>
      <c r="AC75" s="352">
        <f t="shared" si="36"/>
        <v>0</v>
      </c>
      <c r="AD75" s="352">
        <f t="shared" si="36"/>
        <v>7.5377301693923373E-3</v>
      </c>
      <c r="AE75" s="352">
        <f t="shared" si="34"/>
        <v>3.9334355503399125</v>
      </c>
      <c r="AF75" s="352">
        <f t="shared" si="34"/>
        <v>1.068147621568031</v>
      </c>
      <c r="AG75" s="352">
        <f t="shared" si="34"/>
        <v>1.7600841152896225</v>
      </c>
      <c r="AH75" s="400">
        <f t="shared" si="51"/>
        <v>7.1270853783223078</v>
      </c>
      <c r="AJ75" s="352">
        <f>D75*('Assumptions-Output Override'!$D$10/'Winners-Losers Values PMPM'!$H$107)*(1+'Assumptions-Output Override'!$F$41)</f>
        <v>26.093144856084223</v>
      </c>
      <c r="AK75" s="352">
        <f>E75*('Assumptions-Output Override'!$D$10/'Winners-Losers Values PMPM'!$H$107)*(1+'Assumptions-Output Override'!$F$37)</f>
        <v>237.30645042026563</v>
      </c>
      <c r="AL75" s="352">
        <f>F75*('Assumptions-Output Override'!$D$10/'Winners-Losers Values PMPM'!$H$107)*(1+'Assumptions-Output Override'!$F$38)</f>
        <v>34.339433963779832</v>
      </c>
      <c r="AM75" s="352">
        <f>G75*('Shoppable Detail'!$X$21/'Shoppable Detail'!$H$21)*('Assumptions-Output Override'!$D$10/'Winners-Losers Values PMPM'!$H$107)*(1+'Assumptions-Output Override'!$F$39)</f>
        <v>2.7998771590542305E-2</v>
      </c>
      <c r="AN75" s="352">
        <f t="shared" si="52"/>
        <v>297.76702801172019</v>
      </c>
      <c r="AO75" s="352">
        <v>0</v>
      </c>
      <c r="AP75" s="352">
        <f>U75*'Assumptions-Output Override'!$D$10/'Winners-Losers Values PMPM'!$H$107*(1+'Assumptions-Output Override'!$F$37)</f>
        <v>95.365940540132854</v>
      </c>
      <c r="AQ75" s="352">
        <f>AH75*'Assumptions-Output Override'!$D$10/'Winners-Losers Values PMPM'!$H$107*(1+'Assumptions-Output Override'!$F$38)</f>
        <v>11.972405573589981</v>
      </c>
      <c r="AR75" s="352">
        <f>AM75*('Shoppable Detail'!$AA$23/'Shoppable Detail'!$Y$23)</f>
        <v>9.3552687689979291E-4</v>
      </c>
      <c r="AS75" s="352">
        <f t="shared" si="53"/>
        <v>107.33928164059974</v>
      </c>
      <c r="AT75" s="352">
        <f t="shared" si="54"/>
        <v>26.093144856084223</v>
      </c>
      <c r="AU75" s="352">
        <f t="shared" si="54"/>
        <v>141.94050988013277</v>
      </c>
      <c r="AV75" s="352">
        <f t="shared" si="54"/>
        <v>22.367028390189851</v>
      </c>
      <c r="AW75" s="352">
        <f t="shared" si="37"/>
        <v>2.7063244713642513E-2</v>
      </c>
      <c r="AX75" s="352">
        <f t="shared" si="55"/>
        <v>190.42774637112049</v>
      </c>
      <c r="AY75" s="352">
        <f>AT75*'Assumptions-Output Override'!$D$24</f>
        <v>7.9494311006001324</v>
      </c>
      <c r="AZ75" s="352">
        <f>$AU$107*'Assumptions-Output Override'!$D$21</f>
        <v>46.041131296780591</v>
      </c>
      <c r="BA75" s="352">
        <f>AV75*'Assumptions-Output Override'!$D$22</f>
        <v>3.3550542585284777</v>
      </c>
      <c r="BB75" s="352">
        <f>AW75*'Assumptions-Output Override'!$D$23</f>
        <v>4.0594867070463765E-3</v>
      </c>
      <c r="BC75" s="352">
        <f t="shared" si="56"/>
        <v>57.349676142616246</v>
      </c>
      <c r="BD75" s="352">
        <f t="shared" si="57"/>
        <v>7.9494311006001324</v>
      </c>
      <c r="BE75" s="352">
        <f t="shared" si="57"/>
        <v>141.40707183691345</v>
      </c>
      <c r="BF75" s="352">
        <f t="shared" si="57"/>
        <v>15.327459832118459</v>
      </c>
      <c r="BG75" s="352">
        <f t="shared" si="38"/>
        <v>4.9950135839461696E-3</v>
      </c>
      <c r="BH75" s="352">
        <f t="shared" si="58"/>
        <v>164.68895778321595</v>
      </c>
      <c r="BJ75" s="401">
        <f>D75*'Assumptions-Output Override'!$D$10/'Winners-Losers Values PMPM'!$H$107</f>
        <v>36.933109723755948</v>
      </c>
      <c r="BK75" s="401">
        <f>E75*'Assumptions-Output Override'!$D$10/'Winners-Losers Values PMPM'!$H$107</f>
        <v>243.60754361809865</v>
      </c>
      <c r="BL75" s="401">
        <f>F75*'Assumptions-Output Override'!$D$10/'Winners-Losers Values PMPM'!$H$107</f>
        <v>34.536339017015081</v>
      </c>
      <c r="BM75" s="401">
        <f>G75*'Assumptions-Output Override'!$D$10/'Winners-Losers Values PMPM'!$H$107</f>
        <v>2.7585457371233458E-2</v>
      </c>
      <c r="BN75" s="401">
        <f t="shared" si="39"/>
        <v>315.10457781624092</v>
      </c>
      <c r="BO75" s="401">
        <f>BJ75*(1-'Assumptions-Output Override'!$D$11)</f>
        <v>5.2636987647029496</v>
      </c>
      <c r="BP75" s="401">
        <f>BK75*(1-'Assumptions-Output Override'!$D$11)</f>
        <v>34.718894130653865</v>
      </c>
      <c r="BQ75" s="401">
        <f>BL75*(1-'Assumptions-Output Override'!$D$11)</f>
        <v>4.9221115248872511</v>
      </c>
      <c r="BR75" s="401">
        <f>BM75*(1-'Assumptions-Output Override'!$D$11)</f>
        <v>3.9314733845802197E-3</v>
      </c>
      <c r="BS75" s="352">
        <f t="shared" si="40"/>
        <v>44.908635893628649</v>
      </c>
      <c r="BT75" s="352">
        <f t="shared" si="59"/>
        <v>31.669410959052996</v>
      </c>
      <c r="BU75" s="352">
        <f t="shared" si="59"/>
        <v>208.88864948744478</v>
      </c>
      <c r="BV75" s="352">
        <f t="shared" si="59"/>
        <v>29.614227492127831</v>
      </c>
      <c r="BW75" s="352">
        <f t="shared" si="41"/>
        <v>2.3653983986653238E-2</v>
      </c>
      <c r="BX75" s="352">
        <f t="shared" si="42"/>
        <v>270.19594192261229</v>
      </c>
      <c r="BY75" s="352">
        <f>BT$107*(1-'Assumptions-Output Override'!$D$12)</f>
        <v>22.753074310428271</v>
      </c>
      <c r="BZ75" s="352">
        <f>BU$107*(1-'Assumptions-Output Override'!$D$12)</f>
        <v>51.446038369839215</v>
      </c>
      <c r="CA75" s="352">
        <f>BV$107*(1-'Assumptions-Output Override'!$D$12)</f>
        <v>9.7401900534537411</v>
      </c>
      <c r="CB75" s="352">
        <f>BW$107*(1-'Assumptions-Output Override'!$D$12)</f>
        <v>1.7000814189516649</v>
      </c>
      <c r="CC75" s="352">
        <f t="shared" si="43"/>
        <v>85.639384152672903</v>
      </c>
      <c r="CD75" s="352">
        <f t="shared" si="60"/>
        <v>28.016773075131219</v>
      </c>
      <c r="CE75" s="352">
        <f t="shared" si="60"/>
        <v>86.16493250049308</v>
      </c>
      <c r="CF75" s="352">
        <f t="shared" si="60"/>
        <v>14.662301578340992</v>
      </c>
      <c r="CG75" s="352">
        <f t="shared" si="44"/>
        <v>1.704012892336245</v>
      </c>
      <c r="CH75" s="352">
        <f t="shared" si="45"/>
        <v>130.54802004630153</v>
      </c>
      <c r="CJ75" s="352">
        <f t="shared" si="61"/>
        <v>130.54802004630153</v>
      </c>
      <c r="CK75" s="352">
        <f t="shared" si="62"/>
        <v>164.68895778321595</v>
      </c>
      <c r="CL75" s="352">
        <f t="shared" si="63"/>
        <v>-34.140937736914424</v>
      </c>
      <c r="CN75" s="352">
        <f t="shared" si="64"/>
        <v>21.860659038953823</v>
      </c>
      <c r="CO75" s="352">
        <f t="shared" si="64"/>
        <v>144.19098446310718</v>
      </c>
      <c r="CP75" s="352">
        <f t="shared" si="64"/>
        <v>20.442013611950607</v>
      </c>
      <c r="CQ75" s="352">
        <f t="shared" si="46"/>
        <v>1.6327795913655435E-2</v>
      </c>
      <c r="CR75" s="352">
        <f t="shared" si="69"/>
        <v>186.50998490992529</v>
      </c>
      <c r="CT75" s="352">
        <f t="shared" si="32"/>
        <v>-15.072450684802124</v>
      </c>
      <c r="CU75" s="352">
        <f t="shared" si="32"/>
        <v>-99.416559154991461</v>
      </c>
      <c r="CV75" s="352">
        <f t="shared" si="32"/>
        <v>-14.094325405064474</v>
      </c>
      <c r="CW75" s="352">
        <f t="shared" si="32"/>
        <v>-1.1257661457578023E-2</v>
      </c>
      <c r="CX75" s="352">
        <f t="shared" si="47"/>
        <v>-128.59459290631565</v>
      </c>
      <c r="CZ75" s="352">
        <f t="shared" si="65"/>
        <v>20.067341974531086</v>
      </c>
      <c r="DA75" s="352">
        <f t="shared" si="65"/>
        <v>-55.242139336420365</v>
      </c>
      <c r="DB75" s="352">
        <f t="shared" si="65"/>
        <v>-0.66515825377746651</v>
      </c>
      <c r="DC75" s="352">
        <f t="shared" si="48"/>
        <v>1.6990178787522987</v>
      </c>
      <c r="DD75" s="352">
        <f t="shared" si="66"/>
        <v>-34.140937736914438</v>
      </c>
      <c r="DF75" s="352">
        <f t="shared" si="67"/>
        <v>7.9494311006001324</v>
      </c>
      <c r="DG75" s="352">
        <f t="shared" si="67"/>
        <v>141.40707183691345</v>
      </c>
      <c r="DH75" s="352">
        <f t="shared" si="67"/>
        <v>15.327459832118459</v>
      </c>
      <c r="DI75" s="352">
        <f t="shared" si="49"/>
        <v>4.9950135839461696E-3</v>
      </c>
      <c r="DJ75" s="352">
        <f t="shared" si="68"/>
        <v>164.68895778321595</v>
      </c>
    </row>
    <row r="76" spans="1:114" x14ac:dyDescent="0.2">
      <c r="A76">
        <v>71</v>
      </c>
      <c r="B76" s="397">
        <v>34308</v>
      </c>
      <c r="C76" s="398">
        <v>397997.79676138877</v>
      </c>
      <c r="D76" s="399">
        <v>23.965166421917225</v>
      </c>
      <c r="E76" s="399">
        <v>150.81783016607534</v>
      </c>
      <c r="F76" s="399">
        <v>21.656846214449615</v>
      </c>
      <c r="G76" s="399">
        <v>1.1526620552741781E-2</v>
      </c>
      <c r="H76" s="399">
        <v>196.4513694229949</v>
      </c>
      <c r="I76" s="400">
        <v>1.9353291536415521E-2</v>
      </c>
      <c r="J76" s="400">
        <v>7.41645378235503E-2</v>
      </c>
      <c r="K76" s="400">
        <v>1.1206092185163275E-3</v>
      </c>
      <c r="L76" s="400">
        <v>0.59625677929609644</v>
      </c>
      <c r="M76" s="400">
        <v>0.53084856679919867</v>
      </c>
      <c r="N76" s="400">
        <v>0.42901232466468187</v>
      </c>
      <c r="O76" s="399">
        <f t="shared" si="35"/>
        <v>4.8383228841038806</v>
      </c>
      <c r="P76" s="399">
        <f t="shared" si="35"/>
        <v>0</v>
      </c>
      <c r="Q76" s="399">
        <f t="shared" si="35"/>
        <v>1.1206092185163274</v>
      </c>
      <c r="R76" s="399">
        <f t="shared" si="33"/>
        <v>12.379760923058308</v>
      </c>
      <c r="S76" s="399">
        <f t="shared" si="33"/>
        <v>15.925457003975961</v>
      </c>
      <c r="T76" s="399">
        <f t="shared" si="33"/>
        <v>25.740739479880911</v>
      </c>
      <c r="U76" s="399">
        <f t="shared" si="50"/>
        <v>60.004889509535388</v>
      </c>
      <c r="V76" s="400">
        <v>1.6860417352206863E-3</v>
      </c>
      <c r="W76" s="400">
        <v>1.1397542805100053E-2</v>
      </c>
      <c r="X76" s="400">
        <v>1.5075460338784675E-5</v>
      </c>
      <c r="Y76" s="400">
        <v>0.11276073102774481</v>
      </c>
      <c r="Z76" s="400">
        <v>3.5888942391717318E-2</v>
      </c>
      <c r="AA76" s="400">
        <v>2.9969713644296653E-2</v>
      </c>
      <c r="AB76" s="352">
        <f t="shared" si="36"/>
        <v>0.42151043380517156</v>
      </c>
      <c r="AC76" s="352">
        <f t="shared" si="36"/>
        <v>0</v>
      </c>
      <c r="AD76" s="352">
        <f t="shared" si="36"/>
        <v>1.5075460338784675E-2</v>
      </c>
      <c r="AE76" s="352">
        <f t="shared" si="34"/>
        <v>3.9971915184165749</v>
      </c>
      <c r="AF76" s="352">
        <f t="shared" si="34"/>
        <v>1.0766682717515195</v>
      </c>
      <c r="AG76" s="352">
        <f t="shared" si="34"/>
        <v>1.7981828186577991</v>
      </c>
      <c r="AH76" s="400">
        <f t="shared" si="51"/>
        <v>7.3086285029698494</v>
      </c>
      <c r="AJ76" s="352">
        <f>D76*('Assumptions-Output Override'!$D$10/'Winners-Losers Values PMPM'!$H$107)*(1+'Assumptions-Output Override'!$F$41)</f>
        <v>28.605110112781748</v>
      </c>
      <c r="AK76" s="352">
        <f>E76*('Assumptions-Output Override'!$D$10/'Winners-Losers Values PMPM'!$H$107)*(1+'Assumptions-Output Override'!$F$37)</f>
        <v>248.21277190152668</v>
      </c>
      <c r="AL76" s="352">
        <f>F76*('Assumptions-Output Override'!$D$10/'Winners-Losers Values PMPM'!$H$107)*(1+'Assumptions-Output Override'!$F$38)</f>
        <v>36.380165602182302</v>
      </c>
      <c r="AM76" s="352">
        <f>G76*('Shoppable Detail'!$X$21/'Shoppable Detail'!$H$21)*('Assumptions-Output Override'!$D$10/'Winners-Losers Values PMPM'!$H$107)*(1+'Assumptions-Output Override'!$F$39)</f>
        <v>1.9765755143788734E-2</v>
      </c>
      <c r="AN76" s="352">
        <f t="shared" si="52"/>
        <v>313.21781337163452</v>
      </c>
      <c r="AO76" s="352">
        <v>0</v>
      </c>
      <c r="AP76" s="352">
        <f>U76*'Assumptions-Output Override'!$D$10/'Winners-Losers Values PMPM'!$H$107*(1+'Assumptions-Output Override'!$F$37)</f>
        <v>98.754768825449133</v>
      </c>
      <c r="AQ76" s="352">
        <f>AH76*'Assumptions-Output Override'!$D$10/'Winners-Losers Values PMPM'!$H$107*(1+'Assumptions-Output Override'!$F$38)</f>
        <v>12.277370057948215</v>
      </c>
      <c r="AR76" s="352">
        <f>AM76*('Shoppable Detail'!$AA$23/'Shoppable Detail'!$Y$23)</f>
        <v>6.6043594517842675E-4</v>
      </c>
      <c r="AS76" s="352">
        <f t="shared" si="53"/>
        <v>111.03279931934253</v>
      </c>
      <c r="AT76" s="352">
        <f t="shared" si="54"/>
        <v>28.605110112781748</v>
      </c>
      <c r="AU76" s="352">
        <f t="shared" si="54"/>
        <v>149.45800307607755</v>
      </c>
      <c r="AV76" s="352">
        <f t="shared" si="54"/>
        <v>24.102795544234088</v>
      </c>
      <c r="AW76" s="352">
        <f t="shared" si="37"/>
        <v>1.9105319198610308E-2</v>
      </c>
      <c r="AX76" s="352">
        <f t="shared" si="55"/>
        <v>202.18501405229199</v>
      </c>
      <c r="AY76" s="352">
        <f>AT76*'Assumptions-Output Override'!$D$24</f>
        <v>8.7147161915830278</v>
      </c>
      <c r="AZ76" s="352">
        <f>$AU$107*'Assumptions-Output Override'!$D$21</f>
        <v>46.041131296780591</v>
      </c>
      <c r="BA76" s="352">
        <f>AV76*'Assumptions-Output Override'!$D$22</f>
        <v>3.6154193316351129</v>
      </c>
      <c r="BB76" s="352">
        <f>AW76*'Assumptions-Output Override'!$D$23</f>
        <v>2.8657978797915463E-3</v>
      </c>
      <c r="BC76" s="352">
        <f t="shared" si="56"/>
        <v>58.374132617878523</v>
      </c>
      <c r="BD76" s="352">
        <f t="shared" si="57"/>
        <v>8.7147161915830278</v>
      </c>
      <c r="BE76" s="352">
        <f t="shared" si="57"/>
        <v>144.79590012222974</v>
      </c>
      <c r="BF76" s="352">
        <f t="shared" si="57"/>
        <v>15.892789389583328</v>
      </c>
      <c r="BG76" s="352">
        <f t="shared" si="38"/>
        <v>3.5262338249699731E-3</v>
      </c>
      <c r="BH76" s="352">
        <f t="shared" si="58"/>
        <v>169.40693193722106</v>
      </c>
      <c r="BJ76" s="401">
        <f>D76*'Assumptions-Output Override'!$D$10/'Winners-Losers Values PMPM'!$H$107</f>
        <v>40.488629342397843</v>
      </c>
      <c r="BK76" s="401">
        <f>E76*'Assumptions-Output Override'!$D$10/'Winners-Losers Values PMPM'!$H$107</f>
        <v>254.80345582888791</v>
      </c>
      <c r="BL76" s="401">
        <f>F76*'Assumptions-Output Override'!$D$10/'Winners-Losers Values PMPM'!$H$107</f>
        <v>36.588772373399337</v>
      </c>
      <c r="BM76" s="401">
        <f>G76*'Assumptions-Output Override'!$D$10/'Winners-Losers Values PMPM'!$H$107</f>
        <v>1.9473975640895674E-2</v>
      </c>
      <c r="BN76" s="401">
        <f t="shared" si="39"/>
        <v>331.90033152032601</v>
      </c>
      <c r="BO76" s="401">
        <f>BJ76*(1-'Assumptions-Output Override'!$D$11)</f>
        <v>5.7704306474093912</v>
      </c>
      <c r="BP76" s="401">
        <f>BK76*(1-'Assumptions-Output Override'!$D$11)</f>
        <v>36.314533103771481</v>
      </c>
      <c r="BQ76" s="401">
        <f>BL76*(1-'Assumptions-Output Override'!$D$11)</f>
        <v>5.2146238804251341</v>
      </c>
      <c r="BR76" s="401">
        <f>BM76*(1-'Assumptions-Output Override'!$D$11)</f>
        <v>2.7754267726582738E-3</v>
      </c>
      <c r="BS76" s="352">
        <f t="shared" si="40"/>
        <v>47.302363058378667</v>
      </c>
      <c r="BT76" s="352">
        <f t="shared" si="59"/>
        <v>34.718198694988452</v>
      </c>
      <c r="BU76" s="352">
        <f t="shared" si="59"/>
        <v>218.48892272511642</v>
      </c>
      <c r="BV76" s="352">
        <f t="shared" si="59"/>
        <v>31.374148492974204</v>
      </c>
      <c r="BW76" s="352">
        <f t="shared" si="41"/>
        <v>1.6698548868237399E-2</v>
      </c>
      <c r="BX76" s="352">
        <f t="shared" si="42"/>
        <v>284.59796846194735</v>
      </c>
      <c r="BY76" s="352">
        <f>BT$107*(1-'Assumptions-Output Override'!$D$12)</f>
        <v>22.753074310428271</v>
      </c>
      <c r="BZ76" s="352">
        <f>BU$107*(1-'Assumptions-Output Override'!$D$12)</f>
        <v>51.446038369839215</v>
      </c>
      <c r="CA76" s="352">
        <f>BV$107*(1-'Assumptions-Output Override'!$D$12)</f>
        <v>9.7401900534537411</v>
      </c>
      <c r="CB76" s="352">
        <f>BW$107*(1-'Assumptions-Output Override'!$D$12)</f>
        <v>1.7000814189516649</v>
      </c>
      <c r="CC76" s="352">
        <f t="shared" si="43"/>
        <v>85.639384152672903</v>
      </c>
      <c r="CD76" s="352">
        <f t="shared" si="60"/>
        <v>28.523504957837662</v>
      </c>
      <c r="CE76" s="352">
        <f t="shared" si="60"/>
        <v>87.760571473610696</v>
      </c>
      <c r="CF76" s="352">
        <f t="shared" si="60"/>
        <v>14.954813933878874</v>
      </c>
      <c r="CG76" s="352">
        <f t="shared" si="44"/>
        <v>1.7028568457243232</v>
      </c>
      <c r="CH76" s="352">
        <f t="shared" si="45"/>
        <v>132.94174721105153</v>
      </c>
      <c r="CJ76" s="352">
        <f t="shared" si="61"/>
        <v>132.94174721105153</v>
      </c>
      <c r="CK76" s="352">
        <f t="shared" si="62"/>
        <v>169.40693193722106</v>
      </c>
      <c r="CL76" s="352">
        <f t="shared" si="63"/>
        <v>-36.465184726169525</v>
      </c>
      <c r="CN76" s="352">
        <f t="shared" si="64"/>
        <v>23.965166421917225</v>
      </c>
      <c r="CO76" s="352">
        <f t="shared" si="64"/>
        <v>150.81783016607534</v>
      </c>
      <c r="CP76" s="352">
        <f t="shared" si="64"/>
        <v>21.656846214449615</v>
      </c>
      <c r="CQ76" s="352">
        <f t="shared" si="46"/>
        <v>1.1526620552741781E-2</v>
      </c>
      <c r="CR76" s="352">
        <f t="shared" si="69"/>
        <v>196.4513694229949</v>
      </c>
      <c r="CT76" s="352">
        <f t="shared" si="32"/>
        <v>-16.523462920480618</v>
      </c>
      <c r="CU76" s="352">
        <f t="shared" si="32"/>
        <v>-103.98562566281257</v>
      </c>
      <c r="CV76" s="352">
        <f t="shared" si="32"/>
        <v>-14.931926158949722</v>
      </c>
      <c r="CW76" s="352">
        <f t="shared" si="32"/>
        <v>-7.9473550881538936E-3</v>
      </c>
      <c r="CX76" s="352">
        <f t="shared" si="47"/>
        <v>-135.44896209733108</v>
      </c>
      <c r="CZ76" s="352">
        <f t="shared" si="65"/>
        <v>19.808788766254636</v>
      </c>
      <c r="DA76" s="352">
        <f t="shared" si="65"/>
        <v>-57.035328648619043</v>
      </c>
      <c r="DB76" s="352">
        <f t="shared" si="65"/>
        <v>-0.93797545570445351</v>
      </c>
      <c r="DC76" s="352">
        <f t="shared" si="48"/>
        <v>1.6993306118993532</v>
      </c>
      <c r="DD76" s="352">
        <f t="shared" si="66"/>
        <v>-36.465184726169504</v>
      </c>
      <c r="DF76" s="352">
        <f t="shared" si="67"/>
        <v>8.7147161915830278</v>
      </c>
      <c r="DG76" s="352">
        <f t="shared" si="67"/>
        <v>144.79590012222974</v>
      </c>
      <c r="DH76" s="352">
        <f t="shared" si="67"/>
        <v>15.892789389583328</v>
      </c>
      <c r="DI76" s="352">
        <f t="shared" si="49"/>
        <v>3.5262338249699731E-3</v>
      </c>
      <c r="DJ76" s="352">
        <f t="shared" si="68"/>
        <v>169.40693193722106</v>
      </c>
    </row>
    <row r="77" spans="1:114" x14ac:dyDescent="0.2">
      <c r="A77">
        <v>72</v>
      </c>
      <c r="B77" s="397">
        <v>34308</v>
      </c>
      <c r="C77" s="398">
        <v>397997.79676138877</v>
      </c>
      <c r="D77" s="399">
        <v>26.029633046888605</v>
      </c>
      <c r="E77" s="399">
        <v>157.76869683174851</v>
      </c>
      <c r="F77" s="399">
        <v>23.281233717809254</v>
      </c>
      <c r="G77" s="399">
        <v>0</v>
      </c>
      <c r="H77" s="399">
        <v>207.07956359644635</v>
      </c>
      <c r="I77" s="400">
        <v>1.9920928205600739E-2</v>
      </c>
      <c r="J77" s="400">
        <v>7.7504237523348868E-2</v>
      </c>
      <c r="K77" s="400">
        <v>1.3266405098130514E-3</v>
      </c>
      <c r="L77" s="400">
        <v>0.60914388617597692</v>
      </c>
      <c r="M77" s="400">
        <v>0.54051480121382156</v>
      </c>
      <c r="N77" s="400">
        <v>0.44053253919176594</v>
      </c>
      <c r="O77" s="399">
        <f t="shared" si="35"/>
        <v>4.9802320514001845</v>
      </c>
      <c r="P77" s="399">
        <f t="shared" si="35"/>
        <v>0</v>
      </c>
      <c r="Q77" s="399">
        <f t="shared" si="35"/>
        <v>1.3266405098130514</v>
      </c>
      <c r="R77" s="399">
        <f t="shared" si="33"/>
        <v>12.64732903750585</v>
      </c>
      <c r="S77" s="399">
        <f t="shared" si="33"/>
        <v>16.215444036414645</v>
      </c>
      <c r="T77" s="399">
        <f t="shared" si="33"/>
        <v>26.431952351505956</v>
      </c>
      <c r="U77" s="399">
        <f t="shared" si="50"/>
        <v>61.601597986639689</v>
      </c>
      <c r="V77" s="400">
        <v>1.7866082893833325E-3</v>
      </c>
      <c r="W77" s="400">
        <v>1.1993492755693551E-2</v>
      </c>
      <c r="X77" s="400">
        <v>2.2613190508177012E-5</v>
      </c>
      <c r="Y77" s="400">
        <v>0.11807179749617773</v>
      </c>
      <c r="Z77" s="400">
        <v>3.6914676713167983E-2</v>
      </c>
      <c r="AA77" s="400">
        <v>3.226721379992744E-2</v>
      </c>
      <c r="AB77" s="352">
        <f t="shared" si="36"/>
        <v>0.4466520723458331</v>
      </c>
      <c r="AC77" s="352">
        <f t="shared" si="36"/>
        <v>0</v>
      </c>
      <c r="AD77" s="352">
        <f t="shared" si="36"/>
        <v>2.2613190508177013E-2</v>
      </c>
      <c r="AE77" s="352">
        <f t="shared" si="34"/>
        <v>4.1854605163901981</v>
      </c>
      <c r="AF77" s="352">
        <f t="shared" si="34"/>
        <v>1.1074403013950396</v>
      </c>
      <c r="AG77" s="352">
        <f t="shared" si="34"/>
        <v>1.9360328279956465</v>
      </c>
      <c r="AH77" s="400">
        <f t="shared" si="51"/>
        <v>7.6981989086348932</v>
      </c>
      <c r="AJ77" s="352">
        <f>D77*('Assumptions-Output Override'!$D$10/'Winners-Losers Values PMPM'!$H$107)*(1+'Assumptions-Output Override'!$F$41)</f>
        <v>31.069282240435381</v>
      </c>
      <c r="AK77" s="352">
        <f>E77*('Assumptions-Output Override'!$D$10/'Winners-Losers Values PMPM'!$H$107)*(1+'Assumptions-Output Override'!$F$37)</f>
        <v>259.65236018034506</v>
      </c>
      <c r="AL77" s="352">
        <f>F77*('Assumptions-Output Override'!$D$10/'Winners-Losers Values PMPM'!$H$107)*(1+'Assumptions-Output Override'!$F$38)</f>
        <v>39.108886385862718</v>
      </c>
      <c r="AM77" s="352">
        <f>G77*('Shoppable Detail'!$X$21/'Shoppable Detail'!$H$21)*('Assumptions-Output Override'!$D$10/'Winners-Losers Values PMPM'!$H$107)*(1+'Assumptions-Output Override'!$F$39)</f>
        <v>0</v>
      </c>
      <c r="AN77" s="352">
        <f t="shared" si="52"/>
        <v>329.83052880664314</v>
      </c>
      <c r="AO77" s="352">
        <v>0</v>
      </c>
      <c r="AP77" s="352">
        <f>U77*'Assumptions-Output Override'!$D$10/'Winners-Losers Values PMPM'!$H$107*(1+'Assumptions-Output Override'!$F$37)</f>
        <v>101.38259762118437</v>
      </c>
      <c r="AQ77" s="352">
        <f>AH77*'Assumptions-Output Override'!$D$10/'Winners-Losers Values PMPM'!$H$107*(1+'Assumptions-Output Override'!$F$38)</f>
        <v>12.931788329725364</v>
      </c>
      <c r="AR77" s="352">
        <f>AM77*('Shoppable Detail'!$AA$23/'Shoppable Detail'!$Y$23)</f>
        <v>0</v>
      </c>
      <c r="AS77" s="352">
        <f t="shared" si="53"/>
        <v>114.31438595090974</v>
      </c>
      <c r="AT77" s="352">
        <f t="shared" si="54"/>
        <v>31.069282240435381</v>
      </c>
      <c r="AU77" s="352">
        <f t="shared" si="54"/>
        <v>158.26976255916068</v>
      </c>
      <c r="AV77" s="352">
        <f t="shared" si="54"/>
        <v>26.177098056137353</v>
      </c>
      <c r="AW77" s="352">
        <f t="shared" si="37"/>
        <v>0</v>
      </c>
      <c r="AX77" s="352">
        <f t="shared" si="55"/>
        <v>215.51614285573339</v>
      </c>
      <c r="AY77" s="352">
        <f>AT77*'Assumptions-Output Override'!$D$24</f>
        <v>9.4654408227780387</v>
      </c>
      <c r="AZ77" s="352">
        <f>$AU$107*'Assumptions-Output Override'!$D$21</f>
        <v>46.041131296780591</v>
      </c>
      <c r="BA77" s="352">
        <f>AV77*'Assumptions-Output Override'!$D$22</f>
        <v>3.926564708420603</v>
      </c>
      <c r="BB77" s="352">
        <f>AW77*'Assumptions-Output Override'!$D$23</f>
        <v>0</v>
      </c>
      <c r="BC77" s="352">
        <f t="shared" si="56"/>
        <v>59.433136827979226</v>
      </c>
      <c r="BD77" s="352">
        <f t="shared" si="57"/>
        <v>9.4654408227780387</v>
      </c>
      <c r="BE77" s="352">
        <f t="shared" si="57"/>
        <v>147.42372891796498</v>
      </c>
      <c r="BF77" s="352">
        <f t="shared" si="57"/>
        <v>16.858353038145967</v>
      </c>
      <c r="BG77" s="352">
        <f t="shared" si="38"/>
        <v>0</v>
      </c>
      <c r="BH77" s="352">
        <f t="shared" si="58"/>
        <v>173.74752277888899</v>
      </c>
      <c r="BJ77" s="401">
        <f>D77*'Assumptions-Output Override'!$D$10/'Winners-Losers Values PMPM'!$H$107</f>
        <v>43.976500968099259</v>
      </c>
      <c r="BK77" s="401">
        <f>E77*'Assumptions-Output Override'!$D$10/'Winners-Losers Values PMPM'!$H$107</f>
        <v>266.54679443460225</v>
      </c>
      <c r="BL77" s="401">
        <f>F77*'Assumptions-Output Override'!$D$10/'Winners-Losers Values PMPM'!$H$107</f>
        <v>39.33313985969405</v>
      </c>
      <c r="BM77" s="401">
        <f>G77*'Assumptions-Output Override'!$D$10/'Winners-Losers Values PMPM'!$H$107</f>
        <v>0</v>
      </c>
      <c r="BN77" s="401">
        <f t="shared" si="39"/>
        <v>349.85643526239551</v>
      </c>
      <c r="BO77" s="401">
        <f>BJ77*(1-'Assumptions-Output Override'!$D$11)</f>
        <v>6.2675213528757157</v>
      </c>
      <c r="BP77" s="401">
        <f>BK77*(1-'Assumptions-Output Override'!$D$11)</f>
        <v>37.988191167625978</v>
      </c>
      <c r="BQ77" s="401">
        <f>BL77*(1-'Assumptions-Output Override'!$D$11)</f>
        <v>5.6057505376588965</v>
      </c>
      <c r="BR77" s="401">
        <f>BM77*(1-'Assumptions-Output Override'!$D$11)</f>
        <v>0</v>
      </c>
      <c r="BS77" s="352">
        <f t="shared" si="40"/>
        <v>49.861463058160595</v>
      </c>
      <c r="BT77" s="352">
        <f t="shared" si="59"/>
        <v>37.708979615223541</v>
      </c>
      <c r="BU77" s="352">
        <f t="shared" si="59"/>
        <v>228.55860326697626</v>
      </c>
      <c r="BV77" s="352">
        <f t="shared" si="59"/>
        <v>33.727389322035151</v>
      </c>
      <c r="BW77" s="352">
        <f t="shared" si="41"/>
        <v>0</v>
      </c>
      <c r="BX77" s="352">
        <f t="shared" si="42"/>
        <v>299.99497220423495</v>
      </c>
      <c r="BY77" s="352">
        <f>BT$107*(1-'Assumptions-Output Override'!$D$12)</f>
        <v>22.753074310428271</v>
      </c>
      <c r="BZ77" s="352">
        <f>BU$107*(1-'Assumptions-Output Override'!$D$12)</f>
        <v>51.446038369839215</v>
      </c>
      <c r="CA77" s="352">
        <f>BV$107*(1-'Assumptions-Output Override'!$D$12)</f>
        <v>9.7401900534537411</v>
      </c>
      <c r="CB77" s="352">
        <f>BW$107*(1-'Assumptions-Output Override'!$D$12)</f>
        <v>1.7000814189516649</v>
      </c>
      <c r="CC77" s="352">
        <f t="shared" si="43"/>
        <v>85.639384152672903</v>
      </c>
      <c r="CD77" s="352">
        <f t="shared" si="60"/>
        <v>29.020595663303986</v>
      </c>
      <c r="CE77" s="352">
        <f t="shared" si="60"/>
        <v>89.4342295374652</v>
      </c>
      <c r="CF77" s="352">
        <f t="shared" si="60"/>
        <v>15.345940591112637</v>
      </c>
      <c r="CG77" s="352">
        <f t="shared" si="44"/>
        <v>1.7000814189516649</v>
      </c>
      <c r="CH77" s="352">
        <f t="shared" si="45"/>
        <v>135.50084721083348</v>
      </c>
      <c r="CJ77" s="352">
        <f t="shared" si="61"/>
        <v>135.50084721083348</v>
      </c>
      <c r="CK77" s="352">
        <f t="shared" si="62"/>
        <v>173.74752277888899</v>
      </c>
      <c r="CL77" s="352">
        <f t="shared" si="63"/>
        <v>-38.246675568055508</v>
      </c>
      <c r="CN77" s="352">
        <f t="shared" si="64"/>
        <v>26.029633046888605</v>
      </c>
      <c r="CO77" s="352">
        <f t="shared" si="64"/>
        <v>157.76869683174851</v>
      </c>
      <c r="CP77" s="352">
        <f t="shared" si="64"/>
        <v>23.281233717809254</v>
      </c>
      <c r="CQ77" s="352">
        <f t="shared" si="46"/>
        <v>0</v>
      </c>
      <c r="CR77" s="352">
        <f t="shared" si="69"/>
        <v>207.07956359644635</v>
      </c>
      <c r="CT77" s="352">
        <f t="shared" si="32"/>
        <v>-17.946867921210654</v>
      </c>
      <c r="CU77" s="352">
        <f t="shared" si="32"/>
        <v>-108.77809760285373</v>
      </c>
      <c r="CV77" s="352">
        <f t="shared" si="32"/>
        <v>-16.051906141884796</v>
      </c>
      <c r="CW77" s="352">
        <f t="shared" si="32"/>
        <v>0</v>
      </c>
      <c r="CX77" s="352">
        <f t="shared" si="47"/>
        <v>-142.77687166594919</v>
      </c>
      <c r="CZ77" s="352">
        <f t="shared" si="65"/>
        <v>19.555154840525947</v>
      </c>
      <c r="DA77" s="352">
        <f t="shared" si="65"/>
        <v>-57.98949938049978</v>
      </c>
      <c r="DB77" s="352">
        <f t="shared" si="65"/>
        <v>-1.5124124470333307</v>
      </c>
      <c r="DC77" s="352">
        <f t="shared" si="48"/>
        <v>1.7000814189516649</v>
      </c>
      <c r="DD77" s="352">
        <f t="shared" si="66"/>
        <v>-38.246675568055501</v>
      </c>
      <c r="DF77" s="352">
        <f t="shared" si="67"/>
        <v>9.4654408227780387</v>
      </c>
      <c r="DG77" s="352">
        <f t="shared" si="67"/>
        <v>147.42372891796498</v>
      </c>
      <c r="DH77" s="352">
        <f t="shared" si="67"/>
        <v>16.858353038145967</v>
      </c>
      <c r="DI77" s="352">
        <f t="shared" si="49"/>
        <v>0</v>
      </c>
      <c r="DJ77" s="352">
        <f t="shared" si="68"/>
        <v>173.74752277888899</v>
      </c>
    </row>
    <row r="78" spans="1:114" x14ac:dyDescent="0.2">
      <c r="A78">
        <v>73</v>
      </c>
      <c r="B78" s="397">
        <v>34308</v>
      </c>
      <c r="C78" s="398">
        <v>397997.79676138877</v>
      </c>
      <c r="D78" s="399">
        <v>27.816555038778873</v>
      </c>
      <c r="E78" s="399">
        <v>165.82937289455839</v>
      </c>
      <c r="F78" s="399">
        <v>24.701125531559828</v>
      </c>
      <c r="G78" s="399">
        <v>1.2503682808213181E-2</v>
      </c>
      <c r="H78" s="399">
        <v>218.35955714770529</v>
      </c>
      <c r="I78" s="400">
        <v>2.1160996005974306E-2</v>
      </c>
      <c r="J78" s="400">
        <v>8.1052278594035243E-2</v>
      </c>
      <c r="K78" s="400">
        <v>1.7160899018983222E-3</v>
      </c>
      <c r="L78" s="400">
        <v>0.62464792998576824</v>
      </c>
      <c r="M78" s="400">
        <v>0.55505146460010057</v>
      </c>
      <c r="N78" s="400">
        <v>0.46163275650035007</v>
      </c>
      <c r="O78" s="399">
        <f t="shared" si="35"/>
        <v>5.2902490014935761</v>
      </c>
      <c r="P78" s="399">
        <f t="shared" si="35"/>
        <v>0</v>
      </c>
      <c r="Q78" s="399">
        <f t="shared" si="35"/>
        <v>1.7160899018983222</v>
      </c>
      <c r="R78" s="399">
        <f t="shared" si="33"/>
        <v>12.969231215175723</v>
      </c>
      <c r="S78" s="399">
        <f t="shared" si="33"/>
        <v>16.651543938003016</v>
      </c>
      <c r="T78" s="399">
        <f t="shared" si="33"/>
        <v>27.697965390021004</v>
      </c>
      <c r="U78" s="399">
        <f t="shared" si="50"/>
        <v>64.325079446591644</v>
      </c>
      <c r="V78" s="400">
        <v>1.7468782926771018E-3</v>
      </c>
      <c r="W78" s="400">
        <v>1.2212007737577834E-2</v>
      </c>
      <c r="X78" s="400">
        <v>1.2562883615653895E-5</v>
      </c>
      <c r="Y78" s="400">
        <v>0.12129425466454974</v>
      </c>
      <c r="Z78" s="400">
        <v>3.8403529176226352E-2</v>
      </c>
      <c r="AA78" s="400">
        <v>3.3010735503836298E-2</v>
      </c>
      <c r="AB78" s="352">
        <f t="shared" si="36"/>
        <v>0.43671957316927545</v>
      </c>
      <c r="AC78" s="352">
        <f t="shared" si="36"/>
        <v>0</v>
      </c>
      <c r="AD78" s="352">
        <f t="shared" si="36"/>
        <v>1.2562883615653895E-2</v>
      </c>
      <c r="AE78" s="352">
        <f t="shared" si="34"/>
        <v>4.2996915819790509</v>
      </c>
      <c r="AF78" s="352">
        <f t="shared" si="34"/>
        <v>1.1521058752867905</v>
      </c>
      <c r="AG78" s="352">
        <f t="shared" si="34"/>
        <v>1.9806441302301778</v>
      </c>
      <c r="AH78" s="400">
        <f t="shared" si="51"/>
        <v>7.881724044280948</v>
      </c>
      <c r="AJ78" s="352">
        <f>D78*('Assumptions-Output Override'!$D$10/'Winners-Losers Values PMPM'!$H$107)*(1+'Assumptions-Output Override'!$F$41)</f>
        <v>33.202173764786551</v>
      </c>
      <c r="AK78" s="352">
        <f>E78*('Assumptions-Output Override'!$D$10/'Winners-Losers Values PMPM'!$H$107)*(1+'Assumptions-Output Override'!$F$37)</f>
        <v>272.91844912186582</v>
      </c>
      <c r="AL78" s="352">
        <f>F78*('Assumptions-Output Override'!$D$10/'Winners-Losers Values PMPM'!$H$107)*(1+'Assumptions-Output Override'!$F$38)</f>
        <v>41.494085911681189</v>
      </c>
      <c r="AM78" s="352">
        <f>G78*('Shoppable Detail'!$X$21/'Shoppable Detail'!$H$21)*('Assumptions-Output Override'!$D$10/'Winners-Losers Values PMPM'!$H$107)*(1+'Assumptions-Output Override'!$F$39)</f>
        <v>2.1441213550137669E-2</v>
      </c>
      <c r="AN78" s="352">
        <f t="shared" si="52"/>
        <v>347.63615001188367</v>
      </c>
      <c r="AO78" s="352">
        <v>0</v>
      </c>
      <c r="AP78" s="352">
        <f>U78*'Assumptions-Output Override'!$D$10/'Winners-Losers Values PMPM'!$H$107*(1+'Assumptions-Output Override'!$F$37)</f>
        <v>105.86484538759703</v>
      </c>
      <c r="AQ78" s="352">
        <f>AH78*'Assumptions-Output Override'!$D$10/'Winners-Losers Values PMPM'!$H$107*(1+'Assumptions-Output Override'!$F$38)</f>
        <v>13.240082287250523</v>
      </c>
      <c r="AR78" s="352">
        <f>AM78*('Shoppable Detail'!$AA$23/'Shoppable Detail'!$Y$23)</f>
        <v>7.164182715886535E-4</v>
      </c>
      <c r="AS78" s="352">
        <f t="shared" si="53"/>
        <v>119.10564409311914</v>
      </c>
      <c r="AT78" s="352">
        <f t="shared" si="54"/>
        <v>33.202173764786551</v>
      </c>
      <c r="AU78" s="352">
        <f t="shared" si="54"/>
        <v>167.05360373426879</v>
      </c>
      <c r="AV78" s="352">
        <f t="shared" si="54"/>
        <v>28.254003624430666</v>
      </c>
      <c r="AW78" s="352">
        <f t="shared" si="37"/>
        <v>2.0724795278549014E-2</v>
      </c>
      <c r="AX78" s="352">
        <f t="shared" si="55"/>
        <v>228.53050591876453</v>
      </c>
      <c r="AY78" s="352">
        <f>AT78*'Assumptions-Output Override'!$D$24</f>
        <v>10.115238856376511</v>
      </c>
      <c r="AZ78" s="352">
        <f>$AU$107*'Assumptions-Output Override'!$D$21</f>
        <v>46.041131296780591</v>
      </c>
      <c r="BA78" s="352">
        <f>AV78*'Assumptions-Output Override'!$D$22</f>
        <v>4.2381005436645998</v>
      </c>
      <c r="BB78" s="352">
        <f>AW78*'Assumptions-Output Override'!$D$23</f>
        <v>3.108719291782352E-3</v>
      </c>
      <c r="BC78" s="352">
        <f t="shared" si="56"/>
        <v>60.39757941611348</v>
      </c>
      <c r="BD78" s="352">
        <f t="shared" si="57"/>
        <v>10.115238856376511</v>
      </c>
      <c r="BE78" s="352">
        <f t="shared" si="57"/>
        <v>151.90597668437761</v>
      </c>
      <c r="BF78" s="352">
        <f t="shared" si="57"/>
        <v>17.478182830915124</v>
      </c>
      <c r="BG78" s="352">
        <f t="shared" si="38"/>
        <v>3.8251375633710054E-3</v>
      </c>
      <c r="BH78" s="352">
        <f t="shared" si="58"/>
        <v>179.50322350923264</v>
      </c>
      <c r="BJ78" s="401">
        <f>D78*'Assumptions-Output Override'!$D$10/'Winners-Losers Values PMPM'!$H$107</f>
        <v>46.995466950628668</v>
      </c>
      <c r="BK78" s="401">
        <f>E78*'Assumptions-Output Override'!$D$10/'Winners-Losers Values PMPM'!$H$107</f>
        <v>280.16513196710406</v>
      </c>
      <c r="BL78" s="401">
        <f>F78*'Assumptions-Output Override'!$D$10/'Winners-Losers Values PMPM'!$H$107</f>
        <v>41.732016309835259</v>
      </c>
      <c r="BM78" s="401">
        <f>G78*'Assumptions-Output Override'!$D$10/'Winners-Losers Values PMPM'!$H$107</f>
        <v>2.1124701148482774E-2</v>
      </c>
      <c r="BN78" s="401">
        <f t="shared" si="39"/>
        <v>368.9137399287165</v>
      </c>
      <c r="BO78" s="401">
        <f>BJ78*(1-'Assumptions-Output Override'!$D$11)</f>
        <v>6.6977837280663701</v>
      </c>
      <c r="BP78" s="401">
        <f>BK78*(1-'Assumptions-Output Override'!$D$11)</f>
        <v>39.929073670705051</v>
      </c>
      <c r="BQ78" s="401">
        <f>BL78*(1-'Assumptions-Output Override'!$D$11)</f>
        <v>5.9476378875660023</v>
      </c>
      <c r="BR78" s="401">
        <f>BM78*(1-'Assumptions-Output Override'!$D$11)</f>
        <v>3.0106878129589508E-3</v>
      </c>
      <c r="BS78" s="352">
        <f t="shared" si="40"/>
        <v>52.577505974150384</v>
      </c>
      <c r="BT78" s="352">
        <f t="shared" si="59"/>
        <v>40.297683222562299</v>
      </c>
      <c r="BU78" s="352">
        <f t="shared" si="59"/>
        <v>240.23605829639899</v>
      </c>
      <c r="BV78" s="352">
        <f t="shared" si="59"/>
        <v>35.784378422269256</v>
      </c>
      <c r="BW78" s="352">
        <f t="shared" si="41"/>
        <v>1.8114013335523822E-2</v>
      </c>
      <c r="BX78" s="352">
        <f t="shared" si="42"/>
        <v>316.33623395456607</v>
      </c>
      <c r="BY78" s="352">
        <f>BT$107*(1-'Assumptions-Output Override'!$D$12)</f>
        <v>22.753074310428271</v>
      </c>
      <c r="BZ78" s="352">
        <f>BU$107*(1-'Assumptions-Output Override'!$D$12)</f>
        <v>51.446038369839215</v>
      </c>
      <c r="CA78" s="352">
        <f>BV$107*(1-'Assumptions-Output Override'!$D$12)</f>
        <v>9.7401900534537411</v>
      </c>
      <c r="CB78" s="352">
        <f>BW$107*(1-'Assumptions-Output Override'!$D$12)</f>
        <v>1.7000814189516649</v>
      </c>
      <c r="CC78" s="352">
        <f t="shared" si="43"/>
        <v>85.639384152672903</v>
      </c>
      <c r="CD78" s="352">
        <f t="shared" si="60"/>
        <v>29.450858038494641</v>
      </c>
      <c r="CE78" s="352">
        <f t="shared" si="60"/>
        <v>91.375112040544266</v>
      </c>
      <c r="CF78" s="352">
        <f t="shared" si="60"/>
        <v>15.687827941019744</v>
      </c>
      <c r="CG78" s="352">
        <f t="shared" si="44"/>
        <v>1.7030921067646239</v>
      </c>
      <c r="CH78" s="352">
        <f t="shared" si="45"/>
        <v>138.21689012682327</v>
      </c>
      <c r="CJ78" s="352">
        <f t="shared" si="61"/>
        <v>138.21689012682327</v>
      </c>
      <c r="CK78" s="352">
        <f t="shared" si="62"/>
        <v>179.50322350923264</v>
      </c>
      <c r="CL78" s="352">
        <f t="shared" si="63"/>
        <v>-41.286333382409367</v>
      </c>
      <c r="CN78" s="352">
        <f t="shared" si="64"/>
        <v>27.816555038778873</v>
      </c>
      <c r="CO78" s="352">
        <f t="shared" si="64"/>
        <v>165.82937289455839</v>
      </c>
      <c r="CP78" s="352">
        <f t="shared" si="64"/>
        <v>24.701125531559828</v>
      </c>
      <c r="CQ78" s="352">
        <f t="shared" si="46"/>
        <v>1.2503682808213181E-2</v>
      </c>
      <c r="CR78" s="352">
        <f t="shared" si="69"/>
        <v>218.35955714770529</v>
      </c>
      <c r="CT78" s="352">
        <f t="shared" si="32"/>
        <v>-19.178911911849795</v>
      </c>
      <c r="CU78" s="352">
        <f t="shared" si="32"/>
        <v>-114.33575907254567</v>
      </c>
      <c r="CV78" s="352">
        <f t="shared" si="32"/>
        <v>-17.030890778275431</v>
      </c>
      <c r="CW78" s="352">
        <f t="shared" si="32"/>
        <v>-8.6210183402695931E-3</v>
      </c>
      <c r="CX78" s="352">
        <f t="shared" si="47"/>
        <v>-150.55418278101118</v>
      </c>
      <c r="CZ78" s="352">
        <f t="shared" si="65"/>
        <v>19.33561918211813</v>
      </c>
      <c r="DA78" s="352">
        <f t="shared" si="65"/>
        <v>-60.53086464383334</v>
      </c>
      <c r="DB78" s="352">
        <f t="shared" si="65"/>
        <v>-1.7903548898953794</v>
      </c>
      <c r="DC78" s="352">
        <f t="shared" si="48"/>
        <v>1.6992669692012528</v>
      </c>
      <c r="DD78" s="352">
        <f t="shared" si="66"/>
        <v>-41.286333382409332</v>
      </c>
      <c r="DF78" s="352">
        <f t="shared" si="67"/>
        <v>10.115238856376511</v>
      </c>
      <c r="DG78" s="352">
        <f t="shared" si="67"/>
        <v>151.90597668437761</v>
      </c>
      <c r="DH78" s="352">
        <f t="shared" si="67"/>
        <v>17.478182830915124</v>
      </c>
      <c r="DI78" s="352">
        <f t="shared" si="49"/>
        <v>3.8251375633710054E-3</v>
      </c>
      <c r="DJ78" s="352">
        <f t="shared" si="68"/>
        <v>179.50322350923264</v>
      </c>
    </row>
    <row r="79" spans="1:114" x14ac:dyDescent="0.2">
      <c r="A79">
        <v>74</v>
      </c>
      <c r="B79" s="397">
        <v>34308</v>
      </c>
      <c r="C79" s="398">
        <v>397997.79676138877</v>
      </c>
      <c r="D79" s="399">
        <v>30.273661832520986</v>
      </c>
      <c r="E79" s="399">
        <v>173.78699701730139</v>
      </c>
      <c r="F79" s="399">
        <v>26.523450353683725</v>
      </c>
      <c r="G79" s="399">
        <v>3.984785565230866E-2</v>
      </c>
      <c r="H79" s="399">
        <v>230.62395705915841</v>
      </c>
      <c r="I79" s="400">
        <v>2.2714199639238989E-2</v>
      </c>
      <c r="J79" s="400">
        <v>8.7429770138815935E-2</v>
      </c>
      <c r="K79" s="400">
        <v>1.7211150553445836E-3</v>
      </c>
      <c r="L79" s="400">
        <v>0.64518052173786355</v>
      </c>
      <c r="M79" s="400">
        <v>0.57048195202986363</v>
      </c>
      <c r="N79" s="400">
        <v>0.47245814306041956</v>
      </c>
      <c r="O79" s="399">
        <f t="shared" si="35"/>
        <v>5.6785499098097469</v>
      </c>
      <c r="P79" s="399">
        <f t="shared" si="35"/>
        <v>0</v>
      </c>
      <c r="Q79" s="399">
        <f t="shared" si="35"/>
        <v>1.7211150553445835</v>
      </c>
      <c r="R79" s="399">
        <f t="shared" si="33"/>
        <v>13.395538446972363</v>
      </c>
      <c r="S79" s="399">
        <f t="shared" si="33"/>
        <v>17.114458560895908</v>
      </c>
      <c r="T79" s="399">
        <f t="shared" si="33"/>
        <v>28.347488583625172</v>
      </c>
      <c r="U79" s="399">
        <f t="shared" si="50"/>
        <v>66.257150556647773</v>
      </c>
      <c r="V79" s="400">
        <v>2.283233248211218E-3</v>
      </c>
      <c r="W79" s="400">
        <v>1.2778160190641638E-2</v>
      </c>
      <c r="X79" s="400">
        <v>1.0050306892523117E-5</v>
      </c>
      <c r="Y79" s="400">
        <v>0.12740296992406236</v>
      </c>
      <c r="Z79" s="400">
        <v>4.0016301923269534E-2</v>
      </c>
      <c r="AA79" s="400">
        <v>3.5906128416503279E-2</v>
      </c>
      <c r="AB79" s="352">
        <f t="shared" si="36"/>
        <v>0.57080831205280447</v>
      </c>
      <c r="AC79" s="352">
        <f t="shared" si="36"/>
        <v>0</v>
      </c>
      <c r="AD79" s="352">
        <f t="shared" si="36"/>
        <v>1.0050306892523116E-2</v>
      </c>
      <c r="AE79" s="352">
        <f t="shared" si="34"/>
        <v>4.5162359817997446</v>
      </c>
      <c r="AF79" s="352">
        <f t="shared" si="34"/>
        <v>1.200489057698086</v>
      </c>
      <c r="AG79" s="352">
        <f t="shared" si="34"/>
        <v>2.1543677049901966</v>
      </c>
      <c r="AH79" s="400">
        <f t="shared" si="51"/>
        <v>8.4519513634333538</v>
      </c>
      <c r="AJ79" s="352">
        <f>D79*('Assumptions-Output Override'!$D$10/'Winners-Losers Values PMPM'!$H$107)*(1+'Assumptions-Output Override'!$F$41)</f>
        <v>36.135005907757929</v>
      </c>
      <c r="AK79" s="352">
        <f>E79*('Assumptions-Output Override'!$D$10/'Winners-Losers Values PMPM'!$H$107)*(1+'Assumptions-Output Override'!$F$37)</f>
        <v>286.01493737581757</v>
      </c>
      <c r="AL79" s="352">
        <f>F79*('Assumptions-Output Override'!$D$10/'Winners-Losers Values PMPM'!$H$107)*(1+'Assumptions-Output Override'!$F$38)</f>
        <v>44.555310900461009</v>
      </c>
      <c r="AM79" s="352">
        <f>G79*('Shoppable Detail'!$X$21/'Shoppable Detail'!$H$21)*('Assumptions-Output Override'!$D$10/'Winners-Losers Values PMPM'!$H$107)*(1+'Assumptions-Output Override'!$F$39)</f>
        <v>6.8330778672264267E-2</v>
      </c>
      <c r="AN79" s="352">
        <f t="shared" si="52"/>
        <v>366.77358496270875</v>
      </c>
      <c r="AO79" s="352">
        <v>0</v>
      </c>
      <c r="AP79" s="352">
        <f>U79*'Assumptions-Output Override'!$D$10/'Winners-Losers Values PMPM'!$H$107*(1+'Assumptions-Output Override'!$F$37)</f>
        <v>109.04460686016172</v>
      </c>
      <c r="AQ79" s="352">
        <f>AH79*'Assumptions-Output Override'!$D$10/'Winners-Losers Values PMPM'!$H$107*(1+'Assumptions-Output Override'!$F$38)</f>
        <v>14.19797634514949</v>
      </c>
      <c r="AR79" s="352">
        <f>AM79*('Shoppable Detail'!$AA$23/'Shoppable Detail'!$Y$23)</f>
        <v>2.2831458787637548E-3</v>
      </c>
      <c r="AS79" s="352">
        <f t="shared" si="53"/>
        <v>123.24486635118997</v>
      </c>
      <c r="AT79" s="352">
        <f t="shared" si="54"/>
        <v>36.135005907757929</v>
      </c>
      <c r="AU79" s="352">
        <f t="shared" si="54"/>
        <v>176.97033051565586</v>
      </c>
      <c r="AV79" s="352">
        <f t="shared" si="54"/>
        <v>30.357334555311517</v>
      </c>
      <c r="AW79" s="352">
        <f t="shared" si="37"/>
        <v>6.604763279350051E-2</v>
      </c>
      <c r="AX79" s="352">
        <f t="shared" si="55"/>
        <v>243.52871861151883</v>
      </c>
      <c r="AY79" s="352">
        <f>AT79*'Assumptions-Output Override'!$D$24</f>
        <v>11.008743536581438</v>
      </c>
      <c r="AZ79" s="352">
        <f>$AU$107*'Assumptions-Output Override'!$D$21</f>
        <v>46.041131296780591</v>
      </c>
      <c r="BA79" s="352">
        <f>AV79*'Assumptions-Output Override'!$D$22</f>
        <v>4.5536001832967274</v>
      </c>
      <c r="BB79" s="352">
        <f>AW79*'Assumptions-Output Override'!$D$23</f>
        <v>9.9071449190250762E-3</v>
      </c>
      <c r="BC79" s="352">
        <f t="shared" si="56"/>
        <v>61.613382161577782</v>
      </c>
      <c r="BD79" s="352">
        <f t="shared" si="57"/>
        <v>11.008743536581438</v>
      </c>
      <c r="BE79" s="352">
        <f t="shared" si="57"/>
        <v>155.08573815694231</v>
      </c>
      <c r="BF79" s="352">
        <f t="shared" si="57"/>
        <v>18.751576528446218</v>
      </c>
      <c r="BG79" s="352">
        <f t="shared" si="38"/>
        <v>1.2190290797788831E-2</v>
      </c>
      <c r="BH79" s="352">
        <f t="shared" si="58"/>
        <v>184.85824851276774</v>
      </c>
      <c r="BJ79" s="401">
        <f>D79*'Assumptions-Output Override'!$D$10/'Winners-Losers Values PMPM'!$H$107</f>
        <v>51.146695632918508</v>
      </c>
      <c r="BK79" s="401">
        <f>E79*'Assumptions-Output Override'!$D$10/'Winners-Losers Values PMPM'!$H$107</f>
        <v>293.60936548000825</v>
      </c>
      <c r="BL79" s="401">
        <f>F79*'Assumptions-Output Override'!$D$10/'Winners-Losers Values PMPM'!$H$107</f>
        <v>44.810794606861698</v>
      </c>
      <c r="BM79" s="401">
        <f>G79*'Assumptions-Output Override'!$D$10/'Winners-Losers Values PMPM'!$H$107</f>
        <v>6.7322088617760859E-2</v>
      </c>
      <c r="BN79" s="401">
        <f t="shared" si="39"/>
        <v>389.63417780840621</v>
      </c>
      <c r="BO79" s="401">
        <f>BJ79*(1-'Assumptions-Output Override'!$D$11)</f>
        <v>7.2894159369543665</v>
      </c>
      <c r="BP79" s="401">
        <f>BK79*(1-'Assumptions-Output Override'!$D$11)</f>
        <v>41.845142906779529</v>
      </c>
      <c r="BQ79" s="401">
        <f>BL79*(1-'Assumptions-Output Override'!$D$11)</f>
        <v>6.38642470080931</v>
      </c>
      <c r="BR79" s="401">
        <f>BM79*(1-'Assumptions-Output Override'!$D$11)</f>
        <v>9.5947294269293128E-3</v>
      </c>
      <c r="BS79" s="352">
        <f t="shared" si="40"/>
        <v>55.530578273970136</v>
      </c>
      <c r="BT79" s="352">
        <f t="shared" si="59"/>
        <v>43.857279695964138</v>
      </c>
      <c r="BU79" s="352">
        <f t="shared" si="59"/>
        <v>251.76422257322872</v>
      </c>
      <c r="BV79" s="352">
        <f t="shared" si="59"/>
        <v>38.424369906052391</v>
      </c>
      <c r="BW79" s="352">
        <f t="shared" si="41"/>
        <v>5.7727359190831544E-2</v>
      </c>
      <c r="BX79" s="352">
        <f t="shared" si="42"/>
        <v>334.10359953443611</v>
      </c>
      <c r="BY79" s="352">
        <f>BT$107*(1-'Assumptions-Output Override'!$D$12)</f>
        <v>22.753074310428271</v>
      </c>
      <c r="BZ79" s="352">
        <f>BU$107*(1-'Assumptions-Output Override'!$D$12)</f>
        <v>51.446038369839215</v>
      </c>
      <c r="CA79" s="352">
        <f>BV$107*(1-'Assumptions-Output Override'!$D$12)</f>
        <v>9.7401900534537411</v>
      </c>
      <c r="CB79" s="352">
        <f>BW$107*(1-'Assumptions-Output Override'!$D$12)</f>
        <v>1.7000814189516649</v>
      </c>
      <c r="CC79" s="352">
        <f t="shared" si="43"/>
        <v>85.639384152672903</v>
      </c>
      <c r="CD79" s="352">
        <f t="shared" si="60"/>
        <v>30.042490247382638</v>
      </c>
      <c r="CE79" s="352">
        <f t="shared" si="60"/>
        <v>93.291181276618744</v>
      </c>
      <c r="CF79" s="352">
        <f t="shared" si="60"/>
        <v>16.126614754263052</v>
      </c>
      <c r="CG79" s="352">
        <f t="shared" si="44"/>
        <v>1.7096761483785943</v>
      </c>
      <c r="CH79" s="352">
        <f t="shared" si="45"/>
        <v>141.16996242664302</v>
      </c>
      <c r="CJ79" s="352">
        <f t="shared" si="61"/>
        <v>141.16996242664302</v>
      </c>
      <c r="CK79" s="352">
        <f t="shared" si="62"/>
        <v>184.85824851276774</v>
      </c>
      <c r="CL79" s="352">
        <f t="shared" si="63"/>
        <v>-43.68828608612472</v>
      </c>
      <c r="CN79" s="352">
        <f t="shared" si="64"/>
        <v>30.273661832520986</v>
      </c>
      <c r="CO79" s="352">
        <f t="shared" si="64"/>
        <v>173.78699701730139</v>
      </c>
      <c r="CP79" s="352">
        <f t="shared" si="64"/>
        <v>26.523450353683725</v>
      </c>
      <c r="CQ79" s="352">
        <f t="shared" si="46"/>
        <v>3.984785565230866E-2</v>
      </c>
      <c r="CR79" s="352">
        <f t="shared" si="69"/>
        <v>230.62395705915841</v>
      </c>
      <c r="CT79" s="352">
        <f t="shared" si="32"/>
        <v>-20.873033800397522</v>
      </c>
      <c r="CU79" s="352">
        <f t="shared" si="32"/>
        <v>-119.82236846270686</v>
      </c>
      <c r="CV79" s="352">
        <f t="shared" si="32"/>
        <v>-18.287344253177974</v>
      </c>
      <c r="CW79" s="352">
        <f t="shared" si="32"/>
        <v>-2.7474232965452199E-2</v>
      </c>
      <c r="CX79" s="352">
        <f t="shared" si="47"/>
        <v>-159.01022074924779</v>
      </c>
      <c r="CZ79" s="352">
        <f t="shared" si="65"/>
        <v>19.0337467108012</v>
      </c>
      <c r="DA79" s="352">
        <f t="shared" si="65"/>
        <v>-61.794556880323569</v>
      </c>
      <c r="DB79" s="352">
        <f t="shared" si="65"/>
        <v>-2.6249617741831663</v>
      </c>
      <c r="DC79" s="352">
        <f t="shared" si="48"/>
        <v>1.6974858575808054</v>
      </c>
      <c r="DD79" s="352">
        <f t="shared" si="66"/>
        <v>-43.688286086124727</v>
      </c>
      <c r="DF79" s="352">
        <f t="shared" si="67"/>
        <v>11.008743536581438</v>
      </c>
      <c r="DG79" s="352">
        <f t="shared" si="67"/>
        <v>155.08573815694231</v>
      </c>
      <c r="DH79" s="352">
        <f t="shared" si="67"/>
        <v>18.751576528446218</v>
      </c>
      <c r="DI79" s="352">
        <f t="shared" si="49"/>
        <v>1.2190290797788831E-2</v>
      </c>
      <c r="DJ79" s="352">
        <f t="shared" si="68"/>
        <v>184.85824851276774</v>
      </c>
    </row>
    <row r="80" spans="1:114" x14ac:dyDescent="0.2">
      <c r="A80">
        <v>75</v>
      </c>
      <c r="B80" s="397">
        <v>34308</v>
      </c>
      <c r="C80" s="398">
        <v>397997.79676138877</v>
      </c>
      <c r="D80" s="399">
        <v>32.916004459316213</v>
      </c>
      <c r="E80" s="399">
        <v>183.12481181818032</v>
      </c>
      <c r="F80" s="399">
        <v>27.85312969144568</v>
      </c>
      <c r="G80" s="399">
        <v>7.2001074636597962E-3</v>
      </c>
      <c r="H80" s="399">
        <v>243.90114607640587</v>
      </c>
      <c r="I80" s="400">
        <v>2.3074742490655352E-2</v>
      </c>
      <c r="J80" s="400">
        <v>9.3563988825374617E-2</v>
      </c>
      <c r="K80" s="400">
        <v>2.115589600876116E-3</v>
      </c>
      <c r="L80" s="400">
        <v>0.65661097682551428</v>
      </c>
      <c r="M80" s="400">
        <v>0.58041185624581182</v>
      </c>
      <c r="N80" s="400">
        <v>0.49826461757756796</v>
      </c>
      <c r="O80" s="399">
        <f t="shared" si="35"/>
        <v>5.7686856226638383</v>
      </c>
      <c r="P80" s="399">
        <f t="shared" si="35"/>
        <v>0</v>
      </c>
      <c r="Q80" s="399">
        <f t="shared" si="35"/>
        <v>2.1155896008761159</v>
      </c>
      <c r="R80" s="399">
        <f t="shared" si="33"/>
        <v>13.632862878560251</v>
      </c>
      <c r="S80" s="399">
        <f t="shared" si="33"/>
        <v>17.412355687374355</v>
      </c>
      <c r="T80" s="399">
        <f t="shared" si="33"/>
        <v>29.895877054654079</v>
      </c>
      <c r="U80" s="399">
        <f t="shared" si="50"/>
        <v>68.825370844128642</v>
      </c>
      <c r="V80" s="400">
        <v>2.3242048073145172E-3</v>
      </c>
      <c r="W80" s="400">
        <v>1.4993107507014075E-2</v>
      </c>
      <c r="X80" s="400">
        <v>1.5075460338784675E-5</v>
      </c>
      <c r="Y80" s="400">
        <v>0.13012881930515108</v>
      </c>
      <c r="Z80" s="400">
        <v>4.1440028397664364E-2</v>
      </c>
      <c r="AA80" s="400">
        <v>3.6328542815196034E-2</v>
      </c>
      <c r="AB80" s="352">
        <f t="shared" si="36"/>
        <v>0.58105120182862935</v>
      </c>
      <c r="AC80" s="352">
        <f t="shared" si="36"/>
        <v>0</v>
      </c>
      <c r="AD80" s="352">
        <f t="shared" si="36"/>
        <v>1.5075460338784675E-2</v>
      </c>
      <c r="AE80" s="352">
        <f t="shared" si="34"/>
        <v>4.6128630781945708</v>
      </c>
      <c r="AF80" s="352">
        <f t="shared" si="34"/>
        <v>1.2432008519299309</v>
      </c>
      <c r="AG80" s="352">
        <f t="shared" si="34"/>
        <v>2.179712568911762</v>
      </c>
      <c r="AH80" s="400">
        <f t="shared" si="51"/>
        <v>8.6319031612036774</v>
      </c>
      <c r="AJ80" s="352">
        <f>D80*('Assumptions-Output Override'!$D$10/'Winners-Losers Values PMPM'!$H$107)*(1+'Assumptions-Output Override'!$F$41)</f>
        <v>39.288937763038057</v>
      </c>
      <c r="AK80" s="352">
        <f>E80*('Assumptions-Output Override'!$D$10/'Winners-Losers Values PMPM'!$H$107)*(1+'Assumptions-Output Override'!$F$37)</f>
        <v>301.38291404460415</v>
      </c>
      <c r="AL80" s="352">
        <f>F80*('Assumptions-Output Override'!$D$10/'Winners-Losers Values PMPM'!$H$107)*(1+'Assumptions-Output Override'!$F$38)</f>
        <v>46.788967363021314</v>
      </c>
      <c r="AM80" s="352">
        <f>G80*('Shoppable Detail'!$X$21/'Shoppable Detail'!$H$21)*('Assumptions-Output Override'!$D$10/'Winners-Losers Values PMPM'!$H$107)*(1+'Assumptions-Output Override'!$F$39)</f>
        <v>1.2346685698941774E-2</v>
      </c>
      <c r="AN80" s="352">
        <f t="shared" si="52"/>
        <v>387.47316585636247</v>
      </c>
      <c r="AO80" s="352">
        <v>0</v>
      </c>
      <c r="AP80" s="352">
        <f>U80*'Assumptions-Output Override'!$D$10/'Winners-Losers Values PMPM'!$H$107*(1+'Assumptions-Output Override'!$F$37)</f>
        <v>113.2713290965671</v>
      </c>
      <c r="AQ80" s="352">
        <f>AH80*'Assumptions-Output Override'!$D$10/'Winners-Losers Values PMPM'!$H$107*(1+'Assumptions-Output Override'!$F$38)</f>
        <v>14.500267645483275</v>
      </c>
      <c r="AR80" s="352">
        <f>AM80*('Shoppable Detail'!$AA$23/'Shoppable Detail'!$Y$23)</f>
        <v>4.125415386400747E-4</v>
      </c>
      <c r="AS80" s="352">
        <f t="shared" si="53"/>
        <v>127.77200928358901</v>
      </c>
      <c r="AT80" s="352">
        <f t="shared" si="54"/>
        <v>39.288937763038057</v>
      </c>
      <c r="AU80" s="352">
        <f t="shared" si="54"/>
        <v>188.11158494803703</v>
      </c>
      <c r="AV80" s="352">
        <f t="shared" si="54"/>
        <v>32.288699717538037</v>
      </c>
      <c r="AW80" s="352">
        <f t="shared" si="37"/>
        <v>1.19341441603017E-2</v>
      </c>
      <c r="AX80" s="352">
        <f t="shared" si="55"/>
        <v>259.70115657277341</v>
      </c>
      <c r="AY80" s="352">
        <f>AT80*'Assumptions-Output Override'!$D$24</f>
        <v>11.969607553464831</v>
      </c>
      <c r="AZ80" s="352">
        <f>$AU$107*'Assumptions-Output Override'!$D$21</f>
        <v>46.041131296780591</v>
      </c>
      <c r="BA80" s="352">
        <f>AV80*'Assumptions-Output Override'!$D$22</f>
        <v>4.8433049576307052</v>
      </c>
      <c r="BB80" s="352">
        <f>AW80*'Assumptions-Output Override'!$D$23</f>
        <v>1.7901216240452549E-3</v>
      </c>
      <c r="BC80" s="352">
        <f t="shared" si="56"/>
        <v>62.855833929500179</v>
      </c>
      <c r="BD80" s="352">
        <f t="shared" si="57"/>
        <v>11.969607553464831</v>
      </c>
      <c r="BE80" s="352">
        <f t="shared" si="57"/>
        <v>159.31246039334769</v>
      </c>
      <c r="BF80" s="352">
        <f t="shared" si="57"/>
        <v>19.34357260311398</v>
      </c>
      <c r="BG80" s="352">
        <f t="shared" si="38"/>
        <v>2.2026631626853297E-3</v>
      </c>
      <c r="BH80" s="352">
        <f t="shared" si="58"/>
        <v>190.62784321308919</v>
      </c>
      <c r="BJ80" s="401">
        <f>D80*'Assumptions-Output Override'!$D$10/'Winners-Losers Values PMPM'!$H$107</f>
        <v>55.610876241073491</v>
      </c>
      <c r="BK80" s="401">
        <f>E80*'Assumptions-Output Override'!$D$10/'Winners-Losers Values PMPM'!$H$107</f>
        <v>309.38540123476002</v>
      </c>
      <c r="BL80" s="401">
        <f>F80*'Assumptions-Output Override'!$D$10/'Winners-Losers Values PMPM'!$H$107</f>
        <v>47.057259033733054</v>
      </c>
      <c r="BM80" s="401">
        <f>G80*'Assumptions-Output Override'!$D$10/'Winners-Losers Values PMPM'!$H$107</f>
        <v>1.2164425532841004E-2</v>
      </c>
      <c r="BN80" s="401">
        <f t="shared" si="39"/>
        <v>412.06570093509936</v>
      </c>
      <c r="BO80" s="401">
        <f>BJ80*(1-'Assumptions-Output Override'!$D$11)</f>
        <v>7.9256499862481338</v>
      </c>
      <c r="BP80" s="401">
        <f>BK80*(1-'Assumptions-Output Override'!$D$11)</f>
        <v>44.09354009118406</v>
      </c>
      <c r="BQ80" s="401">
        <f>BL80*(1-'Assumptions-Output Override'!$D$11)</f>
        <v>6.7065903223103351</v>
      </c>
      <c r="BR80" s="401">
        <f>BM80*(1-'Assumptions-Output Override'!$D$11)</f>
        <v>1.7336712811201816E-3</v>
      </c>
      <c r="BS80" s="352">
        <f t="shared" si="40"/>
        <v>58.727514071023649</v>
      </c>
      <c r="BT80" s="352">
        <f t="shared" si="59"/>
        <v>47.685226254825359</v>
      </c>
      <c r="BU80" s="352">
        <f t="shared" si="59"/>
        <v>265.29186114357594</v>
      </c>
      <c r="BV80" s="352">
        <f t="shared" si="59"/>
        <v>40.35066871142272</v>
      </c>
      <c r="BW80" s="352">
        <f t="shared" si="41"/>
        <v>1.0430754251720822E-2</v>
      </c>
      <c r="BX80" s="352">
        <f t="shared" si="42"/>
        <v>353.33818686407574</v>
      </c>
      <c r="BY80" s="352">
        <f>BT$107*(1-'Assumptions-Output Override'!$D$12)</f>
        <v>22.753074310428271</v>
      </c>
      <c r="BZ80" s="352">
        <f>BU$107*(1-'Assumptions-Output Override'!$D$12)</f>
        <v>51.446038369839215</v>
      </c>
      <c r="CA80" s="352">
        <f>BV$107*(1-'Assumptions-Output Override'!$D$12)</f>
        <v>9.7401900534537411</v>
      </c>
      <c r="CB80" s="352">
        <f>BW$107*(1-'Assumptions-Output Override'!$D$12)</f>
        <v>1.7000814189516649</v>
      </c>
      <c r="CC80" s="352">
        <f t="shared" si="43"/>
        <v>85.639384152672903</v>
      </c>
      <c r="CD80" s="352">
        <f t="shared" si="60"/>
        <v>30.678724296676407</v>
      </c>
      <c r="CE80" s="352">
        <f t="shared" si="60"/>
        <v>95.539578461023268</v>
      </c>
      <c r="CF80" s="352">
        <f t="shared" si="60"/>
        <v>16.446780375764078</v>
      </c>
      <c r="CG80" s="352">
        <f t="shared" si="44"/>
        <v>1.7018150902327851</v>
      </c>
      <c r="CH80" s="352">
        <f t="shared" si="45"/>
        <v>144.36689822369655</v>
      </c>
      <c r="CJ80" s="352">
        <f t="shared" si="61"/>
        <v>144.36689822369655</v>
      </c>
      <c r="CK80" s="352">
        <f t="shared" si="62"/>
        <v>190.62784321308919</v>
      </c>
      <c r="CL80" s="352">
        <f t="shared" si="63"/>
        <v>-46.260944989392641</v>
      </c>
      <c r="CN80" s="352">
        <f t="shared" si="64"/>
        <v>32.916004459316213</v>
      </c>
      <c r="CO80" s="352">
        <f t="shared" si="64"/>
        <v>183.12481181818032</v>
      </c>
      <c r="CP80" s="352">
        <f t="shared" si="64"/>
        <v>27.85312969144568</v>
      </c>
      <c r="CQ80" s="352">
        <f t="shared" si="46"/>
        <v>7.2001074636597962E-3</v>
      </c>
      <c r="CR80" s="352">
        <f t="shared" si="69"/>
        <v>243.90114607640587</v>
      </c>
      <c r="CT80" s="352">
        <f t="shared" si="32"/>
        <v>-22.694871781757278</v>
      </c>
      <c r="CU80" s="352">
        <f t="shared" si="32"/>
        <v>-126.26058941657971</v>
      </c>
      <c r="CV80" s="352">
        <f t="shared" si="32"/>
        <v>-19.204129342287374</v>
      </c>
      <c r="CW80" s="352">
        <f t="shared" si="32"/>
        <v>-4.9643180691812073E-3</v>
      </c>
      <c r="CX80" s="352">
        <f t="shared" si="47"/>
        <v>-168.16455485869355</v>
      </c>
      <c r="CZ80" s="352">
        <f t="shared" si="65"/>
        <v>18.709116743211574</v>
      </c>
      <c r="DA80" s="352">
        <f t="shared" si="65"/>
        <v>-63.772881932324424</v>
      </c>
      <c r="DB80" s="352">
        <f t="shared" si="65"/>
        <v>-2.896792227349902</v>
      </c>
      <c r="DC80" s="352">
        <f t="shared" si="48"/>
        <v>1.6996124270700999</v>
      </c>
      <c r="DD80" s="352">
        <f t="shared" si="66"/>
        <v>-46.260944989392648</v>
      </c>
      <c r="DF80" s="352">
        <f t="shared" si="67"/>
        <v>11.969607553464831</v>
      </c>
      <c r="DG80" s="352">
        <f t="shared" si="67"/>
        <v>159.31246039334769</v>
      </c>
      <c r="DH80" s="352">
        <f t="shared" si="67"/>
        <v>19.34357260311398</v>
      </c>
      <c r="DI80" s="352">
        <f t="shared" si="49"/>
        <v>2.2026631626853297E-3</v>
      </c>
      <c r="DJ80" s="352">
        <f t="shared" si="68"/>
        <v>190.62784321308919</v>
      </c>
    </row>
    <row r="81" spans="1:114" x14ac:dyDescent="0.2">
      <c r="A81">
        <v>76</v>
      </c>
      <c r="B81" s="397">
        <v>34308</v>
      </c>
      <c r="C81" s="398">
        <v>397997.79676138877</v>
      </c>
      <c r="D81" s="399">
        <v>35.902709876759921</v>
      </c>
      <c r="E81" s="399">
        <v>192.01924903939869</v>
      </c>
      <c r="F81" s="399">
        <v>30.210614526936922</v>
      </c>
      <c r="G81" s="399">
        <v>3.7479945276173814E-2</v>
      </c>
      <c r="H81" s="399">
        <v>258.17005338837174</v>
      </c>
      <c r="I81" s="400">
        <v>2.3836997446418217E-2</v>
      </c>
      <c r="J81" s="400">
        <v>9.6226267181509714E-2</v>
      </c>
      <c r="K81" s="400">
        <v>2.5000138395151251E-3</v>
      </c>
      <c r="L81" s="400">
        <v>0.68104863508442692</v>
      </c>
      <c r="M81" s="400">
        <v>0.59804125032058741</v>
      </c>
      <c r="N81" s="400">
        <v>0.50896397328920273</v>
      </c>
      <c r="O81" s="399">
        <f t="shared" si="35"/>
        <v>5.9592493616045541</v>
      </c>
      <c r="P81" s="399">
        <f t="shared" si="35"/>
        <v>0</v>
      </c>
      <c r="Q81" s="399">
        <f t="shared" si="35"/>
        <v>2.500013839515125</v>
      </c>
      <c r="R81" s="399">
        <f t="shared" si="33"/>
        <v>14.140248919725085</v>
      </c>
      <c r="S81" s="399">
        <f t="shared" si="33"/>
        <v>17.941237509617622</v>
      </c>
      <c r="T81" s="399">
        <f t="shared" si="33"/>
        <v>30.537838397352164</v>
      </c>
      <c r="U81" s="399">
        <f t="shared" si="50"/>
        <v>71.078588027814547</v>
      </c>
      <c r="V81" s="400">
        <v>2.4396701102420014E-3</v>
      </c>
      <c r="W81" s="400">
        <v>1.5164443117809661E-2</v>
      </c>
      <c r="X81" s="400">
        <v>2.512576723130779E-5</v>
      </c>
      <c r="Y81" s="400">
        <v>0.1382415447505175</v>
      </c>
      <c r="Z81" s="400">
        <v>4.4151802203405706E-2</v>
      </c>
      <c r="AA81" s="400">
        <v>3.7665434638039452E-2</v>
      </c>
      <c r="AB81" s="352">
        <f t="shared" si="36"/>
        <v>0.60991752756050033</v>
      </c>
      <c r="AC81" s="352">
        <f t="shared" si="36"/>
        <v>0</v>
      </c>
      <c r="AD81" s="352">
        <f t="shared" si="36"/>
        <v>2.5125767231307789E-2</v>
      </c>
      <c r="AE81" s="352">
        <f t="shared" si="34"/>
        <v>4.9004465041434679</v>
      </c>
      <c r="AF81" s="352">
        <f t="shared" si="34"/>
        <v>1.3245540661021711</v>
      </c>
      <c r="AG81" s="352">
        <f t="shared" si="34"/>
        <v>2.2599260782823674</v>
      </c>
      <c r="AH81" s="400">
        <f t="shared" si="51"/>
        <v>9.1199699433198145</v>
      </c>
      <c r="AJ81" s="352">
        <f>D81*('Assumptions-Output Override'!$D$10/'Winners-Losers Values PMPM'!$H$107)*(1+'Assumptions-Output Override'!$F$41)</f>
        <v>42.853905176003103</v>
      </c>
      <c r="AK81" s="352">
        <f>E81*('Assumptions-Output Override'!$D$10/'Winners-Losers Values PMPM'!$H$107)*(1+'Assumptions-Output Override'!$F$37)</f>
        <v>316.02118933839182</v>
      </c>
      <c r="AL81" s="352">
        <f>F81*('Assumptions-Output Override'!$D$10/'Winners-Losers Values PMPM'!$H$107)*(1+'Assumptions-Output Override'!$F$38)</f>
        <v>50.749178737777321</v>
      </c>
      <c r="AM81" s="352">
        <f>G81*('Shoppable Detail'!$X$21/'Shoppable Detail'!$H$21)*('Assumptions-Output Override'!$D$10/'Winners-Losers Values PMPM'!$H$107)*(1+'Assumptions-Output Override'!$F$39)</f>
        <v>6.427030522447777E-2</v>
      </c>
      <c r="AN81" s="352">
        <f t="shared" si="52"/>
        <v>409.68854355739666</v>
      </c>
      <c r="AO81" s="352">
        <v>0</v>
      </c>
      <c r="AP81" s="352">
        <f>U81*'Assumptions-Output Override'!$D$10/'Winners-Losers Values PMPM'!$H$107*(1+'Assumptions-Output Override'!$F$37)</f>
        <v>116.97962593549505</v>
      </c>
      <c r="AQ81" s="352">
        <f>AH81*'Assumptions-Output Override'!$D$10/'Winners-Losers Values PMPM'!$H$107*(1+'Assumptions-Output Override'!$F$38)</f>
        <v>15.320144657236831</v>
      </c>
      <c r="AR81" s="352">
        <f>AM81*('Shoppable Detail'!$AA$23/'Shoppable Detail'!$Y$23)</f>
        <v>2.147472710708575E-3</v>
      </c>
      <c r="AS81" s="352">
        <f t="shared" si="53"/>
        <v>132.30191806544258</v>
      </c>
      <c r="AT81" s="352">
        <f t="shared" si="54"/>
        <v>42.853905176003103</v>
      </c>
      <c r="AU81" s="352">
        <f t="shared" si="54"/>
        <v>199.04156340289677</v>
      </c>
      <c r="AV81" s="352">
        <f t="shared" si="54"/>
        <v>35.42903408054049</v>
      </c>
      <c r="AW81" s="352">
        <f t="shared" si="37"/>
        <v>6.2122832513769197E-2</v>
      </c>
      <c r="AX81" s="352">
        <f t="shared" si="55"/>
        <v>277.38662549195413</v>
      </c>
      <c r="AY81" s="352">
        <f>AT81*'Assumptions-Output Override'!$D$24</f>
        <v>13.055695987095794</v>
      </c>
      <c r="AZ81" s="352">
        <f>$AU$107*'Assumptions-Output Override'!$D$21</f>
        <v>46.041131296780591</v>
      </c>
      <c r="BA81" s="352">
        <f>AV81*'Assumptions-Output Override'!$D$22</f>
        <v>5.3143551120810733</v>
      </c>
      <c r="BB81" s="352">
        <f>AW81*'Assumptions-Output Override'!$D$23</f>
        <v>9.3184248770653792E-3</v>
      </c>
      <c r="BC81" s="352">
        <f t="shared" si="56"/>
        <v>64.420500820834519</v>
      </c>
      <c r="BD81" s="352">
        <f t="shared" si="57"/>
        <v>13.055695987095794</v>
      </c>
      <c r="BE81" s="352">
        <f t="shared" si="57"/>
        <v>163.02075723227563</v>
      </c>
      <c r="BF81" s="352">
        <f t="shared" si="57"/>
        <v>20.634499769317905</v>
      </c>
      <c r="BG81" s="352">
        <f t="shared" si="38"/>
        <v>1.1465897587773954E-2</v>
      </c>
      <c r="BH81" s="352">
        <f t="shared" si="58"/>
        <v>196.7224188862771</v>
      </c>
      <c r="BJ81" s="401">
        <f>D81*'Assumptions-Output Override'!$D$10/'Winners-Losers Values PMPM'!$H$107</f>
        <v>60.656850321654723</v>
      </c>
      <c r="BK81" s="401">
        <f>E81*'Assumptions-Output Override'!$D$10/'Winners-Losers Values PMPM'!$H$107</f>
        <v>324.41236017670957</v>
      </c>
      <c r="BL81" s="401">
        <f>F81*'Assumptions-Output Override'!$D$10/'Winners-Losers Values PMPM'!$H$107</f>
        <v>51.040178576375325</v>
      </c>
      <c r="BM81" s="401">
        <f>G81*'Assumptions-Output Override'!$D$10/'Winners-Losers Values PMPM'!$H$107</f>
        <v>6.3321555350123654E-2</v>
      </c>
      <c r="BN81" s="401">
        <f t="shared" si="39"/>
        <v>436.17271063008974</v>
      </c>
      <c r="BO81" s="401">
        <f>BJ81*(1-'Assumptions-Output Override'!$D$11)</f>
        <v>8.6448011146892458</v>
      </c>
      <c r="BP81" s="401">
        <f>BK81*(1-'Assumptions-Output Override'!$D$11)</f>
        <v>46.235179011155779</v>
      </c>
      <c r="BQ81" s="401">
        <f>BL81*(1-'Assumptions-Output Override'!$D$11)</f>
        <v>7.2742351492237978</v>
      </c>
      <c r="BR81" s="401">
        <f>BM81*(1-'Assumptions-Output Override'!$D$11)</f>
        <v>9.0245742957606404E-3</v>
      </c>
      <c r="BS81" s="352">
        <f t="shared" si="40"/>
        <v>62.163239849364579</v>
      </c>
      <c r="BT81" s="352">
        <f t="shared" si="59"/>
        <v>52.012049206965479</v>
      </c>
      <c r="BU81" s="352">
        <f t="shared" si="59"/>
        <v>278.1771811655538</v>
      </c>
      <c r="BV81" s="352">
        <f t="shared" si="59"/>
        <v>43.765943427151527</v>
      </c>
      <c r="BW81" s="352">
        <f t="shared" si="41"/>
        <v>5.4296981054363015E-2</v>
      </c>
      <c r="BX81" s="352">
        <f t="shared" si="42"/>
        <v>374.00947078072511</v>
      </c>
      <c r="BY81" s="352">
        <f>BT$107*(1-'Assumptions-Output Override'!$D$12)</f>
        <v>22.753074310428271</v>
      </c>
      <c r="BZ81" s="352">
        <f>BU$107*(1-'Assumptions-Output Override'!$D$12)</f>
        <v>51.446038369839215</v>
      </c>
      <c r="CA81" s="352">
        <f>BV$107*(1-'Assumptions-Output Override'!$D$12)</f>
        <v>9.7401900534537411</v>
      </c>
      <c r="CB81" s="352">
        <f>BW$107*(1-'Assumptions-Output Override'!$D$12)</f>
        <v>1.7000814189516649</v>
      </c>
      <c r="CC81" s="352">
        <f t="shared" si="43"/>
        <v>85.639384152672903</v>
      </c>
      <c r="CD81" s="352">
        <f t="shared" si="60"/>
        <v>31.397875425117519</v>
      </c>
      <c r="CE81" s="352">
        <f t="shared" si="60"/>
        <v>97.681217380994994</v>
      </c>
      <c r="CF81" s="352">
        <f t="shared" si="60"/>
        <v>17.01442520267754</v>
      </c>
      <c r="CG81" s="352">
        <f t="shared" si="44"/>
        <v>1.7091059932474255</v>
      </c>
      <c r="CH81" s="352">
        <f t="shared" si="45"/>
        <v>147.80262400203745</v>
      </c>
      <c r="CJ81" s="352">
        <f t="shared" si="61"/>
        <v>147.80262400203745</v>
      </c>
      <c r="CK81" s="352">
        <f t="shared" si="62"/>
        <v>196.7224188862771</v>
      </c>
      <c r="CL81" s="352">
        <f t="shared" si="63"/>
        <v>-48.91979488423965</v>
      </c>
      <c r="CN81" s="352">
        <f t="shared" si="64"/>
        <v>35.902709876759921</v>
      </c>
      <c r="CO81" s="352">
        <f t="shared" si="64"/>
        <v>192.01924903939869</v>
      </c>
      <c r="CP81" s="352">
        <f t="shared" si="64"/>
        <v>30.210614526936922</v>
      </c>
      <c r="CQ81" s="352">
        <f t="shared" si="46"/>
        <v>3.7479945276173814E-2</v>
      </c>
      <c r="CR81" s="352">
        <f t="shared" si="69"/>
        <v>258.17005338837174</v>
      </c>
      <c r="CT81" s="352">
        <f t="shared" si="32"/>
        <v>-24.754140444894801</v>
      </c>
      <c r="CU81" s="352">
        <f t="shared" si="32"/>
        <v>-132.39311113731088</v>
      </c>
      <c r="CV81" s="352">
        <f t="shared" si="32"/>
        <v>-20.829564049438403</v>
      </c>
      <c r="CW81" s="352">
        <f t="shared" si="32"/>
        <v>-2.584161007394984E-2</v>
      </c>
      <c r="CX81" s="352">
        <f t="shared" si="47"/>
        <v>-178.00265724171803</v>
      </c>
      <c r="CZ81" s="352">
        <f t="shared" si="65"/>
        <v>18.342179438021724</v>
      </c>
      <c r="DA81" s="352">
        <f t="shared" si="65"/>
        <v>-65.339539851280634</v>
      </c>
      <c r="DB81" s="352">
        <f t="shared" si="65"/>
        <v>-3.6200745666403655</v>
      </c>
      <c r="DC81" s="352">
        <f t="shared" si="48"/>
        <v>1.6976400956596516</v>
      </c>
      <c r="DD81" s="352">
        <f t="shared" si="66"/>
        <v>-48.919794884239622</v>
      </c>
      <c r="DF81" s="352">
        <f t="shared" si="67"/>
        <v>13.055695987095794</v>
      </c>
      <c r="DG81" s="352">
        <f t="shared" si="67"/>
        <v>163.02075723227563</v>
      </c>
      <c r="DH81" s="352">
        <f t="shared" si="67"/>
        <v>20.634499769317905</v>
      </c>
      <c r="DI81" s="352">
        <f t="shared" si="49"/>
        <v>1.1465897587773954E-2</v>
      </c>
      <c r="DJ81" s="352">
        <f t="shared" si="68"/>
        <v>196.7224188862771</v>
      </c>
    </row>
    <row r="82" spans="1:114" x14ac:dyDescent="0.2">
      <c r="A82">
        <v>77</v>
      </c>
      <c r="B82" s="397">
        <v>34308</v>
      </c>
      <c r="C82" s="398">
        <v>397997.79676138877</v>
      </c>
      <c r="D82" s="399">
        <v>38.601968471944993</v>
      </c>
      <c r="E82" s="399">
        <v>202.55725817905983</v>
      </c>
      <c r="F82" s="399">
        <v>32.388770956146587</v>
      </c>
      <c r="G82" s="399">
        <v>1.5942399135108368E-2</v>
      </c>
      <c r="H82" s="399">
        <v>273.56394000628649</v>
      </c>
      <c r="I82" s="400">
        <v>2.5376477995372702E-2</v>
      </c>
      <c r="J82" s="400">
        <v>0.10216462002837123</v>
      </c>
      <c r="K82" s="400">
        <v>2.7286583213200263E-3</v>
      </c>
      <c r="L82" s="400">
        <v>0.69584953447856279</v>
      </c>
      <c r="M82" s="400">
        <v>0.61550315603099925</v>
      </c>
      <c r="N82" s="400">
        <v>0.52360676791627436</v>
      </c>
      <c r="O82" s="399">
        <f t="shared" si="35"/>
        <v>6.3441194988431757</v>
      </c>
      <c r="P82" s="399">
        <f t="shared" si="35"/>
        <v>0</v>
      </c>
      <c r="Q82" s="399">
        <f t="shared" si="35"/>
        <v>2.7286583213200264</v>
      </c>
      <c r="R82" s="399">
        <f t="shared" si="33"/>
        <v>14.447552085589216</v>
      </c>
      <c r="S82" s="399">
        <f t="shared" si="33"/>
        <v>18.465094680929976</v>
      </c>
      <c r="T82" s="399">
        <f t="shared" si="33"/>
        <v>31.416406074976461</v>
      </c>
      <c r="U82" s="399">
        <f t="shared" si="50"/>
        <v>73.401830661658863</v>
      </c>
      <c r="V82" s="400">
        <v>2.5625847875519058E-3</v>
      </c>
      <c r="W82" s="400">
        <v>1.5854751810580454E-2</v>
      </c>
      <c r="X82" s="400">
        <v>1.5075460338784675E-5</v>
      </c>
      <c r="Y82" s="400">
        <v>0.14189468831848073</v>
      </c>
      <c r="Z82" s="400">
        <v>4.5608091672132547E-2</v>
      </c>
      <c r="AA82" s="400">
        <v>4.0060623776665569E-2</v>
      </c>
      <c r="AB82" s="352">
        <f t="shared" si="36"/>
        <v>0.64064619688797642</v>
      </c>
      <c r="AC82" s="352">
        <f t="shared" si="36"/>
        <v>0</v>
      </c>
      <c r="AD82" s="352">
        <f t="shared" si="36"/>
        <v>1.5075460338784675E-2</v>
      </c>
      <c r="AE82" s="352">
        <f t="shared" si="34"/>
        <v>5.0299447288563579</v>
      </c>
      <c r="AF82" s="352">
        <f t="shared" si="34"/>
        <v>1.3682427501639765</v>
      </c>
      <c r="AG82" s="352">
        <f t="shared" si="34"/>
        <v>2.4036374265999343</v>
      </c>
      <c r="AH82" s="400">
        <f t="shared" si="51"/>
        <v>9.4575465628470301</v>
      </c>
      <c r="AJ82" s="352">
        <f>D82*('Assumptions-Output Override'!$D$10/'Winners-Losers Values PMPM'!$H$107)*(1+'Assumptions-Output Override'!$F$41)</f>
        <v>46.075772613882741</v>
      </c>
      <c r="AK82" s="352">
        <f>E82*('Assumptions-Output Override'!$D$10/'Winners-Losers Values PMPM'!$H$107)*(1+'Assumptions-Output Override'!$F$37)</f>
        <v>333.36442028130239</v>
      </c>
      <c r="AL82" s="352">
        <f>F82*('Assumptions-Output Override'!$D$10/'Winners-Losers Values PMPM'!$H$107)*(1+'Assumptions-Output Override'!$F$38)</f>
        <v>54.408146013872901</v>
      </c>
      <c r="AM82" s="352">
        <f>G82*('Shoppable Detail'!$X$21/'Shoppable Detail'!$H$21)*('Assumptions-Output Override'!$D$10/'Winners-Losers Values PMPM'!$H$107)*(1+'Assumptions-Output Override'!$F$39)</f>
        <v>2.7337896330260198E-2</v>
      </c>
      <c r="AN82" s="352">
        <f t="shared" si="52"/>
        <v>433.87567680538831</v>
      </c>
      <c r="AO82" s="352">
        <v>0</v>
      </c>
      <c r="AP82" s="352">
        <f>U82*'Assumptions-Output Override'!$D$10/'Winners-Losers Values PMPM'!$H$107*(1+'Assumptions-Output Override'!$F$37)</f>
        <v>120.80316916848882</v>
      </c>
      <c r="AQ82" s="352">
        <f>AH82*'Assumptions-Output Override'!$D$10/'Winners-Losers Values PMPM'!$H$107*(1+'Assumptions-Output Override'!$F$38)</f>
        <v>15.887221377467265</v>
      </c>
      <c r="AR82" s="352">
        <f>AM82*('Shoppable Detail'!$AA$23/'Shoppable Detail'!$Y$23)</f>
        <v>9.1344495926020254E-4</v>
      </c>
      <c r="AS82" s="352">
        <f t="shared" si="53"/>
        <v>136.69130399091534</v>
      </c>
      <c r="AT82" s="352">
        <f t="shared" si="54"/>
        <v>46.075772613882741</v>
      </c>
      <c r="AU82" s="352">
        <f t="shared" si="54"/>
        <v>212.56125111281358</v>
      </c>
      <c r="AV82" s="352">
        <f t="shared" si="54"/>
        <v>38.520924636405638</v>
      </c>
      <c r="AW82" s="352">
        <f t="shared" si="37"/>
        <v>2.6424451370999996E-2</v>
      </c>
      <c r="AX82" s="352">
        <f t="shared" si="55"/>
        <v>297.18437281447297</v>
      </c>
      <c r="AY82" s="352">
        <f>AT82*'Assumptions-Output Override'!$D$24</f>
        <v>14.03725698152377</v>
      </c>
      <c r="AZ82" s="352">
        <f>$AU$107*'Assumptions-Output Override'!$D$21</f>
        <v>46.041131296780591</v>
      </c>
      <c r="BA82" s="352">
        <f>AV82*'Assumptions-Output Override'!$D$22</f>
        <v>5.7781386954608456</v>
      </c>
      <c r="BB82" s="352">
        <f>AW82*'Assumptions-Output Override'!$D$23</f>
        <v>3.9636677056499991E-3</v>
      </c>
      <c r="BC82" s="352">
        <f t="shared" si="56"/>
        <v>65.860490641470847</v>
      </c>
      <c r="BD82" s="352">
        <f t="shared" si="57"/>
        <v>14.03725698152377</v>
      </c>
      <c r="BE82" s="352">
        <f t="shared" si="57"/>
        <v>166.84430046526941</v>
      </c>
      <c r="BF82" s="352">
        <f t="shared" si="57"/>
        <v>21.66536007292811</v>
      </c>
      <c r="BG82" s="352">
        <f t="shared" si="38"/>
        <v>4.8771126649102018E-3</v>
      </c>
      <c r="BH82" s="352">
        <f t="shared" si="58"/>
        <v>202.55179463238619</v>
      </c>
      <c r="BJ82" s="401">
        <f>D82*'Assumptions-Output Override'!$D$10/'Winners-Losers Values PMPM'!$H$107</f>
        <v>65.217189225029912</v>
      </c>
      <c r="BK82" s="401">
        <f>E82*'Assumptions-Output Override'!$D$10/'Winners-Losers Values PMPM'!$H$107</f>
        <v>342.21609825850868</v>
      </c>
      <c r="BL82" s="401">
        <f>F82*'Assumptions-Output Override'!$D$10/'Winners-Losers Values PMPM'!$H$107</f>
        <v>54.72012666266847</v>
      </c>
      <c r="BM82" s="401">
        <f>G82*'Assumptions-Output Override'!$D$10/'Winners-Losers Values PMPM'!$H$107</f>
        <v>2.6934337865462964E-2</v>
      </c>
      <c r="BN82" s="401">
        <f t="shared" si="39"/>
        <v>462.18034848407251</v>
      </c>
      <c r="BO82" s="401">
        <f>BJ82*(1-'Assumptions-Output Override'!$D$11)</f>
        <v>9.2947396233029114</v>
      </c>
      <c r="BP82" s="401">
        <f>BK82*(1-'Assumptions-Output Override'!$D$11)</f>
        <v>48.772563890176215</v>
      </c>
      <c r="BQ82" s="401">
        <f>BL82*(1-'Assumptions-Output Override'!$D$11)</f>
        <v>7.7987005500761128</v>
      </c>
      <c r="BR82" s="401">
        <f>BM82*(1-'Assumptions-Output Override'!$D$11)</f>
        <v>3.8386759742393933E-3</v>
      </c>
      <c r="BS82" s="352">
        <f t="shared" si="40"/>
        <v>65.869842739529474</v>
      </c>
      <c r="BT82" s="352">
        <f t="shared" si="59"/>
        <v>55.922449601727003</v>
      </c>
      <c r="BU82" s="352">
        <f t="shared" si="59"/>
        <v>293.44353436833245</v>
      </c>
      <c r="BV82" s="352">
        <f t="shared" si="59"/>
        <v>46.921426112592357</v>
      </c>
      <c r="BW82" s="352">
        <f t="shared" si="41"/>
        <v>2.3095661891223571E-2</v>
      </c>
      <c r="BX82" s="352">
        <f t="shared" si="42"/>
        <v>396.31050574454304</v>
      </c>
      <c r="BY82" s="352">
        <f>BT$107*(1-'Assumptions-Output Override'!$D$12)</f>
        <v>22.753074310428271</v>
      </c>
      <c r="BZ82" s="352">
        <f>BU$107*(1-'Assumptions-Output Override'!$D$12)</f>
        <v>51.446038369839215</v>
      </c>
      <c r="CA82" s="352">
        <f>BV$107*(1-'Assumptions-Output Override'!$D$12)</f>
        <v>9.7401900534537411</v>
      </c>
      <c r="CB82" s="352">
        <f>BW$107*(1-'Assumptions-Output Override'!$D$12)</f>
        <v>1.7000814189516649</v>
      </c>
      <c r="CC82" s="352">
        <f t="shared" si="43"/>
        <v>85.639384152672903</v>
      </c>
      <c r="CD82" s="352">
        <f t="shared" si="60"/>
        <v>32.047813933731184</v>
      </c>
      <c r="CE82" s="352">
        <f t="shared" si="60"/>
        <v>100.21860226001543</v>
      </c>
      <c r="CF82" s="352">
        <f t="shared" si="60"/>
        <v>17.538890603529854</v>
      </c>
      <c r="CG82" s="352">
        <f t="shared" si="44"/>
        <v>1.7039200949259043</v>
      </c>
      <c r="CH82" s="352">
        <f t="shared" si="45"/>
        <v>151.50922689220238</v>
      </c>
      <c r="CJ82" s="352">
        <f t="shared" si="61"/>
        <v>151.50922689220238</v>
      </c>
      <c r="CK82" s="352">
        <f t="shared" si="62"/>
        <v>202.55179463238619</v>
      </c>
      <c r="CL82" s="352">
        <f t="shared" si="63"/>
        <v>-51.042567740183813</v>
      </c>
      <c r="CN82" s="352">
        <f t="shared" si="64"/>
        <v>38.601968471944993</v>
      </c>
      <c r="CO82" s="352">
        <f t="shared" si="64"/>
        <v>202.55725817905983</v>
      </c>
      <c r="CP82" s="352">
        <f t="shared" si="64"/>
        <v>32.388770956146587</v>
      </c>
      <c r="CQ82" s="352">
        <f t="shared" si="46"/>
        <v>1.5942399135108368E-2</v>
      </c>
      <c r="CR82" s="352">
        <f t="shared" si="69"/>
        <v>273.56394000628649</v>
      </c>
      <c r="CT82" s="352">
        <f t="shared" si="32"/>
        <v>-26.61522075308492</v>
      </c>
      <c r="CU82" s="352">
        <f t="shared" si="32"/>
        <v>-139.65884007944885</v>
      </c>
      <c r="CV82" s="352">
        <f t="shared" si="32"/>
        <v>-22.331355706521883</v>
      </c>
      <c r="CW82" s="352">
        <f t="shared" si="32"/>
        <v>-1.0991938730354596E-2</v>
      </c>
      <c r="CX82" s="352">
        <f t="shared" si="47"/>
        <v>-188.616408477786</v>
      </c>
      <c r="CZ82" s="352">
        <f t="shared" si="65"/>
        <v>18.010556952207416</v>
      </c>
      <c r="DA82" s="352">
        <f t="shared" si="65"/>
        <v>-66.625698205253983</v>
      </c>
      <c r="DB82" s="352">
        <f t="shared" si="65"/>
        <v>-4.1264694693982555</v>
      </c>
      <c r="DC82" s="352">
        <f t="shared" si="48"/>
        <v>1.699042982260994</v>
      </c>
      <c r="DD82" s="352">
        <f t="shared" si="66"/>
        <v>-51.042567740183827</v>
      </c>
      <c r="DF82" s="352">
        <f t="shared" si="67"/>
        <v>14.03725698152377</v>
      </c>
      <c r="DG82" s="352">
        <f t="shared" si="67"/>
        <v>166.84430046526941</v>
      </c>
      <c r="DH82" s="352">
        <f t="shared" si="67"/>
        <v>21.66536007292811</v>
      </c>
      <c r="DI82" s="352">
        <f t="shared" si="49"/>
        <v>4.8771126649102018E-3</v>
      </c>
      <c r="DJ82" s="352">
        <f t="shared" si="68"/>
        <v>202.55179463238619</v>
      </c>
    </row>
    <row r="83" spans="1:114" x14ac:dyDescent="0.2">
      <c r="A83">
        <v>78</v>
      </c>
      <c r="B83" s="397">
        <v>34308</v>
      </c>
      <c r="C83" s="398">
        <v>397997.79676138877</v>
      </c>
      <c r="D83" s="399">
        <v>42.154628935850788</v>
      </c>
      <c r="E83" s="399">
        <v>213.85908195936869</v>
      </c>
      <c r="F83" s="399">
        <v>34.177521731433707</v>
      </c>
      <c r="G83" s="399">
        <v>2.5460505378019374E-2</v>
      </c>
      <c r="H83" s="399">
        <v>290.21669313203125</v>
      </c>
      <c r="I83" s="400">
        <v>2.7343869264174731E-2</v>
      </c>
      <c r="J83" s="400">
        <v>0.10995434170395908</v>
      </c>
      <c r="K83" s="400">
        <v>3.2789126236856666E-3</v>
      </c>
      <c r="L83" s="400">
        <v>0.72210800747775505</v>
      </c>
      <c r="M83" s="400">
        <v>0.62921398569991716</v>
      </c>
      <c r="N83" s="400">
        <v>0.5479904204866306</v>
      </c>
      <c r="O83" s="399">
        <f t="shared" si="35"/>
        <v>6.8359673160436829</v>
      </c>
      <c r="P83" s="399">
        <f t="shared" si="35"/>
        <v>0</v>
      </c>
      <c r="Q83" s="399">
        <f t="shared" si="35"/>
        <v>3.2789126236856667</v>
      </c>
      <c r="R83" s="399">
        <f t="shared" si="33"/>
        <v>14.992742730328457</v>
      </c>
      <c r="S83" s="399">
        <f t="shared" si="33"/>
        <v>18.876419570997516</v>
      </c>
      <c r="T83" s="399">
        <f t="shared" si="33"/>
        <v>32.879425229197835</v>
      </c>
      <c r="U83" s="399">
        <f t="shared" si="50"/>
        <v>76.863467470253156</v>
      </c>
      <c r="V83" s="400">
        <v>2.7922738310097932E-3</v>
      </c>
      <c r="W83" s="400">
        <v>1.759418072887509E-2</v>
      </c>
      <c r="X83" s="400">
        <v>4.2713804293223245E-5</v>
      </c>
      <c r="Y83" s="400">
        <v>0.14854286026727781</v>
      </c>
      <c r="Z83" s="400">
        <v>4.6048596623231845E-2</v>
      </c>
      <c r="AA83" s="400">
        <v>4.0889171076885167E-2</v>
      </c>
      <c r="AB83" s="352">
        <f t="shared" si="36"/>
        <v>0.6980684577524483</v>
      </c>
      <c r="AC83" s="352">
        <f t="shared" si="36"/>
        <v>0</v>
      </c>
      <c r="AD83" s="352">
        <f t="shared" si="36"/>
        <v>4.2713804293223245E-2</v>
      </c>
      <c r="AE83" s="352">
        <f t="shared" si="34"/>
        <v>5.2656120244166198</v>
      </c>
      <c r="AF83" s="352">
        <f t="shared" si="34"/>
        <v>1.3814578986969555</v>
      </c>
      <c r="AG83" s="352">
        <f t="shared" si="34"/>
        <v>2.45335026461311</v>
      </c>
      <c r="AH83" s="400">
        <f t="shared" si="51"/>
        <v>9.8412024497723571</v>
      </c>
      <c r="AJ83" s="352">
        <f>D83*('Assumptions-Output Override'!$D$10/'Winners-Losers Values PMPM'!$H$107)*(1+'Assumptions-Output Override'!$F$41)</f>
        <v>50.316270759157945</v>
      </c>
      <c r="AK83" s="352">
        <f>E83*('Assumptions-Output Override'!$D$10/'Winners-Losers Values PMPM'!$H$107)*(1+'Assumptions-Output Override'!$F$37)</f>
        <v>351.96472108767261</v>
      </c>
      <c r="AL83" s="352">
        <f>F83*('Assumptions-Output Override'!$D$10/'Winners-Losers Values PMPM'!$H$107)*(1+'Assumptions-Output Override'!$F$38)</f>
        <v>57.412971775740239</v>
      </c>
      <c r="AM83" s="352">
        <f>G83*('Shoppable Detail'!$X$21/'Shoppable Detail'!$H$21)*('Assumptions-Output Override'!$D$10/'Winners-Losers Values PMPM'!$H$107)*(1+'Assumptions-Output Override'!$F$39)</f>
        <v>4.365946747673085E-2</v>
      </c>
      <c r="AN83" s="352">
        <f t="shared" si="52"/>
        <v>459.73762309004752</v>
      </c>
      <c r="AO83" s="352">
        <v>0</v>
      </c>
      <c r="AP83" s="352">
        <f>U83*'Assumptions-Output Override'!$D$10/'Winners-Losers Values PMPM'!$H$107*(1+'Assumptions-Output Override'!$F$37)</f>
        <v>126.50025728221782</v>
      </c>
      <c r="AQ83" s="352">
        <f>AH83*'Assumptions-Output Override'!$D$10/'Winners-Losers Values PMPM'!$H$107*(1+'Assumptions-Output Override'!$F$38)</f>
        <v>16.531704168838942</v>
      </c>
      <c r="AR83" s="352">
        <f>AM83*('Shoppable Detail'!$AA$23/'Shoppable Detail'!$Y$23)</f>
        <v>1.458799902114669E-3</v>
      </c>
      <c r="AS83" s="352">
        <f t="shared" si="53"/>
        <v>143.03342025095887</v>
      </c>
      <c r="AT83" s="352">
        <f t="shared" si="54"/>
        <v>50.316270759157945</v>
      </c>
      <c r="AU83" s="352">
        <f t="shared" si="54"/>
        <v>225.46446380545478</v>
      </c>
      <c r="AV83" s="352">
        <f t="shared" si="54"/>
        <v>40.881267606901297</v>
      </c>
      <c r="AW83" s="352">
        <f t="shared" si="37"/>
        <v>4.2200667574616178E-2</v>
      </c>
      <c r="AX83" s="352">
        <f t="shared" si="55"/>
        <v>316.70420283908862</v>
      </c>
      <c r="AY83" s="352">
        <f>AT83*'Assumptions-Output Override'!$D$24</f>
        <v>15.329149853157745</v>
      </c>
      <c r="AZ83" s="352">
        <f>$AU$107*'Assumptions-Output Override'!$D$21</f>
        <v>46.041131296780591</v>
      </c>
      <c r="BA83" s="352">
        <f>AV83*'Assumptions-Output Override'!$D$22</f>
        <v>6.1321901410351947</v>
      </c>
      <c r="BB83" s="352">
        <f>AW83*'Assumptions-Output Override'!$D$23</f>
        <v>6.3301001361924262E-3</v>
      </c>
      <c r="BC83" s="352">
        <f t="shared" si="56"/>
        <v>67.508801391109728</v>
      </c>
      <c r="BD83" s="352">
        <f t="shared" si="57"/>
        <v>15.329149853157745</v>
      </c>
      <c r="BE83" s="352">
        <f t="shared" si="57"/>
        <v>172.54138857899841</v>
      </c>
      <c r="BF83" s="352">
        <f t="shared" si="57"/>
        <v>22.663894309874138</v>
      </c>
      <c r="BG83" s="352">
        <f t="shared" si="38"/>
        <v>7.788900038307095E-3</v>
      </c>
      <c r="BH83" s="352">
        <f t="shared" si="58"/>
        <v>210.5422216420686</v>
      </c>
      <c r="BJ83" s="401">
        <f>D83*'Assumptions-Output Override'!$D$10/'Winners-Losers Values PMPM'!$H$107</f>
        <v>71.219332092309259</v>
      </c>
      <c r="BK83" s="401">
        <f>E83*'Assumptions-Output Override'!$D$10/'Winners-Losers Values PMPM'!$H$107</f>
        <v>361.31028462374633</v>
      </c>
      <c r="BL83" s="401">
        <f>F83*'Assumptions-Output Override'!$D$10/'Winners-Losers Values PMPM'!$H$107</f>
        <v>57.742182335116958</v>
      </c>
      <c r="BM83" s="401">
        <f>G83*'Assumptions-Output Override'!$D$10/'Winners-Losers Values PMPM'!$H$107</f>
        <v>4.3014972104595303E-2</v>
      </c>
      <c r="BN83" s="401">
        <f t="shared" si="39"/>
        <v>490.31481402327711</v>
      </c>
      <c r="BO83" s="401">
        <f>BJ83*(1-'Assumptions-Output Override'!$D$11)</f>
        <v>10.150163719252989</v>
      </c>
      <c r="BP83" s="401">
        <f>BK83*(1-'Assumptions-Output Override'!$D$11)</f>
        <v>51.493863177873678</v>
      </c>
      <c r="BQ83" s="401">
        <f>BL83*(1-'Assumptions-Output Override'!$D$11)</f>
        <v>8.2294032672020112</v>
      </c>
      <c r="BR83" s="401">
        <f>BM83*(1-'Assumptions-Output Override'!$D$11)</f>
        <v>6.1304844683862259E-3</v>
      </c>
      <c r="BS83" s="352">
        <f t="shared" si="40"/>
        <v>69.879560648797067</v>
      </c>
      <c r="BT83" s="352">
        <f t="shared" si="59"/>
        <v>61.069168373056272</v>
      </c>
      <c r="BU83" s="352">
        <f t="shared" si="59"/>
        <v>309.81642144587266</v>
      </c>
      <c r="BV83" s="352">
        <f t="shared" si="59"/>
        <v>49.512779067914948</v>
      </c>
      <c r="BW83" s="352">
        <f t="shared" si="41"/>
        <v>3.6884487636209079E-2</v>
      </c>
      <c r="BX83" s="352">
        <f t="shared" si="42"/>
        <v>420.43525337448006</v>
      </c>
      <c r="BY83" s="352">
        <f>BT$107*(1-'Assumptions-Output Override'!$D$12)</f>
        <v>22.753074310428271</v>
      </c>
      <c r="BZ83" s="352">
        <f>BU$107*(1-'Assumptions-Output Override'!$D$12)</f>
        <v>51.446038369839215</v>
      </c>
      <c r="CA83" s="352">
        <f>BV$107*(1-'Assumptions-Output Override'!$D$12)</f>
        <v>9.7401900534537411</v>
      </c>
      <c r="CB83" s="352">
        <f>BW$107*(1-'Assumptions-Output Override'!$D$12)</f>
        <v>1.7000814189516649</v>
      </c>
      <c r="CC83" s="352">
        <f t="shared" si="43"/>
        <v>85.639384152672903</v>
      </c>
      <c r="CD83" s="352">
        <f t="shared" si="60"/>
        <v>32.903238029681262</v>
      </c>
      <c r="CE83" s="352">
        <f t="shared" si="60"/>
        <v>102.93990154771289</v>
      </c>
      <c r="CF83" s="352">
        <f t="shared" si="60"/>
        <v>17.969593320655754</v>
      </c>
      <c r="CG83" s="352">
        <f t="shared" si="44"/>
        <v>1.7062119034200511</v>
      </c>
      <c r="CH83" s="352">
        <f t="shared" si="45"/>
        <v>155.51894480146993</v>
      </c>
      <c r="CJ83" s="352">
        <f t="shared" si="61"/>
        <v>155.51894480146993</v>
      </c>
      <c r="CK83" s="352">
        <f t="shared" si="62"/>
        <v>210.5422216420686</v>
      </c>
      <c r="CL83" s="352">
        <f t="shared" si="63"/>
        <v>-55.023276840598669</v>
      </c>
      <c r="CN83" s="352">
        <f t="shared" si="64"/>
        <v>42.154628935850788</v>
      </c>
      <c r="CO83" s="352">
        <f t="shared" si="64"/>
        <v>213.85908195936869</v>
      </c>
      <c r="CP83" s="352">
        <f t="shared" si="64"/>
        <v>34.177521731433707</v>
      </c>
      <c r="CQ83" s="352">
        <f t="shared" si="46"/>
        <v>2.5460505378019374E-2</v>
      </c>
      <c r="CR83" s="352">
        <f t="shared" si="69"/>
        <v>290.21669313203125</v>
      </c>
      <c r="CT83" s="352">
        <f t="shared" si="32"/>
        <v>-29.064703156458471</v>
      </c>
      <c r="CU83" s="352">
        <f t="shared" si="32"/>
        <v>-147.45120266437763</v>
      </c>
      <c r="CV83" s="352">
        <f t="shared" si="32"/>
        <v>-23.564660603683251</v>
      </c>
      <c r="CW83" s="352">
        <f t="shared" si="32"/>
        <v>-1.7554466726575929E-2</v>
      </c>
      <c r="CX83" s="352">
        <f t="shared" si="47"/>
        <v>-200.09812089124594</v>
      </c>
      <c r="CZ83" s="352">
        <f t="shared" si="65"/>
        <v>17.574088176523517</v>
      </c>
      <c r="DA83" s="352">
        <f t="shared" si="65"/>
        <v>-69.601487031285515</v>
      </c>
      <c r="DB83" s="352">
        <f t="shared" si="65"/>
        <v>-4.6943009892183838</v>
      </c>
      <c r="DC83" s="352">
        <f t="shared" si="48"/>
        <v>1.698423003381744</v>
      </c>
      <c r="DD83" s="352">
        <f t="shared" si="66"/>
        <v>-55.023276840598641</v>
      </c>
      <c r="DF83" s="352">
        <f t="shared" si="67"/>
        <v>15.329149853157745</v>
      </c>
      <c r="DG83" s="352">
        <f t="shared" si="67"/>
        <v>172.54138857899841</v>
      </c>
      <c r="DH83" s="352">
        <f t="shared" si="67"/>
        <v>22.663894309874138</v>
      </c>
      <c r="DI83" s="352">
        <f t="shared" si="49"/>
        <v>7.788900038307095E-3</v>
      </c>
      <c r="DJ83" s="352">
        <f t="shared" si="68"/>
        <v>210.5422216420686</v>
      </c>
    </row>
    <row r="84" spans="1:114" x14ac:dyDescent="0.2">
      <c r="A84">
        <v>79</v>
      </c>
      <c r="B84" s="397">
        <v>34308</v>
      </c>
      <c r="C84" s="398">
        <v>397997.79676138877</v>
      </c>
      <c r="D84" s="399">
        <v>45.700508047879858</v>
      </c>
      <c r="E84" s="399">
        <v>224.81006273197087</v>
      </c>
      <c r="F84" s="399">
        <v>37.858354757159695</v>
      </c>
      <c r="G84" s="399">
        <v>4.4919704398606118E-2</v>
      </c>
      <c r="H84" s="399">
        <v>308.41384524140904</v>
      </c>
      <c r="I84" s="400">
        <v>2.754846797570534E-2</v>
      </c>
      <c r="J84" s="400">
        <v>0.11574548328276944</v>
      </c>
      <c r="K84" s="400">
        <v>3.1407209039134736E-3</v>
      </c>
      <c r="L84" s="400">
        <v>0.73491182176844871</v>
      </c>
      <c r="M84" s="400">
        <v>0.64518010423551975</v>
      </c>
      <c r="N84" s="400">
        <v>0.56929626707423575</v>
      </c>
      <c r="O84" s="399">
        <f t="shared" si="35"/>
        <v>6.8871169939263348</v>
      </c>
      <c r="P84" s="399">
        <f t="shared" si="35"/>
        <v>0</v>
      </c>
      <c r="Q84" s="399">
        <f t="shared" si="35"/>
        <v>3.1407209039134738</v>
      </c>
      <c r="R84" s="399">
        <f t="shared" si="33"/>
        <v>15.258581485250707</v>
      </c>
      <c r="S84" s="399">
        <f t="shared" si="33"/>
        <v>19.355403127065593</v>
      </c>
      <c r="T84" s="399">
        <f t="shared" si="33"/>
        <v>34.157776024454144</v>
      </c>
      <c r="U84" s="399">
        <f t="shared" si="50"/>
        <v>78.799598534610254</v>
      </c>
      <c r="V84" s="400">
        <v>3.096456618291883E-3</v>
      </c>
      <c r="W84" s="400">
        <v>1.9213178094654129E-2</v>
      </c>
      <c r="X84" s="400">
        <v>4.7738957739484802E-5</v>
      </c>
      <c r="Y84" s="400">
        <v>0.15644903203120694</v>
      </c>
      <c r="Z84" s="400">
        <v>4.9250624399190465E-2</v>
      </c>
      <c r="AA84" s="400">
        <v>4.4898037490175291E-2</v>
      </c>
      <c r="AB84" s="352">
        <f t="shared" si="36"/>
        <v>0.77411415457297073</v>
      </c>
      <c r="AC84" s="352">
        <f t="shared" si="36"/>
        <v>0</v>
      </c>
      <c r="AD84" s="352">
        <f t="shared" si="36"/>
        <v>4.7738957739484805E-2</v>
      </c>
      <c r="AE84" s="352">
        <f t="shared" si="34"/>
        <v>5.5458734454794749</v>
      </c>
      <c r="AF84" s="352">
        <f t="shared" si="34"/>
        <v>1.4775187319757139</v>
      </c>
      <c r="AG84" s="352">
        <f t="shared" si="34"/>
        <v>2.6938822494105175</v>
      </c>
      <c r="AH84" s="400">
        <f t="shared" si="51"/>
        <v>10.53912753917816</v>
      </c>
      <c r="AJ84" s="352">
        <f>D84*('Assumptions-Output Override'!$D$10/'Winners-Losers Values PMPM'!$H$107)*(1+'Assumptions-Output Override'!$F$41)</f>
        <v>54.548674601488109</v>
      </c>
      <c r="AK84" s="352">
        <f>E84*('Assumptions-Output Override'!$D$10/'Winners-Losers Values PMPM'!$H$107)*(1+'Assumptions-Output Override'!$F$37)</f>
        <v>369.98761194623194</v>
      </c>
      <c r="AL84" s="352">
        <f>F84*('Assumptions-Output Override'!$D$10/'Winners-Losers Values PMPM'!$H$107)*(1+'Assumptions-Output Override'!$F$38)</f>
        <v>63.596204260465925</v>
      </c>
      <c r="AM84" s="352">
        <f>G84*('Shoppable Detail'!$X$21/'Shoppable Detail'!$H$21)*('Assumptions-Output Override'!$D$10/'Winners-Losers Values PMPM'!$H$107)*(1+'Assumptions-Output Override'!$F$39)</f>
        <v>7.7027943638087806E-2</v>
      </c>
      <c r="AN84" s="352">
        <f t="shared" si="52"/>
        <v>488.20951875182408</v>
      </c>
      <c r="AO84" s="352">
        <v>0</v>
      </c>
      <c r="AP84" s="352">
        <f>U84*'Assumptions-Output Override'!$D$10/'Winners-Losers Values PMPM'!$H$107*(1+'Assumptions-Output Override'!$F$37)</f>
        <v>129.68670054107878</v>
      </c>
      <c r="AQ84" s="352">
        <f>AH84*'Assumptions-Output Override'!$D$10/'Winners-Losers Values PMPM'!$H$107*(1+'Assumptions-Output Override'!$F$38)</f>
        <v>17.70411081009588</v>
      </c>
      <c r="AR84" s="352">
        <f>AM84*('Shoppable Detail'!$AA$23/'Shoppable Detail'!$Y$23)</f>
        <v>2.5737454699653771E-3</v>
      </c>
      <c r="AS84" s="352">
        <f t="shared" si="53"/>
        <v>147.39338509664461</v>
      </c>
      <c r="AT84" s="352">
        <f t="shared" si="54"/>
        <v>54.548674601488109</v>
      </c>
      <c r="AU84" s="352">
        <f t="shared" si="54"/>
        <v>240.30091140515316</v>
      </c>
      <c r="AV84" s="352">
        <f t="shared" si="54"/>
        <v>45.892093450370041</v>
      </c>
      <c r="AW84" s="352">
        <f t="shared" si="37"/>
        <v>7.4454198168122432E-2</v>
      </c>
      <c r="AX84" s="352">
        <f t="shared" si="55"/>
        <v>340.81613365517944</v>
      </c>
      <c r="AY84" s="352">
        <f>AT84*'Assumptions-Output Override'!$D$24</f>
        <v>16.618576747466108</v>
      </c>
      <c r="AZ84" s="352">
        <f>$AU$107*'Assumptions-Output Override'!$D$21</f>
        <v>46.041131296780591</v>
      </c>
      <c r="BA84" s="352">
        <f>AV84*'Assumptions-Output Override'!$D$22</f>
        <v>6.8838140175555056</v>
      </c>
      <c r="BB84" s="352">
        <f>AW84*'Assumptions-Output Override'!$D$23</f>
        <v>1.1168129725218365E-2</v>
      </c>
      <c r="BC84" s="352">
        <f t="shared" si="56"/>
        <v>69.554690191527428</v>
      </c>
      <c r="BD84" s="352">
        <f t="shared" si="57"/>
        <v>16.618576747466108</v>
      </c>
      <c r="BE84" s="352">
        <f t="shared" si="57"/>
        <v>175.72783183785936</v>
      </c>
      <c r="BF84" s="352">
        <f t="shared" si="57"/>
        <v>24.587924827651385</v>
      </c>
      <c r="BG84" s="352">
        <f t="shared" si="38"/>
        <v>1.3741875195183741E-2</v>
      </c>
      <c r="BH84" s="352">
        <f t="shared" si="58"/>
        <v>216.94807528817205</v>
      </c>
      <c r="BJ84" s="401">
        <f>D84*'Assumptions-Output Override'!$D$10/'Winners-Losers Values PMPM'!$H$107</f>
        <v>77.210018012545405</v>
      </c>
      <c r="BK84" s="401">
        <f>E84*'Assumptions-Output Override'!$D$10/'Winners-Losers Values PMPM'!$H$107</f>
        <v>379.81172933026482</v>
      </c>
      <c r="BL84" s="401">
        <f>F84*'Assumptions-Output Override'!$D$10/'Winners-Losers Values PMPM'!$H$107</f>
        <v>63.96086996807994</v>
      </c>
      <c r="BM84" s="401">
        <f>G84*'Assumptions-Output Override'!$D$10/'Winners-Losers Values PMPM'!$H$107</f>
        <v>7.5890867167186626E-2</v>
      </c>
      <c r="BN84" s="401">
        <f t="shared" si="39"/>
        <v>521.05850817805742</v>
      </c>
      <c r="BO84" s="401">
        <f>BJ84*(1-'Assumptions-Output Override'!$D$11)</f>
        <v>11.003954973602408</v>
      </c>
      <c r="BP84" s="401">
        <f>BK84*(1-'Assumptions-Output Override'!$D$11)</f>
        <v>54.130685053294613</v>
      </c>
      <c r="BQ84" s="401">
        <f>BL84*(1-'Assumptions-Output Override'!$D$11)</f>
        <v>9.1156892760578057</v>
      </c>
      <c r="BR84" s="401">
        <f>BM84*(1-'Assumptions-Output Override'!$D$11)</f>
        <v>1.0815949882043449E-2</v>
      </c>
      <c r="BS84" s="352">
        <f t="shared" si="40"/>
        <v>74.261145252836869</v>
      </c>
      <c r="BT84" s="352">
        <f t="shared" si="59"/>
        <v>66.206063038943</v>
      </c>
      <c r="BU84" s="352">
        <f t="shared" si="59"/>
        <v>325.68104427697023</v>
      </c>
      <c r="BV84" s="352">
        <f t="shared" si="59"/>
        <v>54.845180692022133</v>
      </c>
      <c r="BW84" s="352">
        <f t="shared" si="41"/>
        <v>6.5074917285143183E-2</v>
      </c>
      <c r="BX84" s="352">
        <f t="shared" si="42"/>
        <v>446.79736292522051</v>
      </c>
      <c r="BY84" s="352">
        <f>BT$107*(1-'Assumptions-Output Override'!$D$12)</f>
        <v>22.753074310428271</v>
      </c>
      <c r="BZ84" s="352">
        <f>BU$107*(1-'Assumptions-Output Override'!$D$12)</f>
        <v>51.446038369839215</v>
      </c>
      <c r="CA84" s="352">
        <f>BV$107*(1-'Assumptions-Output Override'!$D$12)</f>
        <v>9.7401900534537411</v>
      </c>
      <c r="CB84" s="352">
        <f>BW$107*(1-'Assumptions-Output Override'!$D$12)</f>
        <v>1.7000814189516649</v>
      </c>
      <c r="CC84" s="352">
        <f t="shared" si="43"/>
        <v>85.639384152672903</v>
      </c>
      <c r="CD84" s="352">
        <f t="shared" si="60"/>
        <v>33.757029284030679</v>
      </c>
      <c r="CE84" s="352">
        <f t="shared" si="60"/>
        <v>105.57672342313383</v>
      </c>
      <c r="CF84" s="352">
        <f t="shared" si="60"/>
        <v>18.855879329511545</v>
      </c>
      <c r="CG84" s="352">
        <f t="shared" si="44"/>
        <v>1.7108973688337084</v>
      </c>
      <c r="CH84" s="352">
        <f t="shared" si="45"/>
        <v>159.90052940550976</v>
      </c>
      <c r="CJ84" s="352">
        <f t="shared" si="61"/>
        <v>159.90052940550976</v>
      </c>
      <c r="CK84" s="352">
        <f t="shared" si="62"/>
        <v>216.94807528817205</v>
      </c>
      <c r="CL84" s="352">
        <f t="shared" si="63"/>
        <v>-57.047545882662291</v>
      </c>
      <c r="CN84" s="352">
        <f t="shared" si="64"/>
        <v>45.700508047879858</v>
      </c>
      <c r="CO84" s="352">
        <f t="shared" si="64"/>
        <v>224.81006273197087</v>
      </c>
      <c r="CP84" s="352">
        <f t="shared" si="64"/>
        <v>37.858354757159695</v>
      </c>
      <c r="CQ84" s="352">
        <f t="shared" si="46"/>
        <v>4.4919704398606118E-2</v>
      </c>
      <c r="CR84" s="352">
        <f t="shared" si="69"/>
        <v>308.41384524140904</v>
      </c>
      <c r="CT84" s="352">
        <f t="shared" si="32"/>
        <v>-31.509509964665547</v>
      </c>
      <c r="CU84" s="352">
        <f t="shared" si="32"/>
        <v>-155.00166659829395</v>
      </c>
      <c r="CV84" s="352">
        <f t="shared" si="32"/>
        <v>-26.102515210920245</v>
      </c>
      <c r="CW84" s="352">
        <f t="shared" si="32"/>
        <v>-3.0971162768580508E-2</v>
      </c>
      <c r="CX84" s="352">
        <f t="shared" si="47"/>
        <v>-212.64466293664833</v>
      </c>
      <c r="CZ84" s="352">
        <f t="shared" si="65"/>
        <v>17.138452536564571</v>
      </c>
      <c r="DA84" s="352">
        <f t="shared" si="65"/>
        <v>-70.151108414725527</v>
      </c>
      <c r="DB84" s="352">
        <f t="shared" si="65"/>
        <v>-5.7320454981398399</v>
      </c>
      <c r="DC84" s="352">
        <f t="shared" si="48"/>
        <v>1.6971554936385247</v>
      </c>
      <c r="DD84" s="352">
        <f t="shared" si="66"/>
        <v>-57.04754588266227</v>
      </c>
      <c r="DF84" s="352">
        <f t="shared" si="67"/>
        <v>16.618576747466108</v>
      </c>
      <c r="DG84" s="352">
        <f t="shared" si="67"/>
        <v>175.72783183785936</v>
      </c>
      <c r="DH84" s="352">
        <f t="shared" si="67"/>
        <v>24.587924827651385</v>
      </c>
      <c r="DI84" s="352">
        <f t="shared" si="49"/>
        <v>1.3741875195183741E-2</v>
      </c>
      <c r="DJ84" s="352">
        <f t="shared" si="68"/>
        <v>216.94807528817205</v>
      </c>
    </row>
    <row r="85" spans="1:114" x14ac:dyDescent="0.2">
      <c r="A85">
        <v>80</v>
      </c>
      <c r="B85" s="397">
        <v>34308</v>
      </c>
      <c r="C85" s="398">
        <v>397997.79676138877</v>
      </c>
      <c r="D85" s="399">
        <v>50.168831367596106</v>
      </c>
      <c r="E85" s="399">
        <v>239.26768363252913</v>
      </c>
      <c r="F85" s="399">
        <v>38.681161691511974</v>
      </c>
      <c r="G85" s="399">
        <v>6.7633280667222281E-2</v>
      </c>
      <c r="H85" s="399">
        <v>328.18530997230442</v>
      </c>
      <c r="I85" s="400">
        <v>2.8102381560580456E-2</v>
      </c>
      <c r="J85" s="400">
        <v>0.12225022524569445</v>
      </c>
      <c r="K85" s="400">
        <v>3.6457488252627603E-3</v>
      </c>
      <c r="L85" s="400">
        <v>0.75837902451153194</v>
      </c>
      <c r="M85" s="400">
        <v>0.664189204440501</v>
      </c>
      <c r="N85" s="400">
        <v>0.59994000455027252</v>
      </c>
      <c r="O85" s="399">
        <f t="shared" si="35"/>
        <v>7.0255953901451145</v>
      </c>
      <c r="P85" s="399">
        <f t="shared" si="35"/>
        <v>0</v>
      </c>
      <c r="Q85" s="399">
        <f t="shared" si="35"/>
        <v>3.6457488252627606</v>
      </c>
      <c r="R85" s="399">
        <f t="shared" si="33"/>
        <v>15.745818477063656</v>
      </c>
      <c r="S85" s="399">
        <f t="shared" si="33"/>
        <v>19.925676133215031</v>
      </c>
      <c r="T85" s="399">
        <f t="shared" si="33"/>
        <v>35.996400273016349</v>
      </c>
      <c r="U85" s="399">
        <f t="shared" si="50"/>
        <v>82.339239098702905</v>
      </c>
      <c r="V85" s="400">
        <v>3.6936481312824098E-3</v>
      </c>
      <c r="W85" s="400">
        <v>1.868054782631123E-2</v>
      </c>
      <c r="X85" s="400">
        <v>5.7789264632007922E-5</v>
      </c>
      <c r="Y85" s="400">
        <v>0.15767956460146942</v>
      </c>
      <c r="Z85" s="400">
        <v>4.9702888209354007E-2</v>
      </c>
      <c r="AA85" s="400">
        <v>4.4589593571643507E-2</v>
      </c>
      <c r="AB85" s="352">
        <f t="shared" si="36"/>
        <v>0.92341203282060247</v>
      </c>
      <c r="AC85" s="352">
        <f t="shared" si="36"/>
        <v>0</v>
      </c>
      <c r="AD85" s="352">
        <f t="shared" si="36"/>
        <v>5.7789264632007925E-2</v>
      </c>
      <c r="AE85" s="352">
        <f t="shared" si="34"/>
        <v>5.5894939001196482</v>
      </c>
      <c r="AF85" s="352">
        <f t="shared" si="34"/>
        <v>1.4910866462806203</v>
      </c>
      <c r="AG85" s="352">
        <f t="shared" si="34"/>
        <v>2.6753756142986105</v>
      </c>
      <c r="AH85" s="400">
        <f t="shared" si="51"/>
        <v>10.73715745815149</v>
      </c>
      <c r="AJ85" s="352">
        <f>D85*('Assumptions-Output Override'!$D$10/'Winners-Losers Values PMPM'!$H$107)*(1+'Assumptions-Output Override'!$F$41)</f>
        <v>59.882118915194162</v>
      </c>
      <c r="AK85" s="352">
        <f>E85*('Assumptions-Output Override'!$D$10/'Winners-Losers Values PMPM'!$H$107)*(1+'Assumptions-Output Override'!$F$37)</f>
        <v>393.78165642278617</v>
      </c>
      <c r="AL85" s="352">
        <f>F85*('Assumptions-Output Override'!$D$10/'Winners-Losers Values PMPM'!$H$107)*(1+'Assumptions-Output Override'!$F$38)</f>
        <v>64.978393164332616</v>
      </c>
      <c r="AM85" s="352">
        <f>G85*('Shoppable Detail'!$X$21/'Shoppable Detail'!$H$21)*('Assumptions-Output Override'!$D$10/'Winners-Losers Values PMPM'!$H$107)*(1+'Assumptions-Output Override'!$F$39)</f>
        <v>0.1159769994269025</v>
      </c>
      <c r="AN85" s="352">
        <f t="shared" si="52"/>
        <v>518.75814550173993</v>
      </c>
      <c r="AO85" s="352">
        <v>0</v>
      </c>
      <c r="AP85" s="352">
        <f>U85*'Assumptions-Output Override'!$D$10/'Winners-Losers Values PMPM'!$H$107*(1+'Assumptions-Output Override'!$F$37)</f>
        <v>135.51216557383421</v>
      </c>
      <c r="AQ85" s="352">
        <f>AH85*'Assumptions-Output Override'!$D$10/'Winners-Losers Values PMPM'!$H$107*(1+'Assumptions-Output Override'!$F$38)</f>
        <v>18.036770569282318</v>
      </c>
      <c r="AR85" s="352">
        <f>AM85*('Shoppable Detail'!$AA$23/'Shoppable Detail'!$Y$23)</f>
        <v>3.8751557265715615E-3</v>
      </c>
      <c r="AS85" s="352">
        <f t="shared" si="53"/>
        <v>153.5528112988431</v>
      </c>
      <c r="AT85" s="352">
        <f t="shared" si="54"/>
        <v>59.882118915194162</v>
      </c>
      <c r="AU85" s="352">
        <f t="shared" si="54"/>
        <v>258.26949084895193</v>
      </c>
      <c r="AV85" s="352">
        <f t="shared" si="54"/>
        <v>46.941622595050298</v>
      </c>
      <c r="AW85" s="352">
        <f t="shared" si="37"/>
        <v>0.11210184370033094</v>
      </c>
      <c r="AX85" s="352">
        <f t="shared" si="55"/>
        <v>365.20533420289672</v>
      </c>
      <c r="AY85" s="352">
        <f>AT85*'Assumptions-Output Override'!$D$24</f>
        <v>18.243442141596926</v>
      </c>
      <c r="AZ85" s="352">
        <f>$AU$107*'Assumptions-Output Override'!$D$21</f>
        <v>46.041131296780591</v>
      </c>
      <c r="BA85" s="352">
        <f>AV85*'Assumptions-Output Override'!$D$22</f>
        <v>7.0412433892575441</v>
      </c>
      <c r="BB85" s="352">
        <f>AW85*'Assumptions-Output Override'!$D$23</f>
        <v>1.6815276555049639E-2</v>
      </c>
      <c r="BC85" s="352">
        <f t="shared" si="56"/>
        <v>71.342632104190116</v>
      </c>
      <c r="BD85" s="352">
        <f t="shared" si="57"/>
        <v>18.243442141596926</v>
      </c>
      <c r="BE85" s="352">
        <f t="shared" si="57"/>
        <v>181.55329687061482</v>
      </c>
      <c r="BF85" s="352">
        <f t="shared" si="57"/>
        <v>25.078013958539863</v>
      </c>
      <c r="BG85" s="352">
        <f t="shared" si="38"/>
        <v>2.06904322816212E-2</v>
      </c>
      <c r="BH85" s="352">
        <f t="shared" si="58"/>
        <v>224.8954434030332</v>
      </c>
      <c r="BJ85" s="401">
        <f>D85*'Assumptions-Output Override'!$D$10/'Winners-Losers Values PMPM'!$H$107</f>
        <v>84.759153432215498</v>
      </c>
      <c r="BK85" s="401">
        <f>E85*'Assumptions-Output Override'!$D$10/'Winners-Losers Values PMPM'!$H$107</f>
        <v>404.23756654374063</v>
      </c>
      <c r="BL85" s="401">
        <f>F85*'Assumptions-Output Override'!$D$10/'Winners-Losers Values PMPM'!$H$107</f>
        <v>65.350984453363736</v>
      </c>
      <c r="BM85" s="401">
        <f>G85*'Assumptions-Output Override'!$D$10/'Winners-Losers Values PMPM'!$H$107</f>
        <v>0.11426496206765976</v>
      </c>
      <c r="BN85" s="401">
        <f t="shared" si="39"/>
        <v>554.46196939138747</v>
      </c>
      <c r="BO85" s="401">
        <f>BJ85*(1-'Assumptions-Output Override'!$D$11)</f>
        <v>12.079856111640987</v>
      </c>
      <c r="BP85" s="401">
        <f>BK85*(1-'Assumptions-Output Override'!$D$11)</f>
        <v>57.611850060223595</v>
      </c>
      <c r="BQ85" s="401">
        <f>BL85*(1-'Assumptions-Output Override'!$D$11)</f>
        <v>9.3138080901439508</v>
      </c>
      <c r="BR85" s="401">
        <f>BM85*(1-'Assumptions-Output Override'!$D$11)</f>
        <v>1.6285017540711013E-2</v>
      </c>
      <c r="BS85" s="352">
        <f t="shared" si="40"/>
        <v>79.021799279549242</v>
      </c>
      <c r="BT85" s="352">
        <f t="shared" si="59"/>
        <v>72.679297320574506</v>
      </c>
      <c r="BU85" s="352">
        <f t="shared" si="59"/>
        <v>346.62571648351701</v>
      </c>
      <c r="BV85" s="352">
        <f t="shared" si="59"/>
        <v>56.037176363219785</v>
      </c>
      <c r="BW85" s="352">
        <f t="shared" si="41"/>
        <v>9.7979944526948748E-2</v>
      </c>
      <c r="BX85" s="352">
        <f t="shared" si="42"/>
        <v>475.44017011183826</v>
      </c>
      <c r="BY85" s="352">
        <f>BT$107*(1-'Assumptions-Output Override'!$D$12)</f>
        <v>22.753074310428271</v>
      </c>
      <c r="BZ85" s="352">
        <f>BU$107*(1-'Assumptions-Output Override'!$D$12)</f>
        <v>51.446038369839215</v>
      </c>
      <c r="CA85" s="352">
        <f>BV$107*(1-'Assumptions-Output Override'!$D$12)</f>
        <v>9.7401900534537411</v>
      </c>
      <c r="CB85" s="352">
        <f>BW$107*(1-'Assumptions-Output Override'!$D$12)</f>
        <v>1.7000814189516649</v>
      </c>
      <c r="CC85" s="352">
        <f t="shared" si="43"/>
        <v>85.639384152672903</v>
      </c>
      <c r="CD85" s="352">
        <f t="shared" si="60"/>
        <v>34.832930422069261</v>
      </c>
      <c r="CE85" s="352">
        <f t="shared" si="60"/>
        <v>109.0578884300628</v>
      </c>
      <c r="CF85" s="352">
        <f t="shared" si="60"/>
        <v>19.053998143597692</v>
      </c>
      <c r="CG85" s="352">
        <f t="shared" si="44"/>
        <v>1.7163664364923759</v>
      </c>
      <c r="CH85" s="352">
        <f t="shared" si="45"/>
        <v>164.66118343222212</v>
      </c>
      <c r="CJ85" s="352">
        <f t="shared" si="61"/>
        <v>164.66118343222212</v>
      </c>
      <c r="CK85" s="352">
        <f t="shared" si="62"/>
        <v>224.8954434030332</v>
      </c>
      <c r="CL85" s="352">
        <f t="shared" si="63"/>
        <v>-60.234259970811081</v>
      </c>
      <c r="CN85" s="352">
        <f t="shared" si="64"/>
        <v>50.168831367596106</v>
      </c>
      <c r="CO85" s="352">
        <f t="shared" si="64"/>
        <v>239.26768363252913</v>
      </c>
      <c r="CP85" s="352">
        <f t="shared" si="64"/>
        <v>38.681161691511974</v>
      </c>
      <c r="CQ85" s="352">
        <f t="shared" si="46"/>
        <v>6.7633280667222281E-2</v>
      </c>
      <c r="CR85" s="352">
        <f t="shared" si="69"/>
        <v>328.18530997230442</v>
      </c>
      <c r="CT85" s="352">
        <f t="shared" si="32"/>
        <v>-34.590322064619393</v>
      </c>
      <c r="CU85" s="352">
        <f t="shared" si="32"/>
        <v>-164.9698829112115</v>
      </c>
      <c r="CV85" s="352">
        <f t="shared" si="32"/>
        <v>-26.669822761851762</v>
      </c>
      <c r="CW85" s="352">
        <f t="shared" ref="CW85:CW105" si="70">G85-BM85</f>
        <v>-4.6631681400437483E-2</v>
      </c>
      <c r="CX85" s="352">
        <f t="shared" si="47"/>
        <v>-226.27665941908307</v>
      </c>
      <c r="CZ85" s="352">
        <f t="shared" si="65"/>
        <v>16.589488280472334</v>
      </c>
      <c r="DA85" s="352">
        <f t="shared" si="65"/>
        <v>-72.495408440552012</v>
      </c>
      <c r="DB85" s="352">
        <f t="shared" si="65"/>
        <v>-6.024015814942171</v>
      </c>
      <c r="DC85" s="352">
        <f t="shared" si="48"/>
        <v>1.6956760042107546</v>
      </c>
      <c r="DD85" s="352">
        <f t="shared" si="66"/>
        <v>-60.234259970811095</v>
      </c>
      <c r="DF85" s="352">
        <f t="shared" si="67"/>
        <v>18.243442141596926</v>
      </c>
      <c r="DG85" s="352">
        <f t="shared" si="67"/>
        <v>181.55329687061482</v>
      </c>
      <c r="DH85" s="352">
        <f t="shared" si="67"/>
        <v>25.078013958539863</v>
      </c>
      <c r="DI85" s="352">
        <f t="shared" si="49"/>
        <v>2.06904322816212E-2</v>
      </c>
      <c r="DJ85" s="352">
        <f t="shared" si="68"/>
        <v>224.8954434030332</v>
      </c>
    </row>
    <row r="86" spans="1:114" x14ac:dyDescent="0.2">
      <c r="A86">
        <v>81</v>
      </c>
      <c r="B86" s="397">
        <v>34308</v>
      </c>
      <c r="C86" s="398">
        <v>397997.79676138877</v>
      </c>
      <c r="D86" s="399">
        <v>53.718550435789851</v>
      </c>
      <c r="E86" s="399">
        <v>253.02458366515154</v>
      </c>
      <c r="F86" s="399">
        <v>43.098967478936061</v>
      </c>
      <c r="G86" s="399">
        <v>6.1167326926076453E-2</v>
      </c>
      <c r="H86" s="399">
        <v>349.90326890680353</v>
      </c>
      <c r="I86" s="400">
        <v>3.0218231650553859E-2</v>
      </c>
      <c r="J86" s="400">
        <v>0.13208842914282709</v>
      </c>
      <c r="K86" s="400">
        <v>3.7085632433410298E-3</v>
      </c>
      <c r="L86" s="400">
        <v>0.77497555716549071</v>
      </c>
      <c r="M86" s="400">
        <v>0.68535077887265394</v>
      </c>
      <c r="N86" s="400">
        <v>0.61750804150148186</v>
      </c>
      <c r="O86" s="399">
        <f t="shared" si="35"/>
        <v>7.5545579126384643</v>
      </c>
      <c r="P86" s="399">
        <f t="shared" si="35"/>
        <v>0</v>
      </c>
      <c r="Q86" s="399">
        <f t="shared" si="35"/>
        <v>3.7085632433410298</v>
      </c>
      <c r="R86" s="399">
        <f t="shared" si="33"/>
        <v>16.090403416878168</v>
      </c>
      <c r="S86" s="399">
        <f t="shared" si="33"/>
        <v>20.56052336617962</v>
      </c>
      <c r="T86" s="399">
        <f t="shared" si="33"/>
        <v>37.05048249008891</v>
      </c>
      <c r="U86" s="399">
        <f t="shared" si="50"/>
        <v>84.964530429126199</v>
      </c>
      <c r="V86" s="400">
        <v>3.619154387458232E-3</v>
      </c>
      <c r="W86" s="400">
        <v>2.12729301113928E-2</v>
      </c>
      <c r="X86" s="400">
        <v>7.2864724970792599E-5</v>
      </c>
      <c r="Y86" s="400">
        <v>0.16791495873053613</v>
      </c>
      <c r="Z86" s="400">
        <v>5.2769236842263055E-2</v>
      </c>
      <c r="AA86" s="400">
        <v>4.8839064331940886E-2</v>
      </c>
      <c r="AB86" s="352">
        <f t="shared" si="36"/>
        <v>0.90478859686455804</v>
      </c>
      <c r="AC86" s="352">
        <f t="shared" si="36"/>
        <v>0</v>
      </c>
      <c r="AD86" s="352">
        <f t="shared" si="36"/>
        <v>7.2864724970792605E-2</v>
      </c>
      <c r="AE86" s="352">
        <f t="shared" si="34"/>
        <v>5.9523226103227564</v>
      </c>
      <c r="AF86" s="352">
        <f t="shared" si="34"/>
        <v>1.5830771052678916</v>
      </c>
      <c r="AG86" s="352">
        <f t="shared" si="34"/>
        <v>2.9303438599164533</v>
      </c>
      <c r="AH86" s="400">
        <f t="shared" si="51"/>
        <v>11.443396897342451</v>
      </c>
      <c r="AJ86" s="352">
        <f>D86*('Assumptions-Output Override'!$D$10/'Winners-Losers Values PMPM'!$H$107)*(1+'Assumptions-Output Override'!$F$41)</f>
        <v>64.119106175264264</v>
      </c>
      <c r="AK86" s="352">
        <f>E86*('Assumptions-Output Override'!$D$10/'Winners-Losers Values PMPM'!$H$107)*(1+'Assumptions-Output Override'!$F$37)</f>
        <v>416.42246942287596</v>
      </c>
      <c r="AL86" s="352">
        <f>F86*('Assumptions-Output Override'!$D$10/'Winners-Losers Values PMPM'!$H$107)*(1+'Assumptions-Output Override'!$F$38)</f>
        <v>72.399626364831306</v>
      </c>
      <c r="AM86" s="352">
        <f>G86*('Shoppable Detail'!$X$21/'Shoppable Detail'!$H$21)*('Assumptions-Output Override'!$D$10/'Winners-Losers Values PMPM'!$H$107)*(1+'Assumptions-Output Override'!$F$39)</f>
        <v>0.10488923455828686</v>
      </c>
      <c r="AN86" s="352">
        <f t="shared" si="52"/>
        <v>553.04609119752979</v>
      </c>
      <c r="AO86" s="352">
        <v>0</v>
      </c>
      <c r="AP86" s="352">
        <f>U86*'Assumptions-Output Override'!$D$10/'Winners-Losers Values PMPM'!$H$107*(1+'Assumptions-Output Override'!$F$37)</f>
        <v>139.83281411688685</v>
      </c>
      <c r="AQ86" s="352">
        <f>AH86*'Assumptions-Output Override'!$D$10/'Winners-Losers Values PMPM'!$H$107*(1+'Assumptions-Output Override'!$F$38)</f>
        <v>19.223144037429165</v>
      </c>
      <c r="AR86" s="352">
        <f>AM86*('Shoppable Detail'!$AA$23/'Shoppable Detail'!$Y$23)</f>
        <v>3.5046786859702843E-3</v>
      </c>
      <c r="AS86" s="352">
        <f t="shared" si="53"/>
        <v>159.05946283300199</v>
      </c>
      <c r="AT86" s="352">
        <f t="shared" si="54"/>
        <v>64.119106175264264</v>
      </c>
      <c r="AU86" s="352">
        <f t="shared" si="54"/>
        <v>276.58965530598914</v>
      </c>
      <c r="AV86" s="352">
        <f t="shared" si="54"/>
        <v>53.176482327402141</v>
      </c>
      <c r="AW86" s="352">
        <f t="shared" si="37"/>
        <v>0.10138455587231658</v>
      </c>
      <c r="AX86" s="352">
        <f t="shared" si="55"/>
        <v>393.98662836452786</v>
      </c>
      <c r="AY86" s="352">
        <f>AT86*'Assumptions-Output Override'!$D$24</f>
        <v>19.534265401262161</v>
      </c>
      <c r="AZ86" s="352">
        <f>$AU$107*'Assumptions-Output Override'!$D$21</f>
        <v>46.041131296780591</v>
      </c>
      <c r="BA86" s="352">
        <f>AV86*'Assumptions-Output Override'!$D$22</f>
        <v>7.9764723491103204</v>
      </c>
      <c r="BB86" s="352">
        <f>AW86*'Assumptions-Output Override'!$D$23</f>
        <v>1.5207683380847487E-2</v>
      </c>
      <c r="BC86" s="352">
        <f t="shared" si="56"/>
        <v>73.567076730533927</v>
      </c>
      <c r="BD86" s="352">
        <f t="shared" si="57"/>
        <v>19.534265401262161</v>
      </c>
      <c r="BE86" s="352">
        <f t="shared" si="57"/>
        <v>185.87394541366746</v>
      </c>
      <c r="BF86" s="352">
        <f t="shared" si="57"/>
        <v>27.199616386539486</v>
      </c>
      <c r="BG86" s="352">
        <f t="shared" si="38"/>
        <v>1.871236206681777E-2</v>
      </c>
      <c r="BH86" s="352">
        <f t="shared" si="58"/>
        <v>232.62653956353591</v>
      </c>
      <c r="BJ86" s="401">
        <f>D86*'Assumptions-Output Override'!$D$10/'Winners-Losers Values PMPM'!$H$107</f>
        <v>90.756326875179667</v>
      </c>
      <c r="BK86" s="401">
        <f>E86*'Assumptions-Output Override'!$D$10/'Winners-Losers Values PMPM'!$H$107</f>
        <v>427.47955103552664</v>
      </c>
      <c r="BL86" s="401">
        <f>F86*'Assumptions-Output Override'!$D$10/'Winners-Losers Values PMPM'!$H$107</f>
        <v>72.814771596945945</v>
      </c>
      <c r="BM86" s="401">
        <f>G86*'Assumptions-Output Override'!$D$10/'Winners-Losers Values PMPM'!$H$107</f>
        <v>0.10334087333982524</v>
      </c>
      <c r="BN86" s="401">
        <f t="shared" si="39"/>
        <v>591.15399038099201</v>
      </c>
      <c r="BO86" s="401">
        <f>BJ86*(1-'Assumptions-Output Override'!$D$11)</f>
        <v>12.934571966318538</v>
      </c>
      <c r="BP86" s="401">
        <f>BK86*(1-'Assumptions-Output Override'!$D$11)</f>
        <v>60.924292634750941</v>
      </c>
      <c r="BQ86" s="401">
        <f>BL86*(1-'Assumptions-Output Override'!$D$11)</f>
        <v>10.37754541043814</v>
      </c>
      <c r="BR86" s="401">
        <f>BM86*(1-'Assumptions-Output Override'!$D$11)</f>
        <v>1.4728118791261209E-2</v>
      </c>
      <c r="BS86" s="352">
        <f t="shared" si="40"/>
        <v>84.251138130298898</v>
      </c>
      <c r="BT86" s="352">
        <f t="shared" si="59"/>
        <v>77.821754908861124</v>
      </c>
      <c r="BU86" s="352">
        <f t="shared" si="59"/>
        <v>366.5552584007757</v>
      </c>
      <c r="BV86" s="352">
        <f t="shared" si="59"/>
        <v>62.437226186507807</v>
      </c>
      <c r="BW86" s="352">
        <f t="shared" si="41"/>
        <v>8.8612754548564029E-2</v>
      </c>
      <c r="BX86" s="352">
        <f t="shared" si="42"/>
        <v>506.90285225069323</v>
      </c>
      <c r="BY86" s="352">
        <f>BT$107*(1-'Assumptions-Output Override'!$D$12)</f>
        <v>22.753074310428271</v>
      </c>
      <c r="BZ86" s="352">
        <f>BU$107*(1-'Assumptions-Output Override'!$D$12)</f>
        <v>51.446038369839215</v>
      </c>
      <c r="CA86" s="352">
        <f>BV$107*(1-'Assumptions-Output Override'!$D$12)</f>
        <v>9.7401900534537411</v>
      </c>
      <c r="CB86" s="352">
        <f>BW$107*(1-'Assumptions-Output Override'!$D$12)</f>
        <v>1.7000814189516649</v>
      </c>
      <c r="CC86" s="352">
        <f t="shared" si="43"/>
        <v>85.639384152672903</v>
      </c>
      <c r="CD86" s="352">
        <f t="shared" si="60"/>
        <v>35.687646276746811</v>
      </c>
      <c r="CE86" s="352">
        <f t="shared" si="60"/>
        <v>112.37033100459016</v>
      </c>
      <c r="CF86" s="352">
        <f t="shared" si="60"/>
        <v>20.117735463891883</v>
      </c>
      <c r="CG86" s="352">
        <f t="shared" si="44"/>
        <v>1.714809537742926</v>
      </c>
      <c r="CH86" s="352">
        <f t="shared" si="45"/>
        <v>169.89052228297177</v>
      </c>
      <c r="CJ86" s="352">
        <f t="shared" si="61"/>
        <v>169.89052228297177</v>
      </c>
      <c r="CK86" s="352">
        <f t="shared" si="62"/>
        <v>232.62653956353591</v>
      </c>
      <c r="CL86" s="352">
        <f t="shared" si="63"/>
        <v>-62.736017280564141</v>
      </c>
      <c r="CN86" s="352">
        <f t="shared" si="64"/>
        <v>53.718550435789851</v>
      </c>
      <c r="CO86" s="352">
        <f t="shared" si="64"/>
        <v>253.02458366515154</v>
      </c>
      <c r="CP86" s="352">
        <f t="shared" si="64"/>
        <v>43.098967478936061</v>
      </c>
      <c r="CQ86" s="352">
        <f t="shared" si="46"/>
        <v>6.1167326926076453E-2</v>
      </c>
      <c r="CR86" s="352">
        <f t="shared" si="69"/>
        <v>349.90326890680353</v>
      </c>
      <c r="CT86" s="352">
        <f t="shared" ref="CT86:CV105" si="71">D86-BJ86</f>
        <v>-37.037776439389816</v>
      </c>
      <c r="CU86" s="352">
        <f t="shared" si="71"/>
        <v>-174.4549673703751</v>
      </c>
      <c r="CV86" s="352">
        <f t="shared" si="71"/>
        <v>-29.715804118009885</v>
      </c>
      <c r="CW86" s="352">
        <f t="shared" si="70"/>
        <v>-4.2173546413748784E-2</v>
      </c>
      <c r="CX86" s="352">
        <f t="shared" si="47"/>
        <v>-241.25072147418857</v>
      </c>
      <c r="CZ86" s="352">
        <f t="shared" si="65"/>
        <v>16.15338087548465</v>
      </c>
      <c r="DA86" s="352">
        <f t="shared" si="65"/>
        <v>-73.503614409077301</v>
      </c>
      <c r="DB86" s="352">
        <f t="shared" si="65"/>
        <v>-7.0818809226476027</v>
      </c>
      <c r="DC86" s="352">
        <f t="shared" si="48"/>
        <v>1.6960971756761083</v>
      </c>
      <c r="DD86" s="352">
        <f t="shared" si="66"/>
        <v>-62.736017280564148</v>
      </c>
      <c r="DF86" s="352">
        <f t="shared" si="67"/>
        <v>19.534265401262161</v>
      </c>
      <c r="DG86" s="352">
        <f t="shared" si="67"/>
        <v>185.87394541366746</v>
      </c>
      <c r="DH86" s="352">
        <f t="shared" si="67"/>
        <v>27.199616386539486</v>
      </c>
      <c r="DI86" s="352">
        <f t="shared" si="49"/>
        <v>1.871236206681777E-2</v>
      </c>
      <c r="DJ86" s="352">
        <f t="shared" si="68"/>
        <v>232.62653956353591</v>
      </c>
    </row>
    <row r="87" spans="1:114" x14ac:dyDescent="0.2">
      <c r="A87">
        <v>82</v>
      </c>
      <c r="B87" s="397">
        <v>34308</v>
      </c>
      <c r="C87" s="398">
        <v>397997.79676138877</v>
      </c>
      <c r="D87" s="399">
        <v>59.133326480505559</v>
      </c>
      <c r="E87" s="399">
        <v>267.97258047793736</v>
      </c>
      <c r="F87" s="399">
        <v>47.022008991849972</v>
      </c>
      <c r="G87" s="399">
        <v>3.2655591827310773E-2</v>
      </c>
      <c r="H87" s="399">
        <v>374.16057154212024</v>
      </c>
      <c r="I87" s="400">
        <v>3.1304850417279539E-2</v>
      </c>
      <c r="J87" s="400">
        <v>0.14528629358966161</v>
      </c>
      <c r="K87" s="400">
        <v>3.8517801165594842E-3</v>
      </c>
      <c r="L87" s="400">
        <v>0.79868876360220187</v>
      </c>
      <c r="M87" s="400">
        <v>0.69773330973111403</v>
      </c>
      <c r="N87" s="400">
        <v>0.64223164570248026</v>
      </c>
      <c r="O87" s="399">
        <f t="shared" si="35"/>
        <v>7.8262126043198847</v>
      </c>
      <c r="P87" s="399">
        <f t="shared" si="35"/>
        <v>0</v>
      </c>
      <c r="Q87" s="399">
        <f t="shared" si="35"/>
        <v>3.851780116559484</v>
      </c>
      <c r="R87" s="399">
        <f t="shared" si="33"/>
        <v>16.582748051939888</v>
      </c>
      <c r="S87" s="399">
        <f t="shared" si="33"/>
        <v>20.931999291933423</v>
      </c>
      <c r="T87" s="399">
        <f t="shared" si="33"/>
        <v>38.533898742148814</v>
      </c>
      <c r="U87" s="399">
        <f t="shared" si="50"/>
        <v>87.726638806901491</v>
      </c>
      <c r="V87" s="400">
        <v>3.5943231395168394E-3</v>
      </c>
      <c r="W87" s="400">
        <v>2.2112226291811928E-2</v>
      </c>
      <c r="X87" s="400">
        <v>8.0402455140184934E-5</v>
      </c>
      <c r="Y87" s="400">
        <v>0.1808245638203313</v>
      </c>
      <c r="Z87" s="400">
        <v>5.6553780405712566E-2</v>
      </c>
      <c r="AA87" s="400">
        <v>5.1314756428776358E-2</v>
      </c>
      <c r="AB87" s="352">
        <f t="shared" si="36"/>
        <v>0.89858078487920989</v>
      </c>
      <c r="AC87" s="352">
        <f t="shared" si="36"/>
        <v>0</v>
      </c>
      <c r="AD87" s="352">
        <f t="shared" si="36"/>
        <v>8.0402455140184931E-2</v>
      </c>
      <c r="AE87" s="352">
        <f t="shared" si="34"/>
        <v>6.4099479156991466</v>
      </c>
      <c r="AF87" s="352">
        <f t="shared" si="34"/>
        <v>1.696613412171377</v>
      </c>
      <c r="AG87" s="352">
        <f t="shared" si="34"/>
        <v>3.0788853857265814</v>
      </c>
      <c r="AH87" s="400">
        <f t="shared" si="51"/>
        <v>12.1644299536165</v>
      </c>
      <c r="AJ87" s="352">
        <f>D87*('Assumptions-Output Override'!$D$10/'Winners-Losers Values PMPM'!$H$107)*(1+'Assumptions-Output Override'!$F$41)</f>
        <v>70.582247814601757</v>
      </c>
      <c r="AK87" s="352">
        <f>E87*('Assumptions-Output Override'!$D$10/'Winners-Losers Values PMPM'!$H$107)*(1+'Assumptions-Output Override'!$F$37)</f>
        <v>441.02356412892715</v>
      </c>
      <c r="AL87" s="352">
        <f>F87*('Assumptions-Output Override'!$D$10/'Winners-Losers Values PMPM'!$H$107)*(1+'Assumptions-Output Override'!$F$38)</f>
        <v>78.989731798041589</v>
      </c>
      <c r="AM87" s="352">
        <f>G87*('Shoppable Detail'!$X$21/'Shoppable Detail'!$H$21)*('Assumptions-Output Override'!$D$10/'Winners-Losers Values PMPM'!$H$107)*(1+'Assumptions-Output Override'!$F$39)</f>
        <v>5.5997543181084443E-2</v>
      </c>
      <c r="AN87" s="352">
        <f t="shared" si="52"/>
        <v>590.6515412847516</v>
      </c>
      <c r="AO87" s="352">
        <v>0</v>
      </c>
      <c r="AP87" s="352">
        <f>U87*'Assumptions-Output Override'!$D$10/'Winners-Losers Values PMPM'!$H$107*(1+'Assumptions-Output Override'!$F$37)</f>
        <v>144.37863324175481</v>
      </c>
      <c r="AQ87" s="352">
        <f>AH87*'Assumptions-Output Override'!$D$10/'Winners-Losers Values PMPM'!$H$107*(1+'Assumptions-Output Override'!$F$38)</f>
        <v>20.434368503454866</v>
      </c>
      <c r="AR87" s="352">
        <f>AM87*('Shoppable Detail'!$AA$23/'Shoppable Detail'!$Y$23)</f>
        <v>1.8710537537995802E-3</v>
      </c>
      <c r="AS87" s="352">
        <f t="shared" si="53"/>
        <v>164.81487279896348</v>
      </c>
      <c r="AT87" s="352">
        <f t="shared" si="54"/>
        <v>70.582247814601757</v>
      </c>
      <c r="AU87" s="352">
        <f t="shared" si="54"/>
        <v>296.64493088717234</v>
      </c>
      <c r="AV87" s="352">
        <f t="shared" si="54"/>
        <v>58.555363294586726</v>
      </c>
      <c r="AW87" s="352">
        <f t="shared" si="37"/>
        <v>5.412648942728486E-2</v>
      </c>
      <c r="AX87" s="352">
        <f t="shared" si="55"/>
        <v>425.8366684857881</v>
      </c>
      <c r="AY87" s="352">
        <f>AT87*'Assumptions-Output Override'!$D$24</f>
        <v>21.503299775566536</v>
      </c>
      <c r="AZ87" s="352">
        <f>$AU$107*'Assumptions-Output Override'!$D$21</f>
        <v>46.041131296780591</v>
      </c>
      <c r="BA87" s="352">
        <f>AV87*'Assumptions-Output Override'!$D$22</f>
        <v>8.783304494188009</v>
      </c>
      <c r="BB87" s="352">
        <f>AW87*'Assumptions-Output Override'!$D$23</f>
        <v>8.1189734140927287E-3</v>
      </c>
      <c r="BC87" s="352">
        <f t="shared" si="56"/>
        <v>76.335854539949224</v>
      </c>
      <c r="BD87" s="352">
        <f t="shared" si="57"/>
        <v>21.503299775566536</v>
      </c>
      <c r="BE87" s="352">
        <f t="shared" si="57"/>
        <v>190.41976453853539</v>
      </c>
      <c r="BF87" s="352">
        <f t="shared" si="57"/>
        <v>29.217672997642875</v>
      </c>
      <c r="BG87" s="352">
        <f t="shared" si="38"/>
        <v>9.9900271678923097E-3</v>
      </c>
      <c r="BH87" s="352">
        <f t="shared" si="58"/>
        <v>241.1507273389127</v>
      </c>
      <c r="BJ87" s="401">
        <f>D87*'Assumptions-Output Override'!$D$10/'Winners-Losers Values PMPM'!$H$107</f>
        <v>99.904473664015967</v>
      </c>
      <c r="BK87" s="401">
        <f>E87*'Assumptions-Output Override'!$D$10/'Winners-Losers Values PMPM'!$H$107</f>
        <v>452.73386772621836</v>
      </c>
      <c r="BL87" s="401">
        <f>F87*'Assumptions-Output Override'!$D$10/'Winners-Losers Values PMPM'!$H$107</f>
        <v>79.442665220332017</v>
      </c>
      <c r="BM87" s="401">
        <f>G87*'Assumptions-Output Override'!$D$10/'Winners-Losers Values PMPM'!$H$107</f>
        <v>5.5170914742466756E-2</v>
      </c>
      <c r="BN87" s="401">
        <f t="shared" si="39"/>
        <v>632.13617752530888</v>
      </c>
      <c r="BO87" s="401">
        <f>BJ87*(1-'Assumptions-Output Override'!$D$11)</f>
        <v>14.23836385689812</v>
      </c>
      <c r="BP87" s="401">
        <f>BK87*(1-'Assumptions-Output Override'!$D$11)</f>
        <v>64.52353235657452</v>
      </c>
      <c r="BQ87" s="401">
        <f>BL87*(1-'Assumptions-Output Override'!$D$11)</f>
        <v>11.322151368044786</v>
      </c>
      <c r="BR87" s="401">
        <f>BM87*(1-'Assumptions-Output Override'!$D$11)</f>
        <v>7.8629467691604168E-3</v>
      </c>
      <c r="BS87" s="352">
        <f t="shared" si="40"/>
        <v>90.09191052828659</v>
      </c>
      <c r="BT87" s="352">
        <f t="shared" si="59"/>
        <v>85.666109807117849</v>
      </c>
      <c r="BU87" s="352">
        <f t="shared" si="59"/>
        <v>388.21033536964387</v>
      </c>
      <c r="BV87" s="352">
        <f t="shared" si="59"/>
        <v>68.120513852287232</v>
      </c>
      <c r="BW87" s="352">
        <f t="shared" si="41"/>
        <v>4.7307967973306338E-2</v>
      </c>
      <c r="BX87" s="352">
        <f t="shared" si="42"/>
        <v>542.04426699702231</v>
      </c>
      <c r="BY87" s="352">
        <f>BT$107*(1-'Assumptions-Output Override'!$D$12)</f>
        <v>22.753074310428271</v>
      </c>
      <c r="BZ87" s="352">
        <f>BU$107*(1-'Assumptions-Output Override'!$D$12)</f>
        <v>51.446038369839215</v>
      </c>
      <c r="CA87" s="352">
        <f>BV$107*(1-'Assumptions-Output Override'!$D$12)</f>
        <v>9.7401900534537411</v>
      </c>
      <c r="CB87" s="352">
        <f>BW$107*(1-'Assumptions-Output Override'!$D$12)</f>
        <v>1.7000814189516649</v>
      </c>
      <c r="CC87" s="352">
        <f t="shared" si="43"/>
        <v>85.639384152672903</v>
      </c>
      <c r="CD87" s="352">
        <f t="shared" si="60"/>
        <v>36.991438167326393</v>
      </c>
      <c r="CE87" s="352">
        <f t="shared" si="60"/>
        <v>115.96957072641374</v>
      </c>
      <c r="CF87" s="352">
        <f t="shared" si="60"/>
        <v>21.062341421498527</v>
      </c>
      <c r="CG87" s="352">
        <f t="shared" si="44"/>
        <v>1.7079443657208253</v>
      </c>
      <c r="CH87" s="352">
        <f t="shared" si="45"/>
        <v>175.73129468095951</v>
      </c>
      <c r="CJ87" s="352">
        <f t="shared" si="61"/>
        <v>175.73129468095951</v>
      </c>
      <c r="CK87" s="352">
        <f t="shared" si="62"/>
        <v>241.1507273389127</v>
      </c>
      <c r="CL87" s="352">
        <f t="shared" si="63"/>
        <v>-65.419432657953195</v>
      </c>
      <c r="CN87" s="352">
        <f t="shared" si="64"/>
        <v>59.133326480505559</v>
      </c>
      <c r="CO87" s="352">
        <f t="shared" si="64"/>
        <v>267.97258047793736</v>
      </c>
      <c r="CP87" s="352">
        <f t="shared" si="64"/>
        <v>47.022008991849972</v>
      </c>
      <c r="CQ87" s="352">
        <f t="shared" si="46"/>
        <v>3.2655591827310773E-2</v>
      </c>
      <c r="CR87" s="352">
        <f t="shared" si="69"/>
        <v>374.16057154212024</v>
      </c>
      <c r="CT87" s="352">
        <f t="shared" si="71"/>
        <v>-40.771147183510408</v>
      </c>
      <c r="CU87" s="352">
        <f t="shared" si="71"/>
        <v>-184.76128724828101</v>
      </c>
      <c r="CV87" s="352">
        <f t="shared" si="71"/>
        <v>-32.420656228482045</v>
      </c>
      <c r="CW87" s="352">
        <f t="shared" si="70"/>
        <v>-2.2515322915155983E-2</v>
      </c>
      <c r="CX87" s="352">
        <f t="shared" si="47"/>
        <v>-257.97560598318864</v>
      </c>
      <c r="CZ87" s="352">
        <f t="shared" si="65"/>
        <v>15.488138391759858</v>
      </c>
      <c r="DA87" s="352">
        <f t="shared" si="65"/>
        <v>-74.450193812121654</v>
      </c>
      <c r="DB87" s="352">
        <f t="shared" si="65"/>
        <v>-8.1553315761443486</v>
      </c>
      <c r="DC87" s="352">
        <f t="shared" si="48"/>
        <v>1.697954338552933</v>
      </c>
      <c r="DD87" s="352">
        <f t="shared" si="66"/>
        <v>-65.419432657953209</v>
      </c>
      <c r="DF87" s="352">
        <f t="shared" si="67"/>
        <v>21.503299775566536</v>
      </c>
      <c r="DG87" s="352">
        <f t="shared" si="67"/>
        <v>190.41976453853539</v>
      </c>
      <c r="DH87" s="352">
        <f t="shared" si="67"/>
        <v>29.217672997642875</v>
      </c>
      <c r="DI87" s="352">
        <f t="shared" si="49"/>
        <v>9.9900271678923097E-3</v>
      </c>
      <c r="DJ87" s="352">
        <f t="shared" si="68"/>
        <v>241.1507273389127</v>
      </c>
    </row>
    <row r="88" spans="1:114" x14ac:dyDescent="0.2">
      <c r="A88">
        <v>83</v>
      </c>
      <c r="B88" s="397">
        <v>34308</v>
      </c>
      <c r="C88" s="398">
        <v>397997.79676138877</v>
      </c>
      <c r="D88" s="399">
        <v>63.658850733227588</v>
      </c>
      <c r="E88" s="399">
        <v>287.72551821633709</v>
      </c>
      <c r="F88" s="399">
        <v>49.569764442951687</v>
      </c>
      <c r="G88" s="399">
        <v>2.3468492564058932E-2</v>
      </c>
      <c r="H88" s="399">
        <v>400.97760188508045</v>
      </c>
      <c r="I88" s="400">
        <v>3.3380778807442064E-2</v>
      </c>
      <c r="J88" s="400">
        <v>0.1508977875193229</v>
      </c>
      <c r="K88" s="400">
        <v>3.8794184605139229E-3</v>
      </c>
      <c r="L88" s="400">
        <v>0.83278061405853665</v>
      </c>
      <c r="M88" s="400">
        <v>0.723332496668594</v>
      </c>
      <c r="N88" s="400">
        <v>0.68065612976857559</v>
      </c>
      <c r="O88" s="399">
        <f t="shared" si="35"/>
        <v>8.3451947018605157</v>
      </c>
      <c r="P88" s="399">
        <f t="shared" si="35"/>
        <v>0</v>
      </c>
      <c r="Q88" s="399">
        <f t="shared" si="35"/>
        <v>3.8794184605139228</v>
      </c>
      <c r="R88" s="399">
        <f t="shared" si="33"/>
        <v>17.290578927376348</v>
      </c>
      <c r="S88" s="399">
        <f t="shared" si="33"/>
        <v>21.699974900057821</v>
      </c>
      <c r="T88" s="399">
        <f t="shared" si="33"/>
        <v>40.839367786114536</v>
      </c>
      <c r="U88" s="399">
        <f t="shared" si="50"/>
        <v>92.054534775923145</v>
      </c>
      <c r="V88" s="400">
        <v>3.9196124875491047E-3</v>
      </c>
      <c r="W88" s="400">
        <v>2.184901506363323E-2</v>
      </c>
      <c r="X88" s="400">
        <v>1.0050306892523116E-4</v>
      </c>
      <c r="Y88" s="400">
        <v>0.18066415511027989</v>
      </c>
      <c r="Z88" s="400">
        <v>5.6855892630901558E-2</v>
      </c>
      <c r="AA88" s="400">
        <v>5.3259490812480076E-2</v>
      </c>
      <c r="AB88" s="352">
        <f t="shared" si="36"/>
        <v>0.97990312188727613</v>
      </c>
      <c r="AC88" s="352">
        <f t="shared" si="36"/>
        <v>0</v>
      </c>
      <c r="AD88" s="352">
        <f t="shared" si="36"/>
        <v>0.10050306892523116</v>
      </c>
      <c r="AE88" s="352">
        <f t="shared" si="34"/>
        <v>6.4042616778621468</v>
      </c>
      <c r="AF88" s="352">
        <f t="shared" si="34"/>
        <v>1.7056767789270468</v>
      </c>
      <c r="AG88" s="352">
        <f t="shared" si="34"/>
        <v>3.1955694487488047</v>
      </c>
      <c r="AH88" s="400">
        <f t="shared" si="51"/>
        <v>12.385914096350506</v>
      </c>
      <c r="AJ88" s="352">
        <f>D88*('Assumptions-Output Override'!$D$10/'Winners-Losers Values PMPM'!$H$107)*(1+'Assumptions-Output Override'!$F$41)</f>
        <v>75.983967848091154</v>
      </c>
      <c r="AK88" s="352">
        <f>E88*('Assumptions-Output Override'!$D$10/'Winners-Losers Values PMPM'!$H$107)*(1+'Assumptions-Output Override'!$F$37)</f>
        <v>473.53252824707897</v>
      </c>
      <c r="AL88" s="352">
        <f>F88*('Assumptions-Output Override'!$D$10/'Winners-Losers Values PMPM'!$H$107)*(1+'Assumptions-Output Override'!$F$38)</f>
        <v>83.269568497583791</v>
      </c>
      <c r="AM88" s="352">
        <f>G88*('Shoppable Detail'!$X$21/'Shoppable Detail'!$H$21)*('Assumptions-Output Override'!$D$10/'Winners-Losers Values PMPM'!$H$107)*(1+'Assumptions-Output Override'!$F$39)</f>
        <v>4.024358011027581E-2</v>
      </c>
      <c r="AN88" s="352">
        <f t="shared" si="52"/>
        <v>632.82630817286429</v>
      </c>
      <c r="AO88" s="352">
        <v>0</v>
      </c>
      <c r="AP88" s="352">
        <f>U88*'Assumptions-Output Override'!$D$10/'Winners-Losers Values PMPM'!$H$107*(1+'Assumptions-Output Override'!$F$37)</f>
        <v>151.50139222714398</v>
      </c>
      <c r="AQ88" s="352">
        <f>AH88*'Assumptions-Output Override'!$D$10/'Winners-Losers Values PMPM'!$H$107*(1+'Assumptions-Output Override'!$F$38)</f>
        <v>20.806427745651657</v>
      </c>
      <c r="AR88" s="352">
        <f>AM88*('Shoppable Detail'!$AA$23/'Shoppable Detail'!$Y$23)</f>
        <v>1.3446643790812015E-3</v>
      </c>
      <c r="AS88" s="352">
        <f t="shared" si="53"/>
        <v>172.30916463717472</v>
      </c>
      <c r="AT88" s="352">
        <f t="shared" si="54"/>
        <v>75.983967848091154</v>
      </c>
      <c r="AU88" s="352">
        <f t="shared" si="54"/>
        <v>322.03113601993499</v>
      </c>
      <c r="AV88" s="352">
        <f t="shared" si="54"/>
        <v>62.46314075193213</v>
      </c>
      <c r="AW88" s="352">
        <f t="shared" si="37"/>
        <v>3.8898915731194611E-2</v>
      </c>
      <c r="AX88" s="352">
        <f t="shared" si="55"/>
        <v>460.51714353568946</v>
      </c>
      <c r="AY88" s="352">
        <f>AT88*'Assumptions-Output Override'!$D$24</f>
        <v>23.148965772049237</v>
      </c>
      <c r="AZ88" s="352">
        <f>$AU$107*'Assumptions-Output Override'!$D$21</f>
        <v>46.041131296780591</v>
      </c>
      <c r="BA88" s="352">
        <f>AV88*'Assumptions-Output Override'!$D$22</f>
        <v>9.3694711127898191</v>
      </c>
      <c r="BB88" s="352">
        <f>AW88*'Assumptions-Output Override'!$D$23</f>
        <v>5.8348373596791916E-3</v>
      </c>
      <c r="BC88" s="352">
        <f t="shared" si="56"/>
        <v>78.565403018979339</v>
      </c>
      <c r="BD88" s="352">
        <f t="shared" si="57"/>
        <v>23.148965772049237</v>
      </c>
      <c r="BE88" s="352">
        <f t="shared" si="57"/>
        <v>197.54252352392456</v>
      </c>
      <c r="BF88" s="352">
        <f t="shared" si="57"/>
        <v>30.175898858441478</v>
      </c>
      <c r="BG88" s="352">
        <f t="shared" si="38"/>
        <v>7.1795017387603927E-3</v>
      </c>
      <c r="BH88" s="352">
        <f t="shared" si="58"/>
        <v>250.87456765615403</v>
      </c>
      <c r="BJ88" s="401">
        <f>D88*'Assumptions-Output Override'!$D$10/'Winners-Losers Values PMPM'!$H$107</f>
        <v>107.55024882044967</v>
      </c>
      <c r="BK88" s="401">
        <f>E88*'Assumptions-Output Override'!$D$10/'Winners-Losers Values PMPM'!$H$107</f>
        <v>486.10602798720885</v>
      </c>
      <c r="BL88" s="401">
        <f>F88*'Assumptions-Output Override'!$D$10/'Winners-Losers Values PMPM'!$H$107</f>
        <v>83.747042844865874</v>
      </c>
      <c r="BM88" s="401">
        <f>G88*'Assumptions-Output Override'!$D$10/'Winners-Losers Values PMPM'!$H$107</f>
        <v>3.9649509622515906E-2</v>
      </c>
      <c r="BN88" s="401">
        <f t="shared" si="39"/>
        <v>677.44296916214694</v>
      </c>
      <c r="BO88" s="401">
        <f>BJ88*(1-'Assumptions-Output Override'!$D$11)</f>
        <v>15.328038069200646</v>
      </c>
      <c r="BP88" s="401">
        <f>BK88*(1-'Assumptions-Output Override'!$D$11)</f>
        <v>69.279725378367559</v>
      </c>
      <c r="BQ88" s="401">
        <f>BL88*(1-'Assumptions-Output Override'!$D$11)</f>
        <v>11.935610330870778</v>
      </c>
      <c r="BR88" s="401">
        <f>BM88*(1-'Assumptions-Output Override'!$D$11)</f>
        <v>5.6508394874443413E-3</v>
      </c>
      <c r="BS88" s="352">
        <f t="shared" si="40"/>
        <v>96.54902461792642</v>
      </c>
      <c r="BT88" s="352">
        <f t="shared" si="59"/>
        <v>92.222210751249023</v>
      </c>
      <c r="BU88" s="352">
        <f t="shared" si="59"/>
        <v>416.82630260884127</v>
      </c>
      <c r="BV88" s="352">
        <f t="shared" si="59"/>
        <v>71.811432513995101</v>
      </c>
      <c r="BW88" s="352">
        <f t="shared" si="41"/>
        <v>3.3998670135071567E-2</v>
      </c>
      <c r="BX88" s="352">
        <f t="shared" si="42"/>
        <v>580.8939445442204</v>
      </c>
      <c r="BY88" s="352">
        <f>BT$107*(1-'Assumptions-Output Override'!$D$12)</f>
        <v>22.753074310428271</v>
      </c>
      <c r="BZ88" s="352">
        <f>BU$107*(1-'Assumptions-Output Override'!$D$12)</f>
        <v>51.446038369839215</v>
      </c>
      <c r="CA88" s="352">
        <f>BV$107*(1-'Assumptions-Output Override'!$D$12)</f>
        <v>9.7401900534537411</v>
      </c>
      <c r="CB88" s="352">
        <f>BW$107*(1-'Assumptions-Output Override'!$D$12)</f>
        <v>1.7000814189516649</v>
      </c>
      <c r="CC88" s="352">
        <f t="shared" si="43"/>
        <v>85.639384152672903</v>
      </c>
      <c r="CD88" s="352">
        <f t="shared" si="60"/>
        <v>38.081112379628919</v>
      </c>
      <c r="CE88" s="352">
        <f t="shared" si="60"/>
        <v>120.72576374820677</v>
      </c>
      <c r="CF88" s="352">
        <f t="shared" si="60"/>
        <v>21.675800384324518</v>
      </c>
      <c r="CG88" s="352">
        <f t="shared" si="44"/>
        <v>1.7057322584391093</v>
      </c>
      <c r="CH88" s="352">
        <f t="shared" si="45"/>
        <v>182.1884087705993</v>
      </c>
      <c r="CJ88" s="352">
        <f t="shared" si="61"/>
        <v>182.1884087705993</v>
      </c>
      <c r="CK88" s="352">
        <f t="shared" si="62"/>
        <v>250.87456765615403</v>
      </c>
      <c r="CL88" s="352">
        <f t="shared" si="63"/>
        <v>-68.686158885554732</v>
      </c>
      <c r="CN88" s="352">
        <f t="shared" si="64"/>
        <v>63.658850733227588</v>
      </c>
      <c r="CO88" s="352">
        <f t="shared" si="64"/>
        <v>287.72551821633709</v>
      </c>
      <c r="CP88" s="352">
        <f t="shared" si="64"/>
        <v>49.569764442951687</v>
      </c>
      <c r="CQ88" s="352">
        <f t="shared" si="46"/>
        <v>2.3468492564058932E-2</v>
      </c>
      <c r="CR88" s="352">
        <f t="shared" si="69"/>
        <v>400.97760188508045</v>
      </c>
      <c r="CT88" s="352">
        <f t="shared" si="71"/>
        <v>-43.891398087222079</v>
      </c>
      <c r="CU88" s="352">
        <f t="shared" si="71"/>
        <v>-198.38050977087175</v>
      </c>
      <c r="CV88" s="352">
        <f t="shared" si="71"/>
        <v>-34.177278401914187</v>
      </c>
      <c r="CW88" s="352">
        <f t="shared" si="70"/>
        <v>-1.6181017058456974E-2</v>
      </c>
      <c r="CX88" s="352">
        <f t="shared" si="47"/>
        <v>-276.46536727706649</v>
      </c>
      <c r="CZ88" s="352">
        <f t="shared" si="65"/>
        <v>14.932146607579682</v>
      </c>
      <c r="DA88" s="352">
        <f t="shared" si="65"/>
        <v>-76.816759775717784</v>
      </c>
      <c r="DB88" s="352">
        <f t="shared" si="65"/>
        <v>-8.5000984741169603</v>
      </c>
      <c r="DC88" s="352">
        <f t="shared" si="48"/>
        <v>1.6985527567003489</v>
      </c>
      <c r="DD88" s="352">
        <f t="shared" si="66"/>
        <v>-68.686158885554718</v>
      </c>
      <c r="DF88" s="352">
        <f t="shared" si="67"/>
        <v>23.148965772049237</v>
      </c>
      <c r="DG88" s="352">
        <f t="shared" si="67"/>
        <v>197.54252352392456</v>
      </c>
      <c r="DH88" s="352">
        <f t="shared" si="67"/>
        <v>30.175898858441478</v>
      </c>
      <c r="DI88" s="352">
        <f t="shared" si="49"/>
        <v>7.1795017387603927E-3</v>
      </c>
      <c r="DJ88" s="352">
        <f t="shared" si="68"/>
        <v>250.87456765615403</v>
      </c>
    </row>
    <row r="89" spans="1:114" x14ac:dyDescent="0.2">
      <c r="A89">
        <v>84</v>
      </c>
      <c r="B89" s="397">
        <v>34308</v>
      </c>
      <c r="C89" s="398">
        <v>397997.79676138877</v>
      </c>
      <c r="D89" s="399">
        <v>70.30243709564364</v>
      </c>
      <c r="E89" s="399">
        <v>304.59198313595203</v>
      </c>
      <c r="F89" s="399">
        <v>55.836175291614083</v>
      </c>
      <c r="G89" s="399">
        <v>0.15130769803859193</v>
      </c>
      <c r="H89" s="399">
        <v>430.88190322124836</v>
      </c>
      <c r="I89" s="400">
        <v>3.480174181008365E-2</v>
      </c>
      <c r="J89" s="400">
        <v>0.16274829459754112</v>
      </c>
      <c r="K89" s="400">
        <v>3.9070568044683616E-3</v>
      </c>
      <c r="L89" s="400">
        <v>0.85347010580419258</v>
      </c>
      <c r="M89" s="400">
        <v>0.73520427093078111</v>
      </c>
      <c r="N89" s="400">
        <v>0.69582792229891499</v>
      </c>
      <c r="O89" s="399">
        <f t="shared" si="35"/>
        <v>8.700435452520912</v>
      </c>
      <c r="P89" s="399">
        <f t="shared" si="35"/>
        <v>0</v>
      </c>
      <c r="Q89" s="399">
        <f t="shared" si="35"/>
        <v>3.9070568044683616</v>
      </c>
      <c r="R89" s="399">
        <f t="shared" si="33"/>
        <v>17.720143789906182</v>
      </c>
      <c r="S89" s="399">
        <f t="shared" si="33"/>
        <v>22.056128127923433</v>
      </c>
      <c r="T89" s="399">
        <f t="shared" si="33"/>
        <v>41.749675337934903</v>
      </c>
      <c r="U89" s="399">
        <f t="shared" si="50"/>
        <v>94.133439512753796</v>
      </c>
      <c r="V89" s="400">
        <v>4.5490846228634337E-3</v>
      </c>
      <c r="W89" s="400">
        <v>2.4560587338833467E-2</v>
      </c>
      <c r="X89" s="400">
        <v>1.4824202666471596E-4</v>
      </c>
      <c r="Y89" s="400">
        <v>0.19646331436059974</v>
      </c>
      <c r="Z89" s="400">
        <v>6.0235207820444031E-2</v>
      </c>
      <c r="AA89" s="400">
        <v>5.6647851278225074E-2</v>
      </c>
      <c r="AB89" s="352">
        <f t="shared" si="36"/>
        <v>1.1372711557158584</v>
      </c>
      <c r="AC89" s="352">
        <f t="shared" si="36"/>
        <v>0</v>
      </c>
      <c r="AD89" s="352">
        <f t="shared" si="36"/>
        <v>0.14824202666471598</v>
      </c>
      <c r="AE89" s="352">
        <f t="shared" si="34"/>
        <v>6.9643171579738601</v>
      </c>
      <c r="AF89" s="352">
        <f t="shared" si="34"/>
        <v>1.807056234613321</v>
      </c>
      <c r="AG89" s="352">
        <f t="shared" si="34"/>
        <v>3.3988710766935046</v>
      </c>
      <c r="AH89" s="400">
        <f t="shared" si="51"/>
        <v>13.45575765166126</v>
      </c>
      <c r="AJ89" s="352">
        <f>D89*('Assumptions-Output Override'!$D$10/'Winners-Losers Values PMPM'!$H$107)*(1+'Assumptions-Output Override'!$F$41)</f>
        <v>83.913832222698034</v>
      </c>
      <c r="AK89" s="352">
        <f>E89*('Assumptions-Output Override'!$D$10/'Winners-Losers Values PMPM'!$H$107)*(1+'Assumptions-Output Override'!$F$37)</f>
        <v>501.29099689277888</v>
      </c>
      <c r="AL89" s="352">
        <f>F89*('Assumptions-Output Override'!$D$10/'Winners-Losers Values PMPM'!$H$107)*(1+'Assumptions-Output Override'!$F$38)</f>
        <v>93.796173440345228</v>
      </c>
      <c r="AM89" s="352">
        <f>G89*('Shoppable Detail'!$X$21/'Shoppable Detail'!$H$21)*('Assumptions-Output Override'!$D$10/'Winners-Losers Values PMPM'!$H$107)*(1+'Assumptions-Output Override'!$F$39)</f>
        <v>0.25946120956412894</v>
      </c>
      <c r="AN89" s="352">
        <f t="shared" si="52"/>
        <v>679.26046376538636</v>
      </c>
      <c r="AO89" s="352">
        <v>0</v>
      </c>
      <c r="AP89" s="352">
        <f>U89*'Assumptions-Output Override'!$D$10/'Winners-Losers Values PMPM'!$H$107*(1+'Assumptions-Output Override'!$F$37)</f>
        <v>154.92280935454687</v>
      </c>
      <c r="AQ89" s="352">
        <f>AH89*'Assumptions-Output Override'!$D$10/'Winners-Losers Values PMPM'!$H$107*(1+'Assumptions-Output Override'!$F$38)</f>
        <v>22.603600119007858</v>
      </c>
      <c r="AR89" s="352">
        <f>AM89*('Shoppable Detail'!$AA$23/'Shoppable Detail'!$Y$23)</f>
        <v>8.6694137375000011E-3</v>
      </c>
      <c r="AS89" s="352">
        <f t="shared" si="53"/>
        <v>177.53507888729223</v>
      </c>
      <c r="AT89" s="352">
        <f t="shared" si="54"/>
        <v>83.913832222698034</v>
      </c>
      <c r="AU89" s="352">
        <f t="shared" si="54"/>
        <v>346.36818753823201</v>
      </c>
      <c r="AV89" s="352">
        <f t="shared" si="54"/>
        <v>71.192573321337363</v>
      </c>
      <c r="AW89" s="352">
        <f t="shared" si="37"/>
        <v>0.25079179582662892</v>
      </c>
      <c r="AX89" s="352">
        <f t="shared" si="55"/>
        <v>501.72538487809402</v>
      </c>
      <c r="AY89" s="352">
        <f>AT89*'Assumptions-Output Override'!$D$24</f>
        <v>25.564845913393803</v>
      </c>
      <c r="AZ89" s="352">
        <f>$AU$107*'Assumptions-Output Override'!$D$21</f>
        <v>46.041131296780591</v>
      </c>
      <c r="BA89" s="352">
        <f>AV89*'Assumptions-Output Override'!$D$22</f>
        <v>10.678885998200604</v>
      </c>
      <c r="BB89" s="352">
        <f>AW89*'Assumptions-Output Override'!$D$23</f>
        <v>3.7618769373994339E-2</v>
      </c>
      <c r="BC89" s="352">
        <f t="shared" si="56"/>
        <v>82.322481977748978</v>
      </c>
      <c r="BD89" s="352">
        <f t="shared" si="57"/>
        <v>25.564845913393803</v>
      </c>
      <c r="BE89" s="352">
        <f t="shared" si="57"/>
        <v>200.96394065132745</v>
      </c>
      <c r="BF89" s="352">
        <f t="shared" si="57"/>
        <v>33.282486117208464</v>
      </c>
      <c r="BG89" s="352">
        <f t="shared" si="38"/>
        <v>4.6288183111494338E-2</v>
      </c>
      <c r="BH89" s="352">
        <f t="shared" si="58"/>
        <v>259.85756086504119</v>
      </c>
      <c r="BJ89" s="401">
        <f>D89*'Assumptions-Output Override'!$D$10/'Winners-Losers Values PMPM'!$H$107</f>
        <v>118.77444401260446</v>
      </c>
      <c r="BK89" s="401">
        <f>E89*'Assumptions-Output Override'!$D$10/'Winners-Losers Values PMPM'!$H$107</f>
        <v>514.60155497100232</v>
      </c>
      <c r="BL89" s="401">
        <f>F89*'Assumptions-Output Override'!$D$10/'Winners-Losers Values PMPM'!$H$107</f>
        <v>94.334008179963064</v>
      </c>
      <c r="BM89" s="401">
        <f>G89*'Assumptions-Output Override'!$D$10/'Winners-Losers Values PMPM'!$H$107</f>
        <v>0.25563107698402138</v>
      </c>
      <c r="BN89" s="401">
        <f t="shared" si="39"/>
        <v>727.96563824055386</v>
      </c>
      <c r="BO89" s="401">
        <f>BJ89*(1-'Assumptions-Output Override'!$D$11)</f>
        <v>16.927707926670795</v>
      </c>
      <c r="BP89" s="401">
        <f>BK89*(1-'Assumptions-Output Override'!$D$11)</f>
        <v>73.340901686185362</v>
      </c>
      <c r="BQ89" s="401">
        <f>BL89*(1-'Assumptions-Output Override'!$D$11)</f>
        <v>13.444462327713595</v>
      </c>
      <c r="BR89" s="401">
        <f>BM89*(1-'Assumptions-Output Override'!$D$11)</f>
        <v>3.6432485490789576E-2</v>
      </c>
      <c r="BS89" s="352">
        <f t="shared" si="40"/>
        <v>103.74950442606054</v>
      </c>
      <c r="BT89" s="352">
        <f t="shared" si="59"/>
        <v>101.84673608593367</v>
      </c>
      <c r="BU89" s="352">
        <f t="shared" si="59"/>
        <v>441.26065328481695</v>
      </c>
      <c r="BV89" s="352">
        <f t="shared" si="59"/>
        <v>80.889545852249469</v>
      </c>
      <c r="BW89" s="352">
        <f t="shared" si="41"/>
        <v>0.21919859149323179</v>
      </c>
      <c r="BX89" s="352">
        <f t="shared" si="42"/>
        <v>624.21613381449333</v>
      </c>
      <c r="BY89" s="352">
        <f>BT$107*(1-'Assumptions-Output Override'!$D$12)</f>
        <v>22.753074310428271</v>
      </c>
      <c r="BZ89" s="352">
        <f>BU$107*(1-'Assumptions-Output Override'!$D$12)</f>
        <v>51.446038369839215</v>
      </c>
      <c r="CA89" s="352">
        <f>BV$107*(1-'Assumptions-Output Override'!$D$12)</f>
        <v>9.7401900534537411</v>
      </c>
      <c r="CB89" s="352">
        <f>BW$107*(1-'Assumptions-Output Override'!$D$12)</f>
        <v>1.7000814189516649</v>
      </c>
      <c r="CC89" s="352">
        <f t="shared" si="43"/>
        <v>85.639384152672903</v>
      </c>
      <c r="CD89" s="352">
        <f t="shared" si="60"/>
        <v>39.680782237099066</v>
      </c>
      <c r="CE89" s="352">
        <f t="shared" si="60"/>
        <v>124.78694005602458</v>
      </c>
      <c r="CF89" s="352">
        <f t="shared" si="60"/>
        <v>23.184652381167336</v>
      </c>
      <c r="CG89" s="352">
        <f t="shared" si="44"/>
        <v>1.7365139044424545</v>
      </c>
      <c r="CH89" s="352">
        <f t="shared" si="45"/>
        <v>189.38888857873343</v>
      </c>
      <c r="CJ89" s="352">
        <f t="shared" si="61"/>
        <v>189.38888857873343</v>
      </c>
      <c r="CK89" s="352">
        <f t="shared" si="62"/>
        <v>259.85756086504119</v>
      </c>
      <c r="CL89" s="352">
        <f t="shared" si="63"/>
        <v>-70.468672286307765</v>
      </c>
      <c r="CN89" s="352">
        <f t="shared" si="64"/>
        <v>70.30243709564364</v>
      </c>
      <c r="CO89" s="352">
        <f t="shared" si="64"/>
        <v>304.59198313595203</v>
      </c>
      <c r="CP89" s="352">
        <f t="shared" si="64"/>
        <v>55.836175291614083</v>
      </c>
      <c r="CQ89" s="352">
        <f t="shared" si="46"/>
        <v>0.15130769803859193</v>
      </c>
      <c r="CR89" s="352">
        <f t="shared" si="69"/>
        <v>430.88190322124836</v>
      </c>
      <c r="CT89" s="352">
        <f t="shared" si="71"/>
        <v>-48.472006916960822</v>
      </c>
      <c r="CU89" s="352">
        <f t="shared" si="71"/>
        <v>-210.00957183505028</v>
      </c>
      <c r="CV89" s="352">
        <f t="shared" si="71"/>
        <v>-38.497832888348981</v>
      </c>
      <c r="CW89" s="352">
        <f t="shared" si="70"/>
        <v>-0.10432337894542945</v>
      </c>
      <c r="CX89" s="352">
        <f t="shared" si="47"/>
        <v>-297.08373501930549</v>
      </c>
      <c r="CZ89" s="352">
        <f t="shared" si="65"/>
        <v>14.115936323705263</v>
      </c>
      <c r="DA89" s="352">
        <f t="shared" si="65"/>
        <v>-76.177000595302871</v>
      </c>
      <c r="DB89" s="352">
        <f t="shared" si="65"/>
        <v>-10.097833736041128</v>
      </c>
      <c r="DC89" s="352">
        <f t="shared" si="48"/>
        <v>1.6902257213309602</v>
      </c>
      <c r="DD89" s="352">
        <f t="shared" si="66"/>
        <v>-70.468672286307779</v>
      </c>
      <c r="DF89" s="352">
        <f t="shared" si="67"/>
        <v>25.564845913393803</v>
      </c>
      <c r="DG89" s="352">
        <f t="shared" si="67"/>
        <v>200.96394065132745</v>
      </c>
      <c r="DH89" s="352">
        <f t="shared" si="67"/>
        <v>33.282486117208464</v>
      </c>
      <c r="DI89" s="352">
        <f t="shared" si="49"/>
        <v>4.6288183111494338E-2</v>
      </c>
      <c r="DJ89" s="352">
        <f t="shared" si="68"/>
        <v>259.85756086504119</v>
      </c>
    </row>
    <row r="90" spans="1:114" x14ac:dyDescent="0.2">
      <c r="A90">
        <v>85</v>
      </c>
      <c r="B90" s="397">
        <v>34308</v>
      </c>
      <c r="C90" s="398">
        <v>397997.79676138877</v>
      </c>
      <c r="D90" s="399">
        <v>77.11867685018187</v>
      </c>
      <c r="E90" s="399">
        <v>326.05098523760029</v>
      </c>
      <c r="F90" s="399">
        <v>61.288534835803205</v>
      </c>
      <c r="G90" s="399">
        <v>0.18924743252781964</v>
      </c>
      <c r="H90" s="399">
        <v>464.64744435611317</v>
      </c>
      <c r="I90" s="400">
        <v>3.4612113735982164E-2</v>
      </c>
      <c r="J90" s="400">
        <v>0.17714256248558258</v>
      </c>
      <c r="K90" s="400">
        <v>3.954795762207846E-3</v>
      </c>
      <c r="L90" s="400">
        <v>0.88595227854863012</v>
      </c>
      <c r="M90" s="400">
        <v>0.76501056658499833</v>
      </c>
      <c r="N90" s="400">
        <v>0.72391787679356401</v>
      </c>
      <c r="O90" s="399">
        <f t="shared" si="35"/>
        <v>8.6530284339955408</v>
      </c>
      <c r="P90" s="399">
        <f t="shared" si="35"/>
        <v>0</v>
      </c>
      <c r="Q90" s="399">
        <f t="shared" si="35"/>
        <v>3.954795762207846</v>
      </c>
      <c r="R90" s="399">
        <f t="shared" si="33"/>
        <v>18.394553787076084</v>
      </c>
      <c r="S90" s="399">
        <f t="shared" si="33"/>
        <v>22.950316997549951</v>
      </c>
      <c r="T90" s="399">
        <f t="shared" si="33"/>
        <v>43.43507260761384</v>
      </c>
      <c r="U90" s="399">
        <f t="shared" si="50"/>
        <v>97.387767588443268</v>
      </c>
      <c r="V90" s="400">
        <v>4.2796655826993091E-3</v>
      </c>
      <c r="W90" s="400">
        <v>2.7525438343036054E-2</v>
      </c>
      <c r="X90" s="400">
        <v>2.0100613785046232E-4</v>
      </c>
      <c r="Y90" s="400">
        <v>0.20287526800349603</v>
      </c>
      <c r="Z90" s="400">
        <v>6.3794524006431597E-2</v>
      </c>
      <c r="AA90" s="400">
        <v>5.9630983370064033E-2</v>
      </c>
      <c r="AB90" s="352">
        <f t="shared" si="36"/>
        <v>1.0699163956748272</v>
      </c>
      <c r="AC90" s="352">
        <f t="shared" si="36"/>
        <v>0</v>
      </c>
      <c r="AD90" s="352">
        <f t="shared" si="36"/>
        <v>0.20100613785046231</v>
      </c>
      <c r="AE90" s="352">
        <f t="shared" si="34"/>
        <v>7.1916108841165105</v>
      </c>
      <c r="AF90" s="352">
        <f t="shared" si="34"/>
        <v>1.9138357201929479</v>
      </c>
      <c r="AG90" s="352">
        <f t="shared" si="34"/>
        <v>3.5778590022038421</v>
      </c>
      <c r="AH90" s="400">
        <f t="shared" si="51"/>
        <v>13.954228140038591</v>
      </c>
      <c r="AJ90" s="352">
        <f>D90*('Assumptions-Output Override'!$D$10/'Winners-Losers Values PMPM'!$H$107)*(1+'Assumptions-Output Override'!$F$41)</f>
        <v>92.049777757187172</v>
      </c>
      <c r="AK90" s="352">
        <f>E90*('Assumptions-Output Override'!$D$10/'Winners-Losers Values PMPM'!$H$107)*(1+'Assumptions-Output Override'!$F$37)</f>
        <v>536.60776539439144</v>
      </c>
      <c r="AL90" s="352">
        <f>F90*('Assumptions-Output Override'!$D$10/'Winners-Losers Values PMPM'!$H$107)*(1+'Assumptions-Output Override'!$F$38)</f>
        <v>102.95529758871238</v>
      </c>
      <c r="AM90" s="352">
        <f>G90*('Shoppable Detail'!$X$21/'Shoppable Detail'!$H$21)*('Assumptions-Output Override'!$D$10/'Winners-Losers Values PMPM'!$H$107)*(1+'Assumptions-Output Override'!$F$39)</f>
        <v>0.3245199575903277</v>
      </c>
      <c r="AN90" s="352">
        <f t="shared" si="52"/>
        <v>731.93736069788133</v>
      </c>
      <c r="AO90" s="352">
        <v>0</v>
      </c>
      <c r="AP90" s="352">
        <f>U90*'Assumptions-Output Override'!$D$10/'Winners-Losers Values PMPM'!$H$107*(1+'Assumptions-Output Override'!$F$37)</f>
        <v>160.27871317211509</v>
      </c>
      <c r="AQ90" s="352">
        <f>AH90*'Assumptions-Output Override'!$D$10/'Winners-Losers Values PMPM'!$H$107*(1+'Assumptions-Output Override'!$F$38)</f>
        <v>23.440953754684905</v>
      </c>
      <c r="AR90" s="352">
        <f>AM90*('Shoppable Detail'!$AA$23/'Shoppable Detail'!$Y$23)</f>
        <v>1.0843230797978455E-2</v>
      </c>
      <c r="AS90" s="352">
        <f t="shared" si="53"/>
        <v>183.73051015759796</v>
      </c>
      <c r="AT90" s="352">
        <f t="shared" si="54"/>
        <v>92.049777757187172</v>
      </c>
      <c r="AU90" s="352">
        <f t="shared" si="54"/>
        <v>376.32905222227635</v>
      </c>
      <c r="AV90" s="352">
        <f t="shared" si="54"/>
        <v>79.514343834027471</v>
      </c>
      <c r="AW90" s="352">
        <f t="shared" si="37"/>
        <v>0.31367672679234926</v>
      </c>
      <c r="AX90" s="352">
        <f t="shared" si="55"/>
        <v>548.20685054028331</v>
      </c>
      <c r="AY90" s="352">
        <f>AT90*'Assumptions-Output Override'!$D$24</f>
        <v>28.043509900482196</v>
      </c>
      <c r="AZ90" s="352">
        <f>$AU$107*'Assumptions-Output Override'!$D$21</f>
        <v>46.041131296780591</v>
      </c>
      <c r="BA90" s="352">
        <f>AV90*'Assumptions-Output Override'!$D$22</f>
        <v>11.927151575104121</v>
      </c>
      <c r="BB90" s="352">
        <f>AW90*'Assumptions-Output Override'!$D$23</f>
        <v>4.705150901885239E-2</v>
      </c>
      <c r="BC90" s="352">
        <f t="shared" si="56"/>
        <v>86.05884428138576</v>
      </c>
      <c r="BD90" s="352">
        <f t="shared" si="57"/>
        <v>28.043509900482196</v>
      </c>
      <c r="BE90" s="352">
        <f t="shared" si="57"/>
        <v>206.31984446889567</v>
      </c>
      <c r="BF90" s="352">
        <f t="shared" si="57"/>
        <v>35.368105329789024</v>
      </c>
      <c r="BG90" s="352">
        <f t="shared" si="38"/>
        <v>5.7894739816830847E-2</v>
      </c>
      <c r="BH90" s="352">
        <f t="shared" si="58"/>
        <v>269.78935443898376</v>
      </c>
      <c r="BJ90" s="401">
        <f>D90*'Assumptions-Output Override'!$D$10/'Winners-Losers Values PMPM'!$H$107</f>
        <v>130.29033336933429</v>
      </c>
      <c r="BK90" s="401">
        <f>E90*'Assumptions-Output Override'!$D$10/'Winners-Losers Values PMPM'!$H$107</f>
        <v>550.8560740031246</v>
      </c>
      <c r="BL90" s="401">
        <f>F90*'Assumptions-Output Override'!$D$10/'Winners-Losers Values PMPM'!$H$107</f>
        <v>103.54565147672169</v>
      </c>
      <c r="BM90" s="401">
        <f>G90*'Assumptions-Output Override'!$D$10/'Winners-Losers Values PMPM'!$H$107</f>
        <v>0.3197294362459237</v>
      </c>
      <c r="BN90" s="401">
        <f t="shared" si="39"/>
        <v>785.01178828542652</v>
      </c>
      <c r="BO90" s="401">
        <f>BJ90*(1-'Assumptions-Output Override'!$D$11)</f>
        <v>18.568949973031309</v>
      </c>
      <c r="BP90" s="401">
        <f>BK90*(1-'Assumptions-Output Override'!$D$11)</f>
        <v>78.507887853113388</v>
      </c>
      <c r="BQ90" s="401">
        <f>BL90*(1-'Assumptions-Output Override'!$D$11)</f>
        <v>14.757303726791474</v>
      </c>
      <c r="BR90" s="401">
        <f>BM90*(1-'Assumptions-Output Override'!$D$11)</f>
        <v>4.5567769711098369E-2</v>
      </c>
      <c r="BS90" s="352">
        <f t="shared" si="40"/>
        <v>111.87970932264727</v>
      </c>
      <c r="BT90" s="352">
        <f t="shared" si="59"/>
        <v>111.72138339630298</v>
      </c>
      <c r="BU90" s="352">
        <f t="shared" si="59"/>
        <v>472.3481861500112</v>
      </c>
      <c r="BV90" s="352">
        <f t="shared" si="59"/>
        <v>88.78834774993021</v>
      </c>
      <c r="BW90" s="352">
        <f t="shared" si="41"/>
        <v>0.27416166653482532</v>
      </c>
      <c r="BX90" s="352">
        <f t="shared" si="42"/>
        <v>673.13207896277913</v>
      </c>
      <c r="BY90" s="352">
        <f>BT$107*(1-'Assumptions-Output Override'!$D$12)</f>
        <v>22.753074310428271</v>
      </c>
      <c r="BZ90" s="352">
        <f>BU$107*(1-'Assumptions-Output Override'!$D$12)</f>
        <v>51.446038369839215</v>
      </c>
      <c r="CA90" s="352">
        <f>BV$107*(1-'Assumptions-Output Override'!$D$12)</f>
        <v>9.7401900534537411</v>
      </c>
      <c r="CB90" s="352">
        <f>BW$107*(1-'Assumptions-Output Override'!$D$12)</f>
        <v>1.7000814189516649</v>
      </c>
      <c r="CC90" s="352">
        <f t="shared" si="43"/>
        <v>85.639384152672903</v>
      </c>
      <c r="CD90" s="352">
        <f t="shared" si="60"/>
        <v>41.322024283459584</v>
      </c>
      <c r="CE90" s="352">
        <f t="shared" si="60"/>
        <v>129.95392622295259</v>
      </c>
      <c r="CF90" s="352">
        <f t="shared" si="60"/>
        <v>24.497493780245215</v>
      </c>
      <c r="CG90" s="352">
        <f t="shared" si="44"/>
        <v>1.7456491886627632</v>
      </c>
      <c r="CH90" s="352">
        <f t="shared" si="45"/>
        <v>197.51909347532015</v>
      </c>
      <c r="CJ90" s="352">
        <f t="shared" si="61"/>
        <v>197.51909347532015</v>
      </c>
      <c r="CK90" s="352">
        <f t="shared" si="62"/>
        <v>269.78935443898376</v>
      </c>
      <c r="CL90" s="352">
        <f t="shared" si="63"/>
        <v>-72.270260963663617</v>
      </c>
      <c r="CN90" s="352">
        <f t="shared" si="64"/>
        <v>77.11867685018187</v>
      </c>
      <c r="CO90" s="352">
        <f t="shared" si="64"/>
        <v>326.05098523760029</v>
      </c>
      <c r="CP90" s="352">
        <f t="shared" si="64"/>
        <v>61.288534835803205</v>
      </c>
      <c r="CQ90" s="352">
        <f t="shared" si="46"/>
        <v>0.18924743252781964</v>
      </c>
      <c r="CR90" s="352">
        <f t="shared" si="69"/>
        <v>464.64744435611317</v>
      </c>
      <c r="CT90" s="352">
        <f t="shared" si="71"/>
        <v>-53.171656519152421</v>
      </c>
      <c r="CU90" s="352">
        <f t="shared" si="71"/>
        <v>-224.80508876552432</v>
      </c>
      <c r="CV90" s="352">
        <f t="shared" si="71"/>
        <v>-42.257116640918483</v>
      </c>
      <c r="CW90" s="352">
        <f t="shared" si="70"/>
        <v>-0.13048200371810406</v>
      </c>
      <c r="CX90" s="352">
        <f t="shared" si="47"/>
        <v>-320.36434392931329</v>
      </c>
      <c r="CZ90" s="352">
        <f t="shared" si="65"/>
        <v>13.278514382977388</v>
      </c>
      <c r="DA90" s="352">
        <f t="shared" si="65"/>
        <v>-76.365918245943078</v>
      </c>
      <c r="DB90" s="352">
        <f t="shared" si="65"/>
        <v>-10.87061154954381</v>
      </c>
      <c r="DC90" s="352">
        <f t="shared" si="48"/>
        <v>1.6877544488459324</v>
      </c>
      <c r="DD90" s="352">
        <f t="shared" si="66"/>
        <v>-72.27026096366356</v>
      </c>
      <c r="DF90" s="352">
        <f t="shared" si="67"/>
        <v>28.043509900482196</v>
      </c>
      <c r="DG90" s="352">
        <f t="shared" si="67"/>
        <v>206.31984446889567</v>
      </c>
      <c r="DH90" s="352">
        <f t="shared" si="67"/>
        <v>35.368105329789024</v>
      </c>
      <c r="DI90" s="352">
        <f t="shared" si="49"/>
        <v>5.7894739816830847E-2</v>
      </c>
      <c r="DJ90" s="352">
        <f t="shared" si="68"/>
        <v>269.78935443898376</v>
      </c>
    </row>
    <row r="91" spans="1:114" x14ac:dyDescent="0.2">
      <c r="A91">
        <v>86</v>
      </c>
      <c r="B91" s="397">
        <v>34308</v>
      </c>
      <c r="C91" s="398">
        <v>397997.79676138877</v>
      </c>
      <c r="D91" s="399">
        <v>85.725163689835426</v>
      </c>
      <c r="E91" s="399">
        <v>350.24014800979722</v>
      </c>
      <c r="F91" s="399">
        <v>66.786730324355958</v>
      </c>
      <c r="G91" s="399">
        <v>0.28153519649353348</v>
      </c>
      <c r="H91" s="399">
        <v>503.03357722048213</v>
      </c>
      <c r="I91" s="400">
        <v>3.8560619357896342E-2</v>
      </c>
      <c r="J91" s="400">
        <v>0.19481415241746841</v>
      </c>
      <c r="K91" s="400">
        <v>4.2939936198305015E-3</v>
      </c>
      <c r="L91" s="400">
        <v>0.91762864391863319</v>
      </c>
      <c r="M91" s="400">
        <v>0.78645736872676342</v>
      </c>
      <c r="N91" s="400">
        <v>0.76023300244905667</v>
      </c>
      <c r="O91" s="399">
        <f t="shared" si="35"/>
        <v>9.6401548394740857</v>
      </c>
      <c r="P91" s="399">
        <f t="shared" si="35"/>
        <v>0</v>
      </c>
      <c r="Q91" s="399">
        <f t="shared" si="35"/>
        <v>4.2939936198305011</v>
      </c>
      <c r="R91" s="399">
        <f t="shared" si="33"/>
        <v>19.05223323628088</v>
      </c>
      <c r="S91" s="399">
        <f t="shared" si="33"/>
        <v>23.593721061802903</v>
      </c>
      <c r="T91" s="399">
        <f t="shared" si="33"/>
        <v>45.613980146943398</v>
      </c>
      <c r="U91" s="399">
        <f t="shared" si="50"/>
        <v>102.19408290433176</v>
      </c>
      <c r="V91" s="400">
        <v>4.6893811737323239E-3</v>
      </c>
      <c r="W91" s="400">
        <v>3.1193013663979911E-2</v>
      </c>
      <c r="X91" s="400">
        <v>2.8140859299064728E-4</v>
      </c>
      <c r="Y91" s="400">
        <v>0.21470376233513583</v>
      </c>
      <c r="Z91" s="400">
        <v>6.6087501523961506E-2</v>
      </c>
      <c r="AA91" s="400">
        <v>6.1893206948502318E-2</v>
      </c>
      <c r="AB91" s="352">
        <f t="shared" si="36"/>
        <v>1.1723452934330809</v>
      </c>
      <c r="AC91" s="352">
        <f t="shared" si="36"/>
        <v>0</v>
      </c>
      <c r="AD91" s="352">
        <f t="shared" si="36"/>
        <v>0.2814085929906473</v>
      </c>
      <c r="AE91" s="352">
        <f t="shared" si="34"/>
        <v>7.6109125043448831</v>
      </c>
      <c r="AF91" s="352">
        <f t="shared" si="34"/>
        <v>1.9826250457188452</v>
      </c>
      <c r="AG91" s="352">
        <f t="shared" si="34"/>
        <v>3.7135924169101391</v>
      </c>
      <c r="AH91" s="400">
        <f t="shared" si="51"/>
        <v>14.760883853397594</v>
      </c>
      <c r="AJ91" s="352">
        <f>D91*('Assumptions-Output Override'!$D$10/'Winners-Losers Values PMPM'!$H$107)*(1+'Assumptions-Output Override'!$F$41)</f>
        <v>102.32258368718671</v>
      </c>
      <c r="AK91" s="352">
        <f>E91*('Assumptions-Output Override'!$D$10/'Winners-Losers Values PMPM'!$H$107)*(1+'Assumptions-Output Override'!$F$37)</f>
        <v>576.41777416492437</v>
      </c>
      <c r="AL91" s="352">
        <f>F91*('Assumptions-Output Override'!$D$10/'Winners-Losers Values PMPM'!$H$107)*(1+'Assumptions-Output Override'!$F$38)</f>
        <v>112.19141906300453</v>
      </c>
      <c r="AM91" s="352">
        <f>G91*('Shoppable Detail'!$X$21/'Shoppable Detail'!$H$21)*('Assumptions-Output Override'!$D$10/'Winners-Losers Values PMPM'!$H$107)*(1+'Assumptions-Output Override'!$F$39)</f>
        <v>0.48277426438974519</v>
      </c>
      <c r="AN91" s="352">
        <f t="shared" si="52"/>
        <v>791.41455117950534</v>
      </c>
      <c r="AO91" s="352">
        <v>0</v>
      </c>
      <c r="AP91" s="352">
        <f>U91*'Assumptions-Output Override'!$D$10/'Winners-Losers Values PMPM'!$H$107*(1+'Assumptions-Output Override'!$F$37)</f>
        <v>168.18884452645011</v>
      </c>
      <c r="AQ91" s="352">
        <f>AH91*'Assumptions-Output Override'!$D$10/'Winners-Losers Values PMPM'!$H$107*(1+'Assumptions-Output Override'!$F$38)</f>
        <v>24.796011095230039</v>
      </c>
      <c r="AR91" s="352">
        <f>AM91*('Shoppable Detail'!$AA$23/'Shoppable Detail'!$Y$23)</f>
        <v>1.6131004117505475E-2</v>
      </c>
      <c r="AS91" s="352">
        <f t="shared" si="53"/>
        <v>193.00098662579765</v>
      </c>
      <c r="AT91" s="352">
        <f t="shared" si="54"/>
        <v>102.32258368718671</v>
      </c>
      <c r="AU91" s="352">
        <f t="shared" si="54"/>
        <v>408.22892963847426</v>
      </c>
      <c r="AV91" s="352">
        <f t="shared" si="54"/>
        <v>87.395407967774489</v>
      </c>
      <c r="AW91" s="352">
        <f t="shared" si="37"/>
        <v>0.46664326027223973</v>
      </c>
      <c r="AX91" s="352">
        <f t="shared" si="55"/>
        <v>598.41356455370772</v>
      </c>
      <c r="AY91" s="352">
        <f>AT91*'Assumptions-Output Override'!$D$24</f>
        <v>31.173181061270856</v>
      </c>
      <c r="AZ91" s="352">
        <f>$AU$107*'Assumptions-Output Override'!$D$21</f>
        <v>46.041131296780591</v>
      </c>
      <c r="BA91" s="352">
        <f>AV91*'Assumptions-Output Override'!$D$22</f>
        <v>13.109311195166173</v>
      </c>
      <c r="BB91" s="352">
        <f>AW91*'Assumptions-Output Override'!$D$23</f>
        <v>6.9996489040835955E-2</v>
      </c>
      <c r="BC91" s="352">
        <f t="shared" si="56"/>
        <v>90.393620042258448</v>
      </c>
      <c r="BD91" s="352">
        <f t="shared" si="57"/>
        <v>31.173181061270856</v>
      </c>
      <c r="BE91" s="352">
        <f t="shared" si="57"/>
        <v>214.22997582323069</v>
      </c>
      <c r="BF91" s="352">
        <f t="shared" si="57"/>
        <v>37.905322290396214</v>
      </c>
      <c r="BG91" s="352">
        <f t="shared" si="38"/>
        <v>8.6127493158341423E-2</v>
      </c>
      <c r="BH91" s="352">
        <f t="shared" si="58"/>
        <v>283.39460666805616</v>
      </c>
      <c r="BJ91" s="401">
        <f>D91*'Assumptions-Output Override'!$D$10/'Winners-Losers Values PMPM'!$H$107</f>
        <v>144.83080638154217</v>
      </c>
      <c r="BK91" s="401">
        <f>E91*'Assumptions-Output Override'!$D$10/'Winners-Losers Values PMPM'!$H$107</f>
        <v>591.72314032529778</v>
      </c>
      <c r="BL91" s="401">
        <f>F91*'Assumptions-Output Override'!$D$10/'Winners-Losers Values PMPM'!$H$107</f>
        <v>112.83473360821338</v>
      </c>
      <c r="BM91" s="401">
        <f>G91*'Assumptions-Output Override'!$D$10/'Winners-Losers Values PMPM'!$H$107</f>
        <v>0.47564761358139152</v>
      </c>
      <c r="BN91" s="401">
        <f t="shared" si="39"/>
        <v>849.86432792863468</v>
      </c>
      <c r="BO91" s="401">
        <f>BJ91*(1-'Assumptions-Output Override'!$D$11)</f>
        <v>20.641255024109249</v>
      </c>
      <c r="BP91" s="401">
        <f>BK91*(1-'Assumptions-Output Override'!$D$11)</f>
        <v>84.332253256568521</v>
      </c>
      <c r="BQ91" s="401">
        <f>BL91*(1-'Assumptions-Output Override'!$D$11)</f>
        <v>16.081181691752196</v>
      </c>
      <c r="BR91" s="401">
        <f>BM91*(1-'Assumptions-Output Override'!$D$11)</f>
        <v>6.7789194432005262E-2</v>
      </c>
      <c r="BS91" s="352">
        <f t="shared" si="40"/>
        <v>121.12247916686198</v>
      </c>
      <c r="BT91" s="352">
        <f t="shared" si="59"/>
        <v>124.18955135743292</v>
      </c>
      <c r="BU91" s="352">
        <f t="shared" si="59"/>
        <v>507.39088706872928</v>
      </c>
      <c r="BV91" s="352">
        <f t="shared" si="59"/>
        <v>96.753551916461191</v>
      </c>
      <c r="BW91" s="352">
        <f t="shared" si="41"/>
        <v>0.40785841914938625</v>
      </c>
      <c r="BX91" s="352">
        <f t="shared" si="42"/>
        <v>728.74184876177287</v>
      </c>
      <c r="BY91" s="352">
        <f>BT$107*(1-'Assumptions-Output Override'!$D$12)</f>
        <v>22.753074310428271</v>
      </c>
      <c r="BZ91" s="352">
        <f>BU$107*(1-'Assumptions-Output Override'!$D$12)</f>
        <v>51.446038369839215</v>
      </c>
      <c r="CA91" s="352">
        <f>BV$107*(1-'Assumptions-Output Override'!$D$12)</f>
        <v>9.7401900534537411</v>
      </c>
      <c r="CB91" s="352">
        <f>BW$107*(1-'Assumptions-Output Override'!$D$12)</f>
        <v>1.7000814189516649</v>
      </c>
      <c r="CC91" s="352">
        <f t="shared" si="43"/>
        <v>85.639384152672903</v>
      </c>
      <c r="CD91" s="352">
        <f t="shared" si="60"/>
        <v>43.394329334537517</v>
      </c>
      <c r="CE91" s="352">
        <f t="shared" si="60"/>
        <v>135.77829162640774</v>
      </c>
      <c r="CF91" s="352">
        <f t="shared" si="60"/>
        <v>25.821371745205937</v>
      </c>
      <c r="CG91" s="352">
        <f t="shared" si="44"/>
        <v>1.7678706133836701</v>
      </c>
      <c r="CH91" s="352">
        <f t="shared" si="45"/>
        <v>206.76186331953488</v>
      </c>
      <c r="CJ91" s="352">
        <f t="shared" si="61"/>
        <v>206.76186331953488</v>
      </c>
      <c r="CK91" s="352">
        <f t="shared" si="62"/>
        <v>283.39460666805616</v>
      </c>
      <c r="CL91" s="352">
        <f t="shared" si="63"/>
        <v>-76.632743348521274</v>
      </c>
      <c r="CN91" s="352">
        <f t="shared" si="64"/>
        <v>85.725163689835426</v>
      </c>
      <c r="CO91" s="352">
        <f t="shared" si="64"/>
        <v>350.24014800979722</v>
      </c>
      <c r="CP91" s="352">
        <f t="shared" si="64"/>
        <v>66.786730324355958</v>
      </c>
      <c r="CQ91" s="352">
        <f t="shared" si="46"/>
        <v>0.28153519649353348</v>
      </c>
      <c r="CR91" s="352">
        <f t="shared" si="69"/>
        <v>503.03357722048213</v>
      </c>
      <c r="CT91" s="352">
        <f t="shared" si="71"/>
        <v>-59.105642691706748</v>
      </c>
      <c r="CU91" s="352">
        <f t="shared" si="71"/>
        <v>-241.48299231550055</v>
      </c>
      <c r="CV91" s="352">
        <f t="shared" si="71"/>
        <v>-46.048003283857426</v>
      </c>
      <c r="CW91" s="352">
        <f t="shared" si="70"/>
        <v>-0.19411241708785804</v>
      </c>
      <c r="CX91" s="352">
        <f t="shared" si="47"/>
        <v>-346.83075070815261</v>
      </c>
      <c r="CZ91" s="352">
        <f t="shared" si="65"/>
        <v>12.22114827326666</v>
      </c>
      <c r="DA91" s="352">
        <f t="shared" si="65"/>
        <v>-78.451684196822953</v>
      </c>
      <c r="DB91" s="352">
        <f t="shared" si="65"/>
        <v>-12.083950545190277</v>
      </c>
      <c r="DC91" s="352">
        <f t="shared" si="48"/>
        <v>1.6817431202253288</v>
      </c>
      <c r="DD91" s="352">
        <f t="shared" si="66"/>
        <v>-76.632743348521231</v>
      </c>
      <c r="DF91" s="352">
        <f t="shared" si="67"/>
        <v>31.173181061270856</v>
      </c>
      <c r="DG91" s="352">
        <f t="shared" si="67"/>
        <v>214.22997582323069</v>
      </c>
      <c r="DH91" s="352">
        <f t="shared" si="67"/>
        <v>37.905322290396214</v>
      </c>
      <c r="DI91" s="352">
        <f t="shared" si="49"/>
        <v>8.6127493158341423E-2</v>
      </c>
      <c r="DJ91" s="352">
        <f t="shared" si="68"/>
        <v>283.39460666805616</v>
      </c>
    </row>
    <row r="92" spans="1:114" x14ac:dyDescent="0.2">
      <c r="A92">
        <v>87</v>
      </c>
      <c r="B92" s="397">
        <v>34308</v>
      </c>
      <c r="C92" s="398">
        <v>397997.79676138877</v>
      </c>
      <c r="D92" s="399">
        <v>96.539133205244156</v>
      </c>
      <c r="E92" s="399">
        <v>375.11904936376226</v>
      </c>
      <c r="F92" s="399">
        <v>74.779027648001559</v>
      </c>
      <c r="G92" s="399">
        <v>0.68770809113784082</v>
      </c>
      <c r="H92" s="399">
        <v>547.12491830814588</v>
      </c>
      <c r="I92" s="400">
        <v>3.7663628665271648E-2</v>
      </c>
      <c r="J92" s="400">
        <v>0.20597850528019124</v>
      </c>
      <c r="K92" s="400">
        <v>4.3392200008468551E-3</v>
      </c>
      <c r="L92" s="400">
        <v>0.9568497682390491</v>
      </c>
      <c r="M92" s="400">
        <v>0.80810980014754974</v>
      </c>
      <c r="N92" s="400">
        <v>0.80144343158574416</v>
      </c>
      <c r="O92" s="399">
        <f t="shared" si="35"/>
        <v>9.4159071663179112</v>
      </c>
      <c r="P92" s="399">
        <f t="shared" si="35"/>
        <v>0</v>
      </c>
      <c r="Q92" s="399">
        <f t="shared" si="35"/>
        <v>4.3392200008468551</v>
      </c>
      <c r="R92" s="399">
        <f t="shared" si="33"/>
        <v>19.866560484339182</v>
      </c>
      <c r="S92" s="399">
        <f t="shared" si="33"/>
        <v>24.243294004426492</v>
      </c>
      <c r="T92" s="399">
        <f t="shared" si="33"/>
        <v>48.08660589514465</v>
      </c>
      <c r="U92" s="399">
        <f t="shared" si="50"/>
        <v>105.95158755107508</v>
      </c>
      <c r="V92" s="400">
        <v>5.2170451924869465E-3</v>
      </c>
      <c r="W92" s="400">
        <v>3.3568122529574279E-2</v>
      </c>
      <c r="X92" s="400">
        <v>4.346757731016248E-4</v>
      </c>
      <c r="Y92" s="400">
        <v>0.2278122302778024</v>
      </c>
      <c r="Z92" s="400">
        <v>6.9626013574681289E-2</v>
      </c>
      <c r="AA92" s="400">
        <v>6.7000169892869763E-2</v>
      </c>
      <c r="AB92" s="352">
        <f t="shared" si="36"/>
        <v>1.3042612981217365</v>
      </c>
      <c r="AC92" s="352">
        <f t="shared" si="36"/>
        <v>0</v>
      </c>
      <c r="AD92" s="352">
        <f t="shared" si="36"/>
        <v>0.43467577310162481</v>
      </c>
      <c r="AE92" s="352">
        <f t="shared" si="34"/>
        <v>8.0755871867657518</v>
      </c>
      <c r="AF92" s="352">
        <f t="shared" si="34"/>
        <v>2.0887804072404386</v>
      </c>
      <c r="AG92" s="352">
        <f t="shared" si="34"/>
        <v>4.0200101935721859</v>
      </c>
      <c r="AH92" s="400">
        <f t="shared" si="51"/>
        <v>15.923314858801739</v>
      </c>
      <c r="AJ92" s="352">
        <f>D92*('Assumptions-Output Override'!$D$10/'Winners-Losers Values PMPM'!$H$107)*(1+'Assumptions-Output Override'!$F$41)</f>
        <v>115.23026741858908</v>
      </c>
      <c r="AK92" s="352">
        <f>E92*('Assumptions-Output Override'!$D$10/'Winners-Losers Values PMPM'!$H$107)*(1+'Assumptions-Output Override'!$F$37)</f>
        <v>617.36293999931104</v>
      </c>
      <c r="AL92" s="352">
        <f>F92*('Assumptions-Output Override'!$D$10/'Winners-Losers Values PMPM'!$H$107)*(1+'Assumptions-Output Override'!$F$38)</f>
        <v>125.61724742679037</v>
      </c>
      <c r="AM92" s="352">
        <f>G92*('Shoppable Detail'!$X$21/'Shoppable Detail'!$H$21)*('Assumptions-Output Override'!$D$10/'Winners-Losers Values PMPM'!$H$107)*(1+'Assumptions-Output Override'!$F$39)</f>
        <v>1.1792762395218774</v>
      </c>
      <c r="AN92" s="352">
        <f t="shared" si="52"/>
        <v>859.38973108421237</v>
      </c>
      <c r="AO92" s="352">
        <v>0</v>
      </c>
      <c r="AP92" s="352">
        <f>U92*'Assumptions-Output Override'!$D$10/'Winners-Losers Values PMPM'!$H$107*(1+'Assumptions-Output Override'!$F$37)</f>
        <v>174.37286562510943</v>
      </c>
      <c r="AQ92" s="352">
        <f>AH92*'Assumptions-Output Override'!$D$10/'Winners-Losers Values PMPM'!$H$107*(1+'Assumptions-Output Override'!$F$38)</f>
        <v>26.748716122497498</v>
      </c>
      <c r="AR92" s="352">
        <f>AM92*('Shoppable Detail'!$AA$23/'Shoppable Detail'!$Y$23)</f>
        <v>3.9403322170559037E-2</v>
      </c>
      <c r="AS92" s="352">
        <f t="shared" si="53"/>
        <v>201.16098506977747</v>
      </c>
      <c r="AT92" s="352">
        <f t="shared" si="54"/>
        <v>115.23026741858908</v>
      </c>
      <c r="AU92" s="352">
        <f t="shared" si="54"/>
        <v>442.99007437420164</v>
      </c>
      <c r="AV92" s="352">
        <f t="shared" si="54"/>
        <v>98.868531304292873</v>
      </c>
      <c r="AW92" s="352">
        <f t="shared" si="37"/>
        <v>1.1398729173513185</v>
      </c>
      <c r="AX92" s="352">
        <f t="shared" si="55"/>
        <v>658.22874601443493</v>
      </c>
      <c r="AY92" s="352">
        <f>AT92*'Assumptions-Output Override'!$D$24</f>
        <v>35.105583347658914</v>
      </c>
      <c r="AZ92" s="352">
        <f>$AU$107*'Assumptions-Output Override'!$D$21</f>
        <v>46.041131296780591</v>
      </c>
      <c r="BA92" s="352">
        <f>AV92*'Assumptions-Output Override'!$D$22</f>
        <v>14.830279695643931</v>
      </c>
      <c r="BB92" s="352">
        <f>AW92*'Assumptions-Output Override'!$D$23</f>
        <v>0.17098093760269775</v>
      </c>
      <c r="BC92" s="352">
        <f t="shared" si="56"/>
        <v>96.147975277686115</v>
      </c>
      <c r="BD92" s="352">
        <f t="shared" si="57"/>
        <v>35.105583347658914</v>
      </c>
      <c r="BE92" s="352">
        <f t="shared" si="57"/>
        <v>220.41399692189003</v>
      </c>
      <c r="BF92" s="352">
        <f t="shared" si="57"/>
        <v>41.578995818141429</v>
      </c>
      <c r="BG92" s="352">
        <f t="shared" si="38"/>
        <v>0.21038425977325678</v>
      </c>
      <c r="BH92" s="352">
        <f t="shared" si="58"/>
        <v>297.30896034746365</v>
      </c>
      <c r="BJ92" s="401">
        <f>D92*'Assumptions-Output Override'!$D$10/'Winners-Losers Values PMPM'!$H$107</f>
        <v>163.10077353807927</v>
      </c>
      <c r="BK92" s="401">
        <f>E92*'Assumptions-Output Override'!$D$10/'Winners-Losers Values PMPM'!$H$107</f>
        <v>633.75550503466775</v>
      </c>
      <c r="BL92" s="401">
        <f>F92*'Assumptions-Output Override'!$D$10/'Winners-Losers Values PMPM'!$H$107</f>
        <v>126.33754674267095</v>
      </c>
      <c r="BM92" s="401">
        <f>G92*'Assumptions-Output Override'!$D$10/'Winners-Losers Values PMPM'!$H$107</f>
        <v>1.1618679172777651</v>
      </c>
      <c r="BN92" s="401">
        <f t="shared" si="39"/>
        <v>924.35569323269567</v>
      </c>
      <c r="BO92" s="401">
        <f>BJ92*(1-'Assumptions-Output Override'!$D$11)</f>
        <v>23.2450867694543</v>
      </c>
      <c r="BP92" s="401">
        <f>BK92*(1-'Assumptions-Output Override'!$D$11)</f>
        <v>90.322696732709005</v>
      </c>
      <c r="BQ92" s="401">
        <f>BL92*(1-'Assumptions-Output Override'!$D$11)</f>
        <v>18.005599682749111</v>
      </c>
      <c r="BR92" s="401">
        <f>BM92*(1-'Assumptions-Output Override'!$D$11)</f>
        <v>0.16558916285863773</v>
      </c>
      <c r="BS92" s="352">
        <f t="shared" si="40"/>
        <v>131.73897234777107</v>
      </c>
      <c r="BT92" s="352">
        <f t="shared" si="59"/>
        <v>139.85568676862496</v>
      </c>
      <c r="BU92" s="352">
        <f t="shared" si="59"/>
        <v>543.43280830195874</v>
      </c>
      <c r="BV92" s="352">
        <f t="shared" si="59"/>
        <v>108.33194705992184</v>
      </c>
      <c r="BW92" s="352">
        <f t="shared" si="41"/>
        <v>0.99627875441912739</v>
      </c>
      <c r="BX92" s="352">
        <f t="shared" si="42"/>
        <v>792.61672088492469</v>
      </c>
      <c r="BY92" s="352">
        <f>BT$107*(1-'Assumptions-Output Override'!$D$12)</f>
        <v>22.753074310428271</v>
      </c>
      <c r="BZ92" s="352">
        <f>BU$107*(1-'Assumptions-Output Override'!$D$12)</f>
        <v>51.446038369839215</v>
      </c>
      <c r="CA92" s="352">
        <f>BV$107*(1-'Assumptions-Output Override'!$D$12)</f>
        <v>9.7401900534537411</v>
      </c>
      <c r="CB92" s="352">
        <f>BW$107*(1-'Assumptions-Output Override'!$D$12)</f>
        <v>1.7000814189516649</v>
      </c>
      <c r="CC92" s="352">
        <f t="shared" si="43"/>
        <v>85.639384152672903</v>
      </c>
      <c r="CD92" s="352">
        <f t="shared" si="60"/>
        <v>45.998161079882571</v>
      </c>
      <c r="CE92" s="352">
        <f t="shared" si="60"/>
        <v>141.76873510254822</v>
      </c>
      <c r="CF92" s="352">
        <f t="shared" si="60"/>
        <v>27.745789736202852</v>
      </c>
      <c r="CG92" s="352">
        <f t="shared" si="44"/>
        <v>1.8656705818103025</v>
      </c>
      <c r="CH92" s="352">
        <f t="shared" si="45"/>
        <v>217.37835650044394</v>
      </c>
      <c r="CJ92" s="352">
        <f t="shared" si="61"/>
        <v>217.37835650044394</v>
      </c>
      <c r="CK92" s="352">
        <f t="shared" si="62"/>
        <v>297.30896034746365</v>
      </c>
      <c r="CL92" s="352">
        <f t="shared" si="63"/>
        <v>-79.930603847019711</v>
      </c>
      <c r="CN92" s="352">
        <f t="shared" si="64"/>
        <v>96.539133205244156</v>
      </c>
      <c r="CO92" s="352">
        <f t="shared" si="64"/>
        <v>375.11904936376226</v>
      </c>
      <c r="CP92" s="352">
        <f t="shared" si="64"/>
        <v>74.779027648001559</v>
      </c>
      <c r="CQ92" s="352">
        <f t="shared" si="46"/>
        <v>0.68770809113784082</v>
      </c>
      <c r="CR92" s="352">
        <f t="shared" si="69"/>
        <v>547.12491830814588</v>
      </c>
      <c r="CT92" s="352">
        <f t="shared" si="71"/>
        <v>-66.561640332835111</v>
      </c>
      <c r="CU92" s="352">
        <f t="shared" si="71"/>
        <v>-258.63645567090549</v>
      </c>
      <c r="CV92" s="352">
        <f t="shared" si="71"/>
        <v>-51.558519094669393</v>
      </c>
      <c r="CW92" s="352">
        <f t="shared" si="70"/>
        <v>-0.47415982613992425</v>
      </c>
      <c r="CX92" s="352">
        <f t="shared" si="47"/>
        <v>-377.23077492454991</v>
      </c>
      <c r="CZ92" s="352">
        <f t="shared" si="65"/>
        <v>10.892577732223657</v>
      </c>
      <c r="DA92" s="352">
        <f t="shared" si="65"/>
        <v>-78.645261819341812</v>
      </c>
      <c r="DB92" s="352">
        <f t="shared" si="65"/>
        <v>-13.833206081938577</v>
      </c>
      <c r="DC92" s="352">
        <f t="shared" si="48"/>
        <v>1.6552863220370457</v>
      </c>
      <c r="DD92" s="352">
        <f t="shared" si="66"/>
        <v>-79.930603847019697</v>
      </c>
      <c r="DF92" s="352">
        <f t="shared" si="67"/>
        <v>35.105583347658914</v>
      </c>
      <c r="DG92" s="352">
        <f t="shared" si="67"/>
        <v>220.41399692189003</v>
      </c>
      <c r="DH92" s="352">
        <f t="shared" si="67"/>
        <v>41.578995818141429</v>
      </c>
      <c r="DI92" s="352">
        <f t="shared" si="49"/>
        <v>0.21038425977325678</v>
      </c>
      <c r="DJ92" s="352">
        <f t="shared" si="68"/>
        <v>297.30896034746365</v>
      </c>
    </row>
    <row r="93" spans="1:114" x14ac:dyDescent="0.2">
      <c r="A93">
        <v>88</v>
      </c>
      <c r="B93" s="397">
        <v>34308</v>
      </c>
      <c r="C93" s="398">
        <v>397997.79676138877</v>
      </c>
      <c r="D93" s="399">
        <v>106.389727116339</v>
      </c>
      <c r="E93" s="399">
        <v>407.88201054905397</v>
      </c>
      <c r="F93" s="399">
        <v>82.156813314068017</v>
      </c>
      <c r="G93" s="399">
        <v>1.7298858464065876</v>
      </c>
      <c r="H93" s="399">
        <v>598.15843682586751</v>
      </c>
      <c r="I93" s="400">
        <v>3.989924385467794E-2</v>
      </c>
      <c r="J93" s="400">
        <v>0.22518708065479032</v>
      </c>
      <c r="K93" s="400">
        <v>4.6784178584695106E-3</v>
      </c>
      <c r="L93" s="400">
        <v>0.9779053599697366</v>
      </c>
      <c r="M93" s="400">
        <v>0.82526492024006481</v>
      </c>
      <c r="N93" s="400">
        <v>0.83457130341641839</v>
      </c>
      <c r="O93" s="399">
        <f t="shared" si="35"/>
        <v>9.9748109636694853</v>
      </c>
      <c r="P93" s="399">
        <f t="shared" si="35"/>
        <v>0</v>
      </c>
      <c r="Q93" s="399">
        <f t="shared" si="35"/>
        <v>4.6784178584695102</v>
      </c>
      <c r="R93" s="399">
        <f t="shared" si="33"/>
        <v>20.303726485247648</v>
      </c>
      <c r="S93" s="399">
        <f t="shared" si="33"/>
        <v>24.757947607201945</v>
      </c>
      <c r="T93" s="399">
        <f t="shared" si="33"/>
        <v>50.074278204985106</v>
      </c>
      <c r="U93" s="399">
        <f t="shared" si="50"/>
        <v>109.7891811195737</v>
      </c>
      <c r="V93" s="400">
        <v>6.1109701183771278E-3</v>
      </c>
      <c r="W93" s="400">
        <v>3.454771526086229E-2</v>
      </c>
      <c r="X93" s="400">
        <v>4.6482669377919414E-4</v>
      </c>
      <c r="Y93" s="400">
        <v>0.23706869179963616</v>
      </c>
      <c r="Z93" s="400">
        <v>7.3125630937727018E-2</v>
      </c>
      <c r="AA93" s="400">
        <v>7.0065613998158249E-2</v>
      </c>
      <c r="AB93" s="352">
        <f t="shared" si="36"/>
        <v>1.5277425295942819</v>
      </c>
      <c r="AC93" s="352">
        <f t="shared" si="36"/>
        <v>0</v>
      </c>
      <c r="AD93" s="352">
        <f t="shared" si="36"/>
        <v>0.46482669377919417</v>
      </c>
      <c r="AE93" s="352">
        <f t="shared" si="34"/>
        <v>8.4037142674293168</v>
      </c>
      <c r="AF93" s="352">
        <f t="shared" si="34"/>
        <v>2.1937689281318105</v>
      </c>
      <c r="AG93" s="352">
        <f t="shared" si="34"/>
        <v>4.2039368398894954</v>
      </c>
      <c r="AH93" s="400">
        <f t="shared" si="51"/>
        <v>16.793989258824098</v>
      </c>
      <c r="AJ93" s="352">
        <f>D93*('Assumptions-Output Override'!$D$10/'Winners-Losers Values PMPM'!$H$107)*(1+'Assumptions-Output Override'!$F$41)</f>
        <v>126.98805447261377</v>
      </c>
      <c r="AK93" s="352">
        <f>E93*('Assumptions-Output Override'!$D$10/'Winners-Losers Values PMPM'!$H$107)*(1+'Assumptions-Output Override'!$F$37)</f>
        <v>671.28352354403182</v>
      </c>
      <c r="AL93" s="352">
        <f>F93*('Assumptions-Output Override'!$D$10/'Winners-Losers Values PMPM'!$H$107)*(1+'Assumptions-Output Override'!$F$38)</f>
        <v>138.01079086571559</v>
      </c>
      <c r="AM93" s="352">
        <f>G93*('Shoppable Detail'!$X$21/'Shoppable Detail'!$H$21)*('Assumptions-Output Override'!$D$10/'Winners-Losers Values PMPM'!$H$107)*(1+'Assumptions-Output Override'!$F$39)</f>
        <v>2.9663941751466032</v>
      </c>
      <c r="AN93" s="352">
        <f t="shared" si="52"/>
        <v>939.24876305750774</v>
      </c>
      <c r="AO93" s="352">
        <v>0</v>
      </c>
      <c r="AP93" s="352">
        <f>U93*'Assumptions-Output Override'!$D$10/'Winners-Losers Values PMPM'!$H$107*(1+'Assumptions-Output Override'!$F$37)</f>
        <v>180.68869536499901</v>
      </c>
      <c r="AQ93" s="352">
        <f>AH93*'Assumptions-Output Override'!$D$10/'Winners-Losers Values PMPM'!$H$107*(1+'Assumptions-Output Override'!$F$38)</f>
        <v>28.211314995146839</v>
      </c>
      <c r="AR93" s="352">
        <f>AM93*('Shoppable Detail'!$AA$23/'Shoppable Detail'!$Y$23)</f>
        <v>9.9116544072456833E-2</v>
      </c>
      <c r="AS93" s="352">
        <f t="shared" si="53"/>
        <v>208.99912690421829</v>
      </c>
      <c r="AT93" s="352">
        <f t="shared" si="54"/>
        <v>126.98805447261377</v>
      </c>
      <c r="AU93" s="352">
        <f t="shared" si="54"/>
        <v>490.59482817903279</v>
      </c>
      <c r="AV93" s="352">
        <f t="shared" si="54"/>
        <v>109.79947587056876</v>
      </c>
      <c r="AW93" s="352">
        <f t="shared" si="37"/>
        <v>2.8672776310741463</v>
      </c>
      <c r="AX93" s="352">
        <f t="shared" si="55"/>
        <v>730.24963615328943</v>
      </c>
      <c r="AY93" s="352">
        <f>AT93*'Assumptions-Output Override'!$D$24</f>
        <v>38.687662801746001</v>
      </c>
      <c r="AZ93" s="352">
        <f>$AU$107*'Assumptions-Output Override'!$D$21</f>
        <v>46.041131296780591</v>
      </c>
      <c r="BA93" s="352">
        <f>AV93*'Assumptions-Output Override'!$D$22</f>
        <v>16.469921380585312</v>
      </c>
      <c r="BB93" s="352">
        <f>AW93*'Assumptions-Output Override'!$D$23</f>
        <v>0.43009164466112193</v>
      </c>
      <c r="BC93" s="352">
        <f t="shared" si="56"/>
        <v>101.62880712377303</v>
      </c>
      <c r="BD93" s="352">
        <f t="shared" si="57"/>
        <v>38.687662801746001</v>
      </c>
      <c r="BE93" s="352">
        <f t="shared" si="57"/>
        <v>226.72982666177961</v>
      </c>
      <c r="BF93" s="352">
        <f t="shared" si="57"/>
        <v>44.681236375732155</v>
      </c>
      <c r="BG93" s="352">
        <f t="shared" si="38"/>
        <v>0.52920818873357878</v>
      </c>
      <c r="BH93" s="352">
        <f t="shared" si="58"/>
        <v>310.62793402799139</v>
      </c>
      <c r="BJ93" s="401">
        <f>D93*'Assumptions-Output Override'!$D$10/'Winners-Losers Values PMPM'!$H$107</f>
        <v>179.74313848756887</v>
      </c>
      <c r="BK93" s="401">
        <f>E93*'Assumptions-Output Override'!$D$10/'Winners-Losers Values PMPM'!$H$107</f>
        <v>689.10781798073901</v>
      </c>
      <c r="BL93" s="401">
        <f>F93*'Assumptions-Output Override'!$D$10/'Winners-Losers Values PMPM'!$H$107</f>
        <v>138.8021557481745</v>
      </c>
      <c r="BM93" s="401">
        <f>G93*'Assumptions-Output Override'!$D$10/'Winners-Losers Values PMPM'!$H$107</f>
        <v>2.9226046507134251</v>
      </c>
      <c r="BN93" s="401">
        <f t="shared" si="39"/>
        <v>1010.5757168671959</v>
      </c>
      <c r="BO93" s="401">
        <f>BJ93*(1-'Assumptions-Output Override'!$D$11)</f>
        <v>25.616953002262154</v>
      </c>
      <c r="BP93" s="401">
        <f>BK93*(1-'Assumptions-Output Override'!$D$11)</f>
        <v>98.211496334392166</v>
      </c>
      <c r="BQ93" s="401">
        <f>BL93*(1-'Assumptions-Output Override'!$D$11)</f>
        <v>19.782053047101829</v>
      </c>
      <c r="BR93" s="401">
        <f>BM93*(1-'Assumptions-Output Override'!$D$11)</f>
        <v>0.41652897913928733</v>
      </c>
      <c r="BS93" s="352">
        <f t="shared" si="40"/>
        <v>144.02703136289543</v>
      </c>
      <c r="BT93" s="352">
        <f t="shared" si="59"/>
        <v>154.12618548530671</v>
      </c>
      <c r="BU93" s="352">
        <f t="shared" si="59"/>
        <v>590.89632164634691</v>
      </c>
      <c r="BV93" s="352">
        <f t="shared" si="59"/>
        <v>119.02010270107267</v>
      </c>
      <c r="BW93" s="352">
        <f t="shared" si="41"/>
        <v>2.5060756715741377</v>
      </c>
      <c r="BX93" s="352">
        <f t="shared" si="42"/>
        <v>866.54868550430047</v>
      </c>
      <c r="BY93" s="352">
        <f>BT$107*(1-'Assumptions-Output Override'!$D$12)</f>
        <v>22.753074310428271</v>
      </c>
      <c r="BZ93" s="352">
        <f>BU$107*(1-'Assumptions-Output Override'!$D$12)</f>
        <v>51.446038369839215</v>
      </c>
      <c r="CA93" s="352">
        <f>BV$107*(1-'Assumptions-Output Override'!$D$12)</f>
        <v>9.7401900534537411</v>
      </c>
      <c r="CB93" s="352">
        <f>BW$107*(1-'Assumptions-Output Override'!$D$12)</f>
        <v>1.7000814189516649</v>
      </c>
      <c r="CC93" s="352">
        <f t="shared" si="43"/>
        <v>85.639384152672903</v>
      </c>
      <c r="CD93" s="352">
        <f t="shared" si="60"/>
        <v>48.370027312690425</v>
      </c>
      <c r="CE93" s="352">
        <f t="shared" si="60"/>
        <v>149.65753470423138</v>
      </c>
      <c r="CF93" s="352">
        <f t="shared" si="60"/>
        <v>29.522243100555571</v>
      </c>
      <c r="CG93" s="352">
        <f t="shared" si="44"/>
        <v>2.1166103980909523</v>
      </c>
      <c r="CH93" s="352">
        <f t="shared" si="45"/>
        <v>229.66641551556833</v>
      </c>
      <c r="CJ93" s="352">
        <f t="shared" si="61"/>
        <v>229.66641551556833</v>
      </c>
      <c r="CK93" s="352">
        <f t="shared" si="62"/>
        <v>310.62793402799139</v>
      </c>
      <c r="CL93" s="352">
        <f t="shared" si="63"/>
        <v>-80.961518512423055</v>
      </c>
      <c r="CN93" s="352">
        <f t="shared" si="64"/>
        <v>106.389727116339</v>
      </c>
      <c r="CO93" s="352">
        <f t="shared" si="64"/>
        <v>407.88201054905397</v>
      </c>
      <c r="CP93" s="352">
        <f t="shared" si="64"/>
        <v>82.156813314068017</v>
      </c>
      <c r="CQ93" s="352">
        <f t="shared" si="46"/>
        <v>1.7298858464065876</v>
      </c>
      <c r="CR93" s="352">
        <f t="shared" si="69"/>
        <v>598.15843682586751</v>
      </c>
      <c r="CT93" s="352">
        <f t="shared" si="71"/>
        <v>-73.353411371229868</v>
      </c>
      <c r="CU93" s="352">
        <f t="shared" si="71"/>
        <v>-281.22580743168504</v>
      </c>
      <c r="CV93" s="352">
        <f t="shared" si="71"/>
        <v>-56.645342434106482</v>
      </c>
      <c r="CW93" s="352">
        <f t="shared" si="70"/>
        <v>-1.1927188043068375</v>
      </c>
      <c r="CX93" s="352">
        <f t="shared" si="47"/>
        <v>-412.41728004132818</v>
      </c>
      <c r="CZ93" s="352">
        <f t="shared" si="65"/>
        <v>9.6823645109444243</v>
      </c>
      <c r="DA93" s="352">
        <f t="shared" si="65"/>
        <v>-77.072291957548231</v>
      </c>
      <c r="DB93" s="352">
        <f t="shared" si="65"/>
        <v>-15.158993275176584</v>
      </c>
      <c r="DC93" s="352">
        <f t="shared" si="48"/>
        <v>1.5874022093573736</v>
      </c>
      <c r="DD93" s="352">
        <f t="shared" si="66"/>
        <v>-80.961518512423012</v>
      </c>
      <c r="DF93" s="352">
        <f t="shared" si="67"/>
        <v>38.687662801746001</v>
      </c>
      <c r="DG93" s="352">
        <f t="shared" si="67"/>
        <v>226.72982666177961</v>
      </c>
      <c r="DH93" s="352">
        <f t="shared" si="67"/>
        <v>44.681236375732155</v>
      </c>
      <c r="DI93" s="352">
        <f t="shared" si="49"/>
        <v>0.52920818873357878</v>
      </c>
      <c r="DJ93" s="352">
        <f t="shared" si="68"/>
        <v>310.62793402799139</v>
      </c>
    </row>
    <row r="94" spans="1:114" x14ac:dyDescent="0.2">
      <c r="A94">
        <v>89</v>
      </c>
      <c r="B94" s="397">
        <v>34308</v>
      </c>
      <c r="C94" s="398">
        <v>397997.79676138877</v>
      </c>
      <c r="D94" s="399">
        <v>124.95114551928776</v>
      </c>
      <c r="E94" s="399">
        <v>440.52886772199429</v>
      </c>
      <c r="F94" s="399">
        <v>90.501579999573195</v>
      </c>
      <c r="G94" s="399">
        <v>1.8810655764303321</v>
      </c>
      <c r="H94" s="399">
        <v>657.86265881728559</v>
      </c>
      <c r="I94" s="400">
        <v>3.9612306637287348E-2</v>
      </c>
      <c r="J94" s="400">
        <v>0.24437444762637037</v>
      </c>
      <c r="K94" s="400">
        <v>5.3693764573304751E-3</v>
      </c>
      <c r="L94" s="400">
        <v>1.0236078099507806</v>
      </c>
      <c r="M94" s="400">
        <v>0.85995325297040159</v>
      </c>
      <c r="N94" s="400">
        <v>0.84712463924051673</v>
      </c>
      <c r="O94" s="399">
        <f t="shared" si="35"/>
        <v>9.9030766593218367</v>
      </c>
      <c r="P94" s="399">
        <f t="shared" si="35"/>
        <v>0</v>
      </c>
      <c r="Q94" s="399">
        <f t="shared" si="35"/>
        <v>5.3693764573304748</v>
      </c>
      <c r="R94" s="399">
        <f t="shared" si="33"/>
        <v>21.252622034965817</v>
      </c>
      <c r="S94" s="399">
        <f t="shared" si="33"/>
        <v>25.798597589112049</v>
      </c>
      <c r="T94" s="399">
        <f t="shared" si="33"/>
        <v>50.827478354431001</v>
      </c>
      <c r="U94" s="399">
        <f t="shared" si="50"/>
        <v>113.15115109516117</v>
      </c>
      <c r="V94" s="400">
        <v>5.5311604789455831E-3</v>
      </c>
      <c r="W94" s="400">
        <v>3.7476560955550034E-2</v>
      </c>
      <c r="X94" s="400">
        <v>6.4573221784461018E-4</v>
      </c>
      <c r="Y94" s="400">
        <v>0.24882906736398872</v>
      </c>
      <c r="Z94" s="400">
        <v>7.5692680324215514E-2</v>
      </c>
      <c r="AA94" s="400">
        <v>7.4189355419229649E-2</v>
      </c>
      <c r="AB94" s="352">
        <f t="shared" si="36"/>
        <v>1.3827901197363959</v>
      </c>
      <c r="AC94" s="352">
        <f t="shared" si="36"/>
        <v>0</v>
      </c>
      <c r="AD94" s="352">
        <f t="shared" si="36"/>
        <v>0.64573221784461021</v>
      </c>
      <c r="AE94" s="352">
        <f t="shared" si="34"/>
        <v>8.820601183918507</v>
      </c>
      <c r="AF94" s="352">
        <f t="shared" si="34"/>
        <v>2.2707804097264654</v>
      </c>
      <c r="AG94" s="352">
        <f t="shared" si="34"/>
        <v>4.4513613251537789</v>
      </c>
      <c r="AH94" s="400">
        <f t="shared" si="51"/>
        <v>17.571265256379757</v>
      </c>
      <c r="AJ94" s="352">
        <f>D94*('Assumptions-Output Override'!$D$10/'Winners-Losers Values PMPM'!$H$107)*(1+'Assumptions-Output Override'!$F$41)</f>
        <v>149.14318612987546</v>
      </c>
      <c r="AK94" s="352">
        <f>E94*('Assumptions-Output Override'!$D$10/'Winners-Losers Values PMPM'!$H$107)*(1+'Assumptions-Output Override'!$F$37)</f>
        <v>725.01302557867587</v>
      </c>
      <c r="AL94" s="352">
        <f>F94*('Assumptions-Output Override'!$D$10/'Winners-Losers Values PMPM'!$H$107)*(1+'Assumptions-Output Override'!$F$38)</f>
        <v>152.02871346276015</v>
      </c>
      <c r="AM94" s="352">
        <f>G94*('Shoppable Detail'!$X$21/'Shoppable Detail'!$H$21)*('Assumptions-Output Override'!$D$10/'Winners-Losers Values PMPM'!$H$107)*(1+'Assumptions-Output Override'!$F$39)</f>
        <v>3.2256359462000139</v>
      </c>
      <c r="AN94" s="352">
        <f t="shared" si="52"/>
        <v>1029.4105611175116</v>
      </c>
      <c r="AO94" s="352">
        <v>0</v>
      </c>
      <c r="AP94" s="352">
        <f>U94*'Assumptions-Output Override'!$D$10/'Winners-Losers Values PMPM'!$H$107*(1+'Assumptions-Output Override'!$F$37)</f>
        <v>186.22175392824295</v>
      </c>
      <c r="AQ94" s="352">
        <f>AH94*'Assumptions-Output Override'!$D$10/'Winners-Losers Values PMPM'!$H$107*(1+'Assumptions-Output Override'!$F$38)</f>
        <v>29.517018938817518</v>
      </c>
      <c r="AR94" s="352">
        <f>AM94*('Shoppable Detail'!$AA$23/'Shoppable Detail'!$Y$23)</f>
        <v>0.10777862568026179</v>
      </c>
      <c r="AS94" s="352">
        <f t="shared" si="53"/>
        <v>215.84655149274073</v>
      </c>
      <c r="AT94" s="352">
        <f t="shared" si="54"/>
        <v>149.14318612987546</v>
      </c>
      <c r="AU94" s="352">
        <f t="shared" si="54"/>
        <v>538.79127165043292</v>
      </c>
      <c r="AV94" s="352">
        <f t="shared" si="54"/>
        <v>122.51169452394264</v>
      </c>
      <c r="AW94" s="352">
        <f t="shared" si="37"/>
        <v>3.117857320519752</v>
      </c>
      <c r="AX94" s="352">
        <f t="shared" si="55"/>
        <v>813.56400962477073</v>
      </c>
      <c r="AY94" s="352">
        <f>AT94*'Assumptions-Output Override'!$D$24</f>
        <v>45.437354860925296</v>
      </c>
      <c r="AZ94" s="352">
        <f>$AU$107*'Assumptions-Output Override'!$D$21</f>
        <v>46.041131296780591</v>
      </c>
      <c r="BA94" s="352">
        <f>AV94*'Assumptions-Output Override'!$D$22</f>
        <v>18.376754178591394</v>
      </c>
      <c r="BB94" s="352">
        <f>AW94*'Assumptions-Output Override'!$D$23</f>
        <v>0.46767859807796275</v>
      </c>
      <c r="BC94" s="352">
        <f t="shared" si="56"/>
        <v>110.32291893437525</v>
      </c>
      <c r="BD94" s="352">
        <f t="shared" si="57"/>
        <v>45.437354860925296</v>
      </c>
      <c r="BE94" s="352">
        <f t="shared" si="57"/>
        <v>232.26288522502352</v>
      </c>
      <c r="BF94" s="352">
        <f t="shared" si="57"/>
        <v>47.893773117408912</v>
      </c>
      <c r="BG94" s="352">
        <f t="shared" si="38"/>
        <v>0.5754572237582245</v>
      </c>
      <c r="BH94" s="352">
        <f t="shared" si="58"/>
        <v>326.16947042711598</v>
      </c>
      <c r="BJ94" s="401">
        <f>D94*'Assumptions-Output Override'!$D$10/'Winners-Losers Values PMPM'!$H$107</f>
        <v>211.10225265165201</v>
      </c>
      <c r="BK94" s="401">
        <f>E94*'Assumptions-Output Override'!$D$10/'Winners-Losers Values PMPM'!$H$107</f>
        <v>744.26397571392772</v>
      </c>
      <c r="BL94" s="401">
        <f>F94*'Assumptions-Output Override'!$D$10/'Winners-Losers Values PMPM'!$H$107</f>
        <v>152.90045823144928</v>
      </c>
      <c r="BM94" s="401">
        <f>G94*'Assumptions-Output Override'!$D$10/'Winners-Losers Values PMPM'!$H$107</f>
        <v>3.178019528509441</v>
      </c>
      <c r="BN94" s="401">
        <f t="shared" si="39"/>
        <v>1111.4447061255382</v>
      </c>
      <c r="BO94" s="401">
        <f>BJ94*(1-'Assumptions-Output Override'!$D$11)</f>
        <v>30.086247132171035</v>
      </c>
      <c r="BP94" s="401">
        <f>BK94*(1-'Assumptions-Output Override'!$D$11)</f>
        <v>106.0723399378</v>
      </c>
      <c r="BQ94" s="401">
        <f>BL94*(1-'Assumptions-Output Override'!$D$11)</f>
        <v>21.791340050570412</v>
      </c>
      <c r="BR94" s="401">
        <f>BM94*(1-'Assumptions-Output Override'!$D$11)</f>
        <v>0.4529306519688267</v>
      </c>
      <c r="BS94" s="352">
        <f t="shared" si="40"/>
        <v>158.40285777251023</v>
      </c>
      <c r="BT94" s="352">
        <f t="shared" si="59"/>
        <v>181.01600551948098</v>
      </c>
      <c r="BU94" s="352">
        <f t="shared" si="59"/>
        <v>638.19163577612767</v>
      </c>
      <c r="BV94" s="352">
        <f t="shared" si="59"/>
        <v>131.10911818087885</v>
      </c>
      <c r="BW94" s="352">
        <f t="shared" si="41"/>
        <v>2.7250888765406143</v>
      </c>
      <c r="BX94" s="352">
        <f t="shared" si="42"/>
        <v>953.04184835302817</v>
      </c>
      <c r="BY94" s="352">
        <f>BT$107*(1-'Assumptions-Output Override'!$D$12)</f>
        <v>22.753074310428271</v>
      </c>
      <c r="BZ94" s="352">
        <f>BU$107*(1-'Assumptions-Output Override'!$D$12)</f>
        <v>51.446038369839215</v>
      </c>
      <c r="CA94" s="352">
        <f>BV$107*(1-'Assumptions-Output Override'!$D$12)</f>
        <v>9.7401900534537411</v>
      </c>
      <c r="CB94" s="352">
        <f>BW$107*(1-'Assumptions-Output Override'!$D$12)</f>
        <v>1.7000814189516649</v>
      </c>
      <c r="CC94" s="352">
        <f t="shared" si="43"/>
        <v>85.639384152672903</v>
      </c>
      <c r="CD94" s="352">
        <f t="shared" si="60"/>
        <v>52.839321442599307</v>
      </c>
      <c r="CE94" s="352">
        <f t="shared" si="60"/>
        <v>157.51837830763921</v>
      </c>
      <c r="CF94" s="352">
        <f t="shared" si="60"/>
        <v>31.531530104024153</v>
      </c>
      <c r="CG94" s="352">
        <f t="shared" si="44"/>
        <v>2.1530120709204916</v>
      </c>
      <c r="CH94" s="352">
        <f t="shared" si="45"/>
        <v>244.04224192518313</v>
      </c>
      <c r="CJ94" s="352">
        <f t="shared" si="61"/>
        <v>244.04224192518313</v>
      </c>
      <c r="CK94" s="352">
        <f t="shared" si="62"/>
        <v>326.16947042711598</v>
      </c>
      <c r="CL94" s="352">
        <f t="shared" si="63"/>
        <v>-82.127228501932848</v>
      </c>
      <c r="CN94" s="352">
        <f t="shared" si="64"/>
        <v>124.95114551928776</v>
      </c>
      <c r="CO94" s="352">
        <f t="shared" si="64"/>
        <v>440.52886772199429</v>
      </c>
      <c r="CP94" s="352">
        <f t="shared" si="64"/>
        <v>90.501579999573195</v>
      </c>
      <c r="CQ94" s="352">
        <f t="shared" si="46"/>
        <v>1.8810655764303321</v>
      </c>
      <c r="CR94" s="352">
        <f t="shared" si="69"/>
        <v>657.86265881728559</v>
      </c>
      <c r="CT94" s="352">
        <f t="shared" si="71"/>
        <v>-86.151107132364245</v>
      </c>
      <c r="CU94" s="352">
        <f t="shared" si="71"/>
        <v>-303.73510799193343</v>
      </c>
      <c r="CV94" s="352">
        <f t="shared" si="71"/>
        <v>-62.398878231876083</v>
      </c>
      <c r="CW94" s="352">
        <f t="shared" si="70"/>
        <v>-1.2969539520791089</v>
      </c>
      <c r="CX94" s="352">
        <f t="shared" si="47"/>
        <v>-453.58204730825287</v>
      </c>
      <c r="CZ94" s="352">
        <f t="shared" si="65"/>
        <v>7.4019665816740101</v>
      </c>
      <c r="DA94" s="352">
        <f t="shared" si="65"/>
        <v>-74.744506917384314</v>
      </c>
      <c r="DB94" s="352">
        <f t="shared" si="65"/>
        <v>-16.362243013384759</v>
      </c>
      <c r="DC94" s="352">
        <f t="shared" si="48"/>
        <v>1.5775548471622671</v>
      </c>
      <c r="DD94" s="352">
        <f t="shared" si="66"/>
        <v>-82.127228501932805</v>
      </c>
      <c r="DF94" s="352">
        <f t="shared" si="67"/>
        <v>45.437354860925296</v>
      </c>
      <c r="DG94" s="352">
        <f t="shared" si="67"/>
        <v>232.26288522502352</v>
      </c>
      <c r="DH94" s="352">
        <f t="shared" si="67"/>
        <v>47.893773117408912</v>
      </c>
      <c r="DI94" s="352">
        <f t="shared" si="49"/>
        <v>0.5754572237582245</v>
      </c>
      <c r="DJ94" s="352">
        <f t="shared" si="68"/>
        <v>326.16947042711598</v>
      </c>
    </row>
    <row r="95" spans="1:114" x14ac:dyDescent="0.2">
      <c r="A95">
        <v>90</v>
      </c>
      <c r="B95" s="397">
        <v>34308</v>
      </c>
      <c r="C95" s="398">
        <v>397997.79676138877</v>
      </c>
      <c r="D95" s="399">
        <v>148.50563183403554</v>
      </c>
      <c r="E95" s="399">
        <v>477.54126819223501</v>
      </c>
      <c r="F95" s="399">
        <v>101.37546459286462</v>
      </c>
      <c r="G95" s="399">
        <v>1.7274161587121746</v>
      </c>
      <c r="H95" s="399">
        <v>729.14978077784747</v>
      </c>
      <c r="I95" s="400">
        <v>4.2635127844838097E-2</v>
      </c>
      <c r="J95" s="400">
        <v>0.26221320967621342</v>
      </c>
      <c r="K95" s="400">
        <v>6.2085770828561549E-3</v>
      </c>
      <c r="L95" s="400">
        <v>1.0674410192675776</v>
      </c>
      <c r="M95" s="400">
        <v>0.88042994923936346</v>
      </c>
      <c r="N95" s="400">
        <v>0.89799798619057025</v>
      </c>
      <c r="O95" s="399">
        <f t="shared" si="35"/>
        <v>10.658781961209524</v>
      </c>
      <c r="P95" s="399">
        <f t="shared" si="35"/>
        <v>0</v>
      </c>
      <c r="Q95" s="399">
        <f t="shared" si="35"/>
        <v>6.2085770828561548</v>
      </c>
      <c r="R95" s="399">
        <f t="shared" si="33"/>
        <v>22.162707539524661</v>
      </c>
      <c r="S95" s="399">
        <f t="shared" si="33"/>
        <v>26.412898477180903</v>
      </c>
      <c r="T95" s="399">
        <f t="shared" si="33"/>
        <v>53.879879171434212</v>
      </c>
      <c r="U95" s="399">
        <f t="shared" si="50"/>
        <v>119.32284423220545</v>
      </c>
      <c r="V95" s="400">
        <v>6.411428218468E-3</v>
      </c>
      <c r="W95" s="400">
        <v>4.1083299719037479E-2</v>
      </c>
      <c r="X95" s="400">
        <v>8.2915031863315715E-4</v>
      </c>
      <c r="Y95" s="400">
        <v>0.26195841041275969</v>
      </c>
      <c r="Z95" s="400">
        <v>8.0270494610691634E-2</v>
      </c>
      <c r="AA95" s="400">
        <v>7.7725153887088463E-2</v>
      </c>
      <c r="AB95" s="352">
        <f t="shared" si="36"/>
        <v>1.602857054617</v>
      </c>
      <c r="AC95" s="352">
        <f t="shared" si="36"/>
        <v>0</v>
      </c>
      <c r="AD95" s="352">
        <f t="shared" si="36"/>
        <v>0.82915031863315714</v>
      </c>
      <c r="AE95" s="352">
        <f t="shared" si="34"/>
        <v>9.2860158561949415</v>
      </c>
      <c r="AF95" s="352">
        <f t="shared" si="34"/>
        <v>2.4081148383207491</v>
      </c>
      <c r="AG95" s="352">
        <f t="shared" si="34"/>
        <v>4.6635092332253079</v>
      </c>
      <c r="AH95" s="400">
        <f t="shared" si="51"/>
        <v>18.789647300991156</v>
      </c>
      <c r="AJ95" s="352">
        <f>D95*('Assumptions-Output Override'!$D$10/'Winners-Losers Values PMPM'!$H$107)*(1+'Assumptions-Output Override'!$F$41)</f>
        <v>177.25810354047061</v>
      </c>
      <c r="AK95" s="352">
        <f>E95*('Assumptions-Output Override'!$D$10/'Winners-Losers Values PMPM'!$H$107)*(1+'Assumptions-Output Override'!$F$37)</f>
        <v>785.92724576956095</v>
      </c>
      <c r="AL95" s="352">
        <f>F95*('Assumptions-Output Override'!$D$10/'Winners-Losers Values PMPM'!$H$107)*(1+'Assumptions-Output Override'!$F$38)</f>
        <v>170.29516455751917</v>
      </c>
      <c r="AM95" s="352">
        <f>G95*('Shoppable Detail'!$X$21/'Shoppable Detail'!$H$21)*('Assumptions-Output Override'!$D$10/'Winners-Losers Values PMPM'!$H$107)*(1+'Assumptions-Output Override'!$F$39)</f>
        <v>2.962159174781489</v>
      </c>
      <c r="AN95" s="352">
        <f t="shared" si="52"/>
        <v>1136.4426730423322</v>
      </c>
      <c r="AO95" s="352">
        <v>0</v>
      </c>
      <c r="AP95" s="352">
        <f>U95*'Assumptions-Output Override'!$D$10/'Winners-Losers Values PMPM'!$H$107*(1+'Assumptions-Output Override'!$F$37)</f>
        <v>196.37899501296431</v>
      </c>
      <c r="AQ95" s="352">
        <f>AH95*'Assumptions-Output Override'!$D$10/'Winners-Losers Values PMPM'!$H$107*(1+'Assumptions-Output Override'!$F$38)</f>
        <v>31.56371309320987</v>
      </c>
      <c r="AR95" s="352">
        <f>AM95*('Shoppable Detail'!$AA$23/'Shoppable Detail'!$Y$23)</f>
        <v>9.897503941206727E-2</v>
      </c>
      <c r="AS95" s="352">
        <f t="shared" si="53"/>
        <v>228.04168314558623</v>
      </c>
      <c r="AT95" s="352">
        <f t="shared" si="54"/>
        <v>177.25810354047061</v>
      </c>
      <c r="AU95" s="352">
        <f t="shared" si="54"/>
        <v>589.54825075659664</v>
      </c>
      <c r="AV95" s="352">
        <f t="shared" si="54"/>
        <v>138.73145146430932</v>
      </c>
      <c r="AW95" s="352">
        <f t="shared" si="37"/>
        <v>2.8631841353694218</v>
      </c>
      <c r="AX95" s="352">
        <f t="shared" si="55"/>
        <v>908.40098989674607</v>
      </c>
      <c r="AY95" s="352">
        <f>AT95*'Assumptions-Output Override'!$D$24</f>
        <v>54.00273094293005</v>
      </c>
      <c r="AZ95" s="352">
        <f>$AU$107*'Assumptions-Output Override'!$D$21</f>
        <v>46.041131296780591</v>
      </c>
      <c r="BA95" s="352">
        <f>AV95*'Assumptions-Output Override'!$D$22</f>
        <v>20.809717719646397</v>
      </c>
      <c r="BB95" s="352">
        <f>AW95*'Assumptions-Output Override'!$D$23</f>
        <v>0.42947762030541325</v>
      </c>
      <c r="BC95" s="352">
        <f t="shared" si="56"/>
        <v>121.28305757966247</v>
      </c>
      <c r="BD95" s="352">
        <f t="shared" si="57"/>
        <v>54.00273094293005</v>
      </c>
      <c r="BE95" s="352">
        <f t="shared" si="57"/>
        <v>242.42012630974489</v>
      </c>
      <c r="BF95" s="352">
        <f t="shared" si="57"/>
        <v>52.37343081285627</v>
      </c>
      <c r="BG95" s="352">
        <f t="shared" si="38"/>
        <v>0.52845265971748057</v>
      </c>
      <c r="BH95" s="352">
        <f t="shared" si="58"/>
        <v>349.32474072524866</v>
      </c>
      <c r="BJ95" s="401">
        <f>D95*'Assumptions-Output Override'!$D$10/'Winners-Losers Values PMPM'!$H$107</f>
        <v>250.89704685246403</v>
      </c>
      <c r="BK95" s="401">
        <f>E95*'Assumptions-Output Override'!$D$10/'Winners-Losers Values PMPM'!$H$107</f>
        <v>806.79562424616768</v>
      </c>
      <c r="BL95" s="401">
        <f>F95*'Assumptions-Output Override'!$D$10/'Winners-Losers Values PMPM'!$H$107</f>
        <v>171.2716506137038</v>
      </c>
      <c r="BM95" s="401">
        <f>G95*'Assumptions-Output Override'!$D$10/'Winners-Losers Values PMPM'!$H$107</f>
        <v>2.9184321668720812</v>
      </c>
      <c r="BN95" s="401">
        <f t="shared" si="39"/>
        <v>1231.8827538792075</v>
      </c>
      <c r="BO95" s="401">
        <f>BJ95*(1-'Assumptions-Output Override'!$D$11)</f>
        <v>35.757792546114054</v>
      </c>
      <c r="BP95" s="401">
        <f>BK95*(1-'Assumptions-Output Override'!$D$11)</f>
        <v>114.98433688568433</v>
      </c>
      <c r="BQ95" s="401">
        <f>BL95*(1-'Assumptions-Output Override'!$D$11)</f>
        <v>24.409598393067743</v>
      </c>
      <c r="BR95" s="401">
        <f>BM95*(1-'Assumptions-Output Override'!$D$11)</f>
        <v>0.41593431764975403</v>
      </c>
      <c r="BS95" s="352">
        <f t="shared" si="40"/>
        <v>175.56766214251587</v>
      </c>
      <c r="BT95" s="352">
        <f t="shared" si="59"/>
        <v>215.13925430634998</v>
      </c>
      <c r="BU95" s="352">
        <f t="shared" si="59"/>
        <v>691.81128736048333</v>
      </c>
      <c r="BV95" s="352">
        <f t="shared" si="59"/>
        <v>146.86205222063606</v>
      </c>
      <c r="BW95" s="352">
        <f t="shared" si="41"/>
        <v>2.5024978492223271</v>
      </c>
      <c r="BX95" s="352">
        <f t="shared" si="42"/>
        <v>1056.3150917366918</v>
      </c>
      <c r="BY95" s="352">
        <f>BT$107*(1-'Assumptions-Output Override'!$D$12)</f>
        <v>22.753074310428271</v>
      </c>
      <c r="BZ95" s="352">
        <f>BU$107*(1-'Assumptions-Output Override'!$D$12)</f>
        <v>51.446038369839215</v>
      </c>
      <c r="CA95" s="352">
        <f>BV$107*(1-'Assumptions-Output Override'!$D$12)</f>
        <v>9.7401900534537411</v>
      </c>
      <c r="CB95" s="352">
        <f>BW$107*(1-'Assumptions-Output Override'!$D$12)</f>
        <v>1.7000814189516649</v>
      </c>
      <c r="CC95" s="352">
        <f t="shared" si="43"/>
        <v>85.639384152672903</v>
      </c>
      <c r="CD95" s="352">
        <f t="shared" si="60"/>
        <v>58.510866856542322</v>
      </c>
      <c r="CE95" s="352">
        <f t="shared" si="60"/>
        <v>166.43037525552353</v>
      </c>
      <c r="CF95" s="352">
        <f t="shared" si="60"/>
        <v>34.149788446521484</v>
      </c>
      <c r="CG95" s="352">
        <f t="shared" si="44"/>
        <v>2.116015736601419</v>
      </c>
      <c r="CH95" s="352">
        <f t="shared" si="45"/>
        <v>261.20704629518877</v>
      </c>
      <c r="CJ95" s="352">
        <f t="shared" si="61"/>
        <v>261.20704629518877</v>
      </c>
      <c r="CK95" s="352">
        <f t="shared" si="62"/>
        <v>349.32474072524866</v>
      </c>
      <c r="CL95" s="352">
        <f t="shared" si="63"/>
        <v>-88.117694430059885</v>
      </c>
      <c r="CN95" s="352">
        <f t="shared" si="64"/>
        <v>148.50563183403554</v>
      </c>
      <c r="CO95" s="352">
        <f t="shared" si="64"/>
        <v>477.54126819223501</v>
      </c>
      <c r="CP95" s="352">
        <f t="shared" si="64"/>
        <v>101.37546459286462</v>
      </c>
      <c r="CQ95" s="352">
        <f t="shared" si="46"/>
        <v>1.7274161587121746</v>
      </c>
      <c r="CR95" s="352">
        <f t="shared" si="69"/>
        <v>729.14978077784747</v>
      </c>
      <c r="CT95" s="352">
        <f t="shared" si="71"/>
        <v>-102.39141501842849</v>
      </c>
      <c r="CU95" s="352">
        <f t="shared" si="71"/>
        <v>-329.25435605393267</v>
      </c>
      <c r="CV95" s="352">
        <f t="shared" si="71"/>
        <v>-69.896186020839181</v>
      </c>
      <c r="CW95" s="352">
        <f t="shared" si="70"/>
        <v>-1.1910160081599066</v>
      </c>
      <c r="CX95" s="352">
        <f t="shared" si="47"/>
        <v>-502.7329731013603</v>
      </c>
      <c r="CZ95" s="352">
        <f t="shared" si="65"/>
        <v>4.5081359136122714</v>
      </c>
      <c r="DA95" s="352">
        <f t="shared" si="65"/>
        <v>-75.989751054221358</v>
      </c>
      <c r="DB95" s="352">
        <f t="shared" si="65"/>
        <v>-18.223642366334786</v>
      </c>
      <c r="DC95" s="352">
        <f t="shared" si="48"/>
        <v>1.5875630768839384</v>
      </c>
      <c r="DD95" s="352">
        <f t="shared" si="66"/>
        <v>-88.117694430059927</v>
      </c>
      <c r="DF95" s="352">
        <f t="shared" si="67"/>
        <v>54.00273094293005</v>
      </c>
      <c r="DG95" s="352">
        <f t="shared" si="67"/>
        <v>242.42012630974489</v>
      </c>
      <c r="DH95" s="352">
        <f t="shared" si="67"/>
        <v>52.37343081285627</v>
      </c>
      <c r="DI95" s="352">
        <f t="shared" si="49"/>
        <v>0.52845265971748057</v>
      </c>
      <c r="DJ95" s="352">
        <f t="shared" si="68"/>
        <v>349.32474072524866</v>
      </c>
    </row>
    <row r="96" spans="1:114" x14ac:dyDescent="0.2">
      <c r="A96">
        <v>91</v>
      </c>
      <c r="B96" s="397">
        <v>34308</v>
      </c>
      <c r="C96" s="398">
        <v>397997.79676138877</v>
      </c>
      <c r="D96" s="399">
        <v>180.99232683142944</v>
      </c>
      <c r="E96" s="399">
        <v>517.39560929934089</v>
      </c>
      <c r="F96" s="399">
        <v>114.41544604383603</v>
      </c>
      <c r="G96" s="399">
        <v>1.6072484742660937</v>
      </c>
      <c r="H96" s="399">
        <v>814.41063064887237</v>
      </c>
      <c r="I96" s="400">
        <v>4.1906556823290593E-2</v>
      </c>
      <c r="J96" s="400">
        <v>0.27967146802473319</v>
      </c>
      <c r="K96" s="400">
        <v>7.3869755660044903E-3</v>
      </c>
      <c r="L96" s="400">
        <v>1.0788094891726023</v>
      </c>
      <c r="M96" s="400">
        <v>0.89936940081757444</v>
      </c>
      <c r="N96" s="400">
        <v>0.91830553579451857</v>
      </c>
      <c r="O96" s="399">
        <f t="shared" si="35"/>
        <v>10.476639205822648</v>
      </c>
      <c r="P96" s="399">
        <f t="shared" si="35"/>
        <v>0</v>
      </c>
      <c r="Q96" s="399">
        <f t="shared" si="35"/>
        <v>7.38697556600449</v>
      </c>
      <c r="R96" s="399">
        <f t="shared" si="33"/>
        <v>22.398745005884937</v>
      </c>
      <c r="S96" s="399">
        <f t="shared" si="33"/>
        <v>26.981082024527232</v>
      </c>
      <c r="T96" s="399">
        <f t="shared" si="33"/>
        <v>55.098332147671115</v>
      </c>
      <c r="U96" s="399">
        <f t="shared" si="50"/>
        <v>122.34177394991043</v>
      </c>
      <c r="V96" s="400">
        <v>6.8844634917515643E-3</v>
      </c>
      <c r="W96" s="400">
        <v>4.5328201554619203E-2</v>
      </c>
      <c r="X96" s="400">
        <v>1.070357684053712E-3</v>
      </c>
      <c r="Y96" s="400">
        <v>0.27411211692368043</v>
      </c>
      <c r="Z96" s="400">
        <v>8.3280762531140154E-2</v>
      </c>
      <c r="AA96" s="400">
        <v>8.3083575509906582E-2</v>
      </c>
      <c r="AB96" s="352">
        <f t="shared" si="36"/>
        <v>1.721115872937891</v>
      </c>
      <c r="AC96" s="352">
        <f t="shared" si="36"/>
        <v>0</v>
      </c>
      <c r="AD96" s="352">
        <f t="shared" si="36"/>
        <v>1.0703576840537119</v>
      </c>
      <c r="AE96" s="352">
        <f t="shared" si="34"/>
        <v>9.7168457394352625</v>
      </c>
      <c r="AF96" s="352">
        <f t="shared" si="34"/>
        <v>2.4984228759342044</v>
      </c>
      <c r="AG96" s="352">
        <f t="shared" si="34"/>
        <v>4.9850145305943947</v>
      </c>
      <c r="AH96" s="400">
        <f t="shared" si="51"/>
        <v>19.991756702955463</v>
      </c>
      <c r="AJ96" s="352">
        <f>D96*('Assumptions-Output Override'!$D$10/'Winners-Losers Values PMPM'!$H$107)*(1+'Assumptions-Output Override'!$F$41)</f>
        <v>216.03461238002262</v>
      </c>
      <c r="AK96" s="352">
        <f>E96*('Assumptions-Output Override'!$D$10/'Winners-Losers Values PMPM'!$H$107)*(1+'Assumptions-Output Override'!$F$37)</f>
        <v>851.51867131659742</v>
      </c>
      <c r="AL96" s="352">
        <f>F96*('Assumptions-Output Override'!$D$10/'Winners-Losers Values PMPM'!$H$107)*(1+'Assumptions-Output Override'!$F$38)</f>
        <v>192.20032470587006</v>
      </c>
      <c r="AM96" s="352">
        <f>G96*('Shoppable Detail'!$X$21/'Shoppable Detail'!$H$21)*('Assumptions-Output Override'!$D$10/'Winners-Losers Values PMPM'!$H$107)*(1+'Assumptions-Output Override'!$F$39)</f>
        <v>2.7560966071720845</v>
      </c>
      <c r="AN96" s="352">
        <f t="shared" si="52"/>
        <v>1262.5097050096622</v>
      </c>
      <c r="AO96" s="352">
        <v>0</v>
      </c>
      <c r="AP96" s="352">
        <f>U96*'Assumptions-Output Override'!$D$10/'Winners-Losers Values PMPM'!$H$107*(1+'Assumptions-Output Override'!$F$37)</f>
        <v>201.34748522783019</v>
      </c>
      <c r="AQ96" s="352">
        <f>AH96*'Assumptions-Output Override'!$D$10/'Winners-Losers Values PMPM'!$H$107*(1+'Assumptions-Output Override'!$F$38)</f>
        <v>33.583071714606135</v>
      </c>
      <c r="AR96" s="352">
        <f>AM96*('Shoppable Detail'!$AA$23/'Shoppable Detail'!$Y$23)</f>
        <v>9.208984197766637E-2</v>
      </c>
      <c r="AS96" s="352">
        <f t="shared" si="53"/>
        <v>235.02264678441401</v>
      </c>
      <c r="AT96" s="352">
        <f t="shared" si="54"/>
        <v>216.03461238002262</v>
      </c>
      <c r="AU96" s="352">
        <f t="shared" si="54"/>
        <v>650.17118608876717</v>
      </c>
      <c r="AV96" s="352">
        <f t="shared" si="54"/>
        <v>158.61725299126391</v>
      </c>
      <c r="AW96" s="352">
        <f t="shared" si="37"/>
        <v>2.6640067651944181</v>
      </c>
      <c r="AX96" s="352">
        <f t="shared" si="55"/>
        <v>1027.4870582252481</v>
      </c>
      <c r="AY96" s="352">
        <f>AT96*'Assumptions-Output Override'!$D$24</f>
        <v>65.816223990317738</v>
      </c>
      <c r="AZ96" s="352">
        <f>$AU$107*'Assumptions-Output Override'!$D$21</f>
        <v>46.041131296780591</v>
      </c>
      <c r="BA96" s="352">
        <f>AV96*'Assumptions-Output Override'!$D$22</f>
        <v>23.792587948689587</v>
      </c>
      <c r="BB96" s="352">
        <f>AW96*'Assumptions-Output Override'!$D$23</f>
        <v>0.39960101477916271</v>
      </c>
      <c r="BC96" s="352">
        <f t="shared" si="56"/>
        <v>136.0495442505671</v>
      </c>
      <c r="BD96" s="352">
        <f t="shared" si="57"/>
        <v>65.816223990317738</v>
      </c>
      <c r="BE96" s="352">
        <f t="shared" si="57"/>
        <v>247.38861652461077</v>
      </c>
      <c r="BF96" s="352">
        <f t="shared" si="57"/>
        <v>57.375659663295721</v>
      </c>
      <c r="BG96" s="352">
        <f t="shared" si="38"/>
        <v>0.49169085675682911</v>
      </c>
      <c r="BH96" s="352">
        <f t="shared" si="58"/>
        <v>371.07219103498102</v>
      </c>
      <c r="BJ96" s="401">
        <f>D96*'Assumptions-Output Override'!$D$10/'Winners-Losers Values PMPM'!$H$107</f>
        <v>305.7826140607965</v>
      </c>
      <c r="BK96" s="401">
        <f>E96*'Assumptions-Output Override'!$D$10/'Winners-Losers Values PMPM'!$H$107</f>
        <v>874.12866989926806</v>
      </c>
      <c r="BL96" s="401">
        <f>F96*'Assumptions-Output Override'!$D$10/'Winners-Losers Values PMPM'!$H$107</f>
        <v>193.30241669748406</v>
      </c>
      <c r="BM96" s="401">
        <f>G96*'Assumptions-Output Override'!$D$10/'Winners-Losers Values PMPM'!$H$107</f>
        <v>2.7154114680455566</v>
      </c>
      <c r="BN96" s="401">
        <f t="shared" si="39"/>
        <v>1375.9291121255942</v>
      </c>
      <c r="BO96" s="401">
        <f>BJ96*(1-'Assumptions-Output Override'!$D$11)</f>
        <v>43.580071646774094</v>
      </c>
      <c r="BP96" s="401">
        <f>BK96*(1-'Assumptions-Output Override'!$D$11)</f>
        <v>124.58062790690703</v>
      </c>
      <c r="BQ96" s="401">
        <f>BL96*(1-'Assumptions-Output Override'!$D$11)</f>
        <v>27.549418383531865</v>
      </c>
      <c r="BR96" s="401">
        <f>BM96*(1-'Assumptions-Output Override'!$D$11)</f>
        <v>0.3869998518109638</v>
      </c>
      <c r="BS96" s="352">
        <f t="shared" si="40"/>
        <v>196.09711778902397</v>
      </c>
      <c r="BT96" s="352">
        <f t="shared" si="59"/>
        <v>262.20254241402239</v>
      </c>
      <c r="BU96" s="352">
        <f t="shared" si="59"/>
        <v>749.54804199236105</v>
      </c>
      <c r="BV96" s="352">
        <f t="shared" si="59"/>
        <v>165.75299831395219</v>
      </c>
      <c r="BW96" s="352">
        <f t="shared" si="41"/>
        <v>2.3284116162345927</v>
      </c>
      <c r="BX96" s="352">
        <f t="shared" si="42"/>
        <v>1179.8319943365705</v>
      </c>
      <c r="BY96" s="352">
        <f>BT$107*(1-'Assumptions-Output Override'!$D$12)</f>
        <v>22.753074310428271</v>
      </c>
      <c r="BZ96" s="352">
        <f>BU$107*(1-'Assumptions-Output Override'!$D$12)</f>
        <v>51.446038369839215</v>
      </c>
      <c r="CA96" s="352">
        <f>BV$107*(1-'Assumptions-Output Override'!$D$12)</f>
        <v>9.7401900534537411</v>
      </c>
      <c r="CB96" s="352">
        <f>BW$107*(1-'Assumptions-Output Override'!$D$12)</f>
        <v>1.7000814189516649</v>
      </c>
      <c r="CC96" s="352">
        <f t="shared" si="43"/>
        <v>85.639384152672903</v>
      </c>
      <c r="CD96" s="352">
        <f t="shared" si="60"/>
        <v>66.333145957202362</v>
      </c>
      <c r="CE96" s="352">
        <f t="shared" si="60"/>
        <v>176.02666627674625</v>
      </c>
      <c r="CF96" s="352">
        <f t="shared" si="60"/>
        <v>37.289608436985603</v>
      </c>
      <c r="CG96" s="352">
        <f t="shared" si="44"/>
        <v>2.0870812707626287</v>
      </c>
      <c r="CH96" s="352">
        <f t="shared" si="45"/>
        <v>281.73650194169682</v>
      </c>
      <c r="CJ96" s="352">
        <f t="shared" si="61"/>
        <v>281.73650194169682</v>
      </c>
      <c r="CK96" s="352">
        <f t="shared" si="62"/>
        <v>371.07219103498102</v>
      </c>
      <c r="CL96" s="352">
        <f t="shared" si="63"/>
        <v>-89.335689093284202</v>
      </c>
      <c r="CN96" s="352">
        <f t="shared" si="64"/>
        <v>180.99232683142944</v>
      </c>
      <c r="CO96" s="352">
        <f t="shared" si="64"/>
        <v>517.39560929934089</v>
      </c>
      <c r="CP96" s="352">
        <f t="shared" si="64"/>
        <v>114.41544604383603</v>
      </c>
      <c r="CQ96" s="352">
        <f t="shared" si="46"/>
        <v>1.6072484742660937</v>
      </c>
      <c r="CR96" s="352">
        <f t="shared" si="69"/>
        <v>814.41063064887237</v>
      </c>
      <c r="CT96" s="352">
        <f t="shared" si="71"/>
        <v>-124.79028722936707</v>
      </c>
      <c r="CU96" s="352">
        <f t="shared" si="71"/>
        <v>-356.73306059992717</v>
      </c>
      <c r="CV96" s="352">
        <f t="shared" si="71"/>
        <v>-78.886970653648035</v>
      </c>
      <c r="CW96" s="352">
        <f t="shared" si="70"/>
        <v>-1.1081629937794628</v>
      </c>
      <c r="CX96" s="352">
        <f t="shared" si="47"/>
        <v>-561.51848147672183</v>
      </c>
      <c r="CZ96" s="352">
        <f t="shared" si="65"/>
        <v>0.51692196688462388</v>
      </c>
      <c r="DA96" s="352">
        <f t="shared" si="65"/>
        <v>-71.361950247864513</v>
      </c>
      <c r="DB96" s="352">
        <f t="shared" si="65"/>
        <v>-20.086051226310119</v>
      </c>
      <c r="DC96" s="352">
        <f t="shared" si="48"/>
        <v>1.5953904140057995</v>
      </c>
      <c r="DD96" s="352">
        <f t="shared" si="66"/>
        <v>-89.335689093284202</v>
      </c>
      <c r="DF96" s="352">
        <f t="shared" si="67"/>
        <v>65.816223990317738</v>
      </c>
      <c r="DG96" s="352">
        <f t="shared" si="67"/>
        <v>247.38861652461077</v>
      </c>
      <c r="DH96" s="352">
        <f t="shared" si="67"/>
        <v>57.375659663295721</v>
      </c>
      <c r="DI96" s="352">
        <f t="shared" si="49"/>
        <v>0.49169085675682911</v>
      </c>
      <c r="DJ96" s="352">
        <f t="shared" si="68"/>
        <v>371.07219103498102</v>
      </c>
    </row>
    <row r="97" spans="1:114" x14ac:dyDescent="0.2">
      <c r="A97">
        <v>92</v>
      </c>
      <c r="B97" s="397">
        <v>34308</v>
      </c>
      <c r="C97" s="398">
        <v>397997.79676138877</v>
      </c>
      <c r="D97" s="399">
        <v>228.06716330005511</v>
      </c>
      <c r="E97" s="399">
        <v>562.62332921472489</v>
      </c>
      <c r="F97" s="399">
        <v>124.56589978172774</v>
      </c>
      <c r="G97" s="399">
        <v>1.8189052828465133</v>
      </c>
      <c r="H97" s="399">
        <v>917.07529757935413</v>
      </c>
      <c r="I97" s="400">
        <v>4.3313796741622057E-2</v>
      </c>
      <c r="J97" s="400">
        <v>0.30540349865904581</v>
      </c>
      <c r="K97" s="400">
        <v>1.0030206278738071E-2</v>
      </c>
      <c r="L97" s="400">
        <v>1.1046669955215354</v>
      </c>
      <c r="M97" s="400">
        <v>0.92426878488612574</v>
      </c>
      <c r="N97" s="400">
        <v>0.93417049799125029</v>
      </c>
      <c r="O97" s="399">
        <f t="shared" si="35"/>
        <v>10.828449185405514</v>
      </c>
      <c r="P97" s="399">
        <f t="shared" si="35"/>
        <v>0</v>
      </c>
      <c r="Q97" s="399">
        <f t="shared" si="35"/>
        <v>10.030206278738071</v>
      </c>
      <c r="R97" s="399">
        <f t="shared" si="33"/>
        <v>22.935610594305004</v>
      </c>
      <c r="S97" s="399">
        <f t="shared" si="33"/>
        <v>27.728063546583773</v>
      </c>
      <c r="T97" s="399">
        <f t="shared" si="33"/>
        <v>56.050229879475019</v>
      </c>
      <c r="U97" s="399">
        <f t="shared" si="50"/>
        <v>127.57255948450737</v>
      </c>
      <c r="V97" s="400">
        <v>6.7379591288973207E-3</v>
      </c>
      <c r="W97" s="400">
        <v>4.864938096678055E-2</v>
      </c>
      <c r="X97" s="400">
        <v>1.4899579968165519E-3</v>
      </c>
      <c r="Y97" s="400">
        <v>0.2804087081381148</v>
      </c>
      <c r="Z97" s="400">
        <v>8.4385190755560016E-2</v>
      </c>
      <c r="AA97" s="400">
        <v>8.494871146302127E-2</v>
      </c>
      <c r="AB97" s="352">
        <f t="shared" si="36"/>
        <v>1.6844897822243301</v>
      </c>
      <c r="AC97" s="352">
        <f t="shared" si="36"/>
        <v>0</v>
      </c>
      <c r="AD97" s="352">
        <f t="shared" si="36"/>
        <v>1.4899579968165519</v>
      </c>
      <c r="AE97" s="352">
        <f t="shared" si="34"/>
        <v>9.9400500479554044</v>
      </c>
      <c r="AF97" s="352">
        <f t="shared" si="34"/>
        <v>2.5315557226668006</v>
      </c>
      <c r="AG97" s="352">
        <f t="shared" si="34"/>
        <v>5.0969226877812766</v>
      </c>
      <c r="AH97" s="400">
        <f t="shared" si="51"/>
        <v>20.742976237444363</v>
      </c>
      <c r="AJ97" s="352">
        <f>D97*('Assumptions-Output Override'!$D$10/'Winners-Losers Values PMPM'!$H$107)*(1+'Assumptions-Output Override'!$F$41)</f>
        <v>272.223701870122</v>
      </c>
      <c r="AK97" s="352">
        <f>E97*('Assumptions-Output Override'!$D$10/'Winners-Losers Values PMPM'!$H$107)*(1+'Assumptions-Output Override'!$F$37)</f>
        <v>925.95348923316305</v>
      </c>
      <c r="AL97" s="352">
        <f>F97*('Assumptions-Output Override'!$D$10/'Winners-Losers Values PMPM'!$H$107)*(1+'Assumptions-Output Override'!$F$38)</f>
        <v>209.25152340143117</v>
      </c>
      <c r="AM97" s="352">
        <f>G97*('Shoppable Detail'!$X$21/'Shoppable Detail'!$H$21)*('Assumptions-Output Override'!$D$10/'Winners-Losers Values PMPM'!$H$107)*(1+'Assumptions-Output Override'!$F$39)</f>
        <v>3.119043980495761</v>
      </c>
      <c r="AN97" s="352">
        <f t="shared" si="52"/>
        <v>1410.5477584852119</v>
      </c>
      <c r="AO97" s="352">
        <v>0</v>
      </c>
      <c r="AP97" s="352">
        <f>U97*'Assumptions-Output Override'!$D$10/'Winners-Losers Values PMPM'!$H$107*(1+'Assumptions-Output Override'!$F$37)</f>
        <v>209.95620062530685</v>
      </c>
      <c r="AQ97" s="352">
        <f>AH97*'Assumptions-Output Override'!$D$10/'Winners-Losers Values PMPM'!$H$107*(1+'Assumptions-Output Override'!$F$38)</f>
        <v>34.845004814083282</v>
      </c>
      <c r="AR97" s="352">
        <f>AM97*('Shoppable Detail'!$AA$23/'Shoppable Detail'!$Y$23)</f>
        <v>0.1042170534000124</v>
      </c>
      <c r="AS97" s="352">
        <f t="shared" si="53"/>
        <v>244.90542249279014</v>
      </c>
      <c r="AT97" s="352">
        <f t="shared" si="54"/>
        <v>272.223701870122</v>
      </c>
      <c r="AU97" s="352">
        <f t="shared" si="54"/>
        <v>715.99728860785626</v>
      </c>
      <c r="AV97" s="352">
        <f t="shared" si="54"/>
        <v>174.40651858734788</v>
      </c>
      <c r="AW97" s="352">
        <f t="shared" si="37"/>
        <v>3.0148269270957488</v>
      </c>
      <c r="AX97" s="352">
        <f t="shared" si="55"/>
        <v>1165.642335992422</v>
      </c>
      <c r="AY97" s="352">
        <f>AT97*'Assumptions-Output Override'!$D$24</f>
        <v>82.934562847921868</v>
      </c>
      <c r="AZ97" s="352">
        <f>$AU$107*'Assumptions-Output Override'!$D$21</f>
        <v>46.041131296780591</v>
      </c>
      <c r="BA97" s="352">
        <f>AV97*'Assumptions-Output Override'!$D$22</f>
        <v>26.16097778810218</v>
      </c>
      <c r="BB97" s="352">
        <f>AW97*'Assumptions-Output Override'!$D$23</f>
        <v>0.45222403906436232</v>
      </c>
      <c r="BC97" s="352">
        <f t="shared" si="56"/>
        <v>155.58889597186899</v>
      </c>
      <c r="BD97" s="352">
        <f t="shared" si="57"/>
        <v>82.934562847921868</v>
      </c>
      <c r="BE97" s="352">
        <f t="shared" si="57"/>
        <v>255.99733192208743</v>
      </c>
      <c r="BF97" s="352">
        <f t="shared" si="57"/>
        <v>61.005982602185462</v>
      </c>
      <c r="BG97" s="352">
        <f t="shared" si="38"/>
        <v>0.55644109246437468</v>
      </c>
      <c r="BH97" s="352">
        <f t="shared" si="58"/>
        <v>400.4943184646591</v>
      </c>
      <c r="BJ97" s="401">
        <f>D97*'Assumptions-Output Override'!$D$10/'Winners-Losers Values PMPM'!$H$107</f>
        <v>385.31453015836468</v>
      </c>
      <c r="BK97" s="401">
        <f>E97*'Assumptions-Output Override'!$D$10/'Winners-Losers Values PMPM'!$H$107</f>
        <v>950.53992260732537</v>
      </c>
      <c r="BL97" s="401">
        <f>F97*'Assumptions-Output Override'!$D$10/'Winners-Losers Values PMPM'!$H$107</f>
        <v>210.45138832635607</v>
      </c>
      <c r="BM97" s="401">
        <f>G97*'Assumptions-Output Override'!$D$10/'Winners-Losers Values PMPM'!$H$107</f>
        <v>3.0730010595190413</v>
      </c>
      <c r="BN97" s="401">
        <f t="shared" si="39"/>
        <v>1549.3788421515651</v>
      </c>
      <c r="BO97" s="401">
        <f>BJ97*(1-'Assumptions-Output Override'!$D$11)</f>
        <v>54.914943030430088</v>
      </c>
      <c r="BP97" s="401">
        <f>BK97*(1-'Assumptions-Output Override'!$D$11)</f>
        <v>135.47074302304904</v>
      </c>
      <c r="BQ97" s="401">
        <f>BL97*(1-'Assumptions-Output Override'!$D$11)</f>
        <v>29.993486090095939</v>
      </c>
      <c r="BR97" s="401">
        <f>BM97*(1-'Assumptions-Output Override'!$D$11)</f>
        <v>0.43796344261033066</v>
      </c>
      <c r="BS97" s="352">
        <f t="shared" si="40"/>
        <v>220.8171355861854</v>
      </c>
      <c r="BT97" s="352">
        <f t="shared" si="59"/>
        <v>330.39958712793458</v>
      </c>
      <c r="BU97" s="352">
        <f t="shared" si="59"/>
        <v>815.0691795842763</v>
      </c>
      <c r="BV97" s="352">
        <f t="shared" si="59"/>
        <v>180.45790223626014</v>
      </c>
      <c r="BW97" s="352">
        <f t="shared" si="41"/>
        <v>2.6350376169087109</v>
      </c>
      <c r="BX97" s="352">
        <f t="shared" si="42"/>
        <v>1328.5617065653798</v>
      </c>
      <c r="BY97" s="352">
        <f>BT$107*(1-'Assumptions-Output Override'!$D$12)</f>
        <v>22.753074310428271</v>
      </c>
      <c r="BZ97" s="352">
        <f>BU$107*(1-'Assumptions-Output Override'!$D$12)</f>
        <v>51.446038369839215</v>
      </c>
      <c r="CA97" s="352">
        <f>BV$107*(1-'Assumptions-Output Override'!$D$12)</f>
        <v>9.7401900534537411</v>
      </c>
      <c r="CB97" s="352">
        <f>BW$107*(1-'Assumptions-Output Override'!$D$12)</f>
        <v>1.7000814189516649</v>
      </c>
      <c r="CC97" s="352">
        <f t="shared" si="43"/>
        <v>85.639384152672903</v>
      </c>
      <c r="CD97" s="352">
        <f t="shared" si="60"/>
        <v>77.668017340858356</v>
      </c>
      <c r="CE97" s="352">
        <f t="shared" si="60"/>
        <v>186.91678139288825</v>
      </c>
      <c r="CF97" s="352">
        <f t="shared" si="60"/>
        <v>39.73367614354968</v>
      </c>
      <c r="CG97" s="352">
        <f t="shared" si="44"/>
        <v>2.1380448615619954</v>
      </c>
      <c r="CH97" s="352">
        <f t="shared" si="45"/>
        <v>306.45651973885828</v>
      </c>
      <c r="CJ97" s="352">
        <f t="shared" si="61"/>
        <v>306.45651973885828</v>
      </c>
      <c r="CK97" s="352">
        <f t="shared" si="62"/>
        <v>400.4943184646591</v>
      </c>
      <c r="CL97" s="352">
        <f t="shared" si="63"/>
        <v>-94.037798725800826</v>
      </c>
      <c r="CN97" s="352">
        <f t="shared" si="64"/>
        <v>228.06716330005511</v>
      </c>
      <c r="CO97" s="352">
        <f t="shared" si="64"/>
        <v>562.62332921472489</v>
      </c>
      <c r="CP97" s="352">
        <f t="shared" si="64"/>
        <v>124.56589978172774</v>
      </c>
      <c r="CQ97" s="352">
        <f t="shared" si="46"/>
        <v>1.8189052828465133</v>
      </c>
      <c r="CR97" s="352">
        <f t="shared" si="69"/>
        <v>917.07529757935413</v>
      </c>
      <c r="CT97" s="352">
        <f t="shared" si="71"/>
        <v>-157.24736685830956</v>
      </c>
      <c r="CU97" s="352">
        <f t="shared" si="71"/>
        <v>-387.91659339260048</v>
      </c>
      <c r="CV97" s="352">
        <f t="shared" si="71"/>
        <v>-85.88548854462833</v>
      </c>
      <c r="CW97" s="352">
        <f t="shared" si="70"/>
        <v>-1.254095776672528</v>
      </c>
      <c r="CX97" s="352">
        <f t="shared" si="47"/>
        <v>-632.30354457221085</v>
      </c>
      <c r="CZ97" s="352">
        <f t="shared" si="65"/>
        <v>-5.2665455070635119</v>
      </c>
      <c r="DA97" s="352">
        <f t="shared" si="65"/>
        <v>-69.080550529199172</v>
      </c>
      <c r="DB97" s="352">
        <f t="shared" si="65"/>
        <v>-21.272306458635782</v>
      </c>
      <c r="DC97" s="352">
        <f t="shared" si="48"/>
        <v>1.5816037690976206</v>
      </c>
      <c r="DD97" s="352">
        <f t="shared" si="66"/>
        <v>-94.03779872580084</v>
      </c>
      <c r="DF97" s="352">
        <f t="shared" si="67"/>
        <v>82.934562847921868</v>
      </c>
      <c r="DG97" s="352">
        <f t="shared" si="67"/>
        <v>255.99733192208743</v>
      </c>
      <c r="DH97" s="352">
        <f t="shared" si="67"/>
        <v>61.005982602185462</v>
      </c>
      <c r="DI97" s="352">
        <f t="shared" si="49"/>
        <v>0.55644109246437468</v>
      </c>
      <c r="DJ97" s="352">
        <f t="shared" si="68"/>
        <v>400.4943184646591</v>
      </c>
    </row>
    <row r="98" spans="1:114" x14ac:dyDescent="0.2">
      <c r="A98">
        <v>93</v>
      </c>
      <c r="B98" s="397">
        <v>34308</v>
      </c>
      <c r="C98" s="398">
        <v>397997.79676138877</v>
      </c>
      <c r="D98" s="399">
        <v>291.34679888873006</v>
      </c>
      <c r="E98" s="399">
        <v>610.79384668925513</v>
      </c>
      <c r="F98" s="399">
        <v>138.38340482597678</v>
      </c>
      <c r="G98" s="399">
        <v>2.4797477707385718</v>
      </c>
      <c r="H98" s="399">
        <v>1043.0037981747007</v>
      </c>
      <c r="I98" s="400">
        <v>4.4578815604377341E-2</v>
      </c>
      <c r="J98" s="400">
        <v>0.320747154470714</v>
      </c>
      <c r="K98" s="400">
        <v>1.2613135150116511E-2</v>
      </c>
      <c r="L98" s="400">
        <v>1.1178659653516057</v>
      </c>
      <c r="M98" s="400">
        <v>0.92898333359788132</v>
      </c>
      <c r="N98" s="400">
        <v>0.9738851399531262</v>
      </c>
      <c r="O98" s="399">
        <f t="shared" si="35"/>
        <v>11.144703901094335</v>
      </c>
      <c r="P98" s="399">
        <f t="shared" si="35"/>
        <v>0</v>
      </c>
      <c r="Q98" s="399">
        <f t="shared" si="35"/>
        <v>12.613135150116511</v>
      </c>
      <c r="R98" s="399">
        <f t="shared" si="33"/>
        <v>23.209653752556104</v>
      </c>
      <c r="S98" s="399">
        <f t="shared" si="33"/>
        <v>27.869500007936441</v>
      </c>
      <c r="T98" s="399">
        <f t="shared" si="33"/>
        <v>58.433108397187574</v>
      </c>
      <c r="U98" s="399">
        <f t="shared" si="50"/>
        <v>133.27010120889096</v>
      </c>
      <c r="V98" s="400">
        <v>7.0905628496651402E-3</v>
      </c>
      <c r="W98" s="400">
        <v>5.1098983576199269E-2</v>
      </c>
      <c r="X98" s="400">
        <v>1.9447343837032231E-3</v>
      </c>
      <c r="Y98" s="400">
        <v>0.28049989939109243</v>
      </c>
      <c r="Z98" s="400">
        <v>8.8202297313340297E-2</v>
      </c>
      <c r="AA98" s="400">
        <v>9.0731356539772809E-2</v>
      </c>
      <c r="AB98" s="352">
        <f t="shared" si="36"/>
        <v>1.7726407124162851</v>
      </c>
      <c r="AC98" s="352">
        <f t="shared" si="36"/>
        <v>0</v>
      </c>
      <c r="AD98" s="352">
        <f t="shared" si="36"/>
        <v>1.9447343837032232</v>
      </c>
      <c r="AE98" s="352">
        <f t="shared" si="34"/>
        <v>9.9432826352190169</v>
      </c>
      <c r="AF98" s="352">
        <f t="shared" si="34"/>
        <v>2.6460689194002089</v>
      </c>
      <c r="AG98" s="352">
        <f t="shared" si="34"/>
        <v>5.4438813923863689</v>
      </c>
      <c r="AH98" s="400">
        <f t="shared" si="51"/>
        <v>21.750608043125101</v>
      </c>
      <c r="AJ98" s="352">
        <f>D98*('Assumptions-Output Override'!$D$10/'Winners-Losers Values PMPM'!$H$107)*(1+'Assumptions-Output Override'!$F$41)</f>
        <v>347.75503397284052</v>
      </c>
      <c r="AK98" s="352">
        <f>E98*('Assumptions-Output Override'!$D$10/'Winners-Losers Values PMPM'!$H$107)*(1+'Assumptions-Output Override'!$F$37)</f>
        <v>1005.2315006799394</v>
      </c>
      <c r="AL98" s="352">
        <f>F98*('Assumptions-Output Override'!$D$10/'Winners-Losers Values PMPM'!$H$107)*(1+'Assumptions-Output Override'!$F$38)</f>
        <v>232.46280341612578</v>
      </c>
      <c r="AM98" s="352">
        <f>G98*('Shoppable Detail'!$X$21/'Shoppable Detail'!$H$21)*('Assumptions-Output Override'!$D$10/'Winners-Losers Values PMPM'!$H$107)*(1+'Assumptions-Output Override'!$F$39)</f>
        <v>4.2522513021490793</v>
      </c>
      <c r="AN98" s="352">
        <f t="shared" si="52"/>
        <v>1589.7015893710548</v>
      </c>
      <c r="AO98" s="352">
        <v>0</v>
      </c>
      <c r="AP98" s="352">
        <f>U98*'Assumptions-Output Override'!$D$10/'Winners-Losers Values PMPM'!$H$107*(1+'Assumptions-Output Override'!$F$37)</f>
        <v>219.33309341627586</v>
      </c>
      <c r="AQ98" s="352">
        <f>AH98*'Assumptions-Output Override'!$D$10/'Winners-Losers Values PMPM'!$H$107*(1+'Assumptions-Output Override'!$F$38)</f>
        <v>36.53767103120925</v>
      </c>
      <c r="AR98" s="352">
        <f>AM98*('Shoppable Detail'!$AA$23/'Shoppable Detail'!$Y$23)</f>
        <v>0.1420810683650266</v>
      </c>
      <c r="AS98" s="352">
        <f t="shared" si="53"/>
        <v>256.01284551585013</v>
      </c>
      <c r="AT98" s="352">
        <f t="shared" si="54"/>
        <v>347.75503397284052</v>
      </c>
      <c r="AU98" s="352">
        <f t="shared" si="54"/>
        <v>785.89840726366356</v>
      </c>
      <c r="AV98" s="352">
        <f t="shared" si="54"/>
        <v>195.92513238491654</v>
      </c>
      <c r="AW98" s="352">
        <f t="shared" si="37"/>
        <v>4.1101702337840527</v>
      </c>
      <c r="AX98" s="352">
        <f t="shared" si="55"/>
        <v>1333.6887438552046</v>
      </c>
      <c r="AY98" s="352">
        <f>AT98*'Assumptions-Output Override'!$D$24</f>
        <v>105.9456304596936</v>
      </c>
      <c r="AZ98" s="352">
        <f>$AU$107*'Assumptions-Output Override'!$D$21</f>
        <v>46.041131296780591</v>
      </c>
      <c r="BA98" s="352">
        <f>AV98*'Assumptions-Output Override'!$D$22</f>
        <v>29.388769857737479</v>
      </c>
      <c r="BB98" s="352">
        <f>AW98*'Assumptions-Output Override'!$D$23</f>
        <v>0.61652553506760788</v>
      </c>
      <c r="BC98" s="352">
        <f t="shared" si="56"/>
        <v>181.9920571492793</v>
      </c>
      <c r="BD98" s="352">
        <f t="shared" si="57"/>
        <v>105.9456304596936</v>
      </c>
      <c r="BE98" s="352">
        <f t="shared" si="57"/>
        <v>265.37422471305644</v>
      </c>
      <c r="BF98" s="352">
        <f t="shared" si="57"/>
        <v>65.926440888946729</v>
      </c>
      <c r="BG98" s="352">
        <f t="shared" si="38"/>
        <v>0.75860660343263442</v>
      </c>
      <c r="BH98" s="352">
        <f t="shared" si="58"/>
        <v>438.00490266512941</v>
      </c>
      <c r="BJ98" s="401">
        <f>D98*'Assumptions-Output Override'!$D$10/'Winners-Losers Values PMPM'!$H$107</f>
        <v>492.22410320972085</v>
      </c>
      <c r="BK98" s="401">
        <f>E98*'Assumptions-Output Override'!$D$10/'Winners-Losers Values PMPM'!$H$107</f>
        <v>1031.922968020858</v>
      </c>
      <c r="BL98" s="401">
        <f>F98*'Assumptions-Output Override'!$D$10/'Winners-Losers Values PMPM'!$H$107</f>
        <v>233.79576367196887</v>
      </c>
      <c r="BM98" s="401">
        <f>G98*'Assumptions-Output Override'!$D$10/'Winners-Losers Values PMPM'!$H$107</f>
        <v>4.1894801222932303</v>
      </c>
      <c r="BN98" s="401">
        <f t="shared" si="39"/>
        <v>1762.1323150248409</v>
      </c>
      <c r="BO98" s="401">
        <f>BJ98*(1-'Assumptions-Output Override'!$D$11)</f>
        <v>70.151672128369555</v>
      </c>
      <c r="BP98" s="401">
        <f>BK98*(1-'Assumptions-Output Override'!$D$11)</f>
        <v>147.06943695418687</v>
      </c>
      <c r="BQ98" s="401">
        <f>BL98*(1-'Assumptions-Output Override'!$D$11)</f>
        <v>33.320521386840184</v>
      </c>
      <c r="BR98" s="401">
        <f>BM98*(1-'Assumptions-Output Override'!$D$11)</f>
        <v>0.59708379579741011</v>
      </c>
      <c r="BS98" s="352">
        <f t="shared" si="40"/>
        <v>251.13871426519404</v>
      </c>
      <c r="BT98" s="352">
        <f t="shared" si="59"/>
        <v>422.07243108135128</v>
      </c>
      <c r="BU98" s="352">
        <f t="shared" si="59"/>
        <v>884.85353106667117</v>
      </c>
      <c r="BV98" s="352">
        <f t="shared" si="59"/>
        <v>200.47524228512867</v>
      </c>
      <c r="BW98" s="352">
        <f t="shared" si="41"/>
        <v>3.5923963264958201</v>
      </c>
      <c r="BX98" s="352">
        <f t="shared" si="42"/>
        <v>1510.9936007596468</v>
      </c>
      <c r="BY98" s="352">
        <f>BT$107*(1-'Assumptions-Output Override'!$D$12)</f>
        <v>22.753074310428271</v>
      </c>
      <c r="BZ98" s="352">
        <f>BU$107*(1-'Assumptions-Output Override'!$D$12)</f>
        <v>51.446038369839215</v>
      </c>
      <c r="CA98" s="352">
        <f>BV$107*(1-'Assumptions-Output Override'!$D$12)</f>
        <v>9.7401900534537411</v>
      </c>
      <c r="CB98" s="352">
        <f>BW$107*(1-'Assumptions-Output Override'!$D$12)</f>
        <v>1.7000814189516649</v>
      </c>
      <c r="CC98" s="352">
        <f t="shared" si="43"/>
        <v>85.639384152672903</v>
      </c>
      <c r="CD98" s="352">
        <f t="shared" si="60"/>
        <v>92.904746438797829</v>
      </c>
      <c r="CE98" s="352">
        <f t="shared" si="60"/>
        <v>198.51547532402608</v>
      </c>
      <c r="CF98" s="352">
        <f t="shared" si="60"/>
        <v>43.060711440293929</v>
      </c>
      <c r="CG98" s="352">
        <f t="shared" si="44"/>
        <v>2.2971652147490751</v>
      </c>
      <c r="CH98" s="352">
        <f t="shared" si="45"/>
        <v>336.77809841786694</v>
      </c>
      <c r="CJ98" s="352">
        <f t="shared" si="61"/>
        <v>336.77809841786694</v>
      </c>
      <c r="CK98" s="352">
        <f t="shared" si="62"/>
        <v>438.00490266512941</v>
      </c>
      <c r="CL98" s="352">
        <f t="shared" si="63"/>
        <v>-101.22680424726246</v>
      </c>
      <c r="CN98" s="352">
        <f t="shared" si="64"/>
        <v>291.34679888873006</v>
      </c>
      <c r="CO98" s="352">
        <f t="shared" si="64"/>
        <v>610.79384668925513</v>
      </c>
      <c r="CP98" s="352">
        <f t="shared" si="64"/>
        <v>138.38340482597678</v>
      </c>
      <c r="CQ98" s="352">
        <f t="shared" si="46"/>
        <v>2.4797477707385718</v>
      </c>
      <c r="CR98" s="352">
        <f t="shared" si="69"/>
        <v>1043.0037981747007</v>
      </c>
      <c r="CT98" s="352">
        <f t="shared" si="71"/>
        <v>-200.87730432099079</v>
      </c>
      <c r="CU98" s="352">
        <f t="shared" si="71"/>
        <v>-421.12912133160285</v>
      </c>
      <c r="CV98" s="352">
        <f t="shared" si="71"/>
        <v>-95.412358845992088</v>
      </c>
      <c r="CW98" s="352">
        <f t="shared" si="70"/>
        <v>-1.7097323515546585</v>
      </c>
      <c r="CX98" s="352">
        <f t="shared" si="47"/>
        <v>-719.12851685014039</v>
      </c>
      <c r="CZ98" s="352">
        <f t="shared" si="65"/>
        <v>-13.040884020895774</v>
      </c>
      <c r="DA98" s="352">
        <f t="shared" si="65"/>
        <v>-66.858749389030351</v>
      </c>
      <c r="DB98" s="352">
        <f t="shared" si="65"/>
        <v>-22.8657294486528</v>
      </c>
      <c r="DC98" s="352">
        <f t="shared" si="48"/>
        <v>1.5385586113164407</v>
      </c>
      <c r="DD98" s="352">
        <f t="shared" si="66"/>
        <v>-101.22680424726248</v>
      </c>
      <c r="DF98" s="352">
        <f t="shared" si="67"/>
        <v>105.9456304596936</v>
      </c>
      <c r="DG98" s="352">
        <f t="shared" si="67"/>
        <v>265.37422471305644</v>
      </c>
      <c r="DH98" s="352">
        <f t="shared" si="67"/>
        <v>65.926440888946729</v>
      </c>
      <c r="DI98" s="352">
        <f t="shared" si="49"/>
        <v>0.75860660343263442</v>
      </c>
      <c r="DJ98" s="352">
        <f t="shared" si="68"/>
        <v>438.00490266512941</v>
      </c>
    </row>
    <row r="99" spans="1:114" x14ac:dyDescent="0.2">
      <c r="A99">
        <v>94</v>
      </c>
      <c r="B99" s="397">
        <v>34308</v>
      </c>
      <c r="C99" s="398">
        <v>397997.79676138877</v>
      </c>
      <c r="D99" s="399">
        <v>368.95227866144484</v>
      </c>
      <c r="E99" s="399">
        <v>677.57936542373886</v>
      </c>
      <c r="F99" s="399">
        <v>151.44413770475035</v>
      </c>
      <c r="G99" s="399">
        <v>3.4527799710161009</v>
      </c>
      <c r="H99" s="399">
        <v>1201.4285617609501</v>
      </c>
      <c r="I99" s="400">
        <v>4.5444617469024826E-2</v>
      </c>
      <c r="J99" s="400">
        <v>0.34431967065588187</v>
      </c>
      <c r="K99" s="400">
        <v>1.5155862793924859E-2</v>
      </c>
      <c r="L99" s="400">
        <v>1.1571994378155812</v>
      </c>
      <c r="M99" s="400">
        <v>0.95564051634192981</v>
      </c>
      <c r="N99" s="400">
        <v>1.007533718183907</v>
      </c>
      <c r="O99" s="399">
        <f t="shared" si="35"/>
        <v>11.361154367256207</v>
      </c>
      <c r="P99" s="399">
        <f t="shared" si="35"/>
        <v>0</v>
      </c>
      <c r="Q99" s="399">
        <f t="shared" si="35"/>
        <v>15.155862793924859</v>
      </c>
      <c r="R99" s="399">
        <f t="shared" si="33"/>
        <v>24.026313625090491</v>
      </c>
      <c r="S99" s="399">
        <f t="shared" si="33"/>
        <v>28.669215490257894</v>
      </c>
      <c r="T99" s="399">
        <f t="shared" si="33"/>
        <v>60.45202309103442</v>
      </c>
      <c r="U99" s="399">
        <f t="shared" si="50"/>
        <v>139.66456936756387</v>
      </c>
      <c r="V99" s="400">
        <v>8.1620311983363128E-3</v>
      </c>
      <c r="W99" s="400">
        <v>5.4180541445726357E-2</v>
      </c>
      <c r="X99" s="400">
        <v>2.2010172094625623E-3</v>
      </c>
      <c r="Y99" s="400">
        <v>0.28996621066374439</v>
      </c>
      <c r="Z99" s="400">
        <v>8.8185111288554593E-2</v>
      </c>
      <c r="AA99" s="400">
        <v>9.4626252472901476E-2</v>
      </c>
      <c r="AB99" s="352">
        <f t="shared" si="36"/>
        <v>2.0405077995840784</v>
      </c>
      <c r="AC99" s="352">
        <f t="shared" si="36"/>
        <v>0</v>
      </c>
      <c r="AD99" s="352">
        <f t="shared" si="36"/>
        <v>2.2010172094625622</v>
      </c>
      <c r="AE99" s="352">
        <f t="shared" si="34"/>
        <v>10.278848561271992</v>
      </c>
      <c r="AF99" s="352">
        <f t="shared" si="34"/>
        <v>2.6455533386566379</v>
      </c>
      <c r="AG99" s="352">
        <f t="shared" si="34"/>
        <v>5.6775751483740882</v>
      </c>
      <c r="AH99" s="400">
        <f t="shared" si="51"/>
        <v>22.843502057349358</v>
      </c>
      <c r="AJ99" s="352">
        <f>D99*('Assumptions-Output Override'!$D$10/'Winners-Losers Values PMPM'!$H$107)*(1+'Assumptions-Output Override'!$F$41)</f>
        <v>440.38586553775525</v>
      </c>
      <c r="AK99" s="352">
        <f>E99*('Assumptions-Output Override'!$D$10/'Winners-Losers Values PMPM'!$H$107)*(1+'Assumptions-Output Override'!$F$37)</f>
        <v>1115.1456846309584</v>
      </c>
      <c r="AL99" s="352">
        <f>F99*('Assumptions-Output Override'!$D$10/'Winners-Losers Values PMPM'!$H$107)*(1+'Assumptions-Output Override'!$F$38)</f>
        <v>254.40282276661759</v>
      </c>
      <c r="AM99" s="352">
        <f>G99*('Shoppable Detail'!$X$21/'Shoppable Detail'!$H$21)*('Assumptions-Output Override'!$D$10/'Winners-Losers Values PMPM'!$H$107)*(1+'Assumptions-Output Override'!$F$39)</f>
        <v>5.9207990026399093</v>
      </c>
      <c r="AN99" s="352">
        <f t="shared" si="52"/>
        <v>1815.8551719379711</v>
      </c>
      <c r="AO99" s="352">
        <v>0</v>
      </c>
      <c r="AP99" s="352">
        <f>U99*'Assumptions-Output Override'!$D$10/'Winners-Losers Values PMPM'!$H$107*(1+'Assumptions-Output Override'!$F$37)</f>
        <v>229.85697288564953</v>
      </c>
      <c r="AQ99" s="352">
        <f>AH99*'Assumptions-Output Override'!$D$10/'Winners-Losers Values PMPM'!$H$107*(1+'Assumptions-Output Override'!$F$38)</f>
        <v>38.373564624828823</v>
      </c>
      <c r="AR99" s="352">
        <f>AM99*('Shoppable Detail'!$AA$23/'Shoppable Detail'!$Y$23)</f>
        <v>0.19783248639244452</v>
      </c>
      <c r="AS99" s="352">
        <f t="shared" si="53"/>
        <v>268.4283699968708</v>
      </c>
      <c r="AT99" s="352">
        <f t="shared" si="54"/>
        <v>440.38586553775525</v>
      </c>
      <c r="AU99" s="352">
        <f t="shared" si="54"/>
        <v>885.28871174530889</v>
      </c>
      <c r="AV99" s="352">
        <f t="shared" si="54"/>
        <v>216.02925814178877</v>
      </c>
      <c r="AW99" s="352">
        <f t="shared" si="37"/>
        <v>5.7229665162474648</v>
      </c>
      <c r="AX99" s="352">
        <f t="shared" si="55"/>
        <v>1547.4268019411004</v>
      </c>
      <c r="AY99" s="352">
        <f>AT99*'Assumptions-Output Override'!$D$24</f>
        <v>134.16616184362471</v>
      </c>
      <c r="AZ99" s="352">
        <f>$AU$107*'Assumptions-Output Override'!$D$21</f>
        <v>46.041131296780591</v>
      </c>
      <c r="BA99" s="352">
        <f>AV99*'Assumptions-Output Override'!$D$22</f>
        <v>32.404388721268312</v>
      </c>
      <c r="BB99" s="352">
        <f>AW99*'Assumptions-Output Override'!$D$23</f>
        <v>0.85844497743711967</v>
      </c>
      <c r="BC99" s="352">
        <f t="shared" si="56"/>
        <v>213.47012683911072</v>
      </c>
      <c r="BD99" s="352">
        <f t="shared" si="57"/>
        <v>134.16616184362471</v>
      </c>
      <c r="BE99" s="352">
        <f t="shared" si="57"/>
        <v>275.89810418243013</v>
      </c>
      <c r="BF99" s="352">
        <f t="shared" si="57"/>
        <v>70.777953346097135</v>
      </c>
      <c r="BG99" s="352">
        <f t="shared" si="38"/>
        <v>1.0562774638295642</v>
      </c>
      <c r="BH99" s="352">
        <f t="shared" si="58"/>
        <v>481.89849683598158</v>
      </c>
      <c r="BJ99" s="401">
        <f>D99*'Assumptions-Output Override'!$D$10/'Winners-Losers Values PMPM'!$H$107</f>
        <v>623.33687956760889</v>
      </c>
      <c r="BK99" s="401">
        <f>E99*'Assumptions-Output Override'!$D$10/'Winners-Losers Values PMPM'!$H$107</f>
        <v>1144.7556546742376</v>
      </c>
      <c r="BL99" s="401">
        <f>F99*'Assumptions-Output Override'!$D$10/'Winners-Losers Values PMPM'!$H$107</f>
        <v>255.86158884333548</v>
      </c>
      <c r="BM99" s="401">
        <f>G99*'Assumptions-Output Override'!$D$10/'Winners-Losers Values PMPM'!$H$107</f>
        <v>5.8333969389619682</v>
      </c>
      <c r="BN99" s="401">
        <f t="shared" si="39"/>
        <v>2029.7875200241438</v>
      </c>
      <c r="BO99" s="401">
        <f>BJ99*(1-'Assumptions-Output Override'!$D$11)</f>
        <v>88.837836497244282</v>
      </c>
      <c r="BP99" s="401">
        <f>BK99*(1-'Assumptions-Output Override'!$D$11)</f>
        <v>163.15032691438137</v>
      </c>
      <c r="BQ99" s="401">
        <f>BL99*(1-'Assumptions-Output Override'!$D$11)</f>
        <v>36.465337990841597</v>
      </c>
      <c r="BR99" s="401">
        <f>BM99*(1-'Assumptions-Output Override'!$D$11)</f>
        <v>0.8313744629493246</v>
      </c>
      <c r="BS99" s="352">
        <f t="shared" si="40"/>
        <v>289.28487586541655</v>
      </c>
      <c r="BT99" s="352">
        <f t="shared" si="59"/>
        <v>534.49904307036456</v>
      </c>
      <c r="BU99" s="352">
        <f t="shared" si="59"/>
        <v>981.60532775985621</v>
      </c>
      <c r="BV99" s="352">
        <f t="shared" si="59"/>
        <v>219.39625085249389</v>
      </c>
      <c r="BW99" s="352">
        <f t="shared" si="41"/>
        <v>5.0020224760126437</v>
      </c>
      <c r="BX99" s="352">
        <f t="shared" si="42"/>
        <v>1740.5026441587274</v>
      </c>
      <c r="BY99" s="352">
        <f>BT$107*(1-'Assumptions-Output Override'!$D$12)</f>
        <v>22.753074310428271</v>
      </c>
      <c r="BZ99" s="352">
        <f>BU$107*(1-'Assumptions-Output Override'!$D$12)</f>
        <v>51.446038369839215</v>
      </c>
      <c r="CA99" s="352">
        <f>BV$107*(1-'Assumptions-Output Override'!$D$12)</f>
        <v>9.7401900534537411</v>
      </c>
      <c r="CB99" s="352">
        <f>BW$107*(1-'Assumptions-Output Override'!$D$12)</f>
        <v>1.7000814189516649</v>
      </c>
      <c r="CC99" s="352">
        <f t="shared" si="43"/>
        <v>85.639384152672903</v>
      </c>
      <c r="CD99" s="352">
        <f t="shared" si="60"/>
        <v>111.59091080767256</v>
      </c>
      <c r="CE99" s="352">
        <f t="shared" si="60"/>
        <v>214.59636528422058</v>
      </c>
      <c r="CF99" s="352">
        <f t="shared" si="60"/>
        <v>46.205528044295335</v>
      </c>
      <c r="CG99" s="352">
        <f t="shared" si="44"/>
        <v>2.5314558819009894</v>
      </c>
      <c r="CH99" s="352">
        <f t="shared" si="45"/>
        <v>374.92426001808946</v>
      </c>
      <c r="CJ99" s="352">
        <f t="shared" si="61"/>
        <v>374.92426001808946</v>
      </c>
      <c r="CK99" s="352">
        <f t="shared" si="62"/>
        <v>481.89849683598158</v>
      </c>
      <c r="CL99" s="352">
        <f t="shared" si="63"/>
        <v>-106.97423681789212</v>
      </c>
      <c r="CN99" s="352">
        <f t="shared" si="64"/>
        <v>368.95227866144484</v>
      </c>
      <c r="CO99" s="352">
        <f t="shared" si="64"/>
        <v>677.57936542373886</v>
      </c>
      <c r="CP99" s="352">
        <f t="shared" si="64"/>
        <v>151.44413770475035</v>
      </c>
      <c r="CQ99" s="352">
        <f t="shared" si="46"/>
        <v>3.4527799710161009</v>
      </c>
      <c r="CR99" s="352">
        <f t="shared" si="69"/>
        <v>1201.4285617609501</v>
      </c>
      <c r="CT99" s="352">
        <f t="shared" si="71"/>
        <v>-254.38460090616405</v>
      </c>
      <c r="CU99" s="352">
        <f t="shared" si="71"/>
        <v>-467.17628925049871</v>
      </c>
      <c r="CV99" s="352">
        <f t="shared" si="71"/>
        <v>-104.41745113858514</v>
      </c>
      <c r="CW99" s="352">
        <f t="shared" si="70"/>
        <v>-2.3806169679458673</v>
      </c>
      <c r="CX99" s="352">
        <f t="shared" si="47"/>
        <v>-828.35895826319381</v>
      </c>
      <c r="CZ99" s="352">
        <f t="shared" si="65"/>
        <v>-22.575251035952149</v>
      </c>
      <c r="DA99" s="352">
        <f t="shared" si="65"/>
        <v>-61.30173889820955</v>
      </c>
      <c r="DB99" s="352">
        <f t="shared" si="65"/>
        <v>-24.5724253018018</v>
      </c>
      <c r="DC99" s="352">
        <f t="shared" si="48"/>
        <v>1.4751784180714251</v>
      </c>
      <c r="DD99" s="352">
        <f t="shared" si="66"/>
        <v>-106.97423681789208</v>
      </c>
      <c r="DF99" s="352">
        <f t="shared" si="67"/>
        <v>134.16616184362471</v>
      </c>
      <c r="DG99" s="352">
        <f t="shared" si="67"/>
        <v>275.89810418243013</v>
      </c>
      <c r="DH99" s="352">
        <f t="shared" si="67"/>
        <v>70.777953346097135</v>
      </c>
      <c r="DI99" s="352">
        <f t="shared" si="49"/>
        <v>1.0562774638295642</v>
      </c>
      <c r="DJ99" s="352">
        <f t="shared" si="68"/>
        <v>481.89849683598158</v>
      </c>
    </row>
    <row r="100" spans="1:114" x14ac:dyDescent="0.2">
      <c r="A100">
        <v>95</v>
      </c>
      <c r="B100" s="397">
        <v>34308</v>
      </c>
      <c r="C100" s="398">
        <v>397997.79676138877</v>
      </c>
      <c r="D100" s="399">
        <v>475.00419317098715</v>
      </c>
      <c r="E100" s="399">
        <v>756.46199738086318</v>
      </c>
      <c r="F100" s="399">
        <v>170.18725012865357</v>
      </c>
      <c r="G100" s="399">
        <v>5.004753094136273</v>
      </c>
      <c r="H100" s="399">
        <v>1406.6581937746403</v>
      </c>
      <c r="I100" s="400">
        <v>4.4619984857307463E-2</v>
      </c>
      <c r="J100" s="400">
        <v>0.37471255974310486</v>
      </c>
      <c r="K100" s="400">
        <v>1.9035281254438784E-2</v>
      </c>
      <c r="L100" s="400">
        <v>1.1992815657225937</v>
      </c>
      <c r="M100" s="400">
        <v>0.96527524304445467</v>
      </c>
      <c r="N100" s="400">
        <v>1.0344495958273716</v>
      </c>
      <c r="O100" s="399">
        <f t="shared" si="35"/>
        <v>11.154996214326866</v>
      </c>
      <c r="P100" s="399">
        <f t="shared" si="35"/>
        <v>0</v>
      </c>
      <c r="Q100" s="399">
        <f t="shared" si="35"/>
        <v>19.035281254438782</v>
      </c>
      <c r="R100" s="399">
        <f t="shared" si="33"/>
        <v>24.900042361956839</v>
      </c>
      <c r="S100" s="399">
        <f t="shared" si="33"/>
        <v>28.958257291333641</v>
      </c>
      <c r="T100" s="399">
        <f t="shared" si="33"/>
        <v>62.066975749642296</v>
      </c>
      <c r="U100" s="399">
        <f t="shared" si="50"/>
        <v>146.11555287169841</v>
      </c>
      <c r="V100" s="400">
        <v>9.4482898417005256E-3</v>
      </c>
      <c r="W100" s="400">
        <v>5.97874372308934E-2</v>
      </c>
      <c r="X100" s="400">
        <v>2.7613218187207264E-3</v>
      </c>
      <c r="Y100" s="400">
        <v>0.29392918475386137</v>
      </c>
      <c r="Z100" s="400">
        <v>9.1213469761409399E-2</v>
      </c>
      <c r="AA100" s="400">
        <v>9.7304558756690959E-2</v>
      </c>
      <c r="AB100" s="352">
        <f t="shared" si="36"/>
        <v>2.3620724604251313</v>
      </c>
      <c r="AC100" s="352">
        <f t="shared" si="36"/>
        <v>0</v>
      </c>
      <c r="AD100" s="352">
        <f t="shared" si="36"/>
        <v>2.7613218187207265</v>
      </c>
      <c r="AE100" s="352">
        <f t="shared" si="34"/>
        <v>10.419329793313869</v>
      </c>
      <c r="AF100" s="352">
        <f t="shared" si="34"/>
        <v>2.7364040928422821</v>
      </c>
      <c r="AG100" s="352">
        <f t="shared" si="34"/>
        <v>5.8382735254014575</v>
      </c>
      <c r="AH100" s="400">
        <f t="shared" si="51"/>
        <v>24.117401690703467</v>
      </c>
      <c r="AJ100" s="352">
        <f>D100*('Assumptions-Output Override'!$D$10/'Winners-Losers Values PMPM'!$H$107)*(1+'Assumptions-Output Override'!$F$41)</f>
        <v>566.97070283070161</v>
      </c>
      <c r="AK100" s="352">
        <f>E100*('Assumptions-Output Override'!$D$10/'Winners-Losers Values PMPM'!$H$107)*(1+'Assumptions-Output Override'!$F$37)</f>
        <v>1244.9690398098871</v>
      </c>
      <c r="AL100" s="352">
        <f>F100*('Assumptions-Output Override'!$D$10/'Winners-Losers Values PMPM'!$H$107)*(1+'Assumptions-Output Override'!$F$38)</f>
        <v>285.88836443458985</v>
      </c>
      <c r="AM100" s="352">
        <f>G100*('Shoppable Detail'!$X$21/'Shoppable Detail'!$H$21)*('Assumptions-Output Override'!$D$10/'Winners-Losers Values PMPM'!$H$107)*(1+'Assumptions-Output Override'!$F$39)</f>
        <v>8.5821098873846733</v>
      </c>
      <c r="AN100" s="352">
        <f t="shared" si="52"/>
        <v>2106.4102169625635</v>
      </c>
      <c r="AO100" s="352">
        <v>0</v>
      </c>
      <c r="AP100" s="352">
        <f>U100*'Assumptions-Output Override'!$D$10/'Winners-Losers Values PMPM'!$H$107*(1+'Assumptions-Output Override'!$F$37)</f>
        <v>240.47386410659507</v>
      </c>
      <c r="AQ100" s="352">
        <f>AH100*'Assumptions-Output Override'!$D$10/'Winners-Losers Values PMPM'!$H$107*(1+'Assumptions-Output Override'!$F$38)</f>
        <v>40.513519776334689</v>
      </c>
      <c r="AR100" s="352">
        <f>AM100*('Shoppable Detail'!$AA$23/'Shoppable Detail'!$Y$23)</f>
        <v>0.28675523975015604</v>
      </c>
      <c r="AS100" s="352">
        <f t="shared" si="53"/>
        <v>281.27413912267991</v>
      </c>
      <c r="AT100" s="352">
        <f t="shared" si="54"/>
        <v>566.97070283070161</v>
      </c>
      <c r="AU100" s="352">
        <f t="shared" si="54"/>
        <v>1004.495175703292</v>
      </c>
      <c r="AV100" s="352">
        <f t="shared" si="54"/>
        <v>245.37484465825514</v>
      </c>
      <c r="AW100" s="352">
        <f t="shared" si="37"/>
        <v>8.2953546476345181</v>
      </c>
      <c r="AX100" s="352">
        <f t="shared" si="55"/>
        <v>1825.1360778398832</v>
      </c>
      <c r="AY100" s="352">
        <f>AT100*'Assumptions-Output Override'!$D$24</f>
        <v>172.73098214378561</v>
      </c>
      <c r="AZ100" s="352">
        <f>$AU$107*'Assumptions-Output Override'!$D$21</f>
        <v>46.041131296780591</v>
      </c>
      <c r="BA100" s="352">
        <f>AV100*'Assumptions-Output Override'!$D$22</f>
        <v>36.806226698738271</v>
      </c>
      <c r="BB100" s="352">
        <f>AW100*'Assumptions-Output Override'!$D$23</f>
        <v>1.2443031971451777</v>
      </c>
      <c r="BC100" s="352">
        <f t="shared" si="56"/>
        <v>256.82264333644969</v>
      </c>
      <c r="BD100" s="352">
        <f t="shared" si="57"/>
        <v>172.73098214378561</v>
      </c>
      <c r="BE100" s="352">
        <f t="shared" si="57"/>
        <v>286.51499540337568</v>
      </c>
      <c r="BF100" s="352">
        <f t="shared" si="57"/>
        <v>77.319746475072961</v>
      </c>
      <c r="BG100" s="352">
        <f t="shared" si="38"/>
        <v>1.5310584368953337</v>
      </c>
      <c r="BH100" s="352">
        <f t="shared" si="58"/>
        <v>538.0967824591296</v>
      </c>
      <c r="BJ100" s="401">
        <f>D100*'Assumptions-Output Override'!$D$10/'Winners-Losers Values PMPM'!$H$107</f>
        <v>802.50929097642597</v>
      </c>
      <c r="BK100" s="401">
        <f>E100*'Assumptions-Output Override'!$D$10/'Winners-Losers Values PMPM'!$H$107</f>
        <v>1278.0261519716764</v>
      </c>
      <c r="BL100" s="401">
        <f>F100*'Assumptions-Output Override'!$D$10/'Winners-Losers Values PMPM'!$H$107</f>
        <v>287.52767111849454</v>
      </c>
      <c r="BM100" s="401">
        <f>G100*'Assumptions-Output Override'!$D$10/'Winners-Losers Values PMPM'!$H$107</f>
        <v>8.4554218990685968</v>
      </c>
      <c r="BN100" s="401">
        <f t="shared" si="39"/>
        <v>2376.5185359656653</v>
      </c>
      <c r="BO100" s="401">
        <f>BJ100*(1-'Assumptions-Output Override'!$D$11)</f>
        <v>114.37344960037859</v>
      </c>
      <c r="BP100" s="401">
        <f>BK100*(1-'Assumptions-Output Override'!$D$11)</f>
        <v>182.14400920224634</v>
      </c>
      <c r="BQ100" s="401">
        <f>BL100*(1-'Assumptions-Output Override'!$D$11)</f>
        <v>40.978381149173998</v>
      </c>
      <c r="BR100" s="401">
        <f>BM100*(1-'Assumptions-Output Override'!$D$11)</f>
        <v>1.2050648899608414</v>
      </c>
      <c r="BS100" s="352">
        <f t="shared" si="40"/>
        <v>338.70090484175972</v>
      </c>
      <c r="BT100" s="352">
        <f t="shared" si="59"/>
        <v>688.13584137604744</v>
      </c>
      <c r="BU100" s="352">
        <f t="shared" si="59"/>
        <v>1095.8821427694302</v>
      </c>
      <c r="BV100" s="352">
        <f t="shared" si="59"/>
        <v>246.54928996932054</v>
      </c>
      <c r="BW100" s="352">
        <f t="shared" si="41"/>
        <v>7.2503570091077556</v>
      </c>
      <c r="BX100" s="352">
        <f t="shared" si="42"/>
        <v>2037.817631123906</v>
      </c>
      <c r="BY100" s="352">
        <f>BT$107*(1-'Assumptions-Output Override'!$D$12)</f>
        <v>22.753074310428271</v>
      </c>
      <c r="BZ100" s="352">
        <f>BU$107*(1-'Assumptions-Output Override'!$D$12)</f>
        <v>51.446038369839215</v>
      </c>
      <c r="CA100" s="352">
        <f>BV$107*(1-'Assumptions-Output Override'!$D$12)</f>
        <v>9.7401900534537411</v>
      </c>
      <c r="CB100" s="352">
        <f>BW$107*(1-'Assumptions-Output Override'!$D$12)</f>
        <v>1.7000814189516649</v>
      </c>
      <c r="CC100" s="352">
        <f t="shared" si="43"/>
        <v>85.639384152672903</v>
      </c>
      <c r="CD100" s="352">
        <f t="shared" si="60"/>
        <v>137.12652391080687</v>
      </c>
      <c r="CE100" s="352">
        <f t="shared" si="60"/>
        <v>233.59004757208555</v>
      </c>
      <c r="CF100" s="352">
        <f t="shared" si="60"/>
        <v>50.718571202627743</v>
      </c>
      <c r="CG100" s="352">
        <f t="shared" si="44"/>
        <v>2.9051463089125065</v>
      </c>
      <c r="CH100" s="352">
        <f t="shared" si="45"/>
        <v>424.34028899443263</v>
      </c>
      <c r="CJ100" s="352">
        <f t="shared" si="61"/>
        <v>424.34028899443263</v>
      </c>
      <c r="CK100" s="352">
        <f t="shared" si="62"/>
        <v>538.0967824591296</v>
      </c>
      <c r="CL100" s="352">
        <f t="shared" si="63"/>
        <v>-113.75649346469697</v>
      </c>
      <c r="CN100" s="352">
        <f t="shared" si="64"/>
        <v>475.00419317098715</v>
      </c>
      <c r="CO100" s="352">
        <f t="shared" si="64"/>
        <v>756.46199738086318</v>
      </c>
      <c r="CP100" s="352">
        <f t="shared" si="64"/>
        <v>170.18725012865357</v>
      </c>
      <c r="CQ100" s="352">
        <f t="shared" si="46"/>
        <v>5.004753094136273</v>
      </c>
      <c r="CR100" s="352">
        <f t="shared" si="69"/>
        <v>1406.6581937746403</v>
      </c>
      <c r="CT100" s="352">
        <f t="shared" si="71"/>
        <v>-327.50509780543882</v>
      </c>
      <c r="CU100" s="352">
        <f t="shared" si="71"/>
        <v>-521.56415459081325</v>
      </c>
      <c r="CV100" s="352">
        <f t="shared" si="71"/>
        <v>-117.34042098984096</v>
      </c>
      <c r="CW100" s="352">
        <f t="shared" si="70"/>
        <v>-3.4506688049323238</v>
      </c>
      <c r="CX100" s="352">
        <f t="shared" si="47"/>
        <v>-969.86034219102532</v>
      </c>
      <c r="CZ100" s="352">
        <f t="shared" si="65"/>
        <v>-35.604458232978743</v>
      </c>
      <c r="DA100" s="352">
        <f t="shared" si="65"/>
        <v>-52.924947831290126</v>
      </c>
      <c r="DB100" s="352">
        <f t="shared" si="65"/>
        <v>-26.601175272445218</v>
      </c>
      <c r="DC100" s="352">
        <f t="shared" si="48"/>
        <v>1.3740878720171728</v>
      </c>
      <c r="DD100" s="352">
        <f t="shared" si="66"/>
        <v>-113.75649346469692</v>
      </c>
      <c r="DF100" s="352">
        <f t="shared" si="67"/>
        <v>172.73098214378561</v>
      </c>
      <c r="DG100" s="352">
        <f t="shared" si="67"/>
        <v>286.51499540337568</v>
      </c>
      <c r="DH100" s="352">
        <f t="shared" si="67"/>
        <v>77.319746475072961</v>
      </c>
      <c r="DI100" s="352">
        <f t="shared" si="49"/>
        <v>1.5310584368953337</v>
      </c>
      <c r="DJ100" s="352">
        <f t="shared" si="68"/>
        <v>538.0967824591296</v>
      </c>
    </row>
    <row r="101" spans="1:114" x14ac:dyDescent="0.2">
      <c r="A101">
        <v>96</v>
      </c>
      <c r="B101" s="397">
        <v>34308</v>
      </c>
      <c r="C101" s="398">
        <v>397997.79676138877</v>
      </c>
      <c r="D101" s="399">
        <v>608.28192127169712</v>
      </c>
      <c r="E101" s="399">
        <v>881.96379357543901</v>
      </c>
      <c r="F101" s="399">
        <v>194.49876572670951</v>
      </c>
      <c r="G101" s="399">
        <v>7.4774343173159314</v>
      </c>
      <c r="H101" s="399">
        <v>1692.2219148911618</v>
      </c>
      <c r="I101" s="400">
        <v>4.9667584777138209E-2</v>
      </c>
      <c r="J101" s="400">
        <v>0.40960786803711891</v>
      </c>
      <c r="K101" s="400">
        <v>2.4844358638317143E-2</v>
      </c>
      <c r="L101" s="400">
        <v>1.2458886119628874</v>
      </c>
      <c r="M101" s="400">
        <v>1.0272492544603764</v>
      </c>
      <c r="N101" s="400">
        <v>1.0982029638270701</v>
      </c>
      <c r="O101" s="399">
        <f t="shared" si="35"/>
        <v>12.416896194284552</v>
      </c>
      <c r="P101" s="399">
        <f t="shared" si="35"/>
        <v>0</v>
      </c>
      <c r="Q101" s="399">
        <f t="shared" si="35"/>
        <v>24.844358638317143</v>
      </c>
      <c r="R101" s="399">
        <f t="shared" si="33"/>
        <v>25.86771956047173</v>
      </c>
      <c r="S101" s="399">
        <f t="shared" si="33"/>
        <v>30.817477633811293</v>
      </c>
      <c r="T101" s="399">
        <f t="shared" si="33"/>
        <v>65.892177829624202</v>
      </c>
      <c r="U101" s="399">
        <f t="shared" si="50"/>
        <v>159.83862985650893</v>
      </c>
      <c r="V101" s="400">
        <v>9.9362238637489362E-3</v>
      </c>
      <c r="W101" s="400">
        <v>6.4187534366108481E-2</v>
      </c>
      <c r="X101" s="400">
        <v>3.7412267407417299E-3</v>
      </c>
      <c r="Y101" s="400">
        <v>0.30194412680748395</v>
      </c>
      <c r="Z101" s="400">
        <v>9.4774595002638115E-2</v>
      </c>
      <c r="AA101" s="400">
        <v>0.10210307778252586</v>
      </c>
      <c r="AB101" s="352">
        <f t="shared" si="36"/>
        <v>2.4840559659372339</v>
      </c>
      <c r="AC101" s="352">
        <f t="shared" si="36"/>
        <v>0</v>
      </c>
      <c r="AD101" s="352">
        <f t="shared" si="36"/>
        <v>3.7412267407417299</v>
      </c>
      <c r="AE101" s="352">
        <f t="shared" si="34"/>
        <v>10.703446950992261</v>
      </c>
      <c r="AF101" s="352">
        <f t="shared" si="34"/>
        <v>2.8432378500791433</v>
      </c>
      <c r="AG101" s="352">
        <f t="shared" si="34"/>
        <v>6.1261846669515521</v>
      </c>
      <c r="AH101" s="400">
        <f t="shared" si="51"/>
        <v>25.89815217470192</v>
      </c>
      <c r="AJ101" s="352">
        <f>D101*('Assumptions-Output Override'!$D$10/'Winners-Losers Values PMPM'!$H$107)*(1+'Assumptions-Output Override'!$F$41)</f>
        <v>726.05259781039024</v>
      </c>
      <c r="AK101" s="352">
        <f>E101*('Assumptions-Output Override'!$D$10/'Winners-Losers Values PMPM'!$H$107)*(1+'Assumptions-Output Override'!$F$37)</f>
        <v>1451.5172223276543</v>
      </c>
      <c r="AL101" s="352">
        <f>F101*('Assumptions-Output Override'!$D$10/'Winners-Losers Values PMPM'!$H$107)*(1+'Assumptions-Output Override'!$F$38)</f>
        <v>326.72796567381351</v>
      </c>
      <c r="AM101" s="352">
        <f>G101*('Shoppable Detail'!$X$21/'Shoppable Detail'!$H$21)*('Assumptions-Output Override'!$D$10/'Winners-Losers Values PMPM'!$H$107)*(1+'Assumptions-Output Override'!$F$39)</f>
        <v>12.822243531272832</v>
      </c>
      <c r="AN101" s="352">
        <f t="shared" si="52"/>
        <v>2517.1200293431311</v>
      </c>
      <c r="AO101" s="352">
        <v>0</v>
      </c>
      <c r="AP101" s="352">
        <f>U101*'Assumptions-Output Override'!$D$10/'Winners-Losers Values PMPM'!$H$107*(1+'Assumptions-Output Override'!$F$37)</f>
        <v>263.05901185515393</v>
      </c>
      <c r="AQ101" s="352">
        <f>AH101*'Assumptions-Output Override'!$D$10/'Winners-Losers Values PMPM'!$H$107*(1+'Assumptions-Output Override'!$F$38)</f>
        <v>43.504906281208406</v>
      </c>
      <c r="AR101" s="352">
        <f>AM101*('Shoppable Detail'!$AA$23/'Shoppable Detail'!$Y$23)</f>
        <v>0.42843141910240867</v>
      </c>
      <c r="AS101" s="352">
        <f t="shared" si="53"/>
        <v>306.99234955546473</v>
      </c>
      <c r="AT101" s="352">
        <f t="shared" si="54"/>
        <v>726.05259781039024</v>
      </c>
      <c r="AU101" s="352">
        <f t="shared" si="54"/>
        <v>1188.4582104725005</v>
      </c>
      <c r="AV101" s="352">
        <f t="shared" si="54"/>
        <v>283.22305939260514</v>
      </c>
      <c r="AW101" s="352">
        <f t="shared" si="37"/>
        <v>12.393812112170423</v>
      </c>
      <c r="AX101" s="352">
        <f t="shared" si="55"/>
        <v>2210.1276797876662</v>
      </c>
      <c r="AY101" s="352">
        <f>AT101*'Assumptions-Output Override'!$D$24</f>
        <v>221.19622351154152</v>
      </c>
      <c r="AZ101" s="352">
        <f>$AU$107*'Assumptions-Output Override'!$D$21</f>
        <v>46.041131296780591</v>
      </c>
      <c r="BA101" s="352">
        <f>AV101*'Assumptions-Output Override'!$D$22</f>
        <v>42.483458908890768</v>
      </c>
      <c r="BB101" s="352">
        <f>AW101*'Assumptions-Output Override'!$D$23</f>
        <v>1.8590718168255633</v>
      </c>
      <c r="BC101" s="352">
        <f t="shared" si="56"/>
        <v>311.57988553403845</v>
      </c>
      <c r="BD101" s="352">
        <f t="shared" si="57"/>
        <v>221.19622351154152</v>
      </c>
      <c r="BE101" s="352">
        <f t="shared" si="57"/>
        <v>309.1001431519345</v>
      </c>
      <c r="BF101" s="352">
        <f t="shared" si="57"/>
        <v>85.988365190099174</v>
      </c>
      <c r="BG101" s="352">
        <f t="shared" si="38"/>
        <v>2.2875032359279719</v>
      </c>
      <c r="BH101" s="352">
        <f t="shared" si="58"/>
        <v>618.57223508950312</v>
      </c>
      <c r="BJ101" s="401">
        <f>D101*'Assumptions-Output Override'!$D$10/'Winners-Losers Values PMPM'!$H$107</f>
        <v>1027.6791244615558</v>
      </c>
      <c r="BK101" s="401">
        <f>E101*'Assumptions-Output Override'!$D$10/'Winners-Losers Values PMPM'!$H$107</f>
        <v>1490.0587170065753</v>
      </c>
      <c r="BL101" s="401">
        <f>F101*'Assumptions-Output Override'!$D$10/'Winners-Losers Values PMPM'!$H$107</f>
        <v>328.60144988855922</v>
      </c>
      <c r="BM101" s="401">
        <f>G101*'Assumptions-Output Override'!$D$10/'Winners-Losers Values PMPM'!$H$107</f>
        <v>12.632963242393799</v>
      </c>
      <c r="BN101" s="401">
        <f t="shared" si="39"/>
        <v>2858.9722545990844</v>
      </c>
      <c r="BO101" s="401">
        <f>BJ101*(1-'Assumptions-Output Override'!$D$11)</f>
        <v>146.46460529317125</v>
      </c>
      <c r="BP101" s="401">
        <f>BK101*(1-'Assumptions-Output Override'!$D$11)</f>
        <v>212.36284425293036</v>
      </c>
      <c r="BQ101" s="401">
        <f>BL101*(1-'Assumptions-Output Override'!$D$11)</f>
        <v>46.832207165741686</v>
      </c>
      <c r="BR101" s="401">
        <f>BM101*(1-'Assumptions-Output Override'!$D$11)</f>
        <v>1.8004471735764693</v>
      </c>
      <c r="BS101" s="352">
        <f t="shared" si="40"/>
        <v>407.46010388541976</v>
      </c>
      <c r="BT101" s="352">
        <f t="shared" si="59"/>
        <v>881.21451916838464</v>
      </c>
      <c r="BU101" s="352">
        <f t="shared" si="59"/>
        <v>1277.6958727536448</v>
      </c>
      <c r="BV101" s="352">
        <f t="shared" si="59"/>
        <v>281.76924272281752</v>
      </c>
      <c r="BW101" s="352">
        <f t="shared" si="41"/>
        <v>10.832516068817331</v>
      </c>
      <c r="BX101" s="352">
        <f t="shared" si="42"/>
        <v>2451.5121507136646</v>
      </c>
      <c r="BY101" s="352">
        <f>BT$107*(1-'Assumptions-Output Override'!$D$12)</f>
        <v>22.753074310428271</v>
      </c>
      <c r="BZ101" s="352">
        <f>BU$107*(1-'Assumptions-Output Override'!$D$12)</f>
        <v>51.446038369839215</v>
      </c>
      <c r="CA101" s="352">
        <f>BV$107*(1-'Assumptions-Output Override'!$D$12)</f>
        <v>9.7401900534537411</v>
      </c>
      <c r="CB101" s="352">
        <f>BW$107*(1-'Assumptions-Output Override'!$D$12)</f>
        <v>1.7000814189516649</v>
      </c>
      <c r="CC101" s="352">
        <f t="shared" si="43"/>
        <v>85.639384152672903</v>
      </c>
      <c r="CD101" s="352">
        <f t="shared" si="60"/>
        <v>169.21767960359952</v>
      </c>
      <c r="CE101" s="352">
        <f t="shared" si="60"/>
        <v>263.8088826227696</v>
      </c>
      <c r="CF101" s="352">
        <f t="shared" si="60"/>
        <v>56.572397219195423</v>
      </c>
      <c r="CG101" s="352">
        <f t="shared" si="44"/>
        <v>3.5005285925281342</v>
      </c>
      <c r="CH101" s="352">
        <f t="shared" si="45"/>
        <v>493.09948803809272</v>
      </c>
      <c r="CJ101" s="352">
        <f t="shared" si="61"/>
        <v>493.09948803809272</v>
      </c>
      <c r="CK101" s="352">
        <f t="shared" si="62"/>
        <v>618.57223508950312</v>
      </c>
      <c r="CL101" s="352">
        <f t="shared" si="63"/>
        <v>-125.47274705141041</v>
      </c>
      <c r="CN101" s="352">
        <f t="shared" si="64"/>
        <v>608.28192127169712</v>
      </c>
      <c r="CO101" s="352">
        <f t="shared" si="64"/>
        <v>881.96379357543901</v>
      </c>
      <c r="CP101" s="352">
        <f t="shared" si="64"/>
        <v>194.49876572670951</v>
      </c>
      <c r="CQ101" s="352">
        <f t="shared" si="46"/>
        <v>7.4774343173159314</v>
      </c>
      <c r="CR101" s="352">
        <f t="shared" si="69"/>
        <v>1692.2219148911618</v>
      </c>
      <c r="CT101" s="352">
        <f t="shared" si="71"/>
        <v>-419.39720318985871</v>
      </c>
      <c r="CU101" s="352">
        <f t="shared" si="71"/>
        <v>-608.09492343113629</v>
      </c>
      <c r="CV101" s="352">
        <f t="shared" si="71"/>
        <v>-134.10268416184971</v>
      </c>
      <c r="CW101" s="352">
        <f t="shared" si="70"/>
        <v>-5.155528925077868</v>
      </c>
      <c r="CX101" s="352">
        <f t="shared" si="47"/>
        <v>-1166.7503397079224</v>
      </c>
      <c r="CZ101" s="352">
        <f t="shared" si="65"/>
        <v>-51.978543907941997</v>
      </c>
      <c r="DA101" s="352">
        <f t="shared" si="65"/>
        <v>-45.291260529164902</v>
      </c>
      <c r="DB101" s="352">
        <f t="shared" si="65"/>
        <v>-29.41596797090375</v>
      </c>
      <c r="DC101" s="352">
        <f t="shared" si="48"/>
        <v>1.2130253566001623</v>
      </c>
      <c r="DD101" s="352">
        <f t="shared" si="66"/>
        <v>-125.47274705141049</v>
      </c>
      <c r="DF101" s="352">
        <f t="shared" si="67"/>
        <v>221.19622351154152</v>
      </c>
      <c r="DG101" s="352">
        <f t="shared" si="67"/>
        <v>309.1001431519345</v>
      </c>
      <c r="DH101" s="352">
        <f t="shared" si="67"/>
        <v>85.988365190099174</v>
      </c>
      <c r="DI101" s="352">
        <f t="shared" si="49"/>
        <v>2.2875032359279719</v>
      </c>
      <c r="DJ101" s="352">
        <f t="shared" si="68"/>
        <v>618.57223508950312</v>
      </c>
    </row>
    <row r="102" spans="1:114" x14ac:dyDescent="0.2">
      <c r="A102">
        <v>97</v>
      </c>
      <c r="B102" s="397">
        <v>34308</v>
      </c>
      <c r="C102" s="398">
        <v>397997.79676138877</v>
      </c>
      <c r="D102" s="399">
        <v>752.83686930817942</v>
      </c>
      <c r="E102" s="399">
        <v>1108.550987481028</v>
      </c>
      <c r="F102" s="399">
        <v>240.46524324405368</v>
      </c>
      <c r="G102" s="399">
        <v>12.851570187390207</v>
      </c>
      <c r="H102" s="399">
        <v>2114.7046702206517</v>
      </c>
      <c r="I102" s="400">
        <v>4.9616435099255431E-2</v>
      </c>
      <c r="J102" s="400">
        <v>0.4607500606010192</v>
      </c>
      <c r="K102" s="400">
        <v>3.1879573463083323E-2</v>
      </c>
      <c r="L102" s="400">
        <v>1.344729796805721</v>
      </c>
      <c r="M102" s="400">
        <v>1.0902348292650179</v>
      </c>
      <c r="N102" s="400">
        <v>1.1839885140934963</v>
      </c>
      <c r="O102" s="399">
        <f t="shared" si="35"/>
        <v>12.404108774813858</v>
      </c>
      <c r="P102" s="399">
        <f t="shared" si="35"/>
        <v>0</v>
      </c>
      <c r="Q102" s="399">
        <f t="shared" si="35"/>
        <v>31.879573463083322</v>
      </c>
      <c r="R102" s="399">
        <f t="shared" si="33"/>
        <v>27.919906269611769</v>
      </c>
      <c r="S102" s="399">
        <f t="shared" si="33"/>
        <v>32.707044877950537</v>
      </c>
      <c r="T102" s="399">
        <f t="shared" si="33"/>
        <v>71.039310845609776</v>
      </c>
      <c r="U102" s="399">
        <f t="shared" si="50"/>
        <v>175.94994423106925</v>
      </c>
      <c r="V102" s="400">
        <v>1.1130606889730041E-2</v>
      </c>
      <c r="W102" s="400">
        <v>7.5861945585755625E-2</v>
      </c>
      <c r="X102" s="400">
        <v>4.8869617264893656E-3</v>
      </c>
      <c r="Y102" s="400">
        <v>0.32031861493699582</v>
      </c>
      <c r="Z102" s="400">
        <v>0.10525987917747065</v>
      </c>
      <c r="AA102" s="400">
        <v>0.10939447492998372</v>
      </c>
      <c r="AB102" s="352">
        <f t="shared" si="36"/>
        <v>2.7826517224325102</v>
      </c>
      <c r="AC102" s="352">
        <f t="shared" si="36"/>
        <v>0</v>
      </c>
      <c r="AD102" s="352">
        <f t="shared" si="36"/>
        <v>4.8869617264893659</v>
      </c>
      <c r="AE102" s="352">
        <f t="shared" si="34"/>
        <v>11.35479381117233</v>
      </c>
      <c r="AF102" s="352">
        <f t="shared" si="34"/>
        <v>3.1577963753241196</v>
      </c>
      <c r="AG102" s="352">
        <f t="shared" si="34"/>
        <v>6.563668495799023</v>
      </c>
      <c r="AH102" s="400">
        <f t="shared" si="51"/>
        <v>28.745872131217347</v>
      </c>
      <c r="AJ102" s="352">
        <f>D102*('Assumptions-Output Override'!$D$10/'Winners-Losers Values PMPM'!$H$107)*(1+'Assumptions-Output Override'!$F$41)</f>
        <v>898.59511778009778</v>
      </c>
      <c r="AK102" s="352">
        <f>E102*('Assumptions-Output Override'!$D$10/'Winners-Losers Values PMPM'!$H$107)*(1+'Assumptions-Output Override'!$F$37)</f>
        <v>1824.4295988998635</v>
      </c>
      <c r="AL102" s="352">
        <f>F102*('Assumptions-Output Override'!$D$10/'Winners-Losers Values PMPM'!$H$107)*(1+'Assumptions-Output Override'!$F$38)</f>
        <v>403.94456718960674</v>
      </c>
      <c r="AM102" s="352">
        <f>G102*('Shoppable Detail'!$X$21/'Shoppable Detail'!$H$21)*('Assumptions-Output Override'!$D$10/'Winners-Losers Values PMPM'!$H$107)*(1+'Assumptions-Output Override'!$F$39)</f>
        <v>22.037767997554774</v>
      </c>
      <c r="AN102" s="352">
        <f t="shared" si="52"/>
        <v>3149.0070518671232</v>
      </c>
      <c r="AO102" s="352">
        <v>0</v>
      </c>
      <c r="AP102" s="352">
        <f>U102*'Assumptions-Output Override'!$D$10/'Winners-Losers Values PMPM'!$H$107*(1+'Assumptions-Output Override'!$F$37)</f>
        <v>289.57466982134355</v>
      </c>
      <c r="AQ102" s="352">
        <f>AH102*'Assumptions-Output Override'!$D$10/'Winners-Losers Values PMPM'!$H$107*(1+'Assumptions-Output Override'!$F$38)</f>
        <v>48.288637143070808</v>
      </c>
      <c r="AR102" s="352">
        <f>AM102*('Shoppable Detail'!$AA$23/'Shoppable Detail'!$Y$23)</f>
        <v>0.73635102889866788</v>
      </c>
      <c r="AS102" s="352">
        <f t="shared" si="53"/>
        <v>338.59965799331303</v>
      </c>
      <c r="AT102" s="352">
        <f t="shared" si="54"/>
        <v>898.59511778009778</v>
      </c>
      <c r="AU102" s="352">
        <f t="shared" si="54"/>
        <v>1534.8549290785199</v>
      </c>
      <c r="AV102" s="352">
        <f t="shared" si="54"/>
        <v>355.65593004653596</v>
      </c>
      <c r="AW102" s="352">
        <f t="shared" si="37"/>
        <v>21.301416968656106</v>
      </c>
      <c r="AX102" s="352">
        <f t="shared" si="55"/>
        <v>2810.4073938738097</v>
      </c>
      <c r="AY102" s="352">
        <f>AT102*'Assumptions-Output Override'!$D$24</f>
        <v>273.76232399456893</v>
      </c>
      <c r="AZ102" s="352">
        <f>$AU$107*'Assumptions-Output Override'!$D$21</f>
        <v>46.041131296780591</v>
      </c>
      <c r="BA102" s="352">
        <f>AV102*'Assumptions-Output Override'!$D$22</f>
        <v>53.348389506980389</v>
      </c>
      <c r="BB102" s="352">
        <f>AW102*'Assumptions-Output Override'!$D$23</f>
        <v>3.1952125452984159</v>
      </c>
      <c r="BC102" s="352">
        <f t="shared" si="56"/>
        <v>376.34705734362831</v>
      </c>
      <c r="BD102" s="352">
        <f t="shared" si="57"/>
        <v>273.76232399456893</v>
      </c>
      <c r="BE102" s="352">
        <f t="shared" si="57"/>
        <v>335.61580111812412</v>
      </c>
      <c r="BF102" s="352">
        <f t="shared" si="57"/>
        <v>101.6370266500512</v>
      </c>
      <c r="BG102" s="352">
        <f t="shared" si="38"/>
        <v>3.9315635741970838</v>
      </c>
      <c r="BH102" s="352">
        <f t="shared" si="58"/>
        <v>714.94671533694134</v>
      </c>
      <c r="BJ102" s="401">
        <f>D102*'Assumptions-Output Override'!$D$10/'Winners-Losers Values PMPM'!$H$107</f>
        <v>1271.9015766497466</v>
      </c>
      <c r="BK102" s="401">
        <f>E102*'Assumptions-Output Override'!$D$10/'Winners-Losers Values PMPM'!$H$107</f>
        <v>1872.8728709440666</v>
      </c>
      <c r="BL102" s="401">
        <f>F102*'Assumptions-Output Override'!$D$10/'Winners-Losers Values PMPM'!$H$107</f>
        <v>406.26081755618094</v>
      </c>
      <c r="BM102" s="401">
        <f>G102*'Assumptions-Output Override'!$D$10/'Winners-Losers Values PMPM'!$H$107</f>
        <v>21.712449336849833</v>
      </c>
      <c r="BN102" s="401">
        <f>SUM(BJ102:BM102)</f>
        <v>3572.747714486844</v>
      </c>
      <c r="BO102" s="401">
        <f>BJ102*(1-'Assumptions-Output Override'!$D$11)</f>
        <v>181.27113605948912</v>
      </c>
      <c r="BP102" s="401">
        <f>BK102*(1-'Assumptions-Output Override'!$D$11)</f>
        <v>266.92143420820526</v>
      </c>
      <c r="BQ102" s="401">
        <f>BL102*(1-'Assumptions-Output Override'!$D$11)</f>
        <v>57.900203354449886</v>
      </c>
      <c r="BR102" s="401">
        <f>BM102*(1-'Assumptions-Output Override'!$D$11)</f>
        <v>3.094453556927002</v>
      </c>
      <c r="BS102" s="352">
        <f>SUM(BO102:BR102)</f>
        <v>509.18722717907127</v>
      </c>
      <c r="BT102" s="352">
        <f t="shared" si="59"/>
        <v>1090.6304405902574</v>
      </c>
      <c r="BU102" s="352">
        <f t="shared" si="59"/>
        <v>1605.9514367358613</v>
      </c>
      <c r="BV102" s="352">
        <f t="shared" si="59"/>
        <v>348.36061420173104</v>
      </c>
      <c r="BW102" s="352">
        <f t="shared" si="41"/>
        <v>18.617995779922829</v>
      </c>
      <c r="BX102" s="352">
        <f>SUM(BT102:BW102)</f>
        <v>3063.5604873077727</v>
      </c>
      <c r="BY102" s="352">
        <f>BT$107*(1-'Assumptions-Output Override'!$D$12)</f>
        <v>22.753074310428271</v>
      </c>
      <c r="BZ102" s="352">
        <f>BU$107*(1-'Assumptions-Output Override'!$D$12)</f>
        <v>51.446038369839215</v>
      </c>
      <c r="CA102" s="352">
        <f>BV$107*(1-'Assumptions-Output Override'!$D$12)</f>
        <v>9.7401900534537411</v>
      </c>
      <c r="CB102" s="352">
        <f>BW$107*(1-'Assumptions-Output Override'!$D$12)</f>
        <v>1.7000814189516649</v>
      </c>
      <c r="CC102" s="352">
        <f>SUM(BY102:CB102)</f>
        <v>85.639384152672903</v>
      </c>
      <c r="CD102" s="352">
        <f t="shared" si="60"/>
        <v>204.0242103699174</v>
      </c>
      <c r="CE102" s="352">
        <f t="shared" si="60"/>
        <v>318.3674725780445</v>
      </c>
      <c r="CF102" s="352">
        <f t="shared" si="60"/>
        <v>67.64039340790363</v>
      </c>
      <c r="CG102" s="352">
        <f t="shared" si="44"/>
        <v>4.7945349758786673</v>
      </c>
      <c r="CH102" s="352">
        <f>SUM(CD102:CG102)</f>
        <v>594.82661133174429</v>
      </c>
      <c r="CJ102" s="352">
        <f t="shared" si="61"/>
        <v>594.82661133174429</v>
      </c>
      <c r="CK102" s="352">
        <f t="shared" si="62"/>
        <v>714.94671533694134</v>
      </c>
      <c r="CL102" s="352">
        <f t="shared" si="63"/>
        <v>-120.12010400519705</v>
      </c>
      <c r="CN102" s="352">
        <f t="shared" si="64"/>
        <v>752.83686930817942</v>
      </c>
      <c r="CO102" s="352">
        <f t="shared" si="64"/>
        <v>1108.550987481028</v>
      </c>
      <c r="CP102" s="352">
        <f t="shared" si="64"/>
        <v>240.46524324405368</v>
      </c>
      <c r="CQ102" s="352">
        <f t="shared" si="46"/>
        <v>12.851570187390207</v>
      </c>
      <c r="CR102" s="352">
        <f t="shared" si="69"/>
        <v>2114.7046702206517</v>
      </c>
      <c r="CT102" s="352">
        <f t="shared" si="71"/>
        <v>-519.06470734156721</v>
      </c>
      <c r="CU102" s="352">
        <f t="shared" si="71"/>
        <v>-764.3218834630386</v>
      </c>
      <c r="CV102" s="352">
        <f t="shared" si="71"/>
        <v>-165.79557431212726</v>
      </c>
      <c r="CW102" s="352">
        <f t="shared" si="70"/>
        <v>-8.8608791494596257</v>
      </c>
      <c r="CX102" s="352">
        <f t="shared" si="47"/>
        <v>-1458.0430442661927</v>
      </c>
      <c r="CZ102" s="352">
        <f t="shared" si="65"/>
        <v>-69.738113624651533</v>
      </c>
      <c r="DA102" s="352">
        <f t="shared" si="65"/>
        <v>-17.248328540079626</v>
      </c>
      <c r="DB102" s="352">
        <f t="shared" si="65"/>
        <v>-33.996633242147567</v>
      </c>
      <c r="DC102" s="352">
        <f t="shared" si="48"/>
        <v>0.86297140168158348</v>
      </c>
      <c r="DD102" s="352">
        <f t="shared" si="66"/>
        <v>-120.12010400519715</v>
      </c>
      <c r="DF102" s="352">
        <f t="shared" si="67"/>
        <v>273.76232399456893</v>
      </c>
      <c r="DG102" s="352">
        <f t="shared" si="67"/>
        <v>335.61580111812412</v>
      </c>
      <c r="DH102" s="352">
        <f t="shared" si="67"/>
        <v>101.6370266500512</v>
      </c>
      <c r="DI102" s="352">
        <f t="shared" si="49"/>
        <v>3.9315635741970838</v>
      </c>
      <c r="DJ102" s="352">
        <f t="shared" si="68"/>
        <v>714.94671533694134</v>
      </c>
    </row>
    <row r="103" spans="1:114" x14ac:dyDescent="0.2">
      <c r="A103">
        <v>98</v>
      </c>
      <c r="B103" s="397">
        <v>34308</v>
      </c>
      <c r="C103" s="398">
        <v>397997.79676138877</v>
      </c>
      <c r="D103" s="399">
        <v>977.54886388484999</v>
      </c>
      <c r="E103" s="399">
        <v>1472.6473294789826</v>
      </c>
      <c r="F103" s="399">
        <v>318.31515018456889</v>
      </c>
      <c r="G103" s="399">
        <v>46.996521035727483</v>
      </c>
      <c r="H103" s="399">
        <v>2815.5078645841295</v>
      </c>
      <c r="I103" s="400">
        <v>5.7614498145729602E-2</v>
      </c>
      <c r="J103" s="400">
        <v>0.53170963446163222</v>
      </c>
      <c r="K103" s="400">
        <v>4.3844463818632093E-2</v>
      </c>
      <c r="L103" s="400">
        <v>1.4775039950743245</v>
      </c>
      <c r="M103" s="400">
        <v>1.2141861686981208</v>
      </c>
      <c r="N103" s="400">
        <v>1.3005753403964893</v>
      </c>
      <c r="O103" s="399">
        <f t="shared" si="35"/>
        <v>14.403624536432401</v>
      </c>
      <c r="P103" s="399">
        <f t="shared" si="35"/>
        <v>0</v>
      </c>
      <c r="Q103" s="399">
        <f t="shared" si="35"/>
        <v>43.844463818632093</v>
      </c>
      <c r="R103" s="399">
        <f t="shared" si="33"/>
        <v>30.676626005790734</v>
      </c>
      <c r="S103" s="399">
        <f t="shared" si="33"/>
        <v>36.425585060943625</v>
      </c>
      <c r="T103" s="399">
        <f t="shared" si="33"/>
        <v>78.03452042378936</v>
      </c>
      <c r="U103" s="399">
        <f t="shared" si="50"/>
        <v>203.38481984558823</v>
      </c>
      <c r="V103" s="400">
        <v>1.1783668710588731E-2</v>
      </c>
      <c r="W103" s="400">
        <v>9.7715926898976832E-2</v>
      </c>
      <c r="X103" s="400">
        <v>6.9799381368573039E-3</v>
      </c>
      <c r="Y103" s="400">
        <v>0.3484055208532108</v>
      </c>
      <c r="Z103" s="400">
        <v>0.11985985949717383</v>
      </c>
      <c r="AA103" s="400">
        <v>0.12631728217868432</v>
      </c>
      <c r="AB103" s="352">
        <f t="shared" si="36"/>
        <v>2.9459171776471829</v>
      </c>
      <c r="AC103" s="352">
        <f t="shared" si="36"/>
        <v>0</v>
      </c>
      <c r="AD103" s="352">
        <f t="shared" si="36"/>
        <v>6.9799381368573039</v>
      </c>
      <c r="AE103" s="352">
        <f t="shared" si="34"/>
        <v>12.350430688333361</v>
      </c>
      <c r="AF103" s="352">
        <f t="shared" si="34"/>
        <v>3.5957957849152149</v>
      </c>
      <c r="AG103" s="352">
        <f t="shared" si="34"/>
        <v>7.5790369307210597</v>
      </c>
      <c r="AH103" s="400">
        <f t="shared" si="51"/>
        <v>33.45111871847412</v>
      </c>
      <c r="AJ103" s="352">
        <f>D103*('Assumptions-Output Override'!$D$10/'Winners-Losers Values PMPM'!$H$107)*(1+'Assumptions-Output Override'!$F$41)</f>
        <v>1166.8140500154218</v>
      </c>
      <c r="AK103" s="352">
        <f>E103*('Assumptions-Output Override'!$D$10/'Winners-Losers Values PMPM'!$H$107)*(1+'Assumptions-Output Override'!$F$37)</f>
        <v>2423.6516019415631</v>
      </c>
      <c r="AL103" s="352">
        <f>F103*('Assumptions-Output Override'!$D$10/'Winners-Losers Values PMPM'!$H$107)*(1+'Assumptions-Output Override'!$F$38)</f>
        <v>534.72041878709206</v>
      </c>
      <c r="AM103" s="352">
        <f>G103*('Shoppable Detail'!$X$21/'Shoppable Detail'!$H$21)*('Assumptions-Output Override'!$D$10/'Winners-Losers Values PMPM'!$H$107)*(1+'Assumptions-Output Override'!$F$39)</f>
        <v>80.589251910539204</v>
      </c>
      <c r="AN103" s="352">
        <f t="shared" si="52"/>
        <v>4205.7753226546165</v>
      </c>
      <c r="AO103" s="352">
        <v>0</v>
      </c>
      <c r="AP103" s="352">
        <f>U103*'Assumptions-Output Override'!$D$10/'Winners-Losers Values PMPM'!$H$107*(1+'Assumptions-Output Override'!$F$37)</f>
        <v>334.72640364190551</v>
      </c>
      <c r="AQ103" s="352">
        <f>AH103*'Assumptions-Output Override'!$D$10/'Winners-Losers Values PMPM'!$H$107*(1+'Assumptions-Output Override'!$F$38)</f>
        <v>56.192726609675304</v>
      </c>
      <c r="AR103" s="352">
        <f>AM103*('Shoppable Detail'!$AA$23/'Shoppable Detail'!$Y$23)</f>
        <v>2.6927399620997843</v>
      </c>
      <c r="AS103" s="352">
        <f t="shared" si="53"/>
        <v>393.61187021368056</v>
      </c>
      <c r="AT103" s="352">
        <f t="shared" si="54"/>
        <v>1166.8140500154218</v>
      </c>
      <c r="AU103" s="352">
        <f t="shared" si="54"/>
        <v>2088.9251982996575</v>
      </c>
      <c r="AV103" s="352">
        <f t="shared" si="54"/>
        <v>478.52769217741672</v>
      </c>
      <c r="AW103" s="352">
        <f t="shared" si="37"/>
        <v>77.896511948439425</v>
      </c>
      <c r="AX103" s="352">
        <f t="shared" si="55"/>
        <v>3812.1634524409355</v>
      </c>
      <c r="AY103" s="352">
        <f>AT103*'Assumptions-Output Override'!$D$24</f>
        <v>355.47681005752713</v>
      </c>
      <c r="AZ103" s="352">
        <f>$AU$107*'Assumptions-Output Override'!$D$21</f>
        <v>46.041131296780591</v>
      </c>
      <c r="BA103" s="352">
        <f>AV103*'Assumptions-Output Override'!$D$22</f>
        <v>71.7791538266125</v>
      </c>
      <c r="BB103" s="352">
        <f>AW103*'Assumptions-Output Override'!$D$23</f>
        <v>11.684476792265913</v>
      </c>
      <c r="BC103" s="352">
        <f t="shared" si="56"/>
        <v>484.98157197318613</v>
      </c>
      <c r="BD103" s="352">
        <f t="shared" si="57"/>
        <v>355.47681005752713</v>
      </c>
      <c r="BE103" s="352">
        <f t="shared" si="57"/>
        <v>380.76753493868608</v>
      </c>
      <c r="BF103" s="352">
        <f t="shared" si="57"/>
        <v>127.9718804362878</v>
      </c>
      <c r="BG103" s="352">
        <f t="shared" si="38"/>
        <v>14.377216754365698</v>
      </c>
      <c r="BH103" s="352">
        <f t="shared" si="58"/>
        <v>878.5934421868667</v>
      </c>
      <c r="BJ103" s="401">
        <f>D103*'Assumptions-Output Override'!$D$10/'Winners-Losers Values PMPM'!$H$107</f>
        <v>1651.5476219567777</v>
      </c>
      <c r="BK103" s="401">
        <f>E103*'Assumptions-Output Override'!$D$10/'Winners-Losers Values PMPM'!$H$107</f>
        <v>2488.0057507473171</v>
      </c>
      <c r="BL103" s="401">
        <f>F103*'Assumptions-Output Override'!$D$10/'Winners-Losers Values PMPM'!$H$107</f>
        <v>537.78654831730796</v>
      </c>
      <c r="BM103" s="401">
        <f>G103*'Assumptions-Output Override'!$D$10/'Winners-Losers Values PMPM'!$H$107</f>
        <v>79.399603870789491</v>
      </c>
      <c r="BN103" s="401">
        <f>SUM(BJ103:BM103)</f>
        <v>4756.7395248921921</v>
      </c>
      <c r="BO103" s="401">
        <f>BJ103*(1-'Assumptions-Output Override'!$D$11)</f>
        <v>235.37820786182951</v>
      </c>
      <c r="BP103" s="401">
        <f>BK103*(1-'Assumptions-Output Override'!$D$11)</f>
        <v>354.5900384434421</v>
      </c>
      <c r="BQ103" s="401">
        <f>BL103*(1-'Assumptions-Output Override'!$D$11)</f>
        <v>76.645221895054704</v>
      </c>
      <c r="BR103" s="401">
        <f>BM103*(1-'Assumptions-Output Override'!$D$11)</f>
        <v>11.316014273874034</v>
      </c>
      <c r="BS103" s="352">
        <f>SUM(BO103:BR103)</f>
        <v>677.92948247420031</v>
      </c>
      <c r="BT103" s="352">
        <f t="shared" si="59"/>
        <v>1416.1694140949483</v>
      </c>
      <c r="BU103" s="352">
        <f t="shared" si="59"/>
        <v>2133.4157123038749</v>
      </c>
      <c r="BV103" s="352">
        <f t="shared" si="59"/>
        <v>461.14132642225326</v>
      </c>
      <c r="BW103" s="352">
        <f t="shared" si="41"/>
        <v>68.083589596915459</v>
      </c>
      <c r="BX103" s="352">
        <f>SUM(BT103:BW103)</f>
        <v>4078.810042417992</v>
      </c>
      <c r="BY103" s="352">
        <f>BT$107*(1-'Assumptions-Output Override'!$D$12)</f>
        <v>22.753074310428271</v>
      </c>
      <c r="BZ103" s="352">
        <f>BU$107*(1-'Assumptions-Output Override'!$D$12)</f>
        <v>51.446038369839215</v>
      </c>
      <c r="CA103" s="352">
        <f>BV$107*(1-'Assumptions-Output Override'!$D$12)</f>
        <v>9.7401900534537411</v>
      </c>
      <c r="CB103" s="352">
        <f>BW$107*(1-'Assumptions-Output Override'!$D$12)</f>
        <v>1.7000814189516649</v>
      </c>
      <c r="CC103" s="352">
        <f>SUM(BY103:CB103)</f>
        <v>85.639384152672903</v>
      </c>
      <c r="CD103" s="352">
        <f t="shared" si="60"/>
        <v>258.13128217225778</v>
      </c>
      <c r="CE103" s="352">
        <f t="shared" si="60"/>
        <v>406.03607681328128</v>
      </c>
      <c r="CF103" s="352">
        <f t="shared" si="60"/>
        <v>86.385411948508448</v>
      </c>
      <c r="CG103" s="352">
        <f t="shared" si="44"/>
        <v>13.016095692825699</v>
      </c>
      <c r="CH103" s="352">
        <f>SUM(CD103:CG103)</f>
        <v>763.56886662687327</v>
      </c>
      <c r="CJ103" s="352">
        <f t="shared" si="61"/>
        <v>763.56886662687327</v>
      </c>
      <c r="CK103" s="352">
        <f t="shared" si="62"/>
        <v>878.5934421868667</v>
      </c>
      <c r="CL103" s="352">
        <f t="shared" si="63"/>
        <v>-115.02457555999342</v>
      </c>
      <c r="CN103" s="352">
        <f t="shared" si="64"/>
        <v>977.54886388484999</v>
      </c>
      <c r="CO103" s="352">
        <f t="shared" si="64"/>
        <v>1472.6473294789826</v>
      </c>
      <c r="CP103" s="352">
        <f t="shared" si="64"/>
        <v>318.31515018456889</v>
      </c>
      <c r="CQ103" s="352">
        <f t="shared" si="46"/>
        <v>46.996521035727483</v>
      </c>
      <c r="CR103" s="352">
        <f t="shared" si="69"/>
        <v>2815.5078645841295</v>
      </c>
      <c r="CT103" s="352">
        <f t="shared" si="71"/>
        <v>-673.99875807192768</v>
      </c>
      <c r="CU103" s="352">
        <f t="shared" si="71"/>
        <v>-1015.3584212683345</v>
      </c>
      <c r="CV103" s="352">
        <f t="shared" si="71"/>
        <v>-219.47139813273907</v>
      </c>
      <c r="CW103" s="352">
        <f t="shared" si="70"/>
        <v>-32.403082835062008</v>
      </c>
      <c r="CX103" s="352">
        <f t="shared" si="47"/>
        <v>-1941.2316603080631</v>
      </c>
      <c r="CZ103" s="352">
        <f t="shared" si="65"/>
        <v>-97.345527885269348</v>
      </c>
      <c r="DA103" s="352">
        <f t="shared" si="65"/>
        <v>25.268541874595201</v>
      </c>
      <c r="DB103" s="352">
        <f t="shared" si="65"/>
        <v>-41.586468487779356</v>
      </c>
      <c r="DC103" s="352">
        <f t="shared" si="48"/>
        <v>-1.3611210615399987</v>
      </c>
      <c r="DD103" s="352">
        <f t="shared" si="66"/>
        <v>-115.02457555999351</v>
      </c>
      <c r="DF103" s="352">
        <f t="shared" si="67"/>
        <v>355.47681005752713</v>
      </c>
      <c r="DG103" s="352">
        <f t="shared" si="67"/>
        <v>380.76753493868608</v>
      </c>
      <c r="DH103" s="352">
        <f t="shared" si="67"/>
        <v>127.9718804362878</v>
      </c>
      <c r="DI103" s="352">
        <f t="shared" si="49"/>
        <v>14.377216754365698</v>
      </c>
      <c r="DJ103" s="352">
        <f t="shared" si="68"/>
        <v>878.5934421868667</v>
      </c>
    </row>
    <row r="104" spans="1:114" x14ac:dyDescent="0.2">
      <c r="A104">
        <v>99</v>
      </c>
      <c r="B104" s="397">
        <v>34308</v>
      </c>
      <c r="C104" s="398">
        <v>397997.79676138877</v>
      </c>
      <c r="D104" s="399">
        <v>1444.5268220456414</v>
      </c>
      <c r="E104" s="399">
        <v>2136.7928527994914</v>
      </c>
      <c r="F104" s="399">
        <v>564.56229867539923</v>
      </c>
      <c r="G104" s="399">
        <v>85.589816508347894</v>
      </c>
      <c r="H104" s="399">
        <v>4231.4717900288806</v>
      </c>
      <c r="I104" s="400">
        <v>5.9417212402812156E-2</v>
      </c>
      <c r="J104" s="400">
        <v>0.68901235969433794</v>
      </c>
      <c r="K104" s="400">
        <v>6.3387285571143301E-2</v>
      </c>
      <c r="L104" s="400">
        <v>1.6332030257378374</v>
      </c>
      <c r="M104" s="400">
        <v>1.4054529058997753</v>
      </c>
      <c r="N104" s="400">
        <v>1.4936463086914846</v>
      </c>
      <c r="O104" s="399">
        <f t="shared" si="35"/>
        <v>14.854303100703039</v>
      </c>
      <c r="P104" s="399">
        <f t="shared" si="35"/>
        <v>0</v>
      </c>
      <c r="Q104" s="399">
        <f t="shared" si="35"/>
        <v>63.387285571143302</v>
      </c>
      <c r="R104" s="399">
        <f t="shared" si="33"/>
        <v>33.909321788036969</v>
      </c>
      <c r="S104" s="399">
        <f t="shared" si="33"/>
        <v>42.163587176993261</v>
      </c>
      <c r="T104" s="399">
        <f t="shared" si="33"/>
        <v>89.618778521489077</v>
      </c>
      <c r="U104" s="399">
        <f t="shared" si="50"/>
        <v>243.93327615836566</v>
      </c>
      <c r="V104" s="400">
        <v>1.4875159079292492E-2</v>
      </c>
      <c r="W104" s="400">
        <v>0.14156542763868565</v>
      </c>
      <c r="X104" s="400">
        <v>1.0238750146757925E-2</v>
      </c>
      <c r="Y104" s="400">
        <v>0.38257587216365652</v>
      </c>
      <c r="Z104" s="400">
        <v>0.14034198293186148</v>
      </c>
      <c r="AA104" s="400">
        <v>0.13944469153249325</v>
      </c>
      <c r="AB104" s="352">
        <f t="shared" si="36"/>
        <v>3.7187897698231227</v>
      </c>
      <c r="AC104" s="352">
        <f t="shared" si="36"/>
        <v>0</v>
      </c>
      <c r="AD104" s="352">
        <f t="shared" si="36"/>
        <v>10.238750146757924</v>
      </c>
      <c r="AE104" s="352">
        <f t="shared" si="34"/>
        <v>13.561716188121594</v>
      </c>
      <c r="AF104" s="352">
        <f t="shared" si="34"/>
        <v>4.2102594879558444</v>
      </c>
      <c r="AG104" s="352">
        <f t="shared" si="34"/>
        <v>8.3666814919495955</v>
      </c>
      <c r="AH104" s="400">
        <f t="shared" si="51"/>
        <v>40.096197084608079</v>
      </c>
      <c r="AJ104" s="352">
        <f>D104*('Assumptions-Output Override'!$D$10/'Winners-Losers Values PMPM'!$H$107)*(1+'Assumptions-Output Override'!$F$41)</f>
        <v>1724.2045424601131</v>
      </c>
      <c r="AK104" s="352">
        <f>E104*('Assumptions-Output Override'!$D$10/'Winners-Losers Values PMPM'!$H$107)*(1+'Assumptions-Output Override'!$F$37)</f>
        <v>3516.688155430279</v>
      </c>
      <c r="AL104" s="352">
        <f>F104*('Assumptions-Output Override'!$D$10/'Winners-Losers Values PMPM'!$H$107)*(1+'Assumptions-Output Override'!$F$38)</f>
        <v>948.37769614192666</v>
      </c>
      <c r="AM104" s="352">
        <f>G104*('Shoppable Detail'!$X$21/'Shoppable Detail'!$H$21)*('Assumptions-Output Override'!$D$10/'Winners-Losers Values PMPM'!$H$107)*(1+'Assumptions-Output Override'!$F$39)</f>
        <v>146.76872099371778</v>
      </c>
      <c r="AN104" s="352">
        <f t="shared" si="52"/>
        <v>6336.0391150260366</v>
      </c>
      <c r="AO104" s="352">
        <v>0</v>
      </c>
      <c r="AP104" s="352">
        <f>U104*'Assumptions-Output Override'!$D$10/'Winners-Losers Values PMPM'!$H$107*(1+'Assumptions-Output Override'!$F$37)</f>
        <v>401.46018920717722</v>
      </c>
      <c r="AQ104" s="352">
        <f>AH104*'Assumptions-Output Override'!$D$10/'Winners-Losers Values PMPM'!$H$107*(1+'Assumptions-Output Override'!$F$38)</f>
        <v>67.355434651538545</v>
      </c>
      <c r="AR104" s="352">
        <f>AM104*('Shoppable Detail'!$AA$23/'Shoppable Detail'!$Y$23)</f>
        <v>4.9040038322327835</v>
      </c>
      <c r="AS104" s="352">
        <f t="shared" si="53"/>
        <v>473.71962769094853</v>
      </c>
      <c r="AT104" s="352">
        <f t="shared" si="54"/>
        <v>1724.2045424601131</v>
      </c>
      <c r="AU104" s="352">
        <f t="shared" si="54"/>
        <v>3115.2279662231017</v>
      </c>
      <c r="AV104" s="352">
        <f t="shared" si="54"/>
        <v>881.02226149038813</v>
      </c>
      <c r="AW104" s="352">
        <f t="shared" si="37"/>
        <v>141.864717161485</v>
      </c>
      <c r="AX104" s="352">
        <f t="shared" si="55"/>
        <v>5862.3194873350876</v>
      </c>
      <c r="AY104" s="352">
        <f>AT104*'Assumptions-Output Override'!$D$24</f>
        <v>525.2891243744607</v>
      </c>
      <c r="AZ104" s="352">
        <f>$AU$107*'Assumptions-Output Override'!$D$21</f>
        <v>46.041131296780591</v>
      </c>
      <c r="BA104" s="352">
        <f>AV104*'Assumptions-Output Override'!$D$22</f>
        <v>132.15333922355822</v>
      </c>
      <c r="BB104" s="352">
        <f>AW104*'Assumptions-Output Override'!$D$23</f>
        <v>21.279707574222751</v>
      </c>
      <c r="BC104" s="352">
        <f t="shared" si="56"/>
        <v>724.76330246902216</v>
      </c>
      <c r="BD104" s="352">
        <f t="shared" si="57"/>
        <v>525.2891243744607</v>
      </c>
      <c r="BE104" s="352">
        <f t="shared" si="57"/>
        <v>447.5013205039578</v>
      </c>
      <c r="BF104" s="352">
        <f t="shared" si="57"/>
        <v>199.50877387509678</v>
      </c>
      <c r="BG104" s="352">
        <f t="shared" si="38"/>
        <v>26.183711406455537</v>
      </c>
      <c r="BH104" s="352">
        <f t="shared" si="58"/>
        <v>1198.4829301599709</v>
      </c>
      <c r="BJ104" s="401">
        <f>D104*'Assumptions-Output Override'!$D$10/'Winners-Losers Values PMPM'!$H$107</f>
        <v>2440.4967628127529</v>
      </c>
      <c r="BK104" s="401">
        <f>E104*'Assumptions-Output Override'!$D$10/'Winners-Losers Values PMPM'!$H$107</f>
        <v>3610.0652203007808</v>
      </c>
      <c r="BL104" s="401">
        <f>F104*'Assumptions-Output Override'!$D$10/'Winners-Losers Values PMPM'!$H$107</f>
        <v>953.81576949348243</v>
      </c>
      <c r="BM104" s="401">
        <f>G104*'Assumptions-Output Override'!$D$10/'Winners-Losers Values PMPM'!$H$107</f>
        <v>144.60214025140525</v>
      </c>
      <c r="BN104" s="401">
        <f>SUM(BJ104:BM104)</f>
        <v>7148.9798928584214</v>
      </c>
      <c r="BO104" s="401">
        <f>BJ104*(1-'Assumptions-Output Override'!$D$11)</f>
        <v>347.81906781643852</v>
      </c>
      <c r="BP104" s="401">
        <f>BK104*(1-'Assumptions-Output Override'!$D$11)</f>
        <v>514.50570999093884</v>
      </c>
      <c r="BQ104" s="401">
        <f>BL104*(1-'Assumptions-Output Override'!$D$11)</f>
        <v>135.93761600875189</v>
      </c>
      <c r="BR104" s="401">
        <f>BM104*(1-'Assumptions-Output Override'!$D$11)</f>
        <v>20.608665576978101</v>
      </c>
      <c r="BS104" s="352">
        <f>SUM(BO104:BR104)</f>
        <v>1018.8710593931073</v>
      </c>
      <c r="BT104" s="352">
        <f t="shared" si="59"/>
        <v>2092.6776949963141</v>
      </c>
      <c r="BU104" s="352">
        <f t="shared" si="59"/>
        <v>3095.5595103098422</v>
      </c>
      <c r="BV104" s="352">
        <f t="shared" si="59"/>
        <v>817.87815348473055</v>
      </c>
      <c r="BW104" s="352">
        <f t="shared" si="41"/>
        <v>123.99347467442715</v>
      </c>
      <c r="BX104" s="352">
        <f>SUM(BT104:BW104)</f>
        <v>6130.1088334653141</v>
      </c>
      <c r="BY104" s="352">
        <f>BT$107*(1-'Assumptions-Output Override'!$D$12)</f>
        <v>22.753074310428271</v>
      </c>
      <c r="BZ104" s="352">
        <f>BU$107*(1-'Assumptions-Output Override'!$D$12)</f>
        <v>51.446038369839215</v>
      </c>
      <c r="CA104" s="352">
        <f>BV$107*(1-'Assumptions-Output Override'!$D$12)</f>
        <v>9.7401900534537411</v>
      </c>
      <c r="CB104" s="352">
        <f>BW$107*(1-'Assumptions-Output Override'!$D$12)</f>
        <v>1.7000814189516649</v>
      </c>
      <c r="CC104" s="352">
        <f>SUM(BY104:CB104)</f>
        <v>85.639384152672903</v>
      </c>
      <c r="CD104" s="352">
        <f t="shared" si="60"/>
        <v>370.57214212686677</v>
      </c>
      <c r="CE104" s="352">
        <f t="shared" si="60"/>
        <v>565.95174836077808</v>
      </c>
      <c r="CF104" s="352">
        <f t="shared" si="60"/>
        <v>145.67780606220563</v>
      </c>
      <c r="CG104" s="352">
        <f t="shared" si="44"/>
        <v>22.308746995929766</v>
      </c>
      <c r="CH104" s="352">
        <f>SUM(CD104:CG104)</f>
        <v>1104.5104435457804</v>
      </c>
      <c r="CJ104" s="352">
        <f t="shared" si="61"/>
        <v>1104.5104435457804</v>
      </c>
      <c r="CK104" s="352">
        <f t="shared" si="62"/>
        <v>1198.4829301599709</v>
      </c>
      <c r="CL104" s="352">
        <f t="shared" si="63"/>
        <v>-93.97248661419053</v>
      </c>
      <c r="CN104" s="352">
        <f t="shared" si="64"/>
        <v>1444.5268220456414</v>
      </c>
      <c r="CO104" s="352">
        <f t="shared" si="64"/>
        <v>2136.7928527994914</v>
      </c>
      <c r="CP104" s="352">
        <f t="shared" si="64"/>
        <v>564.56229867539923</v>
      </c>
      <c r="CQ104" s="352">
        <f t="shared" si="46"/>
        <v>85.589816508347894</v>
      </c>
      <c r="CR104" s="352">
        <f t="shared" si="69"/>
        <v>4231.4717900288806</v>
      </c>
      <c r="CT104" s="352">
        <f t="shared" si="71"/>
        <v>-995.96994076711144</v>
      </c>
      <c r="CU104" s="352">
        <f t="shared" si="71"/>
        <v>-1473.2723675012894</v>
      </c>
      <c r="CV104" s="352">
        <f t="shared" si="71"/>
        <v>-389.2534708180832</v>
      </c>
      <c r="CW104" s="352">
        <f t="shared" si="70"/>
        <v>-59.012323743057351</v>
      </c>
      <c r="CX104" s="352">
        <f t="shared" si="47"/>
        <v>-2917.5081028295417</v>
      </c>
      <c r="CZ104" s="352">
        <f t="shared" si="65"/>
        <v>-154.71698224759393</v>
      </c>
      <c r="DA104" s="352">
        <f t="shared" si="65"/>
        <v>118.45042785682028</v>
      </c>
      <c r="DB104" s="352">
        <f t="shared" si="65"/>
        <v>-53.830967812891146</v>
      </c>
      <c r="DC104" s="352">
        <f t="shared" si="48"/>
        <v>-3.8749644105257701</v>
      </c>
      <c r="DD104" s="352">
        <f t="shared" si="66"/>
        <v>-93.972486614190558</v>
      </c>
      <c r="DF104" s="352">
        <f t="shared" si="67"/>
        <v>525.2891243744607</v>
      </c>
      <c r="DG104" s="352">
        <f t="shared" si="67"/>
        <v>447.5013205039578</v>
      </c>
      <c r="DH104" s="352">
        <f t="shared" si="67"/>
        <v>199.50877387509678</v>
      </c>
      <c r="DI104" s="352">
        <f t="shared" si="49"/>
        <v>26.183711406455537</v>
      </c>
      <c r="DJ104" s="352">
        <f t="shared" si="68"/>
        <v>1198.4829301599709</v>
      </c>
    </row>
    <row r="105" spans="1:114" x14ac:dyDescent="0.2">
      <c r="A105">
        <v>100</v>
      </c>
      <c r="B105" s="397">
        <v>34270</v>
      </c>
      <c r="C105" s="398">
        <v>397556.9690746413</v>
      </c>
      <c r="D105" s="399">
        <v>3659.3174408773698</v>
      </c>
      <c r="E105" s="399">
        <v>6643.1169977142554</v>
      </c>
      <c r="F105" s="399">
        <v>1154.3486216124106</v>
      </c>
      <c r="G105" s="399">
        <v>606.94401754499472</v>
      </c>
      <c r="H105" s="399">
        <v>12063.72707774903</v>
      </c>
      <c r="I105" s="400">
        <v>7.9112630984492768E-2</v>
      </c>
      <c r="J105" s="400">
        <v>1.6695395397908153</v>
      </c>
      <c r="K105" s="400">
        <v>0.16203212372289144</v>
      </c>
      <c r="L105" s="400">
        <v>2.0125150989624165</v>
      </c>
      <c r="M105" s="400">
        <v>2.1980993114874186</v>
      </c>
      <c r="N105" s="400">
        <v>2.42858974965855</v>
      </c>
      <c r="O105" s="399">
        <f t="shared" si="35"/>
        <v>19.778157746123192</v>
      </c>
      <c r="P105" s="399">
        <f t="shared" si="35"/>
        <v>0</v>
      </c>
      <c r="Q105" s="399">
        <f t="shared" si="35"/>
        <v>162.03212372289144</v>
      </c>
      <c r="R105" s="399">
        <f t="shared" si="33"/>
        <v>41.78477569447881</v>
      </c>
      <c r="S105" s="399">
        <f t="shared" si="33"/>
        <v>65.942979344622557</v>
      </c>
      <c r="T105" s="399">
        <f t="shared" si="33"/>
        <v>145.715384979513</v>
      </c>
      <c r="U105" s="399">
        <f t="shared" si="50"/>
        <v>435.253421487629</v>
      </c>
      <c r="V105" s="400">
        <v>1.8887702457919198E-2</v>
      </c>
      <c r="W105" s="400">
        <v>0.41353950858625216</v>
      </c>
      <c r="X105" s="400">
        <v>2.0698920255765925E-2</v>
      </c>
      <c r="Y105" s="400">
        <v>0.42084352516747781</v>
      </c>
      <c r="Z105" s="400">
        <v>0.17958573375330086</v>
      </c>
      <c r="AA105" s="400">
        <v>0.19764654153315397</v>
      </c>
      <c r="AB105" s="352">
        <f t="shared" si="36"/>
        <v>4.7219256144797992</v>
      </c>
      <c r="AC105" s="352">
        <f t="shared" si="36"/>
        <v>0</v>
      </c>
      <c r="AD105" s="352">
        <f t="shared" si="36"/>
        <v>20.698920255765923</v>
      </c>
      <c r="AE105" s="352">
        <f t="shared" si="34"/>
        <v>14.918244623352706</v>
      </c>
      <c r="AF105" s="352">
        <f t="shared" si="34"/>
        <v>5.3875720125990263</v>
      </c>
      <c r="AG105" s="352">
        <f t="shared" si="34"/>
        <v>11.858792491989238</v>
      </c>
      <c r="AH105" s="400">
        <f t="shared" si="51"/>
        <v>57.585454998186691</v>
      </c>
      <c r="AJ105" s="352">
        <f>D105*('Assumptions-Output Override'!$D$10/'Winners-Losers Values PMPM'!$H$107)*(1+'Assumptions-Output Override'!$F$41)</f>
        <v>4367.8051923807925</v>
      </c>
      <c r="AK105" s="352">
        <f>E105*('Assumptions-Output Override'!$D$10/'Winners-Losers Values PMPM'!$H$107)*(1+'Assumptions-Output Override'!$F$37)</f>
        <v>10933.100431514529</v>
      </c>
      <c r="AL105" s="352">
        <f>F105*('Assumptions-Output Override'!$D$10/'Winners-Losers Values PMPM'!$H$107)*(1+'Assumptions-Output Override'!$F$38)</f>
        <v>1939.1278675142794</v>
      </c>
      <c r="AM105" s="352">
        <f>G105*('Shoppable Detail'!$X$21/'Shoppable Detail'!$H$21)*('Assumptions-Output Override'!$D$10/'Winners-Losers Values PMPM'!$H$107)*(1+'Assumptions-Output Override'!$F$39)</f>
        <v>1040.7826632176402</v>
      </c>
      <c r="AN105" s="352">
        <f t="shared" si="52"/>
        <v>18280.816154627242</v>
      </c>
      <c r="AO105" s="352">
        <v>0</v>
      </c>
      <c r="AP105" s="352">
        <f>U105*'Assumptions-Output Override'!$D$10/'Winners-Losers Values PMPM'!$H$107*(1+'Assumptions-Output Override'!$F$37)</f>
        <v>716.33080855296089</v>
      </c>
      <c r="AQ105" s="352">
        <f>AH105*'Assumptions-Output Override'!$D$10/'Winners-Losers Values PMPM'!$H$107*(1+'Assumptions-Output Override'!$F$38)</f>
        <v>96.734693886927516</v>
      </c>
      <c r="AR105" s="352">
        <f>AM105*('Shoppable Detail'!$AA$23/'Shoppable Detail'!$Y$23)</f>
        <v>34.775816906922692</v>
      </c>
      <c r="AS105" s="352">
        <f t="shared" si="53"/>
        <v>847.84131934681113</v>
      </c>
      <c r="AT105" s="352">
        <f t="shared" si="54"/>
        <v>4367.8051923807925</v>
      </c>
      <c r="AU105" s="352">
        <f t="shared" si="54"/>
        <v>10216.769622961569</v>
      </c>
      <c r="AV105" s="352">
        <f t="shared" si="54"/>
        <v>1842.3931736273519</v>
      </c>
      <c r="AW105" s="352">
        <f t="shared" si="37"/>
        <v>1006.0068463107175</v>
      </c>
      <c r="AX105" s="352">
        <f t="shared" si="55"/>
        <v>17432.974835280431</v>
      </c>
      <c r="AY105" s="352">
        <f>AT105*'Assumptions-Output Override'!$D$24</f>
        <v>1330.6777174303877</v>
      </c>
      <c r="AZ105" s="352">
        <f>$AU$107*'Assumptions-Output Override'!$D$21</f>
        <v>46.041131296780591</v>
      </c>
      <c r="BA105" s="352">
        <f>AV105*'Assumptions-Output Override'!$D$22</f>
        <v>276.35897604410275</v>
      </c>
      <c r="BB105" s="352">
        <f>AW105*'Assumptions-Output Override'!$D$23</f>
        <v>150.90102694660763</v>
      </c>
      <c r="BC105" s="352">
        <f t="shared" si="56"/>
        <v>1803.9788517178786</v>
      </c>
      <c r="BD105" s="352">
        <f t="shared" si="57"/>
        <v>1330.6777174303877</v>
      </c>
      <c r="BE105" s="352">
        <f t="shared" si="57"/>
        <v>762.37193984974147</v>
      </c>
      <c r="BF105" s="352">
        <f t="shared" si="57"/>
        <v>373.09366993103026</v>
      </c>
      <c r="BG105" s="352">
        <f t="shared" si="38"/>
        <v>185.67684385353033</v>
      </c>
      <c r="BH105" s="352">
        <f t="shared" si="58"/>
        <v>2651.8201710646904</v>
      </c>
      <c r="BJ105" s="401">
        <f>D105*'Assumptions-Output Override'!$D$10/'Winners-Losers Values PMPM'!$H$107</f>
        <v>6182.3375186060048</v>
      </c>
      <c r="BK105" s="401">
        <f>E105*'Assumptions-Output Override'!$D$10/'Winners-Losers Values PMPM'!$H$107</f>
        <v>11223.402210662282</v>
      </c>
      <c r="BL105" s="401">
        <f>F105*'Assumptions-Output Override'!$D$10/'Winners-Losers Values PMPM'!$H$107</f>
        <v>1950.2469813699583</v>
      </c>
      <c r="BM105" s="401">
        <f>G105*'Assumptions-Output Override'!$D$10/'Winners-Losers Values PMPM'!$H$107</f>
        <v>1025.418765107793</v>
      </c>
      <c r="BN105" s="401">
        <f>SUM(BJ105:BM105)</f>
        <v>20381.405475746036</v>
      </c>
      <c r="BO105" s="401">
        <f>BJ105*(1-'Assumptions-Output Override'!$D$11)</f>
        <v>881.10539846395955</v>
      </c>
      <c r="BP105" s="401">
        <f>BK105*(1-'Assumptions-Output Override'!$D$11)</f>
        <v>1599.5568419203112</v>
      </c>
      <c r="BQ105" s="401">
        <f>BL105*(1-'Assumptions-Output Override'!$D$11)</f>
        <v>277.94877559686694</v>
      </c>
      <c r="BR105" s="401">
        <f>BM105*(1-'Assumptions-Output Override'!$D$11)</f>
        <v>146.14245936971187</v>
      </c>
      <c r="BS105" s="352">
        <f>SUM(BO105:BR105)</f>
        <v>2904.7534753508498</v>
      </c>
      <c r="BT105" s="352">
        <f t="shared" si="59"/>
        <v>5301.2321201420455</v>
      </c>
      <c r="BU105" s="352">
        <f t="shared" si="59"/>
        <v>9623.8453687419697</v>
      </c>
      <c r="BV105" s="352">
        <f t="shared" si="59"/>
        <v>1672.2982057730915</v>
      </c>
      <c r="BW105" s="352">
        <f t="shared" si="41"/>
        <v>879.27630573808108</v>
      </c>
      <c r="BX105" s="352">
        <f>SUM(BT105:BW105)</f>
        <v>17476.652000395188</v>
      </c>
      <c r="BY105" s="352">
        <f>BT$107*(1-'Assumptions-Output Override'!$D$12)</f>
        <v>22.753074310428271</v>
      </c>
      <c r="BZ105" s="352">
        <f>BU$107*(1-'Assumptions-Output Override'!$D$12)</f>
        <v>51.446038369839215</v>
      </c>
      <c r="CA105" s="352">
        <f>BV$107*(1-'Assumptions-Output Override'!$D$12)</f>
        <v>9.7401900534537411</v>
      </c>
      <c r="CB105" s="352">
        <f>BW$107*(1-'Assumptions-Output Override'!$D$12)</f>
        <v>1.7000814189516649</v>
      </c>
      <c r="CC105" s="352">
        <f>SUM(BY105:CB105)</f>
        <v>85.639384152672903</v>
      </c>
      <c r="CD105" s="352">
        <f t="shared" si="60"/>
        <v>903.85847277438779</v>
      </c>
      <c r="CE105" s="352">
        <f t="shared" si="60"/>
        <v>1651.0028802901504</v>
      </c>
      <c r="CF105" s="352">
        <f t="shared" si="60"/>
        <v>287.68896565032065</v>
      </c>
      <c r="CG105" s="352">
        <f t="shared" si="44"/>
        <v>147.84254078866354</v>
      </c>
      <c r="CH105" s="352">
        <f>SUM(CD105:CG105)</f>
        <v>2990.3928595035222</v>
      </c>
      <c r="CJ105" s="352">
        <f t="shared" si="61"/>
        <v>2990.3928595035222</v>
      </c>
      <c r="CK105" s="352">
        <f t="shared" si="62"/>
        <v>2651.8201710646904</v>
      </c>
      <c r="CL105" s="352">
        <f t="shared" si="63"/>
        <v>338.57268843883185</v>
      </c>
      <c r="CN105" s="352">
        <f t="shared" si="64"/>
        <v>3659.3174408773698</v>
      </c>
      <c r="CO105" s="352">
        <f t="shared" si="64"/>
        <v>6643.1169977142554</v>
      </c>
      <c r="CP105" s="352">
        <f t="shared" si="64"/>
        <v>1154.3486216124106</v>
      </c>
      <c r="CQ105" s="352">
        <f t="shared" si="46"/>
        <v>606.94401754499472</v>
      </c>
      <c r="CR105" s="352">
        <f t="shared" si="69"/>
        <v>12063.72707774903</v>
      </c>
      <c r="CT105" s="352">
        <f t="shared" si="71"/>
        <v>-2523.020077728635</v>
      </c>
      <c r="CU105" s="352">
        <f t="shared" si="71"/>
        <v>-4580.2852129480261</v>
      </c>
      <c r="CV105" s="352">
        <f t="shared" si="71"/>
        <v>-795.89835975754772</v>
      </c>
      <c r="CW105" s="352">
        <f t="shared" si="70"/>
        <v>-418.47474756279826</v>
      </c>
      <c r="CX105" s="352">
        <f t="shared" si="47"/>
        <v>-8317.678397997006</v>
      </c>
      <c r="CZ105" s="352">
        <f t="shared" si="65"/>
        <v>-426.81924465599991</v>
      </c>
      <c r="DA105" s="352">
        <f t="shared" si="65"/>
        <v>888.63094044040895</v>
      </c>
      <c r="DB105" s="352">
        <f t="shared" si="65"/>
        <v>-85.404704280709609</v>
      </c>
      <c r="DC105" s="352">
        <f t="shared" si="48"/>
        <v>-37.834303064866788</v>
      </c>
      <c r="DD105" s="352">
        <f t="shared" si="66"/>
        <v>338.57268843883264</v>
      </c>
      <c r="DF105" s="352">
        <f t="shared" si="67"/>
        <v>1330.6777174303877</v>
      </c>
      <c r="DG105" s="352">
        <f t="shared" si="67"/>
        <v>762.37193984974147</v>
      </c>
      <c r="DH105" s="352">
        <f t="shared" si="67"/>
        <v>373.09366993103026</v>
      </c>
      <c r="DI105" s="352">
        <f t="shared" si="49"/>
        <v>185.67684385353033</v>
      </c>
      <c r="DJ105" s="352">
        <f t="shared" si="68"/>
        <v>2651.8201710646904</v>
      </c>
    </row>
    <row r="106" spans="1:114" x14ac:dyDescent="0.2">
      <c r="D106" s="352"/>
      <c r="E106" s="352"/>
      <c r="F106" s="352"/>
      <c r="G106" s="352"/>
      <c r="H106" s="352"/>
      <c r="O106" s="352"/>
      <c r="P106" s="352"/>
      <c r="Q106" s="352"/>
      <c r="R106" s="352"/>
      <c r="S106" s="352"/>
      <c r="T106" s="352"/>
      <c r="U106" s="352"/>
      <c r="BJ106" s="401"/>
      <c r="BK106" s="401"/>
      <c r="BL106" s="401"/>
      <c r="BM106" s="401"/>
      <c r="BN106" s="401"/>
    </row>
    <row r="107" spans="1:114" x14ac:dyDescent="0.2">
      <c r="A107" t="s">
        <v>403</v>
      </c>
      <c r="B107" s="397">
        <f>SUM(B6:B105)</f>
        <v>3430421</v>
      </c>
      <c r="C107" s="398">
        <f>SUM(C6:C105)</f>
        <v>39795382.999999993</v>
      </c>
      <c r="D107" s="399">
        <f>SUM(D6:D105)/100</f>
        <v>104.70612588518766</v>
      </c>
      <c r="E107" s="399">
        <f>SUM(E6:E105)/100</f>
        <v>236.74670492231996</v>
      </c>
      <c r="F107" s="399">
        <f>SUM(F6:F105)/100</f>
        <v>44.822846880746809</v>
      </c>
      <c r="G107" s="399">
        <f>SUM(G6:G105)/100</f>
        <v>7.823511523725645</v>
      </c>
      <c r="H107" s="352">
        <f>SUM(D107:G107)</f>
        <v>394.09918921198005</v>
      </c>
      <c r="O107" s="399">
        <f t="shared" ref="O107:T107" si="72">SUM(O6:O105)/100</f>
        <v>3.3627427496352187</v>
      </c>
      <c r="P107" s="399">
        <f t="shared" si="72"/>
        <v>0</v>
      </c>
      <c r="Q107" s="399">
        <f t="shared" si="72"/>
        <v>4.6393831762083959</v>
      </c>
      <c r="R107" s="399">
        <f t="shared" si="72"/>
        <v>9.1393167142483591</v>
      </c>
      <c r="S107" s="399">
        <f t="shared" si="72"/>
        <v>11.914041935648285</v>
      </c>
      <c r="T107" s="399">
        <f t="shared" si="72"/>
        <v>21.189307293621731</v>
      </c>
      <c r="U107" s="352">
        <f>SUM(Q107:T107)</f>
        <v>46.882049119726773</v>
      </c>
      <c r="AB107" s="352">
        <f t="shared" ref="AB107:AG107" si="73">SUM(AB6:AB105)/100</f>
        <v>0.48500984328460667</v>
      </c>
      <c r="AC107" s="352">
        <f t="shared" si="73"/>
        <v>0</v>
      </c>
      <c r="AD107" s="352">
        <f t="shared" si="73"/>
        <v>0.59742884146596253</v>
      </c>
      <c r="AE107" s="352">
        <f t="shared" si="73"/>
        <v>3.2615004978702107</v>
      </c>
      <c r="AF107" s="352">
        <f t="shared" si="73"/>
        <v>0.89719777901137376</v>
      </c>
      <c r="AG107" s="352">
        <f t="shared" si="73"/>
        <v>1.6840311997219515</v>
      </c>
      <c r="AH107" s="352">
        <f>SUM(AD107:AG107)</f>
        <v>6.4401583180694981</v>
      </c>
      <c r="AJ107" s="352">
        <f t="shared" ref="AJ107:BG107" si="74">SUM(AJ6:AJ105)/100</f>
        <v>124.97848784765371</v>
      </c>
      <c r="AK107" s="352">
        <f t="shared" si="74"/>
        <v>389.6326833678317</v>
      </c>
      <c r="AL107" s="352">
        <f t="shared" si="74"/>
        <v>75.295478212097166</v>
      </c>
      <c r="AM107" s="352">
        <f t="shared" si="74"/>
        <v>13.41569390915603</v>
      </c>
      <c r="AN107" s="352">
        <f>SUM(AJ107:AM107)</f>
        <v>603.32234333673864</v>
      </c>
      <c r="AO107" s="352">
        <f t="shared" si="74"/>
        <v>0</v>
      </c>
      <c r="AP107" s="352">
        <f t="shared" si="74"/>
        <v>82.691808055961005</v>
      </c>
      <c r="AQ107" s="352">
        <f t="shared" si="74"/>
        <v>11.633215752574685</v>
      </c>
      <c r="AR107" s="352">
        <f t="shared" si="74"/>
        <v>0.44826045970230438</v>
      </c>
      <c r="AS107" s="352">
        <f>SUM(AO107:AR107)</f>
        <v>94.773284268238001</v>
      </c>
      <c r="AT107" s="352">
        <f t="shared" si="74"/>
        <v>124.97848784765371</v>
      </c>
      <c r="AU107" s="352">
        <f t="shared" si="74"/>
        <v>306.94087531187063</v>
      </c>
      <c r="AV107" s="352">
        <f t="shared" si="74"/>
        <v>63.662262459522459</v>
      </c>
      <c r="AW107" s="352">
        <f t="shared" si="74"/>
        <v>12.967433449453724</v>
      </c>
      <c r="AX107" s="352">
        <f>SUM(AT107:AW107)</f>
        <v>508.54905906850053</v>
      </c>
      <c r="AY107" s="352">
        <f t="shared" si="74"/>
        <v>38.075436429060971</v>
      </c>
      <c r="AZ107" s="352">
        <f t="shared" si="74"/>
        <v>46.041131296780705</v>
      </c>
      <c r="BA107" s="352">
        <f t="shared" si="74"/>
        <v>9.5493393689283703</v>
      </c>
      <c r="BB107" s="352">
        <f t="shared" si="74"/>
        <v>1.9451150174180589</v>
      </c>
      <c r="BC107" s="352">
        <f t="shared" si="56"/>
        <v>95.61102211218811</v>
      </c>
      <c r="BD107" s="352">
        <f t="shared" si="74"/>
        <v>38.075436429060971</v>
      </c>
      <c r="BE107" s="352">
        <f t="shared" si="74"/>
        <v>128.7329393527416</v>
      </c>
      <c r="BF107" s="352">
        <f t="shared" si="74"/>
        <v>21.18255512150305</v>
      </c>
      <c r="BG107" s="352">
        <f t="shared" si="74"/>
        <v>2.3933754771203635</v>
      </c>
      <c r="BH107" s="352">
        <f>SUM(BD107:BG107)</f>
        <v>190.38430638042598</v>
      </c>
      <c r="BJ107" s="401">
        <f t="shared" ref="BJ107:BX107" si="75">SUM(BJ6:BJ105)/100</f>
        <v>176.89873069133719</v>
      </c>
      <c r="BK107" s="401">
        <f t="shared" si="75"/>
        <v>399.97842764269024</v>
      </c>
      <c r="BL107" s="401">
        <f t="shared" si="75"/>
        <v>75.727228489674943</v>
      </c>
      <c r="BM107" s="401">
        <f t="shared" si="75"/>
        <v>13.217653183097095</v>
      </c>
      <c r="BN107" s="401">
        <f t="shared" si="75"/>
        <v>665.8220400067994</v>
      </c>
      <c r="BO107" s="401">
        <f t="shared" si="75"/>
        <v>25.211568621815413</v>
      </c>
      <c r="BP107" s="401">
        <f t="shared" si="75"/>
        <v>57.004838510428833</v>
      </c>
      <c r="BQ107" s="401">
        <f t="shared" si="75"/>
        <v>10.792628133316674</v>
      </c>
      <c r="BR107" s="401">
        <f t="shared" si="75"/>
        <v>1.8837770567526644</v>
      </c>
      <c r="BS107" s="401">
        <f t="shared" si="75"/>
        <v>94.892812322313588</v>
      </c>
      <c r="BT107" s="401">
        <f t="shared" si="75"/>
        <v>151.68716206952178</v>
      </c>
      <c r="BU107" s="401">
        <f t="shared" si="75"/>
        <v>342.9735891322614</v>
      </c>
      <c r="BV107" s="401">
        <f t="shared" si="75"/>
        <v>64.93460035635826</v>
      </c>
      <c r="BW107" s="401">
        <f t="shared" si="75"/>
        <v>11.33387612634443</v>
      </c>
      <c r="BX107" s="401">
        <f t="shared" si="75"/>
        <v>570.92922768448591</v>
      </c>
      <c r="BY107" s="352">
        <f>BT$107*(1-'Assumptions-Output Override'!$D$12)</f>
        <v>22.753074310428271</v>
      </c>
      <c r="BZ107" s="352">
        <f>BU$107*(1-'Assumptions-Output Override'!$D$12)</f>
        <v>51.446038369839215</v>
      </c>
      <c r="CA107" s="352">
        <f>BV$107*(1-'Assumptions-Output Override'!$D$12)</f>
        <v>9.7401900534537411</v>
      </c>
      <c r="CB107" s="352">
        <f>BW$107*(1-'Assumptions-Output Override'!$D$12)</f>
        <v>1.7000814189516649</v>
      </c>
      <c r="CC107" s="352">
        <f>SUM(BY107:CB107)</f>
        <v>85.639384152672903</v>
      </c>
      <c r="CD107" s="401">
        <f>SUM(CD6:CD105)/100</f>
        <v>47.964642932243677</v>
      </c>
      <c r="CE107" s="401">
        <f>SUM(CE6:CE105)/100</f>
        <v>108.45087688026804</v>
      </c>
      <c r="CF107" s="401">
        <f>SUM(CF6:CF105)/100</f>
        <v>20.53281818677042</v>
      </c>
      <c r="CG107" s="401">
        <f>SUM(CG6:CG105)/100</f>
        <v>3.5838584757043295</v>
      </c>
      <c r="CH107" s="401">
        <f>SUM(CH6:CH105)/100</f>
        <v>180.53219647498645</v>
      </c>
      <c r="CJ107" s="401">
        <f>SUM(CJ6:CJ105)/100</f>
        <v>180.53219647498645</v>
      </c>
      <c r="CK107" s="401">
        <f>SUM(CK6:CK105)/100</f>
        <v>190.38430638042598</v>
      </c>
      <c r="CL107" s="401">
        <f>SUM(CL6:CL105)/100</f>
        <v>-9.8521099054395336</v>
      </c>
    </row>
    <row r="109" spans="1:114" x14ac:dyDescent="0.2">
      <c r="A109" t="s">
        <v>435</v>
      </c>
      <c r="B109" s="397">
        <v>39795383</v>
      </c>
      <c r="C109" s="398"/>
      <c r="BA109" s="402"/>
    </row>
    <row r="111" spans="1:114" x14ac:dyDescent="0.2">
      <c r="A111" t="s">
        <v>436</v>
      </c>
      <c r="B111" s="390">
        <f>B109/B107</f>
        <v>11.600728598618071</v>
      </c>
    </row>
  </sheetData>
  <mergeCells count="15">
    <mergeCell ref="AJ4:AN4"/>
    <mergeCell ref="D4:H4"/>
    <mergeCell ref="I4:N4"/>
    <mergeCell ref="O4:T4"/>
    <mergeCell ref="V4:AA4"/>
    <mergeCell ref="AB4:AG4"/>
    <mergeCell ref="BT4:BX4"/>
    <mergeCell ref="BY4:CC4"/>
    <mergeCell ref="CD4:CH4"/>
    <mergeCell ref="AO4:AS4"/>
    <mergeCell ref="AT4:AX4"/>
    <mergeCell ref="AY4:BC4"/>
    <mergeCell ref="BD4:BH4"/>
    <mergeCell ref="BJ4:BN4"/>
    <mergeCell ref="BO4:BS4"/>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
  <sheetViews>
    <sheetView workbookViewId="0"/>
  </sheetViews>
  <sheetFormatPr baseColWidth="10" defaultColWidth="8.83203125" defaultRowHeight="15" x14ac:dyDescent="0.2"/>
  <cols>
    <col min="1" max="16384" width="8.83203125" style="90"/>
  </cols>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dimension ref="B2:M33"/>
  <sheetViews>
    <sheetView workbookViewId="0"/>
  </sheetViews>
  <sheetFormatPr baseColWidth="10" defaultColWidth="8.83203125" defaultRowHeight="15" x14ac:dyDescent="0.2"/>
  <cols>
    <col min="1" max="1" width="8.83203125" style="90"/>
    <col min="2" max="2" width="12.5" style="90" customWidth="1"/>
    <col min="3" max="3" width="9.83203125" style="90" customWidth="1"/>
    <col min="4" max="5" width="8.83203125" style="90" customWidth="1"/>
    <col min="6" max="6" width="10.5" style="90" customWidth="1"/>
    <col min="7" max="7" width="3.1640625" style="90" customWidth="1"/>
    <col min="8" max="8" width="12.5" style="90" customWidth="1"/>
    <col min="9" max="9" width="9.83203125" style="90" customWidth="1"/>
    <col min="10" max="11" width="8.83203125" style="90" customWidth="1"/>
    <col min="12" max="12" width="10.5" style="90" customWidth="1"/>
    <col min="13" max="16384" width="8.83203125" style="90"/>
  </cols>
  <sheetData>
    <row r="2" spans="2:13" s="403" customFormat="1" ht="16" thickBot="1" x14ac:dyDescent="0.25">
      <c r="B2" s="985" t="s">
        <v>437</v>
      </c>
      <c r="C2" s="985"/>
      <c r="D2" s="985"/>
      <c r="E2" s="985"/>
      <c r="F2" s="985"/>
      <c r="H2" s="985" t="s">
        <v>438</v>
      </c>
      <c r="I2" s="985"/>
      <c r="J2" s="985"/>
      <c r="K2" s="985"/>
      <c r="L2" s="985"/>
    </row>
    <row r="3" spans="2:13" s="403" customFormat="1" ht="30.5" customHeight="1" thickBot="1" x14ac:dyDescent="0.25">
      <c r="B3" s="404" t="s">
        <v>439</v>
      </c>
      <c r="C3" s="404" t="s">
        <v>440</v>
      </c>
      <c r="D3" s="404" t="s">
        <v>441</v>
      </c>
      <c r="E3" s="404" t="s">
        <v>442</v>
      </c>
      <c r="F3" s="404" t="s">
        <v>443</v>
      </c>
      <c r="H3" s="404" t="s">
        <v>439</v>
      </c>
      <c r="I3" s="404" t="s">
        <v>440</v>
      </c>
      <c r="J3" s="404" t="s">
        <v>441</v>
      </c>
      <c r="K3" s="404" t="s">
        <v>442</v>
      </c>
      <c r="L3" s="404" t="s">
        <v>444</v>
      </c>
    </row>
    <row r="4" spans="2:13" s="403" customFormat="1" ht="17" thickTop="1" thickBot="1" x14ac:dyDescent="0.25">
      <c r="B4" s="405" t="s">
        <v>445</v>
      </c>
      <c r="C4" s="406">
        <f>'Discretionary Detail'!E67*$C$18</f>
        <v>1984.6546578748812</v>
      </c>
      <c r="D4" s="407">
        <f>SUMPRODUCT('Discretionary Detail'!E4:E65,'Discretionary Detail'!F4:F65)/SUM('Discretionary Detail'!E4:E65)</f>
        <v>1069.5525525806847</v>
      </c>
      <c r="E4" s="406" t="s">
        <v>446</v>
      </c>
      <c r="F4" s="407">
        <f>C4*(D4)</f>
        <v>2122692.4553212249</v>
      </c>
      <c r="H4" s="405" t="s">
        <v>445</v>
      </c>
      <c r="I4" s="406">
        <f>C4*('Assumptions-Output Target'!D61/'Assumptions-Output Target'!D48)</f>
        <v>1402.1532945524505</v>
      </c>
      <c r="J4" s="407">
        <f t="shared" ref="J4:K7" si="0">D4</f>
        <v>1069.5525525806847</v>
      </c>
      <c r="K4" s="406" t="str">
        <f t="shared" si="0"/>
        <v>N/A</v>
      </c>
      <c r="L4" s="407">
        <f>I4*(J4)</f>
        <v>1499676.6352979902</v>
      </c>
    </row>
    <row r="5" spans="2:13" s="403" customFormat="1" ht="16" thickBot="1" x14ac:dyDescent="0.25">
      <c r="B5" s="408" t="s">
        <v>447</v>
      </c>
      <c r="C5" s="409">
        <f>SUM('Shoppable Detail'!F4:F19)*C18</f>
        <v>3.6495286660131159</v>
      </c>
      <c r="D5" s="410">
        <f>SUMPRODUCT('Shoppable Detail'!Q4:Q19,'Shoppable Detail'!F4:F19)/SUM('Shoppable Detail'!F4:F19)</f>
        <v>43559.52207459051</v>
      </c>
      <c r="E5" s="409" t="s">
        <v>446</v>
      </c>
      <c r="F5" s="410">
        <f>C5*(D5)</f>
        <v>158971.72448904917</v>
      </c>
      <c r="H5" s="408" t="s">
        <v>447</v>
      </c>
      <c r="I5" s="409">
        <f>C5*('Assumptions-Output Target'!D60/'Assumptions-Output Target'!D47)</f>
        <v>3.7042097275282115</v>
      </c>
      <c r="J5" s="410">
        <f t="shared" si="0"/>
        <v>43559.52207459051</v>
      </c>
      <c r="K5" s="409" t="str">
        <f t="shared" si="0"/>
        <v>N/A</v>
      </c>
      <c r="L5" s="410">
        <f>I5*(J5)</f>
        <v>161353.60539517802</v>
      </c>
    </row>
    <row r="6" spans="2:13" s="403" customFormat="1" ht="16" thickBot="1" x14ac:dyDescent="0.25">
      <c r="B6" s="411" t="s">
        <v>448</v>
      </c>
      <c r="C6" s="412">
        <f ca="1">SUM('Chronic Cost Model Summary'!C32:H32)*C18</f>
        <v>1657.2307587152759</v>
      </c>
      <c r="D6" s="413">
        <f ca="1">'Chronic Cost Model Summary'!P32</f>
        <v>294.54513733283051</v>
      </c>
      <c r="E6" s="413">
        <f ca="1">('Chronic Cost Model Summary'!V32*12*1000)/(C6/C18)</f>
        <v>253.82581201615744</v>
      </c>
      <c r="F6" s="413">
        <f ca="1">C6*(D6+E6)</f>
        <v>908777.20444703952</v>
      </c>
      <c r="H6" s="411" t="s">
        <v>448</v>
      </c>
      <c r="I6" s="412">
        <f ca="1">C6*('Assumptions-Output Target'!D59/'Assumptions-Output Target'!D46)</f>
        <v>1651.4820187612238</v>
      </c>
      <c r="J6" s="413">
        <f t="shared" ca="1" si="0"/>
        <v>294.54513733283051</v>
      </c>
      <c r="K6" s="413">
        <f t="shared" ca="1" si="0"/>
        <v>253.82581201615744</v>
      </c>
      <c r="L6" s="413">
        <f ca="1">I6*(J6+K6)</f>
        <v>905624.76246087556</v>
      </c>
    </row>
    <row r="7" spans="2:13" s="403" customFormat="1" ht="16" thickBot="1" x14ac:dyDescent="0.25">
      <c r="B7" s="414" t="s">
        <v>449</v>
      </c>
      <c r="C7" s="415">
        <f>SUM('PPP Detail'!N8:N12)*C18</f>
        <v>10930.094303274667</v>
      </c>
      <c r="D7" s="416">
        <v>330.11512269582488</v>
      </c>
      <c r="E7" s="416">
        <f>('PPP Detail'!P13*12*1000)/C7</f>
        <v>73.659268104778434</v>
      </c>
      <c r="F7" s="416">
        <f>C7*(D7+E7)</f>
        <v>4413292.1686978741</v>
      </c>
      <c r="H7" s="414" t="s">
        <v>449</v>
      </c>
      <c r="I7" s="415">
        <f>C7*('Assumptions-Output Target'!D58/'Assumptions-Output Target'!D45)</f>
        <v>10756.276195582062</v>
      </c>
      <c r="J7" s="416">
        <f t="shared" si="0"/>
        <v>330.11512269582488</v>
      </c>
      <c r="K7" s="416">
        <f t="shared" si="0"/>
        <v>73.659268104778434</v>
      </c>
      <c r="L7" s="416">
        <f>I7*(J7+K7)</f>
        <v>4343108.8681541784</v>
      </c>
    </row>
    <row r="8" spans="2:13" x14ac:dyDescent="0.2">
      <c r="B8" s="417" t="s">
        <v>403</v>
      </c>
      <c r="C8" s="418">
        <f ca="1">SUM(C4:C7)</f>
        <v>14575.629248530837</v>
      </c>
      <c r="D8" s="419">
        <f ca="1">SUM(D4:D7)</f>
        <v>45253.734887199855</v>
      </c>
      <c r="E8" s="419">
        <f ca="1">SUM(E4:E7)</f>
        <v>327.48508012093589</v>
      </c>
      <c r="F8" s="419">
        <f ca="1">SUM(F4:F7)</f>
        <v>7603733.5529551879</v>
      </c>
      <c r="H8" s="417" t="s">
        <v>403</v>
      </c>
      <c r="I8" s="418">
        <f ca="1">SUM(I4:I7)</f>
        <v>13813.615718623265</v>
      </c>
      <c r="J8" s="419">
        <f ca="1">SUM(J4:J7)</f>
        <v>45253.734887199855</v>
      </c>
      <c r="K8" s="419">
        <f ca="1">SUM(K4:K7)</f>
        <v>327.48508012093589</v>
      </c>
      <c r="L8" s="419">
        <f ca="1">SUM(L4:L7)</f>
        <v>6909763.8713082224</v>
      </c>
      <c r="M8" s="403"/>
    </row>
    <row r="9" spans="2:13" s="403" customFormat="1" x14ac:dyDescent="0.2">
      <c r="H9" s="91"/>
      <c r="I9" s="91"/>
      <c r="J9" s="91"/>
      <c r="K9" s="91"/>
      <c r="L9" s="91"/>
    </row>
    <row r="10" spans="2:13" ht="16" thickBot="1" x14ac:dyDescent="0.25">
      <c r="B10" s="985" t="s">
        <v>450</v>
      </c>
      <c r="C10" s="985"/>
      <c r="D10" s="985"/>
      <c r="E10" s="985"/>
      <c r="F10" s="985"/>
      <c r="G10" s="403"/>
      <c r="H10" s="985" t="s">
        <v>451</v>
      </c>
      <c r="I10" s="985"/>
      <c r="J10" s="985"/>
      <c r="K10" s="985"/>
      <c r="L10" s="985"/>
    </row>
    <row r="11" spans="2:13" ht="30.5" customHeight="1" thickBot="1" x14ac:dyDescent="0.25">
      <c r="B11" s="404" t="s">
        <v>439</v>
      </c>
      <c r="C11" s="404" t="s">
        <v>452</v>
      </c>
      <c r="D11" s="404" t="s">
        <v>441</v>
      </c>
      <c r="E11" s="404" t="s">
        <v>442</v>
      </c>
      <c r="F11" s="404" t="s">
        <v>453</v>
      </c>
      <c r="G11" s="403"/>
      <c r="H11" s="404" t="s">
        <v>439</v>
      </c>
      <c r="I11" s="404" t="s">
        <v>452</v>
      </c>
      <c r="J11" s="404" t="s">
        <v>441</v>
      </c>
      <c r="K11" s="404" t="s">
        <v>442</v>
      </c>
      <c r="L11" s="404" t="s">
        <v>444</v>
      </c>
    </row>
    <row r="12" spans="2:13" s="403" customFormat="1" ht="17" thickTop="1" thickBot="1" x14ac:dyDescent="0.25">
      <c r="B12" s="405" t="s">
        <v>445</v>
      </c>
      <c r="C12" s="420">
        <f>C4/1000/12</f>
        <v>0.16538788815624009</v>
      </c>
      <c r="D12" s="407">
        <f t="shared" ref="D12:E15" si="1">D4</f>
        <v>1069.5525525806847</v>
      </c>
      <c r="E12" s="407" t="str">
        <f t="shared" si="1"/>
        <v>N/A</v>
      </c>
      <c r="F12" s="407">
        <f>C12*D12</f>
        <v>176.89103794343538</v>
      </c>
      <c r="H12" s="405" t="s">
        <v>445</v>
      </c>
      <c r="I12" s="420">
        <f>I4/1000/12</f>
        <v>0.11684610787937087</v>
      </c>
      <c r="J12" s="407">
        <f t="shared" ref="J12:K15" si="2">D12</f>
        <v>1069.5525525806847</v>
      </c>
      <c r="K12" s="407" t="str">
        <f t="shared" si="2"/>
        <v>N/A</v>
      </c>
      <c r="L12" s="407">
        <f>I12*(J12)</f>
        <v>124.97305294149918</v>
      </c>
    </row>
    <row r="13" spans="2:13" s="403" customFormat="1" ht="16" thickBot="1" x14ac:dyDescent="0.25">
      <c r="B13" s="408" t="s">
        <v>447</v>
      </c>
      <c r="C13" s="421">
        <f>C5/1000/12</f>
        <v>3.0412738883442631E-4</v>
      </c>
      <c r="D13" s="410">
        <f t="shared" si="1"/>
        <v>43559.52207459051</v>
      </c>
      <c r="E13" s="410" t="str">
        <f t="shared" si="1"/>
        <v>N/A</v>
      </c>
      <c r="F13" s="410">
        <f>D13*C13</f>
        <v>13.247643707420764</v>
      </c>
      <c r="H13" s="408" t="s">
        <v>447</v>
      </c>
      <c r="I13" s="421">
        <f>I5/1000/12</f>
        <v>3.0868414396068429E-4</v>
      </c>
      <c r="J13" s="410">
        <f t="shared" si="2"/>
        <v>43559.52207459051</v>
      </c>
      <c r="K13" s="410" t="str">
        <f t="shared" si="2"/>
        <v>N/A</v>
      </c>
      <c r="L13" s="410">
        <f>I13*(J13)</f>
        <v>13.446133782931502</v>
      </c>
    </row>
    <row r="14" spans="2:13" s="403" customFormat="1" ht="16" thickBot="1" x14ac:dyDescent="0.25">
      <c r="B14" s="411" t="s">
        <v>448</v>
      </c>
      <c r="C14" s="422">
        <f ca="1">C6/1000/12</f>
        <v>0.13810256322627298</v>
      </c>
      <c r="D14" s="413">
        <f t="shared" ca="1" si="1"/>
        <v>294.54513733283051</v>
      </c>
      <c r="E14" s="413">
        <f t="shared" ca="1" si="1"/>
        <v>253.82581201615744</v>
      </c>
      <c r="F14" s="413">
        <f ca="1">C14*(D14+E14)</f>
        <v>75.731433703919961</v>
      </c>
      <c r="H14" s="411" t="s">
        <v>448</v>
      </c>
      <c r="I14" s="422">
        <f ca="1">I6/1000/12</f>
        <v>0.13762350156343531</v>
      </c>
      <c r="J14" s="413">
        <f t="shared" ca="1" si="2"/>
        <v>294.54513733283051</v>
      </c>
      <c r="K14" s="413">
        <f t="shared" ca="1" si="2"/>
        <v>253.82581201615744</v>
      </c>
      <c r="L14" s="413">
        <f ca="1">I14*(J14+K14)</f>
        <v>75.468730205072958</v>
      </c>
    </row>
    <row r="15" spans="2:13" s="403" customFormat="1" ht="16" thickBot="1" x14ac:dyDescent="0.25">
      <c r="B15" s="414" t="s">
        <v>449</v>
      </c>
      <c r="C15" s="423">
        <f>C7/1000/12</f>
        <v>0.91084119193955571</v>
      </c>
      <c r="D15" s="416">
        <f t="shared" si="1"/>
        <v>330.11512269582488</v>
      </c>
      <c r="E15" s="416">
        <f t="shared" si="1"/>
        <v>73.659268104778434</v>
      </c>
      <c r="F15" s="416">
        <f>C15*(D15+E15)</f>
        <v>367.77434739148953</v>
      </c>
      <c r="H15" s="414" t="s">
        <v>449</v>
      </c>
      <c r="I15" s="423">
        <f>I7/1000/12</f>
        <v>0.89635634963183852</v>
      </c>
      <c r="J15" s="416">
        <f t="shared" si="2"/>
        <v>330.11512269582488</v>
      </c>
      <c r="K15" s="416">
        <f t="shared" si="2"/>
        <v>73.659268104778434</v>
      </c>
      <c r="L15" s="416">
        <f>I15*(J15+K15)</f>
        <v>361.92573901284823</v>
      </c>
    </row>
    <row r="16" spans="2:13" x14ac:dyDescent="0.2">
      <c r="B16" s="417" t="s">
        <v>403</v>
      </c>
      <c r="C16" s="424">
        <f ca="1">SUM(C12:C15)</f>
        <v>1.2146357707109032</v>
      </c>
      <c r="D16" s="419">
        <f ca="1">SUM(D12:D15)</f>
        <v>45253.734887199855</v>
      </c>
      <c r="E16" s="419">
        <f ca="1">SUM(E12:E15)</f>
        <v>327.48508012093589</v>
      </c>
      <c r="F16" s="419">
        <f ca="1">SUM(F12:F15)</f>
        <v>633.64446274626562</v>
      </c>
      <c r="H16" s="417" t="s">
        <v>403</v>
      </c>
      <c r="I16" s="424">
        <f ca="1">SUM(I12:I15)</f>
        <v>1.1511346432186054</v>
      </c>
      <c r="J16" s="419">
        <f ca="1">SUM(J12:J15)</f>
        <v>45253.734887199855</v>
      </c>
      <c r="K16" s="419">
        <f ca="1">SUM(K12:K15)</f>
        <v>327.48508012093589</v>
      </c>
      <c r="L16" s="419">
        <f ca="1">SUM(L12:L15)</f>
        <v>575.81365594235194</v>
      </c>
      <c r="M16" s="403"/>
    </row>
    <row r="18" spans="2:4" x14ac:dyDescent="0.2">
      <c r="B18" s="90" t="s">
        <v>454</v>
      </c>
      <c r="C18" s="425">
        <f>'Assumptions-Output Target'!D10/'Assumptions-Output Target'!D5</f>
        <v>1.6898723707701646</v>
      </c>
    </row>
    <row r="22" spans="2:4" x14ac:dyDescent="0.2">
      <c r="C22" s="90" t="s">
        <v>455</v>
      </c>
      <c r="D22" s="90" t="s">
        <v>456</v>
      </c>
    </row>
    <row r="23" spans="2:4" x14ac:dyDescent="0.2">
      <c r="B23" s="90" t="str">
        <f>B12</f>
        <v>Discretionary</v>
      </c>
      <c r="C23" s="426">
        <f>F12</f>
        <v>176.89103794343538</v>
      </c>
      <c r="D23" s="426">
        <f>L12</f>
        <v>124.97305294149918</v>
      </c>
    </row>
    <row r="24" spans="2:4" x14ac:dyDescent="0.2">
      <c r="B24" s="90" t="str">
        <f>B13</f>
        <v>Shoppable</v>
      </c>
      <c r="C24" s="426">
        <f>F13</f>
        <v>13.247643707420764</v>
      </c>
      <c r="D24" s="426">
        <f>L13</f>
        <v>13.446133782931502</v>
      </c>
    </row>
    <row r="25" spans="2:4" x14ac:dyDescent="0.2">
      <c r="B25" s="90" t="str">
        <f>B14</f>
        <v>Chronic</v>
      </c>
      <c r="C25" s="426">
        <f ca="1">F14</f>
        <v>75.731433703919961</v>
      </c>
      <c r="D25" s="426">
        <f ca="1">L14</f>
        <v>75.468730205072958</v>
      </c>
    </row>
    <row r="26" spans="2:4" x14ac:dyDescent="0.2">
      <c r="B26" s="90" t="str">
        <f>B15</f>
        <v>PPP</v>
      </c>
      <c r="C26" s="426">
        <f>F15</f>
        <v>367.77434739148953</v>
      </c>
      <c r="D26" s="426">
        <f>L15</f>
        <v>361.92573901284823</v>
      </c>
    </row>
    <row r="30" spans="2:4" x14ac:dyDescent="0.2">
      <c r="B30" s="90" t="s">
        <v>445</v>
      </c>
      <c r="C30" s="427">
        <f ca="1">C23/SUM($C$23:$C$26)</f>
        <v>0.27916449735357196</v>
      </c>
      <c r="D30" s="427">
        <f ca="1">D23/SUM($C$23:$C$26)</f>
        <v>0.19722898295339944</v>
      </c>
    </row>
    <row r="31" spans="2:4" x14ac:dyDescent="0.2">
      <c r="B31" s="90" t="s">
        <v>447</v>
      </c>
      <c r="C31" s="427">
        <f t="shared" ref="C31:D33" ca="1" si="3">C24/SUM($C$23:$C$26)</f>
        <v>2.0907061430008273E-2</v>
      </c>
      <c r="D31" s="427">
        <f t="shared" ca="1" si="3"/>
        <v>2.1220312925413862E-2</v>
      </c>
    </row>
    <row r="32" spans="2:4" x14ac:dyDescent="0.2">
      <c r="B32" s="90" t="s">
        <v>448</v>
      </c>
      <c r="C32" s="427">
        <f t="shared" ca="1" si="3"/>
        <v>0.11951723427944733</v>
      </c>
      <c r="D32" s="427">
        <f t="shared" ca="1" si="3"/>
        <v>0.11910264295214618</v>
      </c>
    </row>
    <row r="33" spans="2:4" x14ac:dyDescent="0.2">
      <c r="B33" s="90" t="s">
        <v>449</v>
      </c>
      <c r="C33" s="427">
        <f t="shared" ca="1" si="3"/>
        <v>0.58041120693697246</v>
      </c>
      <c r="D33" s="427">
        <f t="shared" ca="1" si="3"/>
        <v>0.57118109648466464</v>
      </c>
    </row>
  </sheetData>
  <mergeCells count="4">
    <mergeCell ref="B2:F2"/>
    <mergeCell ref="H2:L2"/>
    <mergeCell ref="B10:F10"/>
    <mergeCell ref="H10:L1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pageSetUpPr fitToPage="1"/>
  </sheetPr>
  <dimension ref="A1:AA34"/>
  <sheetViews>
    <sheetView topLeftCell="B1" workbookViewId="0">
      <pane xSplit="1" ySplit="2" topLeftCell="C3" activePane="bottomRight" state="frozen"/>
      <selection pane="topRight"/>
      <selection pane="bottomLeft"/>
      <selection pane="bottomRight" activeCell="C3" sqref="C3"/>
    </sheetView>
  </sheetViews>
  <sheetFormatPr baseColWidth="10" defaultColWidth="8.83203125" defaultRowHeight="15" outlineLevelCol="1" x14ac:dyDescent="0.2"/>
  <cols>
    <col min="1" max="1" width="26.33203125" hidden="1" customWidth="1" outlineLevel="1"/>
    <col min="2" max="2" width="46.5" customWidth="1" collapsed="1"/>
    <col min="3" max="9" width="10.6640625" style="430" customWidth="1"/>
    <col min="10" max="22" width="10.6640625" style="352" customWidth="1"/>
    <col min="23" max="24" width="10.6640625" style="401" customWidth="1"/>
  </cols>
  <sheetData>
    <row r="1" spans="1:27" x14ac:dyDescent="0.2">
      <c r="B1" s="389" t="s">
        <v>457</v>
      </c>
      <c r="C1" s="986" t="s">
        <v>458</v>
      </c>
      <c r="D1" s="986"/>
      <c r="E1" s="986"/>
      <c r="F1" s="986"/>
      <c r="G1" s="986"/>
      <c r="H1" s="986"/>
      <c r="I1" s="428"/>
      <c r="J1" s="987" t="s">
        <v>459</v>
      </c>
      <c r="K1" s="987"/>
      <c r="L1" s="987"/>
      <c r="M1" s="987"/>
      <c r="N1" s="987"/>
      <c r="O1" s="987"/>
      <c r="P1" s="401"/>
      <c r="Q1" s="987" t="s">
        <v>460</v>
      </c>
      <c r="R1" s="987"/>
      <c r="S1" s="987"/>
      <c r="T1" s="987"/>
      <c r="U1" s="987"/>
      <c r="V1" s="987"/>
      <c r="Y1" s="984" t="s">
        <v>461</v>
      </c>
      <c r="Z1" s="984"/>
      <c r="AA1" s="984"/>
    </row>
    <row r="2" spans="1:27" x14ac:dyDescent="0.2">
      <c r="C2" s="429" t="s">
        <v>1</v>
      </c>
      <c r="D2" s="429" t="s">
        <v>462</v>
      </c>
      <c r="E2" s="429" t="s">
        <v>462</v>
      </c>
      <c r="F2" s="430" t="s">
        <v>463</v>
      </c>
      <c r="G2" s="430" t="s">
        <v>464</v>
      </c>
      <c r="H2" s="429" t="s">
        <v>465</v>
      </c>
      <c r="I2" s="429"/>
      <c r="J2" s="431" t="s">
        <v>1</v>
      </c>
      <c r="K2" s="431" t="s">
        <v>462</v>
      </c>
      <c r="L2" s="431" t="s">
        <v>462</v>
      </c>
      <c r="M2" s="432" t="s">
        <v>463</v>
      </c>
      <c r="N2" s="432" t="s">
        <v>464</v>
      </c>
      <c r="O2" s="431" t="s">
        <v>465</v>
      </c>
      <c r="P2" s="431"/>
      <c r="Q2" s="431" t="s">
        <v>1</v>
      </c>
      <c r="R2" s="431" t="s">
        <v>462</v>
      </c>
      <c r="S2" s="431" t="s">
        <v>462</v>
      </c>
      <c r="T2" s="432" t="s">
        <v>463</v>
      </c>
      <c r="U2" s="432" t="s">
        <v>464</v>
      </c>
      <c r="V2" s="431" t="s">
        <v>465</v>
      </c>
      <c r="W2" s="433" t="s">
        <v>403</v>
      </c>
      <c r="X2" s="433"/>
      <c r="Y2" t="s">
        <v>466</v>
      </c>
      <c r="Z2" t="s">
        <v>1</v>
      </c>
      <c r="AA2" t="s">
        <v>462</v>
      </c>
    </row>
    <row r="3" spans="1:27" x14ac:dyDescent="0.2">
      <c r="A3" t="s">
        <v>467</v>
      </c>
    </row>
    <row r="4" spans="1:27" x14ac:dyDescent="0.2">
      <c r="A4" t="s">
        <v>468</v>
      </c>
      <c r="B4" t="s">
        <v>469</v>
      </c>
      <c r="C4" s="428">
        <f ca="1">IFERROR(INDIRECT("'"&amp;$A4&amp;"'!"&amp;"N8"),"")</f>
        <v>0.70500640740158238</v>
      </c>
      <c r="D4" s="428">
        <f ca="1">IFERROR(INDIRECT("'"&amp;$A4&amp;"'!"&amp;"N9"),"")</f>
        <v>1.732525665182022E-3</v>
      </c>
      <c r="E4" s="428">
        <f ca="1">IFERROR(INDIRECT("'"&amp;$A4&amp;"'!"&amp;"N10"),"")</f>
        <v>21.083537951016318</v>
      </c>
      <c r="F4" s="428">
        <f ca="1">IFERROR(INDIRECT("'"&amp;$A4&amp;"'!"&amp;"N11"),"")</f>
        <v>22.427255981503748</v>
      </c>
      <c r="G4" s="428">
        <f ca="1">IFERROR(INDIRECT("'"&amp;$A4&amp;"'!"&amp;"N12"),"")</f>
        <v>30.896852072884826</v>
      </c>
      <c r="H4" s="428">
        <f ca="1">IFERROR(INDIRECT("'"&amp;$A4&amp;"'!"&amp;"N13"),"")</f>
        <v>0</v>
      </c>
      <c r="I4" s="428"/>
      <c r="J4" s="434">
        <f ca="1">IFERROR(INDIRECT("'"&amp;$A4&amp;"'!"&amp;"O8"),"")</f>
        <v>6430.6510564585087</v>
      </c>
      <c r="K4" s="434">
        <f ca="1">IFERROR(INDIRECT("'"&amp;$A4&amp;"'!"&amp;"O9"),"")</f>
        <v>64.300833333333344</v>
      </c>
      <c r="L4" s="434">
        <f ca="1">IFERROR(INDIRECT("'"&amp;$A4&amp;"'!"&amp;"O10"),"")</f>
        <v>556.71137546137732</v>
      </c>
      <c r="M4" s="434">
        <f ca="1">IFERROR(INDIRECT("'"&amp;$A4&amp;"'!"&amp;"O11"),"")</f>
        <v>88.213677850879549</v>
      </c>
      <c r="N4" s="434">
        <f ca="1">IFERROR(INDIRECT("'"&amp;$A4&amp;"'!"&amp;"O12"),"")</f>
        <v>115.57698323839588</v>
      </c>
      <c r="O4" s="434">
        <f ca="1">IFERROR(INDIRECT("'"&amp;$A4&amp;"'!"&amp;"O13"),"")</f>
        <v>0</v>
      </c>
      <c r="P4" s="434"/>
      <c r="Q4" s="434">
        <f ca="1">IFERROR(INDIRECT("'"&amp;$A4&amp;"'!"&amp;"P8"),"")</f>
        <v>0.37780418321391701</v>
      </c>
      <c r="R4" s="434">
        <f ca="1">IFERROR(INDIRECT("'"&amp;$A4&amp;"'!"&amp;"P9"),"")</f>
        <v>9.28357033688264E-6</v>
      </c>
      <c r="S4" s="434">
        <f ca="1">IFERROR(INDIRECT("'"&amp;$A4&amp;"'!"&amp;"P10"),"")</f>
        <v>0.97812045102520351</v>
      </c>
      <c r="T4" s="434">
        <f ca="1">IFERROR(INDIRECT("'"&amp;$A4&amp;"'!"&amp;"P11"),"")</f>
        <v>0.16486589451929859</v>
      </c>
      <c r="U4" s="434">
        <f ca="1">IFERROR(INDIRECT("'"&amp;$A4&amp;"'!"&amp;"P12"),"")</f>
        <v>0.2975804128455839</v>
      </c>
      <c r="V4" s="434">
        <f ca="1">IFERROR(INDIRECT("'"&amp;$A4&amp;"'!"&amp;"P13"),"")</f>
        <v>2.3307467010885081</v>
      </c>
      <c r="W4" s="401">
        <f ca="1">SUM(Q4:V4)</f>
        <v>4.1491269262628485</v>
      </c>
      <c r="Y4">
        <f ca="1">IFERROR(RANK(W4,$W$4:$W$30),"")</f>
        <v>4</v>
      </c>
      <c r="Z4">
        <f ca="1">IFERROR(RANK(Q4,$Q$4:$Q$30),"")</f>
        <v>5</v>
      </c>
      <c r="AA4">
        <f ca="1">IFERROR(RANK(S4,$S$4:$S$30),"")</f>
        <v>4</v>
      </c>
    </row>
    <row r="5" spans="1:27" x14ac:dyDescent="0.2">
      <c r="A5" t="s">
        <v>470</v>
      </c>
      <c r="B5" t="s">
        <v>471</v>
      </c>
      <c r="C5" s="428">
        <f t="shared" ref="C5:C30" ca="1" si="0">IFERROR(INDIRECT("'"&amp;$A5&amp;"'!"&amp;"N8"),"")</f>
        <v>0.57293078445808654</v>
      </c>
      <c r="D5" s="428">
        <f t="shared" ref="D5:D30" ca="1" si="1">IFERROR(INDIRECT("'"&amp;$A5&amp;"'!"&amp;"N9"),"")</f>
        <v>0</v>
      </c>
      <c r="E5" s="428">
        <f t="shared" ref="E5:E30" ca="1" si="2">IFERROR(INDIRECT("'"&amp;$A5&amp;"'!"&amp;"N10"),"")</f>
        <v>7.3209315753654005</v>
      </c>
      <c r="F5" s="428">
        <f t="shared" ref="F5:F30" ca="1" si="3">IFERROR(INDIRECT("'"&amp;$A5&amp;"'!"&amp;"N11"),"")</f>
        <v>3.549223202264137</v>
      </c>
      <c r="G5" s="428">
        <f t="shared" ref="G5:G30" ca="1" si="4">IFERROR(INDIRECT("'"&amp;$A5&amp;"'!"&amp;"N12"),"")</f>
        <v>33.263193377245933</v>
      </c>
      <c r="H5" s="428">
        <f t="shared" ref="H5:H30" ca="1" si="5">IFERROR(INDIRECT("'"&amp;$A5&amp;"'!"&amp;"N13"),"")</f>
        <v>0</v>
      </c>
      <c r="I5" s="428"/>
      <c r="J5" s="434">
        <f t="shared" ref="J5:J30" ca="1" si="6">IFERROR(INDIRECT("'"&amp;$A5&amp;"'!"&amp;"O8"),"")</f>
        <v>9009.7725631578942</v>
      </c>
      <c r="K5" s="434" t="str">
        <f t="shared" ref="K5:K30" ca="1" si="7">IFERROR(INDIRECT("'"&amp;$A5&amp;"'!"&amp;"O9"),"")</f>
        <v>N/A</v>
      </c>
      <c r="L5" s="434">
        <f t="shared" ref="L5:L30" ca="1" si="8">IFERROR(INDIRECT("'"&amp;$A5&amp;"'!"&amp;"O10"),"")</f>
        <v>760.71901118188396</v>
      </c>
      <c r="M5" s="434">
        <f t="shared" ref="M5:M30" ca="1" si="9">IFERROR(INDIRECT("'"&amp;$A5&amp;"'!"&amp;"O11"),"")</f>
        <v>84.717894073139945</v>
      </c>
      <c r="N5" s="434">
        <f t="shared" ref="N5:N30" ca="1" si="10">IFERROR(INDIRECT("'"&amp;$A5&amp;"'!"&amp;"O12"),"")</f>
        <v>88.495687635368498</v>
      </c>
      <c r="O5" s="434">
        <f t="shared" ref="O5:O30" ca="1" si="11">IFERROR(INDIRECT("'"&amp;$A5&amp;"'!"&amp;"O13"),"")</f>
        <v>0</v>
      </c>
      <c r="P5" s="434"/>
      <c r="Q5" s="434">
        <f t="shared" ref="Q5:Q30" ca="1" si="12">IFERROR(INDIRECT("'"&amp;$A5&amp;"'!"&amp;"P8"),"")</f>
        <v>0.43016467186658314</v>
      </c>
      <c r="R5" s="434">
        <f t="shared" ref="R5:R30" ca="1" si="13">IFERROR(INDIRECT("'"&amp;$A5&amp;"'!"&amp;"P9"),"")</f>
        <v>0</v>
      </c>
      <c r="S5" s="434">
        <f t="shared" ref="S5:S30" ca="1" si="14">IFERROR(INDIRECT("'"&amp;$A5&amp;"'!"&amp;"P10"),"")</f>
        <v>0.46409765241184997</v>
      </c>
      <c r="T5" s="434">
        <f t="shared" ref="T5:T30" ca="1" si="15">IFERROR(INDIRECT("'"&amp;$A5&amp;"'!"&amp;"P11"),"")</f>
        <v>2.5056892940945309E-2</v>
      </c>
      <c r="U5" s="434">
        <f t="shared" ref="U5:U30" ca="1" si="16">IFERROR(INDIRECT("'"&amp;$A5&amp;"'!"&amp;"P12"),"")</f>
        <v>0.24530409757230121</v>
      </c>
      <c r="V5" s="434">
        <f t="shared" ref="V5:V30" ca="1" si="17">IFERROR(INDIRECT("'"&amp;$A5&amp;"'!"&amp;"P13"),"")</f>
        <v>0.99237167239286495</v>
      </c>
      <c r="W5" s="401">
        <f t="shared" ref="W5:W30" ca="1" si="18">SUM(Q5:V5)</f>
        <v>2.1569949871845444</v>
      </c>
      <c r="Y5">
        <f t="shared" ref="Y5:Y30" ca="1" si="19">IFERROR(RANK(W5,$W$4:$W$30),"")</f>
        <v>7</v>
      </c>
      <c r="Z5">
        <f t="shared" ref="Z5:Z30" ca="1" si="20">IFERROR(RANK(Q5,$Q$4:$Q$30),"")</f>
        <v>4</v>
      </c>
      <c r="AA5">
        <f t="shared" ref="AA5:AA30" ca="1" si="21">IFERROR(RANK(S5,$S$4:$S$30),"")</f>
        <v>6</v>
      </c>
    </row>
    <row r="6" spans="1:27" x14ac:dyDescent="0.2">
      <c r="B6" t="s">
        <v>472</v>
      </c>
      <c r="C6" s="428" t="str">
        <f t="shared" ca="1" si="0"/>
        <v/>
      </c>
      <c r="D6" s="428" t="str">
        <f t="shared" ca="1" si="1"/>
        <v/>
      </c>
      <c r="E6" s="428" t="str">
        <f t="shared" ca="1" si="2"/>
        <v/>
      </c>
      <c r="F6" s="428" t="str">
        <f t="shared" ca="1" si="3"/>
        <v/>
      </c>
      <c r="G6" s="428" t="str">
        <f t="shared" ca="1" si="4"/>
        <v/>
      </c>
      <c r="H6" s="428" t="str">
        <f t="shared" ca="1" si="5"/>
        <v/>
      </c>
      <c r="I6" s="428"/>
      <c r="J6" s="434" t="str">
        <f t="shared" ca="1" si="6"/>
        <v/>
      </c>
      <c r="K6" s="434" t="str">
        <f t="shared" ca="1" si="7"/>
        <v/>
      </c>
      <c r="L6" s="434" t="str">
        <f t="shared" ca="1" si="8"/>
        <v/>
      </c>
      <c r="M6" s="434" t="str">
        <f t="shared" ca="1" si="9"/>
        <v/>
      </c>
      <c r="N6" s="434" t="str">
        <f t="shared" ca="1" si="10"/>
        <v/>
      </c>
      <c r="O6" s="434" t="str">
        <f t="shared" ca="1" si="11"/>
        <v/>
      </c>
      <c r="P6" s="434"/>
      <c r="Q6" s="434" t="str">
        <f t="shared" ca="1" si="12"/>
        <v/>
      </c>
      <c r="R6" s="434" t="str">
        <f t="shared" ca="1" si="13"/>
        <v/>
      </c>
      <c r="S6" s="434" t="str">
        <f t="shared" ca="1" si="14"/>
        <v/>
      </c>
      <c r="T6" s="434" t="str">
        <f t="shared" ca="1" si="15"/>
        <v/>
      </c>
      <c r="U6" s="434" t="str">
        <f t="shared" ca="1" si="16"/>
        <v/>
      </c>
      <c r="V6" s="434" t="str">
        <f t="shared" ca="1" si="17"/>
        <v/>
      </c>
      <c r="W6" s="401">
        <f t="shared" ca="1" si="18"/>
        <v>0</v>
      </c>
      <c r="Y6">
        <f t="shared" ca="1" si="19"/>
        <v>21</v>
      </c>
      <c r="Z6" t="str">
        <f t="shared" ca="1" si="20"/>
        <v/>
      </c>
      <c r="AA6" t="str">
        <f t="shared" ca="1" si="21"/>
        <v/>
      </c>
    </row>
    <row r="7" spans="1:27" x14ac:dyDescent="0.2">
      <c r="A7" t="s">
        <v>473</v>
      </c>
      <c r="B7" t="s">
        <v>474</v>
      </c>
      <c r="C7" s="428">
        <f t="shared" ca="1" si="0"/>
        <v>0</v>
      </c>
      <c r="D7" s="428">
        <f t="shared" ca="1" si="1"/>
        <v>0</v>
      </c>
      <c r="E7" s="428">
        <f t="shared" ca="1" si="2"/>
        <v>0.13224945910889438</v>
      </c>
      <c r="F7" s="428">
        <f t="shared" ca="1" si="3"/>
        <v>6.9445403746046061E-2</v>
      </c>
      <c r="G7" s="428">
        <f t="shared" ca="1" si="4"/>
        <v>3.3895420867898602</v>
      </c>
      <c r="H7" s="428">
        <f t="shared" ca="1" si="5"/>
        <v>0</v>
      </c>
      <c r="I7" s="428"/>
      <c r="J7" s="434" t="str">
        <f t="shared" ca="1" si="6"/>
        <v>N/A</v>
      </c>
      <c r="K7" s="434" t="str">
        <f t="shared" ca="1" si="7"/>
        <v>N/A</v>
      </c>
      <c r="L7" s="434">
        <f t="shared" ca="1" si="8"/>
        <v>551.76572052401718</v>
      </c>
      <c r="M7" s="434">
        <f t="shared" ca="1" si="9"/>
        <v>97.023659043659038</v>
      </c>
      <c r="N7" s="434">
        <f t="shared" ca="1" si="10"/>
        <v>17.010089875197007</v>
      </c>
      <c r="O7" s="434">
        <f t="shared" ca="1" si="11"/>
        <v>0</v>
      </c>
      <c r="P7" s="434"/>
      <c r="Q7" s="434">
        <f t="shared" ca="1" si="12"/>
        <v>0</v>
      </c>
      <c r="R7" s="434">
        <f t="shared" ca="1" si="13"/>
        <v>0</v>
      </c>
      <c r="S7" s="434">
        <f t="shared" ca="1" si="14"/>
        <v>6.0808931745108888E-3</v>
      </c>
      <c r="T7" s="434">
        <f t="shared" ca="1" si="15"/>
        <v>5.6148726460046789E-4</v>
      </c>
      <c r="U7" s="434">
        <f t="shared" ca="1" si="16"/>
        <v>4.8047012943381942E-3</v>
      </c>
      <c r="V7" s="434">
        <f t="shared" ca="1" si="17"/>
        <v>0</v>
      </c>
      <c r="W7" s="401">
        <f t="shared" ca="1" si="18"/>
        <v>1.1447081733449551E-2</v>
      </c>
      <c r="Y7">
        <f t="shared" ca="1" si="19"/>
        <v>20</v>
      </c>
      <c r="Z7">
        <f t="shared" ca="1" si="20"/>
        <v>11</v>
      </c>
      <c r="AA7">
        <f t="shared" ca="1" si="21"/>
        <v>19</v>
      </c>
    </row>
    <row r="8" spans="1:27" x14ac:dyDescent="0.2">
      <c r="A8" t="s">
        <v>475</v>
      </c>
      <c r="B8" t="s">
        <v>476</v>
      </c>
      <c r="C8" s="428">
        <f t="shared" ca="1" si="0"/>
        <v>0</v>
      </c>
      <c r="D8" s="428">
        <f t="shared" ca="1" si="1"/>
        <v>0</v>
      </c>
      <c r="E8" s="428">
        <f t="shared" ca="1" si="2"/>
        <v>1.8260820511018507</v>
      </c>
      <c r="F8" s="428">
        <f t="shared" ca="1" si="3"/>
        <v>0.56682464679205158</v>
      </c>
      <c r="G8" s="428">
        <f t="shared" ca="1" si="4"/>
        <v>5.6913468101229405</v>
      </c>
      <c r="H8" s="428">
        <f t="shared" ca="1" si="5"/>
        <v>0</v>
      </c>
      <c r="I8" s="428"/>
      <c r="J8" s="434" t="str">
        <f t="shared" ca="1" si="6"/>
        <v>N/A</v>
      </c>
      <c r="K8" s="434" t="str">
        <f t="shared" ca="1" si="7"/>
        <v>N/A</v>
      </c>
      <c r="L8" s="434">
        <f t="shared" ca="1" si="8"/>
        <v>1261.1178447185325</v>
      </c>
      <c r="M8" s="434">
        <f t="shared" ca="1" si="9"/>
        <v>183.75461538461536</v>
      </c>
      <c r="N8" s="434">
        <f t="shared" ca="1" si="10"/>
        <v>105.44967757483521</v>
      </c>
      <c r="O8" s="434">
        <f t="shared" ca="1" si="11"/>
        <v>0</v>
      </c>
      <c r="P8" s="434"/>
      <c r="Q8" s="434">
        <f t="shared" ca="1" si="12"/>
        <v>0</v>
      </c>
      <c r="R8" s="434">
        <f t="shared" ca="1" si="13"/>
        <v>0</v>
      </c>
      <c r="S8" s="434">
        <f t="shared" ca="1" si="14"/>
        <v>0.19190872171373027</v>
      </c>
      <c r="T8" s="434">
        <f t="shared" ca="1" si="15"/>
        <v>8.6797204134828245E-3</v>
      </c>
      <c r="U8" s="434">
        <f t="shared" ca="1" si="16"/>
        <v>5.0012557174502578E-2</v>
      </c>
      <c r="V8" s="434">
        <f t="shared" ca="1" si="17"/>
        <v>0</v>
      </c>
      <c r="W8" s="401">
        <f t="shared" ca="1" si="18"/>
        <v>0.2506009993017157</v>
      </c>
      <c r="Y8">
        <f t="shared" ca="1" si="19"/>
        <v>16</v>
      </c>
      <c r="Z8">
        <f t="shared" ca="1" si="20"/>
        <v>11</v>
      </c>
      <c r="AA8">
        <f t="shared" ca="1" si="21"/>
        <v>12</v>
      </c>
    </row>
    <row r="9" spans="1:27" x14ac:dyDescent="0.2">
      <c r="A9" t="s">
        <v>477</v>
      </c>
      <c r="B9" t="s">
        <v>478</v>
      </c>
      <c r="C9" s="428">
        <f t="shared" ca="1" si="0"/>
        <v>0</v>
      </c>
      <c r="D9" s="428">
        <f t="shared" ca="1" si="1"/>
        <v>0</v>
      </c>
      <c r="E9" s="428">
        <f t="shared" ca="1" si="2"/>
        <v>4.1101283863668172</v>
      </c>
      <c r="F9" s="428">
        <f t="shared" ca="1" si="3"/>
        <v>2.4072000346316544</v>
      </c>
      <c r="G9" s="428">
        <f t="shared" ca="1" si="4"/>
        <v>10.243124863972412</v>
      </c>
      <c r="H9" s="428">
        <f t="shared" ca="1" si="5"/>
        <v>0</v>
      </c>
      <c r="I9" s="428"/>
      <c r="J9" s="434" t="str">
        <f t="shared" ca="1" si="6"/>
        <v>N/A</v>
      </c>
      <c r="K9" s="434" t="str">
        <f t="shared" ca="1" si="7"/>
        <v>N/A</v>
      </c>
      <c r="L9" s="434">
        <f t="shared" ca="1" si="8"/>
        <v>539.62949170998661</v>
      </c>
      <c r="M9" s="434">
        <f t="shared" ca="1" si="9"/>
        <v>89.240851076590971</v>
      </c>
      <c r="N9" s="434">
        <f t="shared" ca="1" si="10"/>
        <v>91.676261152691438</v>
      </c>
      <c r="O9" s="434">
        <f t="shared" ca="1" si="11"/>
        <v>0</v>
      </c>
      <c r="P9" s="434"/>
      <c r="Q9" s="434">
        <f t="shared" ca="1" si="12"/>
        <v>0</v>
      </c>
      <c r="R9" s="434">
        <f t="shared" ca="1" si="13"/>
        <v>0</v>
      </c>
      <c r="S9" s="434">
        <f t="shared" ca="1" si="14"/>
        <v>0.18482887433315942</v>
      </c>
      <c r="T9" s="434">
        <f t="shared" ca="1" si="15"/>
        <v>1.7901714983510675E-2</v>
      </c>
      <c r="U9" s="434">
        <f t="shared" ca="1" si="16"/>
        <v>7.8254282504096814E-2</v>
      </c>
      <c r="V9" s="434">
        <f t="shared" ca="1" si="17"/>
        <v>0</v>
      </c>
      <c r="W9" s="401">
        <f t="shared" ca="1" si="18"/>
        <v>0.28098487182076692</v>
      </c>
      <c r="Y9">
        <f t="shared" ca="1" si="19"/>
        <v>15</v>
      </c>
      <c r="Z9">
        <f t="shared" ca="1" si="20"/>
        <v>11</v>
      </c>
      <c r="AA9">
        <f t="shared" ca="1" si="21"/>
        <v>13</v>
      </c>
    </row>
    <row r="10" spans="1:27" x14ac:dyDescent="0.2">
      <c r="A10" t="s">
        <v>479</v>
      </c>
      <c r="B10" t="s">
        <v>480</v>
      </c>
      <c r="C10" s="428">
        <f t="shared" ca="1" si="0"/>
        <v>0</v>
      </c>
      <c r="D10" s="428">
        <f t="shared" ca="1" si="1"/>
        <v>4.331314162955055E-3</v>
      </c>
      <c r="E10" s="428">
        <f t="shared" ca="1" si="2"/>
        <v>43.48206288190579</v>
      </c>
      <c r="F10" s="428">
        <f t="shared" ca="1" si="3"/>
        <v>2.4793886040142388</v>
      </c>
      <c r="G10" s="428">
        <f t="shared" ca="1" si="4"/>
        <v>26.913198060076297</v>
      </c>
      <c r="H10" s="428">
        <f t="shared" ca="1" si="5"/>
        <v>0</v>
      </c>
      <c r="I10" s="428"/>
      <c r="J10" s="434" t="str">
        <f t="shared" ca="1" si="6"/>
        <v>N/A</v>
      </c>
      <c r="K10" s="434">
        <f t="shared" ca="1" si="7"/>
        <v>300.56666666666666</v>
      </c>
      <c r="L10" s="434">
        <f t="shared" ca="1" si="8"/>
        <v>2328.2137765382208</v>
      </c>
      <c r="M10" s="434">
        <f t="shared" ca="1" si="9"/>
        <v>362.631436557386</v>
      </c>
      <c r="N10" s="434">
        <f t="shared" ca="1" si="10"/>
        <v>288.96655408268919</v>
      </c>
      <c r="O10" s="434">
        <f t="shared" ca="1" si="11"/>
        <v>0</v>
      </c>
      <c r="P10" s="434"/>
      <c r="Q10" s="434">
        <f t="shared" ca="1" si="12"/>
        <v>0</v>
      </c>
      <c r="R10" s="434">
        <f t="shared" ca="1" si="13"/>
        <v>1.084873883537937E-4</v>
      </c>
      <c r="S10" s="434">
        <f t="shared" ca="1" si="14"/>
        <v>8.4362948194961902</v>
      </c>
      <c r="T10" s="434">
        <f t="shared" ca="1" si="15"/>
        <v>7.4925354271474606E-2</v>
      </c>
      <c r="U10" s="434">
        <f t="shared" ca="1" si="16"/>
        <v>0.64808450856376365</v>
      </c>
      <c r="V10" s="434">
        <f t="shared" ca="1" si="17"/>
        <v>0</v>
      </c>
      <c r="W10" s="401">
        <f t="shared" ca="1" si="18"/>
        <v>9.1594131697197838</v>
      </c>
      <c r="Y10">
        <f t="shared" ca="1" si="19"/>
        <v>2</v>
      </c>
      <c r="Z10">
        <f t="shared" ca="1" si="20"/>
        <v>11</v>
      </c>
      <c r="AA10">
        <f t="shared" ca="1" si="21"/>
        <v>1</v>
      </c>
    </row>
    <row r="11" spans="1:27" x14ac:dyDescent="0.2">
      <c r="B11" t="s">
        <v>481</v>
      </c>
      <c r="C11" s="428" t="str">
        <f t="shared" ca="1" si="0"/>
        <v/>
      </c>
      <c r="D11" s="428" t="str">
        <f t="shared" ca="1" si="1"/>
        <v/>
      </c>
      <c r="E11" s="428" t="str">
        <f t="shared" ca="1" si="2"/>
        <v/>
      </c>
      <c r="F11" s="428" t="str">
        <f t="shared" ca="1" si="3"/>
        <v/>
      </c>
      <c r="G11" s="428" t="str">
        <f t="shared" ca="1" si="4"/>
        <v/>
      </c>
      <c r="H11" s="428" t="str">
        <f t="shared" ca="1" si="5"/>
        <v/>
      </c>
      <c r="I11" s="428"/>
      <c r="J11" s="434" t="str">
        <f t="shared" ca="1" si="6"/>
        <v/>
      </c>
      <c r="K11" s="434" t="str">
        <f t="shared" ca="1" si="7"/>
        <v/>
      </c>
      <c r="L11" s="434" t="str">
        <f t="shared" ca="1" si="8"/>
        <v/>
      </c>
      <c r="M11" s="434" t="str">
        <f t="shared" ca="1" si="9"/>
        <v/>
      </c>
      <c r="N11" s="434" t="str">
        <f t="shared" ca="1" si="10"/>
        <v/>
      </c>
      <c r="O11" s="434" t="str">
        <f t="shared" ca="1" si="11"/>
        <v/>
      </c>
      <c r="P11" s="434"/>
      <c r="Q11" s="434" t="str">
        <f t="shared" ca="1" si="12"/>
        <v/>
      </c>
      <c r="R11" s="434" t="str">
        <f t="shared" ca="1" si="13"/>
        <v/>
      </c>
      <c r="S11" s="434" t="str">
        <f t="shared" ca="1" si="14"/>
        <v/>
      </c>
      <c r="T11" s="434" t="str">
        <f t="shared" ca="1" si="15"/>
        <v/>
      </c>
      <c r="U11" s="434" t="str">
        <f t="shared" ca="1" si="16"/>
        <v/>
      </c>
      <c r="V11" s="434" t="str">
        <f t="shared" ca="1" si="17"/>
        <v/>
      </c>
      <c r="W11" s="401">
        <f t="shared" ca="1" si="18"/>
        <v>0</v>
      </c>
      <c r="Y11">
        <f t="shared" ca="1" si="19"/>
        <v>21</v>
      </c>
      <c r="Z11" t="str">
        <f t="shared" ca="1" si="20"/>
        <v/>
      </c>
      <c r="AA11" t="str">
        <f t="shared" ca="1" si="21"/>
        <v/>
      </c>
    </row>
    <row r="12" spans="1:27" x14ac:dyDescent="0.2">
      <c r="B12" t="s">
        <v>482</v>
      </c>
      <c r="C12" s="428" t="str">
        <f t="shared" ca="1" si="0"/>
        <v/>
      </c>
      <c r="D12" s="428" t="str">
        <f t="shared" ca="1" si="1"/>
        <v/>
      </c>
      <c r="E12" s="428" t="str">
        <f t="shared" ca="1" si="2"/>
        <v/>
      </c>
      <c r="F12" s="428" t="str">
        <f t="shared" ca="1" si="3"/>
        <v/>
      </c>
      <c r="G12" s="428" t="str">
        <f t="shared" ca="1" si="4"/>
        <v/>
      </c>
      <c r="H12" s="428" t="str">
        <f t="shared" ca="1" si="5"/>
        <v/>
      </c>
      <c r="I12" s="428"/>
      <c r="J12" s="434" t="str">
        <f t="shared" ca="1" si="6"/>
        <v/>
      </c>
      <c r="K12" s="434" t="str">
        <f t="shared" ca="1" si="7"/>
        <v/>
      </c>
      <c r="L12" s="434" t="str">
        <f t="shared" ca="1" si="8"/>
        <v/>
      </c>
      <c r="M12" s="434" t="str">
        <f t="shared" ca="1" si="9"/>
        <v/>
      </c>
      <c r="N12" s="434" t="str">
        <f t="shared" ca="1" si="10"/>
        <v/>
      </c>
      <c r="O12" s="434" t="str">
        <f t="shared" ca="1" si="11"/>
        <v/>
      </c>
      <c r="P12" s="434"/>
      <c r="Q12" s="434" t="str">
        <f t="shared" ca="1" si="12"/>
        <v/>
      </c>
      <c r="R12" s="434" t="str">
        <f t="shared" ca="1" si="13"/>
        <v/>
      </c>
      <c r="S12" s="434" t="str">
        <f t="shared" ca="1" si="14"/>
        <v/>
      </c>
      <c r="T12" s="434" t="str">
        <f t="shared" ca="1" si="15"/>
        <v/>
      </c>
      <c r="U12" s="434" t="str">
        <f t="shared" ca="1" si="16"/>
        <v/>
      </c>
      <c r="V12" s="434" t="str">
        <f t="shared" ca="1" si="17"/>
        <v/>
      </c>
      <c r="W12" s="401">
        <f t="shared" ca="1" si="18"/>
        <v>0</v>
      </c>
      <c r="Y12">
        <f t="shared" ca="1" si="19"/>
        <v>21</v>
      </c>
      <c r="Z12" t="str">
        <f t="shared" ca="1" si="20"/>
        <v/>
      </c>
      <c r="AA12" t="str">
        <f t="shared" ca="1" si="21"/>
        <v/>
      </c>
    </row>
    <row r="13" spans="1:27" x14ac:dyDescent="0.2">
      <c r="A13" t="s">
        <v>483</v>
      </c>
      <c r="B13" t="s">
        <v>484</v>
      </c>
      <c r="C13" s="428">
        <f t="shared" ca="1" si="0"/>
        <v>1.3183438892898705</v>
      </c>
      <c r="D13" s="428">
        <f t="shared" ca="1" si="1"/>
        <v>4.6200684404853918E-3</v>
      </c>
      <c r="E13" s="428">
        <f t="shared" ca="1" si="2"/>
        <v>29.587351424284744</v>
      </c>
      <c r="F13" s="428">
        <f t="shared" ca="1" si="3"/>
        <v>48.330535955917682</v>
      </c>
      <c r="G13" s="428">
        <f t="shared" ca="1" si="4"/>
        <v>100.38094889212003</v>
      </c>
      <c r="H13" s="428">
        <f t="shared" ca="1" si="5"/>
        <v>0</v>
      </c>
      <c r="I13" s="428"/>
      <c r="J13" s="434">
        <f t="shared" ca="1" si="6"/>
        <v>6164.5078225068628</v>
      </c>
      <c r="K13" s="434">
        <f t="shared" ca="1" si="7"/>
        <v>106.46906250000002</v>
      </c>
      <c r="L13" s="434">
        <f t="shared" ca="1" si="8"/>
        <v>491.31071741222854</v>
      </c>
      <c r="M13" s="434">
        <f t="shared" ca="1" si="9"/>
        <v>61.402942924910839</v>
      </c>
      <c r="N13" s="434">
        <f t="shared" ca="1" si="10"/>
        <v>76.849661310944597</v>
      </c>
      <c r="O13" s="434">
        <f t="shared" ca="1" si="11"/>
        <v>0</v>
      </c>
      <c r="P13" s="434"/>
      <c r="Q13" s="434">
        <f t="shared" ca="1" si="12"/>
        <v>0.67724510152346062</v>
      </c>
      <c r="R13" s="434">
        <f t="shared" ca="1" si="13"/>
        <v>4.0991196295359735E-5</v>
      </c>
      <c r="S13" s="434">
        <f t="shared" ca="1" si="14"/>
        <v>1.2113819045494216</v>
      </c>
      <c r="T13" s="434">
        <f t="shared" ca="1" si="15"/>
        <v>0.24730309506929704</v>
      </c>
      <c r="U13" s="434">
        <f t="shared" ca="1" si="16"/>
        <v>0.64285349370255529</v>
      </c>
      <c r="V13" s="434">
        <f t="shared" ca="1" si="17"/>
        <v>8.2491125498067692</v>
      </c>
      <c r="W13" s="401">
        <f t="shared" ca="1" si="18"/>
        <v>11.0279371358478</v>
      </c>
      <c r="Y13">
        <f t="shared" ca="1" si="19"/>
        <v>1</v>
      </c>
      <c r="Z13">
        <f t="shared" ca="1" si="20"/>
        <v>1</v>
      </c>
      <c r="AA13">
        <f t="shared" ca="1" si="21"/>
        <v>3</v>
      </c>
    </row>
    <row r="14" spans="1:27" x14ac:dyDescent="0.2">
      <c r="A14" t="s">
        <v>485</v>
      </c>
      <c r="B14" t="s">
        <v>486</v>
      </c>
      <c r="C14" s="428">
        <f t="shared" ca="1" si="0"/>
        <v>0</v>
      </c>
      <c r="D14" s="428">
        <f t="shared" ca="1" si="1"/>
        <v>0</v>
      </c>
      <c r="E14" s="428">
        <f t="shared" ca="1" si="2"/>
        <v>0</v>
      </c>
      <c r="F14" s="428">
        <f t="shared" ca="1" si="3"/>
        <v>2.7431656365382016E-3</v>
      </c>
      <c r="G14" s="428">
        <f t="shared" ca="1" si="4"/>
        <v>3.4169737431552423</v>
      </c>
      <c r="H14" s="428">
        <f t="shared" ca="1" si="5"/>
        <v>0</v>
      </c>
      <c r="I14" s="428"/>
      <c r="J14" s="434" t="str">
        <f t="shared" ca="1" si="6"/>
        <v>N/A</v>
      </c>
      <c r="K14" s="434" t="str">
        <f t="shared" ca="1" si="7"/>
        <v>N/A</v>
      </c>
      <c r="L14" s="434" t="str">
        <f t="shared" ca="1" si="8"/>
        <v>N/A</v>
      </c>
      <c r="M14" s="434">
        <f t="shared" ca="1" si="9"/>
        <v>12.71105263157895</v>
      </c>
      <c r="N14" s="434">
        <f t="shared" ca="1" si="10"/>
        <v>5.2050023239109544</v>
      </c>
      <c r="O14" s="434">
        <f t="shared" ca="1" si="11"/>
        <v>0</v>
      </c>
      <c r="P14" s="434"/>
      <c r="Q14" s="434">
        <f t="shared" ca="1" si="12"/>
        <v>0</v>
      </c>
      <c r="R14" s="434">
        <f t="shared" ca="1" si="13"/>
        <v>0</v>
      </c>
      <c r="S14" s="434">
        <f t="shared" ca="1" si="14"/>
        <v>0</v>
      </c>
      <c r="T14" s="434">
        <f t="shared" ca="1" si="15"/>
        <v>2.9057102319313207E-6</v>
      </c>
      <c r="U14" s="434">
        <f t="shared" ca="1" si="16"/>
        <v>1.4821130228221456E-3</v>
      </c>
      <c r="V14" s="434">
        <f t="shared" ca="1" si="17"/>
        <v>0.52171551656556914</v>
      </c>
      <c r="W14" s="401">
        <f t="shared" ca="1" si="18"/>
        <v>0.5232005352986232</v>
      </c>
      <c r="Y14">
        <f t="shared" ca="1" si="19"/>
        <v>13</v>
      </c>
      <c r="Z14">
        <f t="shared" ca="1" si="20"/>
        <v>11</v>
      </c>
      <c r="AA14">
        <f t="shared" ca="1" si="21"/>
        <v>20</v>
      </c>
    </row>
    <row r="15" spans="1:27" x14ac:dyDescent="0.2">
      <c r="B15" t="s">
        <v>487</v>
      </c>
      <c r="C15" s="428" t="str">
        <f t="shared" ca="1" si="0"/>
        <v/>
      </c>
      <c r="D15" s="428" t="str">
        <f t="shared" ca="1" si="1"/>
        <v/>
      </c>
      <c r="E15" s="428" t="str">
        <f t="shared" ca="1" si="2"/>
        <v/>
      </c>
      <c r="F15" s="428" t="str">
        <f t="shared" ca="1" si="3"/>
        <v/>
      </c>
      <c r="G15" s="428" t="str">
        <f t="shared" ca="1" si="4"/>
        <v/>
      </c>
      <c r="H15" s="428" t="str">
        <f t="shared" ca="1" si="5"/>
        <v/>
      </c>
      <c r="I15" s="428"/>
      <c r="J15" s="434" t="str">
        <f t="shared" ca="1" si="6"/>
        <v/>
      </c>
      <c r="K15" s="434" t="str">
        <f t="shared" ca="1" si="7"/>
        <v/>
      </c>
      <c r="L15" s="434" t="str">
        <f t="shared" ca="1" si="8"/>
        <v/>
      </c>
      <c r="M15" s="434" t="str">
        <f t="shared" ca="1" si="9"/>
        <v/>
      </c>
      <c r="N15" s="434" t="str">
        <f t="shared" ca="1" si="10"/>
        <v/>
      </c>
      <c r="O15" s="434" t="str">
        <f t="shared" ca="1" si="11"/>
        <v/>
      </c>
      <c r="P15" s="434"/>
      <c r="Q15" s="434" t="str">
        <f t="shared" ca="1" si="12"/>
        <v/>
      </c>
      <c r="R15" s="434" t="str">
        <f t="shared" ca="1" si="13"/>
        <v/>
      </c>
      <c r="S15" s="434" t="str">
        <f t="shared" ca="1" si="14"/>
        <v/>
      </c>
      <c r="T15" s="434" t="str">
        <f t="shared" ca="1" si="15"/>
        <v/>
      </c>
      <c r="U15" s="434" t="str">
        <f t="shared" ca="1" si="16"/>
        <v/>
      </c>
      <c r="V15" s="434" t="str">
        <f t="shared" ca="1" si="17"/>
        <v/>
      </c>
      <c r="W15" s="401">
        <f t="shared" ca="1" si="18"/>
        <v>0</v>
      </c>
      <c r="Y15">
        <f t="shared" ca="1" si="19"/>
        <v>21</v>
      </c>
      <c r="Z15" t="str">
        <f t="shared" ca="1" si="20"/>
        <v/>
      </c>
      <c r="AA15" t="str">
        <f t="shared" ca="1" si="21"/>
        <v/>
      </c>
    </row>
    <row r="16" spans="1:27" x14ac:dyDescent="0.2">
      <c r="B16" t="s">
        <v>488</v>
      </c>
      <c r="C16" s="428" t="str">
        <f t="shared" ca="1" si="0"/>
        <v/>
      </c>
      <c r="D16" s="428" t="str">
        <f t="shared" ca="1" si="1"/>
        <v/>
      </c>
      <c r="E16" s="428" t="str">
        <f t="shared" ca="1" si="2"/>
        <v/>
      </c>
      <c r="F16" s="428" t="str">
        <f t="shared" ca="1" si="3"/>
        <v/>
      </c>
      <c r="G16" s="428" t="str">
        <f t="shared" ca="1" si="4"/>
        <v/>
      </c>
      <c r="H16" s="428" t="str">
        <f t="shared" ca="1" si="5"/>
        <v/>
      </c>
      <c r="I16" s="428"/>
      <c r="J16" s="434" t="str">
        <f t="shared" ca="1" si="6"/>
        <v/>
      </c>
      <c r="K16" s="434" t="str">
        <f t="shared" ca="1" si="7"/>
        <v/>
      </c>
      <c r="L16" s="434" t="str">
        <f t="shared" ca="1" si="8"/>
        <v/>
      </c>
      <c r="M16" s="434" t="str">
        <f t="shared" ca="1" si="9"/>
        <v/>
      </c>
      <c r="N16" s="434" t="str">
        <f t="shared" ca="1" si="10"/>
        <v/>
      </c>
      <c r="O16" s="434" t="str">
        <f t="shared" ca="1" si="11"/>
        <v/>
      </c>
      <c r="P16" s="434"/>
      <c r="Q16" s="434" t="str">
        <f t="shared" ca="1" si="12"/>
        <v/>
      </c>
      <c r="R16" s="434" t="str">
        <f t="shared" ca="1" si="13"/>
        <v/>
      </c>
      <c r="S16" s="434" t="str">
        <f t="shared" ca="1" si="14"/>
        <v/>
      </c>
      <c r="T16" s="434" t="str">
        <f t="shared" ca="1" si="15"/>
        <v/>
      </c>
      <c r="U16" s="434" t="str">
        <f t="shared" ca="1" si="16"/>
        <v/>
      </c>
      <c r="V16" s="434" t="str">
        <f t="shared" ca="1" si="17"/>
        <v/>
      </c>
      <c r="W16" s="401">
        <f t="shared" ca="1" si="18"/>
        <v>0</v>
      </c>
      <c r="Y16">
        <f t="shared" ca="1" si="19"/>
        <v>21</v>
      </c>
      <c r="Z16" t="str">
        <f t="shared" ca="1" si="20"/>
        <v/>
      </c>
      <c r="AA16" t="str">
        <f t="shared" ca="1" si="21"/>
        <v/>
      </c>
    </row>
    <row r="17" spans="1:27" x14ac:dyDescent="0.2">
      <c r="A17" t="s">
        <v>489</v>
      </c>
      <c r="B17" t="s">
        <v>490</v>
      </c>
      <c r="C17" s="428">
        <f t="shared" ca="1" si="0"/>
        <v>0.35250320370079113</v>
      </c>
      <c r="D17" s="428">
        <f t="shared" ca="1" si="1"/>
        <v>1.4437713876516849E-4</v>
      </c>
      <c r="E17" s="428">
        <f t="shared" ca="1" si="2"/>
        <v>4.7614136593364904</v>
      </c>
      <c r="F17" s="428">
        <f t="shared" ca="1" si="3"/>
        <v>0.93570823633705702</v>
      </c>
      <c r="G17" s="428">
        <f t="shared" ca="1" si="4"/>
        <v>9.016352315884772</v>
      </c>
      <c r="H17" s="428">
        <f t="shared" ca="1" si="5"/>
        <v>0</v>
      </c>
      <c r="I17" s="428"/>
      <c r="J17" s="434">
        <f t="shared" ca="1" si="6"/>
        <v>15074.966039349869</v>
      </c>
      <c r="K17" s="434">
        <f t="shared" ca="1" si="7"/>
        <v>249.00000000000003</v>
      </c>
      <c r="L17" s="434">
        <f t="shared" ca="1" si="8"/>
        <v>699.71933108948735</v>
      </c>
      <c r="M17" s="434">
        <f t="shared" ca="1" si="9"/>
        <v>118.88051843851258</v>
      </c>
      <c r="N17" s="434">
        <f t="shared" ca="1" si="10"/>
        <v>163.28723154523635</v>
      </c>
      <c r="O17" s="434">
        <f t="shared" ca="1" si="11"/>
        <v>0</v>
      </c>
      <c r="P17" s="434"/>
      <c r="Q17" s="434">
        <f t="shared" ca="1" si="12"/>
        <v>0.44283115204595463</v>
      </c>
      <c r="R17" s="434">
        <f t="shared" ca="1" si="13"/>
        <v>2.9958256293772463E-6</v>
      </c>
      <c r="S17" s="434">
        <f t="shared" ca="1" si="14"/>
        <v>0.27763776506260646</v>
      </c>
      <c r="T17" s="434">
        <f t="shared" ca="1" si="15"/>
        <v>9.2697900202446323E-3</v>
      </c>
      <c r="U17" s="434">
        <f t="shared" ca="1" si="16"/>
        <v>0.1226879340247754</v>
      </c>
      <c r="V17" s="434">
        <f t="shared" ca="1" si="17"/>
        <v>0.74751058923071467</v>
      </c>
      <c r="W17" s="401">
        <f t="shared" ca="1" si="18"/>
        <v>1.5999402262099252</v>
      </c>
      <c r="Y17">
        <f t="shared" ca="1" si="19"/>
        <v>8</v>
      </c>
      <c r="Z17">
        <f t="shared" ca="1" si="20"/>
        <v>3</v>
      </c>
      <c r="AA17">
        <f t="shared" ca="1" si="21"/>
        <v>11</v>
      </c>
    </row>
    <row r="18" spans="1:27" x14ac:dyDescent="0.2">
      <c r="A18" t="s">
        <v>491</v>
      </c>
      <c r="B18" t="s">
        <v>492</v>
      </c>
      <c r="C18" s="428">
        <f t="shared" ca="1" si="0"/>
        <v>8.4431905078033789E-3</v>
      </c>
      <c r="D18" s="428">
        <f t="shared" ca="1" si="1"/>
        <v>0</v>
      </c>
      <c r="E18" s="428">
        <f t="shared" ca="1" si="2"/>
        <v>0.69257713465651316</v>
      </c>
      <c r="F18" s="428">
        <f t="shared" ca="1" si="3"/>
        <v>0.33928627609814599</v>
      </c>
      <c r="G18" s="428">
        <f t="shared" ca="1" si="4"/>
        <v>22.047255352273822</v>
      </c>
      <c r="H18" s="428">
        <f t="shared" ca="1" si="5"/>
        <v>0</v>
      </c>
      <c r="I18" s="428"/>
      <c r="J18" s="434">
        <f t="shared" ca="1" si="6"/>
        <v>3737.2078571428574</v>
      </c>
      <c r="K18" s="434" t="str">
        <f t="shared" ca="1" si="7"/>
        <v>N/A</v>
      </c>
      <c r="L18" s="434">
        <f t="shared" ca="1" si="8"/>
        <v>884.88434438190552</v>
      </c>
      <c r="M18" s="434">
        <f t="shared" ca="1" si="9"/>
        <v>104.81305531914894</v>
      </c>
      <c r="N18" s="434">
        <f t="shared" ca="1" si="10"/>
        <v>75.733822246668083</v>
      </c>
      <c r="O18" s="434">
        <f t="shared" ca="1" si="11"/>
        <v>0</v>
      </c>
      <c r="P18" s="434"/>
      <c r="Q18" s="434">
        <f t="shared" ca="1" si="12"/>
        <v>2.6294964920930649E-3</v>
      </c>
      <c r="R18" s="434">
        <f t="shared" ca="1" si="13"/>
        <v>0</v>
      </c>
      <c r="S18" s="434">
        <f t="shared" ca="1" si="14"/>
        <v>5.1070888644535614E-2</v>
      </c>
      <c r="T18" s="434">
        <f t="shared" ca="1" si="15"/>
        <v>2.9634692688085846E-3</v>
      </c>
      <c r="U18" s="434">
        <f t="shared" ca="1" si="16"/>
        <v>0.13914357648966727</v>
      </c>
      <c r="V18" s="434">
        <f t="shared" ca="1" si="17"/>
        <v>0.18950353358471697</v>
      </c>
      <c r="W18" s="401">
        <f t="shared" ca="1" si="18"/>
        <v>0.38531096447982149</v>
      </c>
      <c r="Y18">
        <f t="shared" ca="1" si="19"/>
        <v>14</v>
      </c>
      <c r="Z18">
        <f t="shared" ca="1" si="20"/>
        <v>9</v>
      </c>
      <c r="AA18">
        <f t="shared" ca="1" si="21"/>
        <v>16</v>
      </c>
    </row>
    <row r="19" spans="1:27" x14ac:dyDescent="0.2">
      <c r="A19" t="s">
        <v>493</v>
      </c>
      <c r="B19" t="s">
        <v>494</v>
      </c>
      <c r="C19" s="428">
        <f t="shared" ca="1" si="0"/>
        <v>6.9354779171242054E-3</v>
      </c>
      <c r="D19" s="428">
        <f t="shared" ca="1" si="1"/>
        <v>0</v>
      </c>
      <c r="E19" s="428">
        <f t="shared" ca="1" si="2"/>
        <v>0.29106431175057967</v>
      </c>
      <c r="F19" s="428">
        <f t="shared" ca="1" si="3"/>
        <v>3.9992467437951679E-2</v>
      </c>
      <c r="G19" s="428">
        <f t="shared" ca="1" si="4"/>
        <v>3.4636075589763915</v>
      </c>
      <c r="H19" s="428">
        <f t="shared" ca="1" si="5"/>
        <v>0</v>
      </c>
      <c r="I19" s="428"/>
      <c r="J19" s="434">
        <f t="shared" ca="1" si="6"/>
        <v>3198.3478260869565</v>
      </c>
      <c r="K19" s="434" t="str">
        <f t="shared" ca="1" si="7"/>
        <v>N/A</v>
      </c>
      <c r="L19" s="434">
        <f t="shared" ca="1" si="8"/>
        <v>2127.3832390873017</v>
      </c>
      <c r="M19" s="434">
        <f t="shared" ca="1" si="9"/>
        <v>2527.3417328519854</v>
      </c>
      <c r="N19" s="434">
        <f t="shared" ca="1" si="10"/>
        <v>570.58712255106298</v>
      </c>
      <c r="O19" s="434">
        <f t="shared" ca="1" si="11"/>
        <v>0</v>
      </c>
      <c r="P19" s="434"/>
      <c r="Q19" s="434">
        <f t="shared" ca="1" si="12"/>
        <v>1.8485058932590245E-3</v>
      </c>
      <c r="R19" s="434">
        <f t="shared" ca="1" si="13"/>
        <v>0</v>
      </c>
      <c r="S19" s="434">
        <f t="shared" ca="1" si="14"/>
        <v>5.160044485955536E-2</v>
      </c>
      <c r="T19" s="434">
        <f t="shared" ca="1" si="15"/>
        <v>8.4228859963049497E-3</v>
      </c>
      <c r="U19" s="434">
        <f t="shared" ca="1" si="16"/>
        <v>0.1646908225602042</v>
      </c>
      <c r="V19" s="434">
        <f t="shared" ca="1" si="17"/>
        <v>0.5791393549579843</v>
      </c>
      <c r="W19" s="401">
        <f t="shared" ca="1" si="18"/>
        <v>0.80570201426730781</v>
      </c>
      <c r="Y19">
        <f t="shared" ca="1" si="19"/>
        <v>11</v>
      </c>
      <c r="Z19">
        <f t="shared" ca="1" si="20"/>
        <v>10</v>
      </c>
      <c r="AA19">
        <f t="shared" ca="1" si="21"/>
        <v>15</v>
      </c>
    </row>
    <row r="20" spans="1:27" x14ac:dyDescent="0.2">
      <c r="A20" t="s">
        <v>495</v>
      </c>
      <c r="B20" t="s">
        <v>496</v>
      </c>
      <c r="C20" s="428">
        <f t="shared" ca="1" si="0"/>
        <v>0</v>
      </c>
      <c r="D20" s="428">
        <f t="shared" ca="1" si="1"/>
        <v>0</v>
      </c>
      <c r="E20" s="428">
        <f t="shared" ca="1" si="2"/>
        <v>0.49044914038527732</v>
      </c>
      <c r="F20" s="428">
        <f t="shared" ca="1" si="3"/>
        <v>0.10221901424573931</v>
      </c>
      <c r="G20" s="428">
        <f t="shared" ca="1" si="4"/>
        <v>3.695621620972017</v>
      </c>
      <c r="H20" s="428">
        <f t="shared" ca="1" si="5"/>
        <v>0</v>
      </c>
      <c r="I20" s="428"/>
      <c r="J20" s="434" t="str">
        <f t="shared" ca="1" si="6"/>
        <v>N/A</v>
      </c>
      <c r="K20" s="434" t="str">
        <f t="shared" ca="1" si="7"/>
        <v>N/A</v>
      </c>
      <c r="L20" s="434">
        <f t="shared" ca="1" si="8"/>
        <v>231.59220783043867</v>
      </c>
      <c r="M20" s="434">
        <f t="shared" ca="1" si="9"/>
        <v>73.074322033898298</v>
      </c>
      <c r="N20" s="434">
        <f t="shared" ca="1" si="10"/>
        <v>9.2692124077040319</v>
      </c>
      <c r="O20" s="434">
        <f t="shared" ca="1" si="11"/>
        <v>0</v>
      </c>
      <c r="P20" s="434"/>
      <c r="Q20" s="434">
        <f t="shared" ca="1" si="12"/>
        <v>0</v>
      </c>
      <c r="R20" s="434">
        <f t="shared" ca="1" si="13"/>
        <v>0</v>
      </c>
      <c r="S20" s="434">
        <f t="shared" ca="1" si="14"/>
        <v>9.4653499375305945E-3</v>
      </c>
      <c r="T20" s="434">
        <f t="shared" ca="1" si="15"/>
        <v>6.22465430415066E-4</v>
      </c>
      <c r="U20" s="434">
        <f t="shared" ca="1" si="16"/>
        <v>2.8546251486077589E-3</v>
      </c>
      <c r="V20" s="434">
        <f t="shared" ca="1" si="17"/>
        <v>0</v>
      </c>
      <c r="W20" s="401">
        <f t="shared" ca="1" si="18"/>
        <v>1.2942440516553419E-2</v>
      </c>
      <c r="Y20">
        <f t="shared" ca="1" si="19"/>
        <v>19</v>
      </c>
      <c r="Z20">
        <f t="shared" ca="1" si="20"/>
        <v>11</v>
      </c>
      <c r="AA20">
        <f t="shared" ca="1" si="21"/>
        <v>18</v>
      </c>
    </row>
    <row r="21" spans="1:27" x14ac:dyDescent="0.2">
      <c r="A21" t="s">
        <v>497</v>
      </c>
      <c r="B21" t="s">
        <v>498</v>
      </c>
      <c r="C21" s="428">
        <f t="shared" ca="1" si="0"/>
        <v>0</v>
      </c>
      <c r="D21" s="428">
        <f t="shared" ca="1" si="1"/>
        <v>1.5881485264168536E-3</v>
      </c>
      <c r="E21" s="428">
        <f t="shared" ca="1" si="2"/>
        <v>15.253011579123756</v>
      </c>
      <c r="F21" s="428">
        <f t="shared" ca="1" si="3"/>
        <v>29.823119291888265</v>
      </c>
      <c r="G21" s="428">
        <f t="shared" ca="1" si="4"/>
        <v>62.119852102240145</v>
      </c>
      <c r="H21" s="428">
        <f t="shared" ca="1" si="5"/>
        <v>0</v>
      </c>
      <c r="I21" s="428"/>
      <c r="J21" s="434" t="str">
        <f t="shared" ca="1" si="6"/>
        <v>N/A</v>
      </c>
      <c r="K21" s="434">
        <f t="shared" ca="1" si="7"/>
        <v>460.40727272727253</v>
      </c>
      <c r="L21" s="434">
        <f t="shared" ca="1" si="8"/>
        <v>224.40939903641279</v>
      </c>
      <c r="M21" s="434">
        <f t="shared" ca="1" si="9"/>
        <v>46.416012761178465</v>
      </c>
      <c r="N21" s="434">
        <f t="shared" ca="1" si="10"/>
        <v>26.741988444223544</v>
      </c>
      <c r="O21" s="434">
        <f t="shared" ca="1" si="11"/>
        <v>0</v>
      </c>
      <c r="P21" s="434"/>
      <c r="Q21" s="434">
        <f t="shared" ca="1" si="12"/>
        <v>0</v>
      </c>
      <c r="R21" s="434">
        <f t="shared" ca="1" si="13"/>
        <v>6.0932927644451697E-5</v>
      </c>
      <c r="S21" s="434">
        <f t="shared" ca="1" si="14"/>
        <v>0.28524326349721729</v>
      </c>
      <c r="T21" s="434">
        <f t="shared" ca="1" si="15"/>
        <v>0.11535585713586945</v>
      </c>
      <c r="U21" s="434">
        <f t="shared" ca="1" si="16"/>
        <v>0.13843403058958181</v>
      </c>
      <c r="V21" s="434">
        <f t="shared" ca="1" si="17"/>
        <v>0</v>
      </c>
      <c r="W21" s="401">
        <f t="shared" ca="1" si="18"/>
        <v>0.53909408415031301</v>
      </c>
      <c r="Y21">
        <f t="shared" ca="1" si="19"/>
        <v>12</v>
      </c>
      <c r="Z21">
        <f t="shared" ca="1" si="20"/>
        <v>11</v>
      </c>
      <c r="AA21">
        <f t="shared" ca="1" si="21"/>
        <v>10</v>
      </c>
    </row>
    <row r="22" spans="1:27" x14ac:dyDescent="0.2">
      <c r="A22" t="s">
        <v>499</v>
      </c>
      <c r="B22" t="s">
        <v>500</v>
      </c>
      <c r="C22" s="428">
        <f t="shared" ca="1" si="0"/>
        <v>0</v>
      </c>
      <c r="D22" s="428">
        <f t="shared" ca="1" si="1"/>
        <v>1.8480273761941567E-2</v>
      </c>
      <c r="E22" s="428">
        <f t="shared" ca="1" si="2"/>
        <v>60.694127856934124</v>
      </c>
      <c r="F22" s="428">
        <f t="shared" ca="1" si="3"/>
        <v>78.845221742491105</v>
      </c>
      <c r="G22" s="428">
        <f t="shared" ca="1" si="4"/>
        <v>95.156373371624767</v>
      </c>
      <c r="H22" s="428">
        <f t="shared" ca="1" si="5"/>
        <v>0</v>
      </c>
      <c r="I22" s="428"/>
      <c r="J22" s="434" t="str">
        <f t="shared" ca="1" si="6"/>
        <v>N/A</v>
      </c>
      <c r="K22" s="434">
        <f t="shared" ca="1" si="7"/>
        <v>857.95132812500015</v>
      </c>
      <c r="L22" s="434">
        <f t="shared" ca="1" si="8"/>
        <v>446.75747810343347</v>
      </c>
      <c r="M22" s="434">
        <f t="shared" ca="1" si="9"/>
        <v>76.692861770424983</v>
      </c>
      <c r="N22" s="434">
        <f t="shared" ca="1" si="10"/>
        <v>70.366411812186968</v>
      </c>
      <c r="O22" s="434">
        <f t="shared" ca="1" si="11"/>
        <v>0</v>
      </c>
      <c r="P22" s="434"/>
      <c r="Q22" s="434">
        <f t="shared" ca="1" si="12"/>
        <v>0</v>
      </c>
      <c r="R22" s="434">
        <f t="shared" ca="1" si="13"/>
        <v>1.3212646181809467E-3</v>
      </c>
      <c r="S22" s="434">
        <f t="shared" ca="1" si="14"/>
        <v>2.25962962475427</v>
      </c>
      <c r="T22" s="434">
        <f t="shared" ca="1" si="15"/>
        <v>0.50390547436294808</v>
      </c>
      <c r="U22" s="434">
        <f t="shared" ca="1" si="16"/>
        <v>0.55798437960183089</v>
      </c>
      <c r="V22" s="434">
        <f t="shared" ca="1" si="17"/>
        <v>0</v>
      </c>
      <c r="W22" s="401">
        <f t="shared" ca="1" si="18"/>
        <v>3.3228407433372302</v>
      </c>
      <c r="Y22">
        <f t="shared" ca="1" si="19"/>
        <v>5</v>
      </c>
      <c r="Z22">
        <f t="shared" ca="1" si="20"/>
        <v>11</v>
      </c>
      <c r="AA22">
        <f t="shared" ca="1" si="21"/>
        <v>2</v>
      </c>
    </row>
    <row r="23" spans="1:27" x14ac:dyDescent="0.2">
      <c r="A23" t="s">
        <v>501</v>
      </c>
      <c r="B23" t="s">
        <v>502</v>
      </c>
      <c r="C23" s="428">
        <f t="shared" ca="1" si="0"/>
        <v>0</v>
      </c>
      <c r="D23" s="428">
        <f t="shared" ca="1" si="1"/>
        <v>3.8981827466595498E-3</v>
      </c>
      <c r="E23" s="428">
        <f t="shared" ca="1" si="2"/>
        <v>18.181701838975201</v>
      </c>
      <c r="F23" s="428">
        <f t="shared" ca="1" si="3"/>
        <v>24.979555040594395</v>
      </c>
      <c r="G23" s="428">
        <f t="shared" ca="1" si="4"/>
        <v>61.657989635330395</v>
      </c>
      <c r="H23" s="428">
        <f t="shared" ca="1" si="5"/>
        <v>0</v>
      </c>
      <c r="I23" s="428"/>
      <c r="J23" s="434" t="str">
        <f t="shared" ca="1" si="6"/>
        <v>N/A</v>
      </c>
      <c r="K23" s="434">
        <f t="shared" ca="1" si="7"/>
        <v>286.66703703703706</v>
      </c>
      <c r="L23" s="434">
        <f t="shared" ca="1" si="8"/>
        <v>350.64423593685791</v>
      </c>
      <c r="M23" s="434">
        <f t="shared" ca="1" si="9"/>
        <v>61.647545024737539</v>
      </c>
      <c r="N23" s="434">
        <f t="shared" ca="1" si="10"/>
        <v>37.037167437046179</v>
      </c>
      <c r="O23" s="434">
        <f t="shared" ca="1" si="11"/>
        <v>0</v>
      </c>
      <c r="P23" s="434"/>
      <c r="Q23" s="434">
        <f t="shared" ca="1" si="12"/>
        <v>0</v>
      </c>
      <c r="R23" s="434">
        <f t="shared" ca="1" si="13"/>
        <v>9.3123374817815995E-5</v>
      </c>
      <c r="S23" s="434">
        <f t="shared" ca="1" si="14"/>
        <v>0.5312757457799353</v>
      </c>
      <c r="T23" s="434">
        <f t="shared" ca="1" si="15"/>
        <v>0.1283273536719127</v>
      </c>
      <c r="U23" s="434">
        <f t="shared" ca="1" si="16"/>
        <v>0.19030310716294915</v>
      </c>
      <c r="V23" s="434">
        <f t="shared" ca="1" si="17"/>
        <v>0</v>
      </c>
      <c r="W23" s="401">
        <f t="shared" ca="1" si="18"/>
        <v>0.84999932998961503</v>
      </c>
      <c r="Y23">
        <f t="shared" ca="1" si="19"/>
        <v>10</v>
      </c>
      <c r="Z23">
        <f t="shared" ca="1" si="20"/>
        <v>11</v>
      </c>
      <c r="AA23">
        <f t="shared" ca="1" si="21"/>
        <v>5</v>
      </c>
    </row>
    <row r="24" spans="1:27" x14ac:dyDescent="0.2">
      <c r="A24" t="s">
        <v>503</v>
      </c>
      <c r="B24" t="s">
        <v>504</v>
      </c>
      <c r="C24" s="428">
        <f t="shared" ca="1" si="0"/>
        <v>6.8751694134970384E-2</v>
      </c>
      <c r="D24" s="428">
        <f t="shared" ca="1" si="1"/>
        <v>0</v>
      </c>
      <c r="E24" s="428">
        <f t="shared" ca="1" si="2"/>
        <v>4.6752205074936866</v>
      </c>
      <c r="F24" s="428">
        <f t="shared" ca="1" si="3"/>
        <v>0.69055585471380088</v>
      </c>
      <c r="G24" s="428">
        <f t="shared" ca="1" si="4"/>
        <v>9.2486551321579284</v>
      </c>
      <c r="H24" s="428">
        <f t="shared" ca="1" si="5"/>
        <v>0</v>
      </c>
      <c r="I24" s="428"/>
      <c r="J24" s="434">
        <f t="shared" ca="1" si="6"/>
        <v>11013.182368421052</v>
      </c>
      <c r="K24" s="434" t="str">
        <f t="shared" ca="1" si="7"/>
        <v>N/A</v>
      </c>
      <c r="L24" s="434">
        <f t="shared" ca="1" si="8"/>
        <v>1085.3318862330859</v>
      </c>
      <c r="M24" s="434">
        <f t="shared" ca="1" si="9"/>
        <v>156.80763746602531</v>
      </c>
      <c r="N24" s="434">
        <f t="shared" ca="1" si="10"/>
        <v>237.64682964142435</v>
      </c>
      <c r="O24" s="434">
        <f t="shared" ca="1" si="11"/>
        <v>0</v>
      </c>
      <c r="P24" s="434"/>
      <c r="Q24" s="434">
        <f t="shared" ca="1" si="12"/>
        <v>6.3097912137194415E-2</v>
      </c>
      <c r="R24" s="434">
        <f t="shared" ca="1" si="13"/>
        <v>0</v>
      </c>
      <c r="S24" s="434">
        <f t="shared" ca="1" si="14"/>
        <v>0.42284715766281072</v>
      </c>
      <c r="T24" s="434">
        <f t="shared" ca="1" si="15"/>
        <v>9.0237026763335774E-3</v>
      </c>
      <c r="U24" s="434">
        <f t="shared" ca="1" si="16"/>
        <v>0.18315946421701834</v>
      </c>
      <c r="V24" s="434">
        <f t="shared" ca="1" si="17"/>
        <v>4.5091055267970725</v>
      </c>
      <c r="W24" s="401">
        <f t="shared" ca="1" si="18"/>
        <v>5.1872337634904291</v>
      </c>
      <c r="Y24">
        <f t="shared" ca="1" si="19"/>
        <v>3</v>
      </c>
      <c r="Z24">
        <f t="shared" ca="1" si="20"/>
        <v>6</v>
      </c>
      <c r="AA24">
        <f t="shared" ca="1" si="21"/>
        <v>7</v>
      </c>
    </row>
    <row r="25" spans="1:27" x14ac:dyDescent="0.2">
      <c r="A25" t="s">
        <v>505</v>
      </c>
      <c r="B25" t="s">
        <v>506</v>
      </c>
      <c r="C25" s="428">
        <f t="shared" ca="1" si="0"/>
        <v>1.7187923533742593E-2</v>
      </c>
      <c r="D25" s="428">
        <f t="shared" ca="1" si="1"/>
        <v>0</v>
      </c>
      <c r="E25" s="428">
        <f t="shared" ca="1" si="2"/>
        <v>0.50777439703709759</v>
      </c>
      <c r="F25" s="428">
        <f t="shared" ca="1" si="3"/>
        <v>8.8070054646752799E-2</v>
      </c>
      <c r="G25" s="428">
        <f t="shared" ca="1" si="4"/>
        <v>3.7678101903546013</v>
      </c>
      <c r="H25" s="428">
        <f t="shared" ca="1" si="5"/>
        <v>0</v>
      </c>
      <c r="I25" s="428"/>
      <c r="J25" s="434">
        <f t="shared" ca="1" si="6"/>
        <v>18139.423684210531</v>
      </c>
      <c r="K25" s="434" t="str">
        <f t="shared" ca="1" si="7"/>
        <v>N/A</v>
      </c>
      <c r="L25" s="434">
        <f t="shared" ca="1" si="8"/>
        <v>684.70641455786176</v>
      </c>
      <c r="M25" s="434">
        <f t="shared" ca="1" si="9"/>
        <v>108.13942622950817</v>
      </c>
      <c r="N25" s="434">
        <f t="shared" ca="1" si="10"/>
        <v>29.45832969306818</v>
      </c>
      <c r="O25" s="434">
        <f t="shared" ca="1" si="11"/>
        <v>0</v>
      </c>
      <c r="P25" s="434"/>
      <c r="Q25" s="434">
        <f t="shared" ca="1" si="12"/>
        <v>2.5981585602530829E-2</v>
      </c>
      <c r="R25" s="434">
        <f t="shared" ca="1" si="13"/>
        <v>0</v>
      </c>
      <c r="S25" s="434">
        <f t="shared" ca="1" si="14"/>
        <v>2.8973032233295934E-2</v>
      </c>
      <c r="T25" s="434">
        <f t="shared" ca="1" si="15"/>
        <v>7.9365376479177316E-4</v>
      </c>
      <c r="U25" s="434">
        <f t="shared" ca="1" si="16"/>
        <v>9.2494495673639855E-3</v>
      </c>
      <c r="V25" s="434">
        <f t="shared" ca="1" si="17"/>
        <v>8.2139953548993894E-2</v>
      </c>
      <c r="W25" s="401">
        <f t="shared" ca="1" si="18"/>
        <v>0.14713767471697642</v>
      </c>
      <c r="Y25">
        <f t="shared" ca="1" si="19"/>
        <v>18</v>
      </c>
      <c r="Z25">
        <f t="shared" ca="1" si="20"/>
        <v>7</v>
      </c>
      <c r="AA25">
        <f t="shared" ca="1" si="21"/>
        <v>17</v>
      </c>
    </row>
    <row r="26" spans="1:27" x14ac:dyDescent="0.2">
      <c r="A26" t="s">
        <v>507</v>
      </c>
      <c r="B26" t="s">
        <v>508</v>
      </c>
      <c r="C26" s="428">
        <f t="shared" ca="1" si="0"/>
        <v>6.5434726435476209E-2</v>
      </c>
      <c r="D26" s="428">
        <f t="shared" ca="1" si="1"/>
        <v>0</v>
      </c>
      <c r="E26" s="428">
        <f t="shared" ca="1" si="2"/>
        <v>6.5508239171919911</v>
      </c>
      <c r="F26" s="428">
        <f t="shared" ca="1" si="3"/>
        <v>2.4847305581485499</v>
      </c>
      <c r="G26" s="428">
        <f t="shared" ca="1" si="4"/>
        <v>23.280524871605895</v>
      </c>
      <c r="H26" s="428">
        <f t="shared" ca="1" si="5"/>
        <v>0</v>
      </c>
      <c r="I26" s="428"/>
      <c r="J26" s="434">
        <f t="shared" ca="1" si="6"/>
        <v>3571.247373271889</v>
      </c>
      <c r="K26" s="434" t="str">
        <f t="shared" ca="1" si="7"/>
        <v>N/A</v>
      </c>
      <c r="L26" s="434">
        <f t="shared" ca="1" si="8"/>
        <v>754.95093778237469</v>
      </c>
      <c r="M26" s="434">
        <f t="shared" ca="1" si="9"/>
        <v>185.44676525275995</v>
      </c>
      <c r="N26" s="434">
        <f t="shared" ca="1" si="10"/>
        <v>166.73327166848642</v>
      </c>
      <c r="O26" s="434">
        <f t="shared" ca="1" si="11"/>
        <v>0</v>
      </c>
      <c r="P26" s="434"/>
      <c r="Q26" s="434">
        <f t="shared" ca="1" si="12"/>
        <v>1.9473632908621585E-2</v>
      </c>
      <c r="R26" s="434">
        <f t="shared" ca="1" si="13"/>
        <v>0</v>
      </c>
      <c r="S26" s="434">
        <f t="shared" ca="1" si="14"/>
        <v>0.41212922162760857</v>
      </c>
      <c r="T26" s="434">
        <f t="shared" ca="1" si="15"/>
        <v>3.839877037777778E-2</v>
      </c>
      <c r="U26" s="434">
        <f t="shared" ca="1" si="16"/>
        <v>0.32346983983353506</v>
      </c>
      <c r="V26" s="434">
        <f t="shared" ca="1" si="17"/>
        <v>2.2943907589304753</v>
      </c>
      <c r="W26" s="401">
        <f t="shared" ca="1" si="18"/>
        <v>3.0878622236780182</v>
      </c>
      <c r="Y26">
        <f t="shared" ca="1" si="19"/>
        <v>6</v>
      </c>
      <c r="Z26">
        <f t="shared" ca="1" si="20"/>
        <v>8</v>
      </c>
      <c r="AA26">
        <f t="shared" ca="1" si="21"/>
        <v>8</v>
      </c>
    </row>
    <row r="27" spans="1:27" x14ac:dyDescent="0.2">
      <c r="A27" t="s">
        <v>509</v>
      </c>
      <c r="B27" t="s">
        <v>510</v>
      </c>
      <c r="C27" s="428">
        <f t="shared" ca="1" si="0"/>
        <v>0.40346388926574733</v>
      </c>
      <c r="D27" s="428">
        <f t="shared" ca="1" si="1"/>
        <v>0</v>
      </c>
      <c r="E27" s="428">
        <f t="shared" ca="1" si="2"/>
        <v>3.8566021306951801</v>
      </c>
      <c r="F27" s="428">
        <f t="shared" ca="1" si="3"/>
        <v>0.90495590578007612</v>
      </c>
      <c r="G27" s="428">
        <f t="shared" ca="1" si="4"/>
        <v>10.944509004093598</v>
      </c>
      <c r="H27" s="428">
        <f t="shared" ca="1" si="5"/>
        <v>0</v>
      </c>
      <c r="I27" s="428"/>
      <c r="J27" s="434">
        <f t="shared" ca="1" si="6"/>
        <v>13709.076547085193</v>
      </c>
      <c r="K27" s="434" t="str">
        <f t="shared" ca="1" si="7"/>
        <v>N/A</v>
      </c>
      <c r="L27" s="434">
        <f t="shared" ca="1" si="8"/>
        <v>933.72395477688315</v>
      </c>
      <c r="M27" s="434">
        <f t="shared" ca="1" si="9"/>
        <v>107.04195915762605</v>
      </c>
      <c r="N27" s="434">
        <f t="shared" ca="1" si="10"/>
        <v>117.03422716179715</v>
      </c>
      <c r="O27" s="434">
        <f t="shared" ca="1" si="11"/>
        <v>0</v>
      </c>
      <c r="P27" s="434"/>
      <c r="Q27" s="434">
        <f t="shared" ca="1" si="12"/>
        <v>0.46092644516073622</v>
      </c>
      <c r="R27" s="434">
        <f t="shared" ca="1" si="13"/>
        <v>0</v>
      </c>
      <c r="S27" s="434">
        <f t="shared" ca="1" si="14"/>
        <v>0.30008348278947145</v>
      </c>
      <c r="T27" s="434">
        <f t="shared" ca="1" si="15"/>
        <v>8.0723544254969505E-3</v>
      </c>
      <c r="U27" s="434">
        <f t="shared" ca="1" si="16"/>
        <v>0.10674017941328537</v>
      </c>
      <c r="V27" s="434">
        <f t="shared" ca="1" si="17"/>
        <v>0.24783942830191413</v>
      </c>
      <c r="W27" s="401">
        <f t="shared" ca="1" si="18"/>
        <v>1.1236618900909041</v>
      </c>
      <c r="Y27">
        <f t="shared" ca="1" si="19"/>
        <v>9</v>
      </c>
      <c r="Z27">
        <f t="shared" ca="1" si="20"/>
        <v>2</v>
      </c>
      <c r="AA27">
        <f t="shared" ca="1" si="21"/>
        <v>9</v>
      </c>
    </row>
    <row r="28" spans="1:27" x14ac:dyDescent="0.2">
      <c r="A28" t="s">
        <v>511</v>
      </c>
      <c r="B28" t="s">
        <v>512</v>
      </c>
      <c r="C28" s="428">
        <f t="shared" ca="1" si="0"/>
        <v>0</v>
      </c>
      <c r="D28" s="428">
        <f t="shared" ca="1" si="1"/>
        <v>2.8875427753033699E-4</v>
      </c>
      <c r="E28" s="428">
        <f t="shared" ca="1" si="2"/>
        <v>2.9539562591353472</v>
      </c>
      <c r="F28" s="428">
        <f t="shared" ca="1" si="3"/>
        <v>0.70542670000661334</v>
      </c>
      <c r="G28" s="428">
        <f t="shared" ca="1" si="4"/>
        <v>9.2047644819733154</v>
      </c>
      <c r="H28" s="428">
        <f t="shared" ca="1" si="5"/>
        <v>0</v>
      </c>
      <c r="I28" s="428"/>
      <c r="J28" s="434" t="str">
        <f t="shared" ca="1" si="6"/>
        <v>N/A</v>
      </c>
      <c r="K28" s="434">
        <f t="shared" ca="1" si="7"/>
        <v>259.99</v>
      </c>
      <c r="L28" s="434">
        <f t="shared" ca="1" si="8"/>
        <v>529.54997311827856</v>
      </c>
      <c r="M28" s="434">
        <f t="shared" ca="1" si="9"/>
        <v>141.33644494474001</v>
      </c>
      <c r="N28" s="434">
        <f t="shared" ca="1" si="10"/>
        <v>71.418035448200186</v>
      </c>
      <c r="O28" s="434">
        <f t="shared" ca="1" si="11"/>
        <v>0</v>
      </c>
      <c r="P28" s="434"/>
      <c r="Q28" s="434">
        <f t="shared" ca="1" si="12"/>
        <v>0</v>
      </c>
      <c r="R28" s="434">
        <f t="shared" ca="1" si="13"/>
        <v>6.2561020512593598E-6</v>
      </c>
      <c r="S28" s="434">
        <f t="shared" ca="1" si="14"/>
        <v>0.13035562146814114</v>
      </c>
      <c r="T28" s="434">
        <f t="shared" ca="1" si="15"/>
        <v>8.308541829002862E-3</v>
      </c>
      <c r="U28" s="434">
        <f t="shared" ca="1" si="16"/>
        <v>5.4782183005492029E-2</v>
      </c>
      <c r="V28" s="434">
        <f t="shared" ca="1" si="17"/>
        <v>0</v>
      </c>
      <c r="W28" s="401">
        <f t="shared" ca="1" si="18"/>
        <v>0.19345260240468731</v>
      </c>
      <c r="Y28">
        <f t="shared" ca="1" si="19"/>
        <v>17</v>
      </c>
      <c r="Z28">
        <f t="shared" ca="1" si="20"/>
        <v>11</v>
      </c>
      <c r="AA28">
        <f t="shared" ca="1" si="21"/>
        <v>14</v>
      </c>
    </row>
    <row r="29" spans="1:27" x14ac:dyDescent="0.2">
      <c r="B29" t="s">
        <v>513</v>
      </c>
      <c r="C29" s="428" t="str">
        <f t="shared" ca="1" si="0"/>
        <v/>
      </c>
      <c r="D29" s="428" t="str">
        <f t="shared" ca="1" si="1"/>
        <v/>
      </c>
      <c r="E29" s="428" t="str">
        <f t="shared" ca="1" si="2"/>
        <v/>
      </c>
      <c r="F29" s="428" t="str">
        <f t="shared" ca="1" si="3"/>
        <v/>
      </c>
      <c r="G29" s="428" t="str">
        <f t="shared" ca="1" si="4"/>
        <v/>
      </c>
      <c r="H29" s="428" t="str">
        <f t="shared" ca="1" si="5"/>
        <v/>
      </c>
      <c r="I29" s="428"/>
      <c r="J29" s="434" t="str">
        <f t="shared" ca="1" si="6"/>
        <v/>
      </c>
      <c r="K29" s="434" t="str">
        <f t="shared" ca="1" si="7"/>
        <v/>
      </c>
      <c r="L29" s="434" t="str">
        <f t="shared" ca="1" si="8"/>
        <v/>
      </c>
      <c r="M29" s="434" t="str">
        <f t="shared" ca="1" si="9"/>
        <v/>
      </c>
      <c r="N29" s="434" t="str">
        <f t="shared" ca="1" si="10"/>
        <v/>
      </c>
      <c r="O29" s="434" t="str">
        <f t="shared" ca="1" si="11"/>
        <v/>
      </c>
      <c r="P29" s="434"/>
      <c r="Q29" s="434" t="str">
        <f t="shared" ca="1" si="12"/>
        <v/>
      </c>
      <c r="R29" s="434" t="str">
        <f t="shared" ca="1" si="13"/>
        <v/>
      </c>
      <c r="S29" s="434" t="str">
        <f t="shared" ca="1" si="14"/>
        <v/>
      </c>
      <c r="T29" s="434" t="str">
        <f t="shared" ca="1" si="15"/>
        <v/>
      </c>
      <c r="U29" s="434" t="str">
        <f t="shared" ca="1" si="16"/>
        <v/>
      </c>
      <c r="V29" s="434" t="str">
        <f t="shared" ca="1" si="17"/>
        <v/>
      </c>
      <c r="W29" s="401">
        <f t="shared" ca="1" si="18"/>
        <v>0</v>
      </c>
      <c r="Y29">
        <f t="shared" ca="1" si="19"/>
        <v>21</v>
      </c>
      <c r="Z29" t="str">
        <f t="shared" ca="1" si="20"/>
        <v/>
      </c>
      <c r="AA29" t="str">
        <f t="shared" ca="1" si="21"/>
        <v/>
      </c>
    </row>
    <row r="30" spans="1:27" x14ac:dyDescent="0.2">
      <c r="A30" t="s">
        <v>514</v>
      </c>
      <c r="B30" t="s">
        <v>515</v>
      </c>
      <c r="C30" s="428">
        <f t="shared" ca="1" si="0"/>
        <v>0</v>
      </c>
      <c r="D30" s="428">
        <f t="shared" ca="1" si="1"/>
        <v>0</v>
      </c>
      <c r="E30" s="428">
        <f t="shared" ca="1" si="2"/>
        <v>0</v>
      </c>
      <c r="F30" s="428">
        <f t="shared" ca="1" si="3"/>
        <v>0</v>
      </c>
      <c r="G30" s="428">
        <f t="shared" ca="1" si="4"/>
        <v>3.1088729290303725</v>
      </c>
      <c r="H30" s="428">
        <f t="shared" ca="1" si="5"/>
        <v>0</v>
      </c>
      <c r="I30" s="428"/>
      <c r="J30" s="434" t="str">
        <f t="shared" ca="1" si="6"/>
        <v>N/A</v>
      </c>
      <c r="K30" s="434" t="str">
        <f t="shared" ca="1" si="7"/>
        <v>N/A</v>
      </c>
      <c r="L30" s="434" t="str">
        <f t="shared" ca="1" si="8"/>
        <v>N/A</v>
      </c>
      <c r="M30" s="434" t="str">
        <f t="shared" ca="1" si="9"/>
        <v>N/A</v>
      </c>
      <c r="N30" s="434">
        <f t="shared" ca="1" si="10"/>
        <v>0</v>
      </c>
      <c r="O30" s="434">
        <f t="shared" ca="1" si="11"/>
        <v>0</v>
      </c>
      <c r="P30" s="434"/>
      <c r="Q30" s="434">
        <f t="shared" ca="1" si="12"/>
        <v>0</v>
      </c>
      <c r="R30" s="434">
        <f t="shared" ca="1" si="13"/>
        <v>0</v>
      </c>
      <c r="S30" s="434">
        <f t="shared" ca="1" si="14"/>
        <v>0</v>
      </c>
      <c r="T30" s="434">
        <f t="shared" ca="1" si="15"/>
        <v>0</v>
      </c>
      <c r="U30" s="434">
        <f t="shared" ca="1" si="16"/>
        <v>0</v>
      </c>
      <c r="V30" s="434">
        <f t="shared" ca="1" si="17"/>
        <v>0</v>
      </c>
      <c r="W30" s="401">
        <f t="shared" ca="1" si="18"/>
        <v>0</v>
      </c>
      <c r="Y30">
        <f t="shared" ca="1" si="19"/>
        <v>21</v>
      </c>
      <c r="Z30">
        <f t="shared" ca="1" si="20"/>
        <v>11</v>
      </c>
      <c r="AA30">
        <f t="shared" ca="1" si="21"/>
        <v>20</v>
      </c>
    </row>
    <row r="31" spans="1:27" x14ac:dyDescent="0.2">
      <c r="C31" s="428"/>
    </row>
    <row r="32" spans="1:27" x14ac:dyDescent="0.2">
      <c r="B32" t="s">
        <v>403</v>
      </c>
      <c r="C32" s="428">
        <f t="shared" ref="C32:H32" ca="1" si="22">SUM(C4:C30)</f>
        <v>3.5190011866451942</v>
      </c>
      <c r="D32" s="428">
        <f t="shared" ca="1" si="22"/>
        <v>3.5083644719935941E-2</v>
      </c>
      <c r="E32" s="428">
        <f t="shared" ca="1" si="22"/>
        <v>226.45106646186511</v>
      </c>
      <c r="F32" s="428">
        <f t="shared" ca="1" si="22"/>
        <v>219.77145813689455</v>
      </c>
      <c r="G32" s="428">
        <f t="shared" ca="1" si="22"/>
        <v>530.90736847288565</v>
      </c>
      <c r="H32" s="428">
        <f t="shared" ca="1" si="22"/>
        <v>0</v>
      </c>
      <c r="J32" s="434">
        <f ca="1">SUMPRODUCT(J3:J30,C3:C30)/SUM(C3:C30)</f>
        <v>8531.9755946872319</v>
      </c>
      <c r="K32" s="434">
        <f ca="1">SUMPRODUCT(K3:K30,D3:D30)/SUM(D3:D30)</f>
        <v>562.08584362139925</v>
      </c>
      <c r="L32" s="434">
        <f ca="1">SUMPRODUCT(L3:L30,E3:E30)/SUM(E3:E30)</f>
        <v>860.21365244069909</v>
      </c>
      <c r="M32" s="434">
        <f ca="1">SUMPRODUCT(M3:M30,F3:F30)/SUM(F3:F30)</f>
        <v>74.955759720772917</v>
      </c>
      <c r="N32" s="434">
        <f ca="1">SUMPRODUCT(N3:N30,G3:G30)/SUM(G3:G30)</f>
        <v>89.549537118468862</v>
      </c>
      <c r="O32" s="434">
        <v>0</v>
      </c>
      <c r="P32" s="352">
        <f ca="1">SUMPRODUCT(J32:O32,C32:H32)/SUM(C32:H32)</f>
        <v>294.54513733283051</v>
      </c>
      <c r="Q32" s="434">
        <f t="shared" ref="Q32:W32" ca="1" si="23">SUM(Q4:Q30)</f>
        <v>2.5020026868443503</v>
      </c>
      <c r="R32" s="434">
        <f t="shared" ca="1" si="23"/>
        <v>1.643335003309887E-3</v>
      </c>
      <c r="S32" s="434">
        <f t="shared" ca="1" si="23"/>
        <v>16.233024915021044</v>
      </c>
      <c r="T32" s="434">
        <f t="shared" ca="1" si="23"/>
        <v>1.372761384132748</v>
      </c>
      <c r="U32" s="434">
        <f t="shared" ca="1" si="23"/>
        <v>3.961875758294275</v>
      </c>
      <c r="V32" s="434">
        <f t="shared" ca="1" si="23"/>
        <v>20.743575585205583</v>
      </c>
      <c r="W32" s="434">
        <f t="shared" ca="1" si="23"/>
        <v>44.814883664501316</v>
      </c>
      <c r="X32" s="434"/>
    </row>
    <row r="34" spans="2:16" x14ac:dyDescent="0.2">
      <c r="B34" t="s">
        <v>516</v>
      </c>
      <c r="C34" s="428">
        <f ca="1">C32*('Assumptions-Output Target'!$D$10/'Assumptions-Output Target'!$D$5)*(1+'Assumptions-Output Target'!$F$36)</f>
        <v>5.9260345990058703</v>
      </c>
      <c r="P34" s="352">
        <f ca="1">P32/12</f>
        <v>24.54542811106921</v>
      </c>
    </row>
  </sheetData>
  <mergeCells count="4">
    <mergeCell ref="C1:H1"/>
    <mergeCell ref="J1:O1"/>
    <mergeCell ref="Q1:V1"/>
    <mergeCell ref="Y1:AA1"/>
  </mergeCells>
  <conditionalFormatting sqref="Y4:AA30">
    <cfRule type="cellIs" dxfId="0" priority="1" operator="lessThan">
      <formula>6</formula>
    </cfRule>
  </conditionalFormatting>
  <printOptions horizontalCentered="1"/>
  <pageMargins left="0.7" right="0.7" top="0.75" bottom="0.75" header="0.3" footer="0.3"/>
  <pageSetup scale="39" orientation="landscape" horizontalDpi="4294967293"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B1:W118"/>
  <sheetViews>
    <sheetView showGridLines="0" workbookViewId="0">
      <pane ySplit="7" topLeftCell="A8" activePane="bottomLeft" state="frozen"/>
      <selection pane="bottomLeft" activeCell="A8" sqref="A8"/>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 min="14" max="14" width="12.1640625" customWidth="1"/>
    <col min="20" max="20" width="12.1640625" customWidth="1"/>
  </cols>
  <sheetData>
    <row r="1" spans="2:23" x14ac:dyDescent="0.2">
      <c r="G1"/>
      <c r="H1"/>
      <c r="I1"/>
    </row>
    <row r="2" spans="2:23" ht="20" thickBot="1" x14ac:dyDescent="0.3">
      <c r="B2" s="435" t="s">
        <v>517</v>
      </c>
      <c r="G2"/>
      <c r="H2" s="436">
        <v>39795383</v>
      </c>
      <c r="I2"/>
    </row>
    <row r="3" spans="2:23" ht="16" thickBot="1" x14ac:dyDescent="0.25">
      <c r="B3" s="437" t="s">
        <v>449</v>
      </c>
      <c r="G3"/>
      <c r="H3"/>
      <c r="I3"/>
    </row>
    <row r="4" spans="2:23" x14ac:dyDescent="0.2">
      <c r="G4"/>
      <c r="H4"/>
      <c r="I4"/>
    </row>
    <row r="5" spans="2:23" ht="16" x14ac:dyDescent="0.2">
      <c r="D5" s="438" t="s">
        <v>518</v>
      </c>
      <c r="E5" s="438"/>
      <c r="F5" s="438"/>
      <c r="G5" s="438"/>
      <c r="H5" s="438"/>
      <c r="I5" s="438"/>
      <c r="J5" s="439"/>
      <c r="K5" s="438"/>
      <c r="L5" s="438"/>
      <c r="M5" s="438"/>
      <c r="N5" s="438"/>
      <c r="O5" s="438"/>
      <c r="P5" s="438"/>
      <c r="U5" s="440" t="s">
        <v>519</v>
      </c>
      <c r="V5" s="440" t="s">
        <v>520</v>
      </c>
    </row>
    <row r="6" spans="2:23"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c r="T6" s="442"/>
      <c r="U6" s="440" t="s">
        <v>526</v>
      </c>
      <c r="V6" s="440" t="s">
        <v>526</v>
      </c>
      <c r="W6" s="442"/>
    </row>
    <row r="7" spans="2:23"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c r="T7" s="442"/>
      <c r="U7" s="445" t="s">
        <v>308</v>
      </c>
      <c r="V7" s="445" t="s">
        <v>308</v>
      </c>
      <c r="W7" s="442"/>
    </row>
    <row r="8" spans="2:23" x14ac:dyDescent="0.2">
      <c r="D8" s="446" t="s">
        <v>1</v>
      </c>
      <c r="E8" s="446" t="s">
        <v>533</v>
      </c>
      <c r="F8" s="446" t="s">
        <v>534</v>
      </c>
      <c r="G8" s="447">
        <v>2.9575290178762699</v>
      </c>
      <c r="H8" s="310">
        <v>4918.4970320146822</v>
      </c>
      <c r="I8" s="448">
        <v>1.2122164747101443</v>
      </c>
      <c r="J8" s="439"/>
      <c r="K8" s="446" t="s">
        <v>1</v>
      </c>
      <c r="L8" s="446" t="s">
        <v>535</v>
      </c>
      <c r="M8" s="446" t="s">
        <v>534</v>
      </c>
      <c r="N8" s="449">
        <v>59.302557786665858</v>
      </c>
      <c r="O8" s="310">
        <v>8866.1685607432246</v>
      </c>
      <c r="P8" s="388">
        <f t="shared" ref="P8:P13" si="0">V8</f>
        <v>42.414273630809177</v>
      </c>
      <c r="Q8" s="29">
        <f>'Assumptions-Output Target'!D16</f>
        <v>1018.5185313926721</v>
      </c>
      <c r="R8" s="388">
        <f>N8*Q8/12000</f>
        <v>5.0333961720586649</v>
      </c>
      <c r="S8" s="388">
        <f t="shared" ref="S8:S13" si="1">P8-R8</f>
        <v>37.380877458750511</v>
      </c>
      <c r="U8" s="388">
        <v>43.815539451649599</v>
      </c>
      <c r="V8" s="388">
        <f t="shared" ref="V8:V13" si="2">U8*(236.7/244.52)</f>
        <v>42.414273630809177</v>
      </c>
    </row>
    <row r="9" spans="2:23" x14ac:dyDescent="0.2">
      <c r="D9" s="446" t="s">
        <v>1</v>
      </c>
      <c r="E9" s="446" t="s">
        <v>536</v>
      </c>
      <c r="F9" s="446" t="s">
        <v>534</v>
      </c>
      <c r="G9" s="447">
        <v>2.0740094397382731</v>
      </c>
      <c r="H9" s="310">
        <v>1850.5629587089259</v>
      </c>
      <c r="I9" s="448">
        <v>0.31984042043269167</v>
      </c>
      <c r="J9" s="439"/>
      <c r="K9" s="446" t="s">
        <v>462</v>
      </c>
      <c r="L9" s="446" t="s">
        <v>0</v>
      </c>
      <c r="M9" s="446" t="s">
        <v>537</v>
      </c>
      <c r="N9" s="449">
        <v>0.23331345624451205</v>
      </c>
      <c r="O9" s="310">
        <v>908.90818688118907</v>
      </c>
      <c r="P9" s="388">
        <f t="shared" si="0"/>
        <v>1.7106549850396127E-2</v>
      </c>
      <c r="Q9" s="29">
        <f>'Assumptions-Output Target'!E16</f>
        <v>254.62963284816803</v>
      </c>
      <c r="R9" s="388">
        <f>N9*Q9/12000</f>
        <v>4.9507099751731022E-3</v>
      </c>
      <c r="S9" s="388">
        <f t="shared" si="1"/>
        <v>1.2155839875223024E-2</v>
      </c>
      <c r="U9" s="388">
        <v>1.7671709207515256E-2</v>
      </c>
      <c r="V9" s="388">
        <f t="shared" si="2"/>
        <v>1.7106549850396127E-2</v>
      </c>
    </row>
    <row r="10" spans="2:23" x14ac:dyDescent="0.2">
      <c r="D10" s="446" t="s">
        <v>1</v>
      </c>
      <c r="E10" s="446" t="s">
        <v>46</v>
      </c>
      <c r="F10" s="446" t="s">
        <v>534</v>
      </c>
      <c r="G10" s="447">
        <v>25.787313065940339</v>
      </c>
      <c r="H10" s="310">
        <v>8597.9827106574594</v>
      </c>
      <c r="I10" s="448">
        <v>18.476572657938853</v>
      </c>
      <c r="J10" s="439"/>
      <c r="K10" s="446" t="s">
        <v>462</v>
      </c>
      <c r="L10" s="446" t="s">
        <v>538</v>
      </c>
      <c r="M10" s="446" t="s">
        <v>539</v>
      </c>
      <c r="N10" s="449">
        <v>1305.5818199225751</v>
      </c>
      <c r="O10" s="310">
        <v>785.44177879513154</v>
      </c>
      <c r="P10" s="388">
        <f t="shared" si="0"/>
        <v>82.72194115256724</v>
      </c>
      <c r="Q10" s="29">
        <v>0</v>
      </c>
      <c r="R10" s="388">
        <f>N10*Q10/12000</f>
        <v>0</v>
      </c>
      <c r="S10" s="388">
        <f t="shared" si="1"/>
        <v>82.72194115256724</v>
      </c>
      <c r="U10" s="388">
        <v>85.454875583547704</v>
      </c>
      <c r="V10" s="388">
        <f t="shared" si="2"/>
        <v>82.72194115256724</v>
      </c>
    </row>
    <row r="11" spans="2:23" x14ac:dyDescent="0.2">
      <c r="D11" s="446" t="s">
        <v>1</v>
      </c>
      <c r="E11" s="446" t="s">
        <v>540</v>
      </c>
      <c r="F11" s="446" t="s">
        <v>534</v>
      </c>
      <c r="G11" s="447">
        <v>17.546457587806103</v>
      </c>
      <c r="H11" s="310">
        <v>11559.036265617224</v>
      </c>
      <c r="I11" s="448">
        <v>16.901678299213771</v>
      </c>
      <c r="J11" s="439"/>
      <c r="K11" s="320" t="s">
        <v>463</v>
      </c>
      <c r="L11" s="450" t="s">
        <v>541</v>
      </c>
      <c r="M11" s="446" t="s">
        <v>539</v>
      </c>
      <c r="N11" s="449">
        <v>1310.1806649236614</v>
      </c>
      <c r="O11" s="310">
        <v>79.750980047846824</v>
      </c>
      <c r="P11" s="388">
        <f t="shared" si="0"/>
        <v>8.4288793903545578</v>
      </c>
      <c r="Q11" s="29">
        <f>'Assumptions-Output Target'!G16</f>
        <v>30.555555941780163</v>
      </c>
      <c r="R11" s="388">
        <f>N11*Q11/12000</f>
        <v>3.3361082167428053</v>
      </c>
      <c r="S11" s="388">
        <f t="shared" si="1"/>
        <v>5.0927711736117525</v>
      </c>
      <c r="U11" s="388">
        <v>8.7073493389501344</v>
      </c>
      <c r="V11" s="388">
        <f t="shared" si="2"/>
        <v>8.4288793903545578</v>
      </c>
    </row>
    <row r="12" spans="2:23" x14ac:dyDescent="0.2">
      <c r="D12" s="446" t="s">
        <v>1</v>
      </c>
      <c r="E12" s="446" t="s">
        <v>542</v>
      </c>
      <c r="F12" s="446" t="s">
        <v>534</v>
      </c>
      <c r="G12" s="447">
        <v>6.9592997760569357</v>
      </c>
      <c r="H12" s="310">
        <v>2672.3079479180374</v>
      </c>
      <c r="I12" s="448">
        <v>1.5497826752917638</v>
      </c>
      <c r="J12" s="439"/>
      <c r="K12" s="320" t="s">
        <v>464</v>
      </c>
      <c r="L12" s="450" t="s">
        <v>541</v>
      </c>
      <c r="M12" s="446" t="s">
        <v>539</v>
      </c>
      <c r="N12" s="449">
        <v>3792.7015309634135</v>
      </c>
      <c r="O12" s="310">
        <v>117.74192334124086</v>
      </c>
      <c r="P12" s="388">
        <f t="shared" si="0"/>
        <v>36.023210640219304</v>
      </c>
      <c r="Q12" s="29">
        <f>'Assumptions-Output Target'!H16</f>
        <v>55.000000695204292</v>
      </c>
      <c r="R12" s="388">
        <f>N12*Q12/12000</f>
        <v>17.383215569974176</v>
      </c>
      <c r="S12" s="388">
        <f t="shared" si="1"/>
        <v>18.639995070245128</v>
      </c>
      <c r="U12" s="388">
        <v>37.213331076241758</v>
      </c>
      <c r="V12" s="388">
        <f t="shared" si="2"/>
        <v>36.023210640219304</v>
      </c>
    </row>
    <row r="13" spans="2:23" x14ac:dyDescent="0.2">
      <c r="D13" s="446" t="s">
        <v>1</v>
      </c>
      <c r="E13" s="446" t="s">
        <v>543</v>
      </c>
      <c r="F13" s="446" t="s">
        <v>534</v>
      </c>
      <c r="G13" s="447">
        <v>1.8231260646492584</v>
      </c>
      <c r="H13" s="310">
        <v>5816.9455722791863</v>
      </c>
      <c r="I13" s="448">
        <v>0.8837520907890235</v>
      </c>
      <c r="J13" s="439"/>
      <c r="K13" s="446" t="s">
        <v>465</v>
      </c>
      <c r="N13" s="352"/>
      <c r="P13" s="388">
        <f t="shared" si="0"/>
        <v>67.091895557951673</v>
      </c>
      <c r="R13" s="388">
        <f>L117*V13/U13</f>
        <v>15.620091444104807</v>
      </c>
      <c r="S13" s="388">
        <f t="shared" si="1"/>
        <v>51.471804113846865</v>
      </c>
      <c r="U13" s="388">
        <f>$I$117</f>
        <v>69.308450789312815</v>
      </c>
      <c r="V13" s="388">
        <f t="shared" si="2"/>
        <v>67.091895557951673</v>
      </c>
    </row>
    <row r="14" spans="2:23" x14ac:dyDescent="0.2">
      <c r="D14" s="446" t="s">
        <v>1</v>
      </c>
      <c r="E14" s="446" t="s">
        <v>544</v>
      </c>
      <c r="F14" s="446" t="s">
        <v>534</v>
      </c>
      <c r="G14" s="447">
        <v>1.5191712063683367</v>
      </c>
      <c r="H14" s="310">
        <v>27069.494335053609</v>
      </c>
      <c r="I14" s="448">
        <v>3.4269330303970205</v>
      </c>
      <c r="J14" s="439"/>
      <c r="N14" s="352"/>
    </row>
    <row r="15" spans="2:23" x14ac:dyDescent="0.2">
      <c r="D15" s="446" t="s">
        <v>1</v>
      </c>
      <c r="E15" s="446" t="s">
        <v>545</v>
      </c>
      <c r="F15" s="446" t="s">
        <v>534</v>
      </c>
      <c r="G15" s="447">
        <v>0.3974330389030305</v>
      </c>
      <c r="H15" s="310">
        <v>7405.1836418816429</v>
      </c>
      <c r="I15" s="448">
        <v>0.24525538653566933</v>
      </c>
      <c r="J15" s="439"/>
      <c r="K15" s="446" t="s">
        <v>403</v>
      </c>
      <c r="P15" s="388">
        <f>SUM(P8:P13)</f>
        <v>236.69730692175233</v>
      </c>
      <c r="R15" s="388">
        <f>SUM(R8:R13)</f>
        <v>41.377762112855628</v>
      </c>
      <c r="S15" s="388">
        <f>SUM(S8:S13)</f>
        <v>195.31954480889672</v>
      </c>
      <c r="U15" s="388">
        <f>SUM(U8:U13)</f>
        <v>244.51721794890952</v>
      </c>
      <c r="V15" s="388">
        <f>SUM(V8:V13)</f>
        <v>236.69730692175233</v>
      </c>
    </row>
    <row r="16" spans="2:23" x14ac:dyDescent="0.2">
      <c r="D16" s="451" t="s">
        <v>1</v>
      </c>
      <c r="E16" s="451" t="s">
        <v>546</v>
      </c>
      <c r="F16" s="451" t="s">
        <v>534</v>
      </c>
      <c r="G16" s="452">
        <v>0.23821858932730966</v>
      </c>
      <c r="H16" s="453">
        <v>40274.359037974667</v>
      </c>
      <c r="I16" s="454">
        <v>0.79950841634065906</v>
      </c>
      <c r="J16" s="439"/>
      <c r="P16" s="388"/>
      <c r="R16" s="455">
        <f>R15/P15</f>
        <v>0.17481298224712941</v>
      </c>
      <c r="S16" s="388"/>
    </row>
    <row r="17" spans="4:22" ht="16" x14ac:dyDescent="0.2">
      <c r="D17" s="456" t="s">
        <v>547</v>
      </c>
      <c r="E17" s="456"/>
      <c r="F17" s="456"/>
      <c r="G17" s="457">
        <v>59.302557786665858</v>
      </c>
      <c r="H17" s="458"/>
      <c r="I17" s="459">
        <v>43.815539451649599</v>
      </c>
      <c r="J17" s="439"/>
      <c r="K17" t="s">
        <v>516</v>
      </c>
      <c r="P17" s="388">
        <f>P15*('Assumptions-Output Target'!$D$10/'Assumptions-Output Target'!$D$5)*(1+'Assumptions-Output Target'!$F$35)</f>
        <v>391.3762300268682</v>
      </c>
      <c r="R17" s="388">
        <f>R15*('Assumptions-Output Target'!$D$10/'Assumptions-Output Target'!$D$5)*(1+'Assumptions-Output Target'!$F$35)</f>
        <v>68.417645951635336</v>
      </c>
      <c r="S17" s="388">
        <f>S15*('Assumptions-Output Target'!$D$10/'Assumptions-Output Target'!$D$5)*(1+'Assumptions-Output Target'!$F$35)</f>
        <v>322.95858407523286</v>
      </c>
      <c r="U17" s="388"/>
      <c r="V17" s="388"/>
    </row>
    <row r="18" spans="4:22" x14ac:dyDescent="0.2">
      <c r="D18" s="446" t="s">
        <v>462</v>
      </c>
      <c r="E18" s="446" t="s">
        <v>548</v>
      </c>
      <c r="F18" s="446" t="s">
        <v>537</v>
      </c>
      <c r="G18" s="447">
        <v>0.23331345624451205</v>
      </c>
      <c r="H18" s="310">
        <v>908.90818688118907</v>
      </c>
      <c r="I18" s="448">
        <v>1.7671709207515256E-2</v>
      </c>
      <c r="J18" s="439"/>
    </row>
    <row r="19" spans="4:22" x14ac:dyDescent="0.2">
      <c r="D19" s="446" t="s">
        <v>462</v>
      </c>
      <c r="E19" s="446" t="s">
        <v>549</v>
      </c>
      <c r="F19" s="446" t="s">
        <v>537</v>
      </c>
      <c r="G19" s="447">
        <v>5.9548350883693733</v>
      </c>
      <c r="H19" s="310">
        <v>921.32310825554669</v>
      </c>
      <c r="I19" s="448">
        <v>0.45719393106380529</v>
      </c>
      <c r="J19" s="439"/>
    </row>
    <row r="20" spans="4:22" x14ac:dyDescent="0.2">
      <c r="D20" s="446" t="s">
        <v>462</v>
      </c>
      <c r="E20" s="446" t="s">
        <v>550</v>
      </c>
      <c r="F20" s="446" t="s">
        <v>537</v>
      </c>
      <c r="G20" s="447">
        <v>110.26341966345699</v>
      </c>
      <c r="H20" s="310">
        <v>496.04354172613381</v>
      </c>
      <c r="I20" s="448">
        <v>4.5579547677246861</v>
      </c>
      <c r="J20" s="439"/>
      <c r="N20" s="352"/>
    </row>
    <row r="21" spans="4:22" x14ac:dyDescent="0.2">
      <c r="D21" s="446" t="s">
        <v>462</v>
      </c>
      <c r="E21" s="446" t="s">
        <v>551</v>
      </c>
      <c r="F21" s="446" t="s">
        <v>537</v>
      </c>
      <c r="G21" s="447">
        <v>12.750955764323386</v>
      </c>
      <c r="H21" s="310">
        <v>425.66595864895794</v>
      </c>
      <c r="I21" s="448">
        <v>0.45230398409259753</v>
      </c>
      <c r="J21" s="439"/>
    </row>
    <row r="22" spans="4:22" x14ac:dyDescent="0.2">
      <c r="D22" s="446" t="s">
        <v>462</v>
      </c>
      <c r="E22" s="446" t="s">
        <v>552</v>
      </c>
      <c r="F22" s="446" t="s">
        <v>537</v>
      </c>
      <c r="G22" s="447">
        <v>1.8037035945932509</v>
      </c>
      <c r="H22" s="310">
        <v>623.33931721764156</v>
      </c>
      <c r="I22" s="448">
        <v>9.369328059306356E-2</v>
      </c>
      <c r="J22" s="439"/>
    </row>
    <row r="23" spans="4:22" x14ac:dyDescent="0.2">
      <c r="D23" s="446" t="s">
        <v>462</v>
      </c>
      <c r="E23" s="446" t="s">
        <v>553</v>
      </c>
      <c r="F23" s="446" t="s">
        <v>554</v>
      </c>
      <c r="G23" s="447">
        <v>0.27402780937628962</v>
      </c>
      <c r="H23" s="310">
        <v>689.39404109589111</v>
      </c>
      <c r="I23" s="448">
        <v>1.5742761573214567E-2</v>
      </c>
      <c r="J23" s="439"/>
    </row>
    <row r="24" spans="4:22" x14ac:dyDescent="0.2">
      <c r="D24" s="446" t="s">
        <v>462</v>
      </c>
      <c r="E24" s="446" t="s">
        <v>555</v>
      </c>
      <c r="F24" s="446" t="s">
        <v>537</v>
      </c>
      <c r="G24" s="447">
        <v>0.16805498952265607</v>
      </c>
      <c r="H24" s="310">
        <v>418.20611683848824</v>
      </c>
      <c r="I24" s="448">
        <v>5.8568020486335689E-3</v>
      </c>
      <c r="J24" s="439"/>
    </row>
    <row r="25" spans="4:22" x14ac:dyDescent="0.2">
      <c r="D25" s="446" t="s">
        <v>462</v>
      </c>
      <c r="E25" s="446" t="s">
        <v>556</v>
      </c>
      <c r="F25" s="446" t="s">
        <v>537</v>
      </c>
      <c r="G25" s="447">
        <v>1.0854273292365368</v>
      </c>
      <c r="H25" s="310">
        <v>4351.001146581536</v>
      </c>
      <c r="I25" s="448">
        <v>0.39355796283659217</v>
      </c>
      <c r="J25" s="439"/>
    </row>
    <row r="26" spans="4:22" x14ac:dyDescent="0.2">
      <c r="D26" s="446" t="s">
        <v>462</v>
      </c>
      <c r="E26" s="446" t="s">
        <v>557</v>
      </c>
      <c r="F26" s="446" t="s">
        <v>537</v>
      </c>
      <c r="G26" s="447">
        <v>0.49405856885440658</v>
      </c>
      <c r="H26" s="310">
        <v>286.34331677381647</v>
      </c>
      <c r="I26" s="448">
        <v>1.1789197440524646E-2</v>
      </c>
      <c r="J26" s="439"/>
    </row>
    <row r="27" spans="4:22" x14ac:dyDescent="0.2">
      <c r="D27" s="446" t="s">
        <v>462</v>
      </c>
      <c r="E27" s="446" t="s">
        <v>558</v>
      </c>
      <c r="F27" s="446" t="s">
        <v>537</v>
      </c>
      <c r="G27" s="447">
        <v>1.4437713876516854E-3</v>
      </c>
      <c r="H27" s="310">
        <v>155.83799999999997</v>
      </c>
      <c r="I27" s="448">
        <v>1.8749537125738607E-5</v>
      </c>
      <c r="J27" s="439"/>
    </row>
    <row r="28" spans="4:22" x14ac:dyDescent="0.2">
      <c r="D28" s="446" t="s">
        <v>462</v>
      </c>
      <c r="E28" s="446" t="s">
        <v>559</v>
      </c>
      <c r="F28" s="446" t="s">
        <v>537</v>
      </c>
      <c r="G28" s="447">
        <v>0.38173315489510562</v>
      </c>
      <c r="H28" s="310">
        <v>536.13103630862315</v>
      </c>
      <c r="I28" s="448">
        <v>1.7054915993939428E-2</v>
      </c>
      <c r="J28" s="439"/>
    </row>
    <row r="29" spans="4:22" x14ac:dyDescent="0.2">
      <c r="D29" s="446" t="s">
        <v>462</v>
      </c>
      <c r="E29" s="446" t="s">
        <v>560</v>
      </c>
      <c r="F29" s="446" t="s">
        <v>537</v>
      </c>
      <c r="G29" s="447">
        <v>6.4969712444325808E-3</v>
      </c>
      <c r="H29" s="310">
        <v>110.75555555555557</v>
      </c>
      <c r="I29" s="448">
        <v>5.9964638300466645E-5</v>
      </c>
      <c r="J29" s="439"/>
    </row>
    <row r="30" spans="4:22" x14ac:dyDescent="0.2">
      <c r="D30" s="446" t="s">
        <v>462</v>
      </c>
      <c r="E30" s="446" t="s">
        <v>561</v>
      </c>
      <c r="F30" s="446" t="s">
        <v>554</v>
      </c>
      <c r="G30" s="447">
        <v>0.1680549895226561</v>
      </c>
      <c r="H30" s="310">
        <v>809.53727663230256</v>
      </c>
      <c r="I30" s="448">
        <v>1.1337231545220098E-2</v>
      </c>
      <c r="J30" s="439"/>
    </row>
    <row r="31" spans="4:22" x14ac:dyDescent="0.2">
      <c r="D31" s="446" t="s">
        <v>462</v>
      </c>
      <c r="E31" s="446" t="s">
        <v>562</v>
      </c>
      <c r="F31" s="446" t="s">
        <v>537</v>
      </c>
      <c r="G31" s="447">
        <v>9.1390728838351629E-2</v>
      </c>
      <c r="H31" s="310">
        <v>5196.996161137441</v>
      </c>
      <c r="I31" s="448">
        <v>3.9579772244705519E-2</v>
      </c>
      <c r="J31" s="439"/>
    </row>
    <row r="32" spans="4:22" x14ac:dyDescent="0.2">
      <c r="D32" s="446" t="s">
        <v>462</v>
      </c>
      <c r="E32" s="446" t="s">
        <v>563</v>
      </c>
      <c r="F32" s="446" t="s">
        <v>537</v>
      </c>
      <c r="G32" s="447">
        <v>3.8981827466595493E-3</v>
      </c>
      <c r="H32" s="310">
        <v>698.70037037037036</v>
      </c>
      <c r="I32" s="448">
        <v>2.2697181073853457E-4</v>
      </c>
      <c r="J32" s="439"/>
    </row>
    <row r="33" spans="4:10" x14ac:dyDescent="0.2">
      <c r="D33" s="446" t="s">
        <v>462</v>
      </c>
      <c r="E33" s="446" t="s">
        <v>564</v>
      </c>
      <c r="F33" s="446" t="s">
        <v>537</v>
      </c>
      <c r="G33" s="447">
        <v>3.9848090299186519E-2</v>
      </c>
      <c r="H33" s="310">
        <v>390.1124637681159</v>
      </c>
      <c r="I33" s="448">
        <v>1.2954363902558342E-3</v>
      </c>
      <c r="J33" s="439"/>
    </row>
    <row r="34" spans="4:10" x14ac:dyDescent="0.2">
      <c r="D34" s="446" t="s">
        <v>462</v>
      </c>
      <c r="E34" s="446" t="s">
        <v>565</v>
      </c>
      <c r="F34" s="446" t="s">
        <v>537</v>
      </c>
      <c r="G34" s="447">
        <v>1.2430871647681008</v>
      </c>
      <c r="H34" s="310">
        <v>183.9868269454123</v>
      </c>
      <c r="I34" s="448">
        <v>1.9059305255187647E-2</v>
      </c>
      <c r="J34" s="439"/>
    </row>
    <row r="35" spans="4:10" x14ac:dyDescent="0.2">
      <c r="D35" s="446" t="s">
        <v>462</v>
      </c>
      <c r="E35" s="446" t="s">
        <v>566</v>
      </c>
      <c r="F35" s="446" t="s">
        <v>537</v>
      </c>
      <c r="G35" s="447">
        <v>4.7500078653740431E-2</v>
      </c>
      <c r="H35" s="310">
        <v>225.46446808510635</v>
      </c>
      <c r="I35" s="448">
        <v>8.924649973055251E-4</v>
      </c>
      <c r="J35" s="439"/>
    </row>
    <row r="36" spans="4:10" x14ac:dyDescent="0.2">
      <c r="D36" s="446" t="s">
        <v>462</v>
      </c>
      <c r="E36" s="446" t="s">
        <v>567</v>
      </c>
      <c r="F36" s="446" t="s">
        <v>537</v>
      </c>
      <c r="G36" s="447">
        <v>1.4437713876516854E-3</v>
      </c>
      <c r="H36" s="310">
        <v>1053.2699999999993</v>
      </c>
      <c r="I36" s="448">
        <v>1.2672342412265749E-4</v>
      </c>
      <c r="J36" s="439"/>
    </row>
    <row r="37" spans="4:10" x14ac:dyDescent="0.2">
      <c r="D37" s="446" t="s">
        <v>462</v>
      </c>
      <c r="E37" s="446" t="s">
        <v>568</v>
      </c>
      <c r="F37" s="446" t="s">
        <v>537</v>
      </c>
      <c r="G37" s="447">
        <v>7.9118672043312327E-2</v>
      </c>
      <c r="H37" s="310">
        <v>559.24675182481769</v>
      </c>
      <c r="I37" s="448">
        <v>3.6872383624096195E-3</v>
      </c>
      <c r="J37" s="439"/>
    </row>
    <row r="38" spans="4:10" x14ac:dyDescent="0.2">
      <c r="D38" s="446" t="s">
        <v>462</v>
      </c>
      <c r="E38" s="446" t="s">
        <v>569</v>
      </c>
      <c r="F38" s="446" t="s">
        <v>537</v>
      </c>
      <c r="G38" s="447">
        <v>0.95245598443381685</v>
      </c>
      <c r="H38" s="310">
        <v>556.96958920721545</v>
      </c>
      <c r="I38" s="448">
        <v>4.4207418199004742E-2</v>
      </c>
      <c r="J38" s="439"/>
    </row>
    <row r="39" spans="4:10" x14ac:dyDescent="0.2">
      <c r="D39" s="446" t="s">
        <v>462</v>
      </c>
      <c r="E39" s="446" t="s">
        <v>570</v>
      </c>
      <c r="F39" s="446" t="s">
        <v>537</v>
      </c>
      <c r="G39" s="447">
        <v>2.8875427753033699E-4</v>
      </c>
      <c r="H39" s="310">
        <v>3243.42</v>
      </c>
      <c r="I39" s="448">
        <v>7.8045949902287134E-5</v>
      </c>
      <c r="J39" s="439"/>
    </row>
    <row r="40" spans="4:10" x14ac:dyDescent="0.2">
      <c r="D40" s="446" t="s">
        <v>462</v>
      </c>
      <c r="E40" s="446" t="s">
        <v>571</v>
      </c>
      <c r="F40" s="446" t="s">
        <v>537</v>
      </c>
      <c r="G40" s="447">
        <v>7.9407426320842675E-3</v>
      </c>
      <c r="H40" s="310">
        <v>542.92454545454541</v>
      </c>
      <c r="I40" s="448">
        <v>3.5926867367465679E-4</v>
      </c>
      <c r="J40" s="439"/>
    </row>
    <row r="41" spans="4:10" x14ac:dyDescent="0.2">
      <c r="D41" s="446" t="s">
        <v>462</v>
      </c>
      <c r="E41" s="446" t="s">
        <v>572</v>
      </c>
      <c r="F41" s="446" t="s">
        <v>537</v>
      </c>
      <c r="G41" s="447">
        <v>3.6383038968822466E-2</v>
      </c>
      <c r="H41" s="310">
        <v>244.43722222222218</v>
      </c>
      <c r="I41" s="448">
        <v>7.4111408179515221E-4</v>
      </c>
      <c r="J41" s="439"/>
    </row>
    <row r="42" spans="4:10" x14ac:dyDescent="0.2">
      <c r="D42" s="446" t="s">
        <v>462</v>
      </c>
      <c r="E42" s="446" t="s">
        <v>573</v>
      </c>
      <c r="F42" s="446" t="s">
        <v>537</v>
      </c>
      <c r="G42" s="447">
        <v>5.0531998567808975E-3</v>
      </c>
      <c r="H42" s="310">
        <v>347.42742857142849</v>
      </c>
      <c r="I42" s="448">
        <v>1.4630168602490818E-4</v>
      </c>
      <c r="J42" s="439"/>
    </row>
    <row r="43" spans="4:10" x14ac:dyDescent="0.2">
      <c r="D43" s="446" t="s">
        <v>462</v>
      </c>
      <c r="E43" s="446" t="s">
        <v>574</v>
      </c>
      <c r="F43" s="446" t="s">
        <v>537</v>
      </c>
      <c r="G43" s="447">
        <v>5.7750855506067398E-4</v>
      </c>
      <c r="H43" s="310">
        <v>13.75</v>
      </c>
      <c r="I43" s="448">
        <v>6.61728552673689E-7</v>
      </c>
      <c r="J43" s="439"/>
    </row>
    <row r="44" spans="4:10" x14ac:dyDescent="0.2">
      <c r="D44" s="446" t="s">
        <v>462</v>
      </c>
      <c r="E44" s="446" t="s">
        <v>575</v>
      </c>
      <c r="F44" s="446" t="s">
        <v>537</v>
      </c>
      <c r="G44" s="447">
        <v>6.4969712444325825E-3</v>
      </c>
      <c r="H44" s="310">
        <v>2521.4888888888886</v>
      </c>
      <c r="I44" s="448">
        <v>1.3651700670222809E-3</v>
      </c>
      <c r="J44" s="439"/>
    </row>
    <row r="45" spans="4:10" x14ac:dyDescent="0.2">
      <c r="D45" s="446" t="s">
        <v>462</v>
      </c>
      <c r="E45" s="446" t="s">
        <v>576</v>
      </c>
      <c r="F45" s="446" t="s">
        <v>537</v>
      </c>
      <c r="G45" s="447">
        <v>6.7857255219629185E-3</v>
      </c>
      <c r="H45" s="310">
        <v>649.29638297872339</v>
      </c>
      <c r="I45" s="448">
        <v>3.6716225310807777E-4</v>
      </c>
      <c r="J45" s="439"/>
    </row>
    <row r="46" spans="4:10" x14ac:dyDescent="0.2">
      <c r="D46" s="446" t="s">
        <v>462</v>
      </c>
      <c r="E46" s="446" t="s">
        <v>577</v>
      </c>
      <c r="F46" s="446" t="s">
        <v>537</v>
      </c>
      <c r="G46" s="447">
        <v>4.6200684404853927E-3</v>
      </c>
      <c r="H46" s="310">
        <v>1058.1384375</v>
      </c>
      <c r="I46" s="448">
        <v>4.0738933339652293E-4</v>
      </c>
      <c r="J46" s="439"/>
    </row>
    <row r="47" spans="4:10" x14ac:dyDescent="0.2">
      <c r="D47" s="446" t="s">
        <v>462</v>
      </c>
      <c r="E47" s="446" t="s">
        <v>578</v>
      </c>
      <c r="F47" s="446" t="s">
        <v>537</v>
      </c>
      <c r="G47" s="447">
        <v>3.1762970528337073E-3</v>
      </c>
      <c r="H47" s="310">
        <v>6698.3181818181811</v>
      </c>
      <c r="I47" s="448">
        <v>1.7729873583209603E-3</v>
      </c>
      <c r="J47" s="439"/>
    </row>
    <row r="48" spans="4:10" x14ac:dyDescent="0.2">
      <c r="D48" s="446" t="s">
        <v>462</v>
      </c>
      <c r="E48" s="446" t="s">
        <v>579</v>
      </c>
      <c r="F48" s="446" t="s">
        <v>537</v>
      </c>
      <c r="G48" s="447">
        <v>2.3100342202426959E-3</v>
      </c>
      <c r="H48" s="310">
        <v>1223.1875000000002</v>
      </c>
      <c r="I48" s="448">
        <v>2.3546708189775941E-4</v>
      </c>
      <c r="J48" s="439"/>
    </row>
    <row r="49" spans="4:10" x14ac:dyDescent="0.2">
      <c r="D49" s="446" t="s">
        <v>462</v>
      </c>
      <c r="E49" s="446" t="s">
        <v>580</v>
      </c>
      <c r="F49" s="446" t="s">
        <v>537</v>
      </c>
      <c r="G49" s="447">
        <v>2.8875427753033699E-4</v>
      </c>
      <c r="H49" s="310">
        <v>24</v>
      </c>
      <c r="I49" s="448">
        <v>5.7750855506067402E-7</v>
      </c>
      <c r="J49" s="439"/>
    </row>
    <row r="50" spans="4:10" x14ac:dyDescent="0.2">
      <c r="D50" s="446" t="s">
        <v>462</v>
      </c>
      <c r="E50" s="446" t="s">
        <v>581</v>
      </c>
      <c r="F50" s="446" t="s">
        <v>537</v>
      </c>
      <c r="G50" s="447">
        <v>2.0212799427123587E-3</v>
      </c>
      <c r="H50" s="310">
        <v>2502.0000000000005</v>
      </c>
      <c r="I50" s="448">
        <v>4.2143686805552684E-4</v>
      </c>
      <c r="J50" s="439"/>
    </row>
    <row r="51" spans="4:10" x14ac:dyDescent="0.2">
      <c r="D51" s="446" t="s">
        <v>462</v>
      </c>
      <c r="E51" s="446" t="s">
        <v>582</v>
      </c>
      <c r="F51" s="446" t="s">
        <v>537</v>
      </c>
      <c r="G51" s="447">
        <v>8.6626283259101102E-4</v>
      </c>
      <c r="H51" s="310">
        <v>316.05</v>
      </c>
      <c r="I51" s="448">
        <v>2.2815197353365754E-5</v>
      </c>
      <c r="J51" s="439"/>
    </row>
    <row r="52" spans="4:10" x14ac:dyDescent="0.2">
      <c r="D52" s="446" t="s">
        <v>462</v>
      </c>
      <c r="E52" s="446" t="s">
        <v>583</v>
      </c>
      <c r="F52" s="446" t="s">
        <v>537</v>
      </c>
      <c r="G52" s="447">
        <v>476.17391921499012</v>
      </c>
      <c r="H52" s="310">
        <v>813.78529201125195</v>
      </c>
      <c r="I52" s="448">
        <v>32.291944324709419</v>
      </c>
      <c r="J52" s="439"/>
    </row>
    <row r="53" spans="4:10" x14ac:dyDescent="0.2">
      <c r="D53" s="446" t="s">
        <v>462</v>
      </c>
      <c r="E53" s="446" t="s">
        <v>584</v>
      </c>
      <c r="F53" s="446" t="s">
        <v>554</v>
      </c>
      <c r="G53" s="447">
        <v>26.316322434922689</v>
      </c>
      <c r="H53" s="310">
        <v>813.78529201125332</v>
      </c>
      <c r="I53" s="448">
        <v>1.7846530114471548</v>
      </c>
      <c r="J53" s="439"/>
    </row>
    <row r="54" spans="4:10" x14ac:dyDescent="0.2">
      <c r="D54" s="446" t="s">
        <v>462</v>
      </c>
      <c r="E54" s="446" t="s">
        <v>585</v>
      </c>
      <c r="F54" s="446" t="s">
        <v>554</v>
      </c>
      <c r="G54" s="447">
        <v>116.52741760655644</v>
      </c>
      <c r="H54" s="310">
        <v>813.78529201125309</v>
      </c>
      <c r="I54" s="448">
        <v>7.9023582136890642</v>
      </c>
      <c r="J54" s="439"/>
    </row>
    <row r="55" spans="4:10" x14ac:dyDescent="0.2">
      <c r="D55" s="446" t="s">
        <v>462</v>
      </c>
      <c r="E55" s="446" t="s">
        <v>586</v>
      </c>
      <c r="F55" s="446" t="s">
        <v>537</v>
      </c>
      <c r="G55" s="447">
        <v>63.698206633934809</v>
      </c>
      <c r="H55" s="310">
        <v>813.78529201125207</v>
      </c>
      <c r="I55" s="448">
        <v>4.319721973849143</v>
      </c>
      <c r="J55" s="439"/>
    </row>
    <row r="56" spans="4:10" x14ac:dyDescent="0.2">
      <c r="D56" s="446" t="s">
        <v>462</v>
      </c>
      <c r="E56" s="446" t="s">
        <v>5</v>
      </c>
      <c r="F56" s="446" t="s">
        <v>537</v>
      </c>
      <c r="G56" s="447">
        <v>54.621878247117209</v>
      </c>
      <c r="H56" s="310">
        <v>813.78529201125241</v>
      </c>
      <c r="I56" s="448">
        <v>3.7042067616277792</v>
      </c>
      <c r="J56" s="439"/>
    </row>
    <row r="57" spans="4:10" x14ac:dyDescent="0.2">
      <c r="D57" s="446" t="s">
        <v>462</v>
      </c>
      <c r="E57" s="446" t="s">
        <v>587</v>
      </c>
      <c r="F57" s="446" t="s">
        <v>537</v>
      </c>
      <c r="G57" s="447">
        <v>144.25060580509844</v>
      </c>
      <c r="H57" s="310">
        <v>813.78529201125207</v>
      </c>
      <c r="I57" s="448">
        <v>9.7824184473251705</v>
      </c>
      <c r="J57" s="439"/>
    </row>
    <row r="58" spans="4:10" x14ac:dyDescent="0.2">
      <c r="D58" s="446" t="s">
        <v>462</v>
      </c>
      <c r="E58" s="446" t="s">
        <v>588</v>
      </c>
      <c r="F58" s="446" t="s">
        <v>537</v>
      </c>
      <c r="G58" s="447">
        <v>97.444269074737761</v>
      </c>
      <c r="H58" s="310">
        <v>813.78529201125252</v>
      </c>
      <c r="I58" s="448">
        <v>6.6082260803173778</v>
      </c>
      <c r="J58" s="439"/>
    </row>
    <row r="59" spans="4:10" x14ac:dyDescent="0.2">
      <c r="D59" s="446" t="s">
        <v>462</v>
      </c>
      <c r="E59" s="446" t="s">
        <v>589</v>
      </c>
      <c r="F59" s="446" t="s">
        <v>537</v>
      </c>
      <c r="G59" s="447">
        <v>37.666632843159732</v>
      </c>
      <c r="H59" s="310">
        <v>813.78529201125343</v>
      </c>
      <c r="I59" s="448">
        <v>2.5543793172792841</v>
      </c>
      <c r="J59" s="439"/>
    </row>
    <row r="60" spans="4:10" x14ac:dyDescent="0.2">
      <c r="D60" s="446" t="s">
        <v>462</v>
      </c>
      <c r="E60" s="446" t="s">
        <v>590</v>
      </c>
      <c r="F60" s="446" t="s">
        <v>537</v>
      </c>
      <c r="G60" s="447">
        <v>35.952109138455107</v>
      </c>
      <c r="H60" s="310">
        <v>813.78529201125195</v>
      </c>
      <c r="I60" s="448">
        <v>2.4381081361381742</v>
      </c>
      <c r="J60" s="439"/>
    </row>
    <row r="61" spans="4:10" x14ac:dyDescent="0.2">
      <c r="D61" s="446" t="s">
        <v>462</v>
      </c>
      <c r="E61" s="446" t="s">
        <v>591</v>
      </c>
      <c r="F61" s="446" t="s">
        <v>537</v>
      </c>
      <c r="G61" s="447">
        <v>59.609903390815894</v>
      </c>
      <c r="H61" s="310">
        <v>813.78529201125184</v>
      </c>
      <c r="I61" s="448">
        <v>4.0424718864714686</v>
      </c>
      <c r="J61" s="439"/>
    </row>
    <row r="62" spans="4:10" x14ac:dyDescent="0.2">
      <c r="D62" s="446" t="s">
        <v>462</v>
      </c>
      <c r="E62" s="446" t="s">
        <v>592</v>
      </c>
      <c r="F62" s="446" t="s">
        <v>537</v>
      </c>
      <c r="G62" s="447">
        <v>57.432792527010491</v>
      </c>
      <c r="H62" s="310">
        <v>813.78529201125161</v>
      </c>
      <c r="I62" s="448">
        <v>3.8948301531345719</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1305.8151333788196</v>
      </c>
      <c r="H64" s="463"/>
      <c r="I64" s="464">
        <v>85.472547292755223</v>
      </c>
      <c r="J64" s="439"/>
    </row>
    <row r="65" spans="4:10" x14ac:dyDescent="0.2">
      <c r="D65" s="446" t="s">
        <v>595</v>
      </c>
      <c r="E65" s="446" t="s">
        <v>596</v>
      </c>
      <c r="F65" s="446" t="s">
        <v>554</v>
      </c>
      <c r="G65" s="447">
        <v>57.069251033957052</v>
      </c>
      <c r="H65" s="310">
        <v>82.567323030061317</v>
      </c>
      <c r="I65" s="448">
        <v>0.39267127376703276</v>
      </c>
      <c r="J65" s="439"/>
    </row>
    <row r="66" spans="4:10" x14ac:dyDescent="0.2">
      <c r="D66" s="446" t="s">
        <v>595</v>
      </c>
      <c r="E66" s="446" t="s">
        <v>563</v>
      </c>
      <c r="F66" s="446" t="s">
        <v>554</v>
      </c>
      <c r="G66" s="447">
        <v>35.096205531008493</v>
      </c>
      <c r="H66" s="310">
        <v>409.24189203865302</v>
      </c>
      <c r="I66" s="448">
        <v>1.1969031295739463</v>
      </c>
      <c r="J66" s="439"/>
    </row>
    <row r="67" spans="4:10" x14ac:dyDescent="0.2">
      <c r="D67" s="446" t="s">
        <v>595</v>
      </c>
      <c r="E67" s="446" t="s">
        <v>564</v>
      </c>
      <c r="F67" s="446" t="s">
        <v>554</v>
      </c>
      <c r="G67" s="447">
        <v>47.625542387327336</v>
      </c>
      <c r="H67" s="310">
        <v>145.60351042383525</v>
      </c>
      <c r="I67" s="448">
        <v>0.57787051311950188</v>
      </c>
      <c r="J67" s="439"/>
    </row>
    <row r="68" spans="4:10" x14ac:dyDescent="0.2">
      <c r="D68" s="446" t="s">
        <v>595</v>
      </c>
      <c r="E68" s="446" t="s">
        <v>597</v>
      </c>
      <c r="F68" s="446" t="s">
        <v>554</v>
      </c>
      <c r="G68" s="447">
        <v>304.23742626865226</v>
      </c>
      <c r="H68" s="310">
        <v>32.740875922593908</v>
      </c>
      <c r="I68" s="448">
        <v>0.83008331870593799</v>
      </c>
      <c r="J68" s="439"/>
    </row>
    <row r="69" spans="4:10" x14ac:dyDescent="0.2">
      <c r="D69" s="446" t="s">
        <v>595</v>
      </c>
      <c r="E69" s="446" t="s">
        <v>572</v>
      </c>
      <c r="F69" s="446" t="s">
        <v>554</v>
      </c>
      <c r="G69" s="447">
        <v>4.1322180885978588</v>
      </c>
      <c r="H69" s="310">
        <v>222.1606788721582</v>
      </c>
      <c r="I69" s="448">
        <v>7.6501364650892689E-2</v>
      </c>
      <c r="J69" s="439"/>
    </row>
    <row r="70" spans="4:10" x14ac:dyDescent="0.2">
      <c r="D70" s="446" t="s">
        <v>595</v>
      </c>
      <c r="E70" s="446" t="s">
        <v>567</v>
      </c>
      <c r="F70" s="446" t="s">
        <v>554</v>
      </c>
      <c r="G70" s="447">
        <v>104.42047685763077</v>
      </c>
      <c r="H70" s="310">
        <v>107.24427316770844</v>
      </c>
      <c r="I70" s="448">
        <v>0.93320817870184436</v>
      </c>
      <c r="J70" s="439"/>
    </row>
    <row r="71" spans="4:10" x14ac:dyDescent="0.2">
      <c r="D71" s="446" t="s">
        <v>595</v>
      </c>
      <c r="E71" s="446" t="s">
        <v>568</v>
      </c>
      <c r="F71" s="446" t="s">
        <v>554</v>
      </c>
      <c r="G71" s="447">
        <v>7.5091993643151662</v>
      </c>
      <c r="H71" s="310">
        <v>273.92535790505923</v>
      </c>
      <c r="I71" s="448">
        <v>0.17141334362087293</v>
      </c>
      <c r="J71" s="439"/>
    </row>
    <row r="72" spans="4:10" x14ac:dyDescent="0.2">
      <c r="D72" s="446" t="s">
        <v>595</v>
      </c>
      <c r="E72" s="446" t="s">
        <v>548</v>
      </c>
      <c r="F72" s="446" t="s">
        <v>554</v>
      </c>
      <c r="G72" s="447">
        <v>80.172769533436806</v>
      </c>
      <c r="H72" s="310">
        <v>199.76713940727691</v>
      </c>
      <c r="I72" s="448">
        <v>1.3346570690044628</v>
      </c>
      <c r="J72" s="439"/>
    </row>
    <row r="73" spans="4:10" x14ac:dyDescent="0.2">
      <c r="D73" s="446" t="s">
        <v>595</v>
      </c>
      <c r="E73" s="446" t="s">
        <v>598</v>
      </c>
      <c r="F73" s="446" t="s">
        <v>554</v>
      </c>
      <c r="G73" s="447">
        <v>15.383095381151206</v>
      </c>
      <c r="H73" s="310">
        <v>93.492639092240054</v>
      </c>
      <c r="I73" s="448">
        <v>0.11985051538262288</v>
      </c>
      <c r="J73" s="439"/>
    </row>
    <row r="74" spans="4:10" x14ac:dyDescent="0.2">
      <c r="D74" s="446" t="s">
        <v>595</v>
      </c>
      <c r="E74" s="446" t="s">
        <v>549</v>
      </c>
      <c r="F74" s="446" t="s">
        <v>554</v>
      </c>
      <c r="G74" s="447">
        <v>497.65081644402227</v>
      </c>
      <c r="H74" s="310">
        <v>73.779431750036835</v>
      </c>
      <c r="I74" s="448">
        <v>3.0596995372651539</v>
      </c>
      <c r="J74" s="439"/>
    </row>
    <row r="75" spans="4:10" x14ac:dyDescent="0.2">
      <c r="D75" s="446" t="s">
        <v>595</v>
      </c>
      <c r="E75" s="446" t="s">
        <v>571</v>
      </c>
      <c r="F75" s="446" t="s">
        <v>554</v>
      </c>
      <c r="G75" s="447">
        <v>34.020740224346724</v>
      </c>
      <c r="H75" s="310">
        <v>258.48559243415758</v>
      </c>
      <c r="I75" s="448">
        <v>0.73282259932823657</v>
      </c>
      <c r="J75" s="439"/>
    </row>
    <row r="76" spans="4:10" x14ac:dyDescent="0.2">
      <c r="D76" s="446" t="s">
        <v>595</v>
      </c>
      <c r="E76" s="446" t="s">
        <v>561</v>
      </c>
      <c r="F76" s="446" t="s">
        <v>554</v>
      </c>
      <c r="G76" s="447">
        <v>28.150077007877382</v>
      </c>
      <c r="H76" s="310">
        <v>241.07909435007448</v>
      </c>
      <c r="I76" s="448">
        <v>0.56553292257866117</v>
      </c>
      <c r="J76" s="439"/>
    </row>
    <row r="77" spans="4:10" x14ac:dyDescent="0.2">
      <c r="D77" s="446" t="s">
        <v>595</v>
      </c>
      <c r="E77" s="446" t="s">
        <v>599</v>
      </c>
      <c r="F77" s="446" t="s">
        <v>554</v>
      </c>
      <c r="G77" s="447">
        <v>807.86199120622314</v>
      </c>
      <c r="H77" s="310">
        <v>112.59183325237781</v>
      </c>
      <c r="I77" s="448">
        <v>7.5798885504020825</v>
      </c>
      <c r="J77" s="439"/>
    </row>
    <row r="78" spans="4:10" x14ac:dyDescent="0.2">
      <c r="D78" s="446" t="s">
        <v>595</v>
      </c>
      <c r="E78" s="446" t="s">
        <v>600</v>
      </c>
      <c r="F78" s="446" t="s">
        <v>554</v>
      </c>
      <c r="G78" s="447">
        <v>7.9036377074216135</v>
      </c>
      <c r="H78" s="310">
        <v>115.3089193138851</v>
      </c>
      <c r="I78" s="448">
        <v>7.5946660224271545E-2</v>
      </c>
      <c r="J78" s="439"/>
    </row>
    <row r="79" spans="4:10" x14ac:dyDescent="0.2">
      <c r="D79" s="446" t="s">
        <v>595</v>
      </c>
      <c r="E79" s="446" t="s">
        <v>555</v>
      </c>
      <c r="F79" s="446" t="s">
        <v>554</v>
      </c>
      <c r="G79" s="447">
        <v>268.2876630932638</v>
      </c>
      <c r="H79" s="310">
        <v>94.154470375763253</v>
      </c>
      <c r="I79" s="448">
        <v>2.1050402355747884</v>
      </c>
      <c r="J79" s="439"/>
    </row>
    <row r="80" spans="4:10" x14ac:dyDescent="0.2">
      <c r="D80" s="446" t="s">
        <v>595</v>
      </c>
      <c r="E80" s="446" t="s">
        <v>552</v>
      </c>
      <c r="F80" s="446" t="s">
        <v>554</v>
      </c>
      <c r="G80" s="447">
        <v>148.00446999950526</v>
      </c>
      <c r="H80" s="310">
        <v>96.154208398201703</v>
      </c>
      <c r="I80" s="448">
        <v>1.185937721016485</v>
      </c>
      <c r="J80" s="439"/>
    </row>
    <row r="81" spans="4:10" x14ac:dyDescent="0.2">
      <c r="D81" s="446" t="s">
        <v>595</v>
      </c>
      <c r="E81" s="446" t="s">
        <v>581</v>
      </c>
      <c r="F81" s="446" t="s">
        <v>554</v>
      </c>
      <c r="G81" s="447">
        <v>23.850670192589547</v>
      </c>
      <c r="H81" s="310">
        <v>193.64439868762781</v>
      </c>
      <c r="I81" s="448">
        <v>0.38487905731174427</v>
      </c>
      <c r="J81" s="439"/>
    </row>
    <row r="82" spans="4:10" x14ac:dyDescent="0.2">
      <c r="D82" s="446" t="s">
        <v>595</v>
      </c>
      <c r="E82" s="446" t="s">
        <v>574</v>
      </c>
      <c r="F82" s="446" t="s">
        <v>554</v>
      </c>
      <c r="G82" s="447">
        <v>2.6419572622638219</v>
      </c>
      <c r="H82" s="310">
        <v>127.00973277228236</v>
      </c>
      <c r="I82" s="448">
        <v>2.796285715632656E-2</v>
      </c>
      <c r="J82" s="439"/>
    </row>
    <row r="83" spans="4:10" x14ac:dyDescent="0.2">
      <c r="D83" s="446" t="s">
        <v>595</v>
      </c>
      <c r="E83" s="446" t="s">
        <v>601</v>
      </c>
      <c r="F83" s="446" t="s">
        <v>554</v>
      </c>
      <c r="G83" s="447">
        <v>4.0865949127480929</v>
      </c>
      <c r="H83" s="310">
        <v>247.65079526585427</v>
      </c>
      <c r="I83" s="448">
        <v>8.4337373339288299E-2</v>
      </c>
      <c r="J83" s="439"/>
    </row>
    <row r="84" spans="4:10" x14ac:dyDescent="0.2">
      <c r="D84" s="446" t="s">
        <v>595</v>
      </c>
      <c r="E84" s="446" t="s">
        <v>559</v>
      </c>
      <c r="F84" s="446" t="s">
        <v>554</v>
      </c>
      <c r="G84" s="447">
        <v>105.53867779736704</v>
      </c>
      <c r="H84" s="310">
        <v>100.99463577626592</v>
      </c>
      <c r="I84" s="448">
        <v>0.88823669370448066</v>
      </c>
      <c r="J84" s="439"/>
    </row>
    <row r="85" spans="4:10" x14ac:dyDescent="0.2">
      <c r="D85" s="446" t="s">
        <v>595</v>
      </c>
      <c r="E85" s="446" t="s">
        <v>573</v>
      </c>
      <c r="F85" s="446" t="s">
        <v>554</v>
      </c>
      <c r="G85" s="447">
        <v>158.75753491759596</v>
      </c>
      <c r="H85" s="310">
        <v>97.001809644025514</v>
      </c>
      <c r="I85" s="448">
        <v>1.2833140151359481</v>
      </c>
      <c r="J85" s="439"/>
    </row>
    <row r="86" spans="4:10" x14ac:dyDescent="0.2">
      <c r="D86" s="446" t="s">
        <v>595</v>
      </c>
      <c r="E86" s="446" t="s">
        <v>562</v>
      </c>
      <c r="F86" s="446" t="s">
        <v>554</v>
      </c>
      <c r="G86" s="447">
        <v>57.158764859991329</v>
      </c>
      <c r="H86" s="310">
        <v>282.95333883136828</v>
      </c>
      <c r="I86" s="448">
        <v>1.3477719467176361</v>
      </c>
      <c r="J86" s="439"/>
    </row>
    <row r="87" spans="4:10" x14ac:dyDescent="0.2">
      <c r="D87" s="446" t="s">
        <v>595</v>
      </c>
      <c r="E87" s="446" t="s">
        <v>550</v>
      </c>
      <c r="F87" s="446" t="s">
        <v>554</v>
      </c>
      <c r="G87" s="447">
        <v>618.08632741917904</v>
      </c>
      <c r="H87" s="310">
        <v>163.69417319660121</v>
      </c>
      <c r="I87" s="448">
        <v>8.4314275275838551</v>
      </c>
      <c r="J87" s="439"/>
    </row>
    <row r="88" spans="4:10" x14ac:dyDescent="0.2">
      <c r="D88" s="446" t="s">
        <v>595</v>
      </c>
      <c r="E88" s="446" t="s">
        <v>579</v>
      </c>
      <c r="F88" s="446" t="s">
        <v>554</v>
      </c>
      <c r="G88" s="447">
        <v>43.334653823226617</v>
      </c>
      <c r="H88" s="310">
        <v>163.98378212154583</v>
      </c>
      <c r="I88" s="448">
        <v>0.59218170257171721</v>
      </c>
      <c r="J88" s="439"/>
    </row>
    <row r="89" spans="4:10" x14ac:dyDescent="0.2">
      <c r="D89" s="446" t="s">
        <v>595</v>
      </c>
      <c r="E89" s="446" t="s">
        <v>556</v>
      </c>
      <c r="F89" s="446" t="s">
        <v>554</v>
      </c>
      <c r="G89" s="447">
        <v>127.92204312868591</v>
      </c>
      <c r="H89" s="310">
        <v>114.55306518875851</v>
      </c>
      <c r="I89" s="448">
        <v>1.2211551787999613</v>
      </c>
      <c r="J89" s="439"/>
    </row>
    <row r="90" spans="4:10" x14ac:dyDescent="0.2">
      <c r="D90" s="446" t="s">
        <v>595</v>
      </c>
      <c r="E90" s="446" t="s">
        <v>602</v>
      </c>
      <c r="F90" s="446" t="s">
        <v>554</v>
      </c>
      <c r="G90" s="447">
        <v>49.889231546026508</v>
      </c>
      <c r="H90" s="310">
        <v>141.16208850868765</v>
      </c>
      <c r="I90" s="448">
        <v>0.58687234326088378</v>
      </c>
      <c r="J90" s="439"/>
    </row>
    <row r="91" spans="4:10" x14ac:dyDescent="0.2">
      <c r="D91" s="446" t="s">
        <v>595</v>
      </c>
      <c r="E91" s="446" t="s">
        <v>577</v>
      </c>
      <c r="F91" s="446" t="s">
        <v>554</v>
      </c>
      <c r="G91" s="447">
        <v>228.2775816443833</v>
      </c>
      <c r="H91" s="310">
        <v>77.187057845072289</v>
      </c>
      <c r="I91" s="448">
        <v>1.4683395749265189</v>
      </c>
      <c r="J91" s="439"/>
    </row>
    <row r="92" spans="4:10" x14ac:dyDescent="0.2">
      <c r="D92" s="446" t="s">
        <v>595</v>
      </c>
      <c r="E92" s="446" t="s">
        <v>576</v>
      </c>
      <c r="F92" s="446" t="s">
        <v>554</v>
      </c>
      <c r="G92" s="447">
        <v>438.70350758900838</v>
      </c>
      <c r="H92" s="310">
        <v>72.605926138865001</v>
      </c>
      <c r="I92" s="448">
        <v>2.6543728724057121</v>
      </c>
      <c r="J92" s="439"/>
    </row>
    <row r="93" spans="4:10" x14ac:dyDescent="0.2">
      <c r="D93" s="446" t="s">
        <v>595</v>
      </c>
      <c r="E93" s="446" t="s">
        <v>603</v>
      </c>
      <c r="F93" s="446" t="s">
        <v>554</v>
      </c>
      <c r="G93" s="447">
        <v>7.0430055832424427</v>
      </c>
      <c r="H93" s="310">
        <v>644.25993378705323</v>
      </c>
      <c r="I93" s="448">
        <v>0.37812719256013522</v>
      </c>
      <c r="J93" s="439"/>
    </row>
    <row r="94" spans="4:10" x14ac:dyDescent="0.2">
      <c r="D94" s="446" t="s">
        <v>595</v>
      </c>
      <c r="E94" s="446" t="s">
        <v>557</v>
      </c>
      <c r="F94" s="446" t="s">
        <v>554</v>
      </c>
      <c r="G94" s="447">
        <v>42.682502287424278</v>
      </c>
      <c r="H94" s="310">
        <v>77.773220659468549</v>
      </c>
      <c r="I94" s="448">
        <v>0.27662963905817661</v>
      </c>
      <c r="J94" s="439"/>
    </row>
    <row r="95" spans="4:10" x14ac:dyDescent="0.2">
      <c r="D95" s="446" t="s">
        <v>595</v>
      </c>
      <c r="E95" s="446" t="s">
        <v>582</v>
      </c>
      <c r="F95" s="446" t="s">
        <v>554</v>
      </c>
      <c r="G95" s="447">
        <v>44.984740142173635</v>
      </c>
      <c r="H95" s="310">
        <v>101.18062276540697</v>
      </c>
      <c r="I95" s="448">
        <v>0.37929866854376088</v>
      </c>
      <c r="J95" s="439"/>
    </row>
    <row r="96" spans="4:10" x14ac:dyDescent="0.2">
      <c r="D96" s="446" t="s">
        <v>595</v>
      </c>
      <c r="E96" s="446" t="s">
        <v>565</v>
      </c>
      <c r="F96" s="446" t="s">
        <v>554</v>
      </c>
      <c r="G96" s="447">
        <v>256.57809963085373</v>
      </c>
      <c r="H96" s="310">
        <v>55.463234565914298</v>
      </c>
      <c r="I96" s="448">
        <v>1.1858876103585474</v>
      </c>
      <c r="J96" s="439"/>
    </row>
    <row r="97" spans="4:13" x14ac:dyDescent="0.2">
      <c r="D97" s="446" t="s">
        <v>595</v>
      </c>
      <c r="E97" s="446" t="s">
        <v>604</v>
      </c>
      <c r="F97" s="446" t="s">
        <v>554</v>
      </c>
      <c r="G97" s="447">
        <v>10.133109484233364</v>
      </c>
      <c r="H97" s="310">
        <v>123.92687939018317</v>
      </c>
      <c r="I97" s="448">
        <v>0.1046470530750091</v>
      </c>
      <c r="J97" s="439"/>
    </row>
    <row r="98" spans="4:13" x14ac:dyDescent="0.2">
      <c r="D98" s="446" t="s">
        <v>595</v>
      </c>
      <c r="E98" s="446" t="s">
        <v>569</v>
      </c>
      <c r="F98" s="446" t="s">
        <v>554</v>
      </c>
      <c r="G98" s="447">
        <v>48.858667529520645</v>
      </c>
      <c r="H98" s="310">
        <v>104.89974589994395</v>
      </c>
      <c r="I98" s="448">
        <v>0.4271051507380465</v>
      </c>
      <c r="J98" s="439"/>
    </row>
    <row r="99" spans="4:13" x14ac:dyDescent="0.2">
      <c r="D99" s="446" t="s">
        <v>595</v>
      </c>
      <c r="E99" s="446" t="s">
        <v>553</v>
      </c>
      <c r="F99" s="446" t="s">
        <v>554</v>
      </c>
      <c r="G99" s="447">
        <v>191.93583453724756</v>
      </c>
      <c r="H99" s="310">
        <v>115.0504001335938</v>
      </c>
      <c r="I99" s="448">
        <v>1.8401912136237986</v>
      </c>
      <c r="J99" s="439"/>
    </row>
    <row r="100" spans="4:13" x14ac:dyDescent="0.2">
      <c r="D100" s="446" t="s">
        <v>595</v>
      </c>
      <c r="E100" s="446" t="s">
        <v>570</v>
      </c>
      <c r="F100" s="446" t="s">
        <v>554</v>
      </c>
      <c r="G100" s="447">
        <v>16.146561690941382</v>
      </c>
      <c r="H100" s="310">
        <v>131.3709718695232</v>
      </c>
      <c r="I100" s="448">
        <v>0.17676579180751512</v>
      </c>
      <c r="J100" s="439"/>
    </row>
    <row r="101" spans="4:13" x14ac:dyDescent="0.2">
      <c r="D101" s="446" t="s">
        <v>595</v>
      </c>
      <c r="E101" s="446" t="s">
        <v>551</v>
      </c>
      <c r="F101" s="446" t="s">
        <v>554</v>
      </c>
      <c r="G101" s="447">
        <v>12.056934858279263</v>
      </c>
      <c r="H101" s="310">
        <v>128.23725146688983</v>
      </c>
      <c r="I101" s="448">
        <v>0.1288456822784223</v>
      </c>
      <c r="J101" s="439"/>
    </row>
    <row r="102" spans="4:13" x14ac:dyDescent="0.2">
      <c r="D102" s="446" t="s">
        <v>595</v>
      </c>
      <c r="E102" s="446" t="s">
        <v>578</v>
      </c>
      <c r="F102" s="446" t="s">
        <v>554</v>
      </c>
      <c r="G102" s="447">
        <v>38.990490094921377</v>
      </c>
      <c r="H102" s="310">
        <v>126.95304921128665</v>
      </c>
      <c r="I102" s="448">
        <v>0.41249680064939487</v>
      </c>
      <c r="J102" s="439"/>
    </row>
    <row r="103" spans="4:13" x14ac:dyDescent="0.2">
      <c r="D103" s="446" t="s">
        <v>595</v>
      </c>
      <c r="E103" s="446" t="s">
        <v>560</v>
      </c>
      <c r="F103" s="446" t="s">
        <v>554</v>
      </c>
      <c r="G103" s="447">
        <v>115.960252804853</v>
      </c>
      <c r="H103" s="310">
        <v>48.03438602497701</v>
      </c>
      <c r="I103" s="448">
        <v>0.46417329556518599</v>
      </c>
      <c r="J103" s="439"/>
    </row>
    <row r="104" spans="4:13" x14ac:dyDescent="0.2">
      <c r="D104" s="446" t="s">
        <v>595</v>
      </c>
      <c r="E104" s="446" t="s">
        <v>575</v>
      </c>
      <c r="F104" s="446" t="s">
        <v>554</v>
      </c>
      <c r="G104" s="447">
        <v>1.2153667541251891</v>
      </c>
      <c r="H104" s="310">
        <v>129.64776669042504</v>
      </c>
      <c r="I104" s="448">
        <v>1.3130798781843476E-2</v>
      </c>
      <c r="J104" s="439"/>
    </row>
    <row r="105" spans="4:13" x14ac:dyDescent="0.2">
      <c r="D105" s="446" t="s">
        <v>595</v>
      </c>
      <c r="E105" s="446" t="s">
        <v>566</v>
      </c>
      <c r="F105" s="446" t="s">
        <v>554</v>
      </c>
      <c r="G105" s="447">
        <v>5.0279338574969916</v>
      </c>
      <c r="H105" s="310">
        <v>329.86622225412771</v>
      </c>
      <c r="I105" s="448">
        <v>0.13821212894301302</v>
      </c>
      <c r="J105" s="439"/>
    </row>
    <row r="106" spans="4:13" x14ac:dyDescent="0.2">
      <c r="D106" s="446" t="s">
        <v>595</v>
      </c>
      <c r="E106" s="446" t="s">
        <v>580</v>
      </c>
      <c r="F106" s="446" t="s">
        <v>554</v>
      </c>
      <c r="G106" s="447">
        <v>2.3866984809270013</v>
      </c>
      <c r="H106" s="310">
        <v>177.26758332829331</v>
      </c>
      <c r="I106" s="448">
        <v>3.5257022653936522E-2</v>
      </c>
      <c r="J106" s="439"/>
    </row>
    <row r="107" spans="4:13" x14ac:dyDescent="0.2">
      <c r="D107" s="451" t="s">
        <v>595</v>
      </c>
      <c r="E107" s="451" t="s">
        <v>558</v>
      </c>
      <c r="F107" s="451" t="s">
        <v>554</v>
      </c>
      <c r="G107" s="452">
        <v>3.1088729290303725</v>
      </c>
      <c r="H107" s="310">
        <v>196.98826638183246</v>
      </c>
      <c r="I107" s="454">
        <v>5.1034290724258559E-2</v>
      </c>
      <c r="J107" s="439"/>
    </row>
    <row r="108" spans="4:13" ht="16" x14ac:dyDescent="0.2">
      <c r="D108" s="461" t="s">
        <v>605</v>
      </c>
      <c r="E108" s="460"/>
      <c r="F108" s="460"/>
      <c r="G108" s="465">
        <v>5102.8821958870749</v>
      </c>
      <c r="H108" s="466"/>
      <c r="I108" s="467">
        <v>45.920680415191896</v>
      </c>
      <c r="J108" s="439"/>
      <c r="K108" s="313" t="s">
        <v>311</v>
      </c>
      <c r="L108" s="313" t="s">
        <v>606</v>
      </c>
      <c r="M108" s="313" t="s">
        <v>528</v>
      </c>
    </row>
    <row r="109" spans="4:13" x14ac:dyDescent="0.2">
      <c r="D109" s="446" t="s">
        <v>607</v>
      </c>
      <c r="E109" s="446" t="s">
        <v>608</v>
      </c>
      <c r="F109" s="468" t="s">
        <v>609</v>
      </c>
      <c r="G109" s="469">
        <v>7296.8775297375578</v>
      </c>
      <c r="H109" s="310">
        <v>27.648629741780571</v>
      </c>
      <c r="I109" s="470">
        <v>16.812388757569348</v>
      </c>
      <c r="J109" s="439"/>
      <c r="K109">
        <f>'Assumptions-Output Target'!$J$16</f>
        <v>10.185185313926722</v>
      </c>
      <c r="L109" s="470">
        <f>G109*K109/12000</f>
        <v>6.1933374877837393</v>
      </c>
      <c r="M109" s="388">
        <f>I109-L109</f>
        <v>10.619051269785608</v>
      </c>
    </row>
    <row r="110" spans="4:13" x14ac:dyDescent="0.2">
      <c r="D110" s="446" t="s">
        <v>607</v>
      </c>
      <c r="E110" s="446" t="s">
        <v>610</v>
      </c>
      <c r="F110" s="468" t="s">
        <v>609</v>
      </c>
      <c r="G110" s="469">
        <v>566.25342693648656</v>
      </c>
      <c r="H110" s="310">
        <v>179.99300737802494</v>
      </c>
      <c r="I110" s="470">
        <v>8.4934714377009115</v>
      </c>
      <c r="J110" s="439"/>
      <c r="K110">
        <f>'Assumptions-Output Target'!$K$16</f>
        <v>50.92592656963361</v>
      </c>
      <c r="L110" s="470">
        <f t="shared" ref="L110:L116" si="3">G110*K110/12000</f>
        <v>2.4030817033309089</v>
      </c>
      <c r="M110" s="388">
        <f t="shared" ref="M110:M116" si="4">I110-L110</f>
        <v>6.0903897343700031</v>
      </c>
    </row>
    <row r="111" spans="4:13" x14ac:dyDescent="0.2">
      <c r="D111" s="446" t="s">
        <v>607</v>
      </c>
      <c r="E111" s="446" t="s">
        <v>611</v>
      </c>
      <c r="F111" s="468" t="s">
        <v>609</v>
      </c>
      <c r="G111" s="469">
        <v>319.74875075332233</v>
      </c>
      <c r="H111" s="310">
        <v>193.65936719154118</v>
      </c>
      <c r="I111" s="470">
        <v>5.1601950609311853</v>
      </c>
      <c r="J111" s="439"/>
      <c r="K111">
        <f>'Assumptions-Output Target'!$L$16</f>
        <v>81.481482511413773</v>
      </c>
      <c r="L111" s="470">
        <f t="shared" si="3"/>
        <v>2.1711335202127695</v>
      </c>
      <c r="M111" s="388">
        <f t="shared" si="4"/>
        <v>2.9890615407184158</v>
      </c>
    </row>
    <row r="112" spans="4:13" x14ac:dyDescent="0.2">
      <c r="D112" s="446" t="s">
        <v>607</v>
      </c>
      <c r="E112" s="446" t="s">
        <v>612</v>
      </c>
      <c r="F112" s="468" t="s">
        <v>609</v>
      </c>
      <c r="G112" s="469">
        <v>125.27764841464148</v>
      </c>
      <c r="H112" s="310">
        <v>2070.8597128624051</v>
      </c>
      <c r="I112" s="470">
        <v>21.61936958533515</v>
      </c>
      <c r="J112" s="439"/>
      <c r="K112">
        <f>'Assumptions-Output Target'!$M$16</f>
        <v>203.70370627853444</v>
      </c>
      <c r="L112" s="470">
        <f t="shared" si="3"/>
        <v>2.1266267746601359</v>
      </c>
      <c r="M112" s="388">
        <f t="shared" si="4"/>
        <v>19.492742810675015</v>
      </c>
    </row>
    <row r="113" spans="4:15" x14ac:dyDescent="0.2">
      <c r="D113" s="446" t="s">
        <v>607</v>
      </c>
      <c r="E113" s="446" t="s">
        <v>613</v>
      </c>
      <c r="F113" s="468" t="s">
        <v>609</v>
      </c>
      <c r="G113" s="469">
        <v>702.05671848917757</v>
      </c>
      <c r="H113" s="310">
        <v>55.568899870972025</v>
      </c>
      <c r="I113" s="470">
        <v>3.2510432911223588</v>
      </c>
      <c r="J113" s="439"/>
      <c r="K113">
        <f>2*K109</f>
        <v>20.370370627853443</v>
      </c>
      <c r="L113" s="470">
        <f t="shared" si="3"/>
        <v>1.1917629631165929</v>
      </c>
      <c r="M113" s="388">
        <f t="shared" si="4"/>
        <v>2.0592803280057659</v>
      </c>
    </row>
    <row r="114" spans="4:15" x14ac:dyDescent="0.2">
      <c r="D114" s="446" t="s">
        <v>607</v>
      </c>
      <c r="E114" s="446" t="s">
        <v>614</v>
      </c>
      <c r="F114" s="468" t="s">
        <v>609</v>
      </c>
      <c r="G114" s="469">
        <v>94.142780332080221</v>
      </c>
      <c r="H114" s="310">
        <v>427.42663891605713</v>
      </c>
      <c r="I114" s="470">
        <v>3.3532610146294779</v>
      </c>
      <c r="J114" s="439"/>
      <c r="K114">
        <f>2*K110</f>
        <v>101.85185313926722</v>
      </c>
      <c r="L114" s="470">
        <f t="shared" si="3"/>
        <v>0.79905138637544404</v>
      </c>
      <c r="M114" s="388">
        <f t="shared" si="4"/>
        <v>2.5542096282540339</v>
      </c>
    </row>
    <row r="115" spans="4:15" x14ac:dyDescent="0.2">
      <c r="D115" s="446" t="s">
        <v>607</v>
      </c>
      <c r="E115" s="446" t="s">
        <v>615</v>
      </c>
      <c r="F115" s="468" t="s">
        <v>609</v>
      </c>
      <c r="G115" s="469">
        <v>25.611212235349011</v>
      </c>
      <c r="H115" s="310">
        <v>405.96124289973784</v>
      </c>
      <c r="I115" s="470">
        <v>0.86642996260260485</v>
      </c>
      <c r="J115" s="439"/>
      <c r="K115">
        <f>2*K111</f>
        <v>162.96296502282755</v>
      </c>
      <c r="L115" s="470">
        <f t="shared" si="3"/>
        <v>0.34780659030844951</v>
      </c>
      <c r="M115" s="388">
        <f t="shared" si="4"/>
        <v>0.51862337229415534</v>
      </c>
    </row>
    <row r="116" spans="4:15" x14ac:dyDescent="0.2">
      <c r="D116" s="446" t="s">
        <v>607</v>
      </c>
      <c r="E116" s="446" t="s">
        <v>616</v>
      </c>
      <c r="F116" s="468" t="s">
        <v>609</v>
      </c>
      <c r="G116" s="447">
        <v>26.607508715269809</v>
      </c>
      <c r="H116" s="310">
        <v>4398.2885209354554</v>
      </c>
      <c r="I116" s="448">
        <v>9.7522916794217736</v>
      </c>
      <c r="J116" s="439"/>
      <c r="K116">
        <f>2*K112</f>
        <v>407.40741255706888</v>
      </c>
      <c r="L116" s="470">
        <f t="shared" si="3"/>
        <v>0.90334135668981097</v>
      </c>
      <c r="M116" s="388">
        <f t="shared" si="4"/>
        <v>8.8489503227319624</v>
      </c>
    </row>
    <row r="117" spans="4:15" x14ac:dyDescent="0.2">
      <c r="D117" s="460" t="s">
        <v>617</v>
      </c>
      <c r="E117" s="460"/>
      <c r="F117" s="460"/>
      <c r="G117" s="471">
        <v>9156.5755756138842</v>
      </c>
      <c r="H117" s="472"/>
      <c r="I117" s="473">
        <v>69.308450789312815</v>
      </c>
      <c r="J117" s="439"/>
      <c r="L117" s="388">
        <f>SUM(L109:L116)</f>
        <v>16.13614178247785</v>
      </c>
      <c r="M117" s="388">
        <f>SUM(M109:M116)</f>
        <v>53.172309006834965</v>
      </c>
      <c r="O117" s="388"/>
    </row>
    <row r="118" spans="4:15" ht="16" x14ac:dyDescent="0.2">
      <c r="D118" s="461" t="s">
        <v>618</v>
      </c>
      <c r="E118" s="461"/>
      <c r="F118" s="461"/>
      <c r="G118" s="474"/>
      <c r="H118" s="474"/>
      <c r="I118" s="473">
        <v>244.51721794890955</v>
      </c>
      <c r="J118" s="439"/>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B1:W118"/>
  <sheetViews>
    <sheetView showGridLines="0" workbookViewId="0">
      <pane ySplit="7" topLeftCell="A8" activePane="bottomLeft" state="frozen"/>
      <selection pane="bottomLeft" activeCell="A8" sqref="A8"/>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 min="20" max="20" width="12.1640625" customWidth="1"/>
  </cols>
  <sheetData>
    <row r="1" spans="2:23" x14ac:dyDescent="0.2">
      <c r="G1"/>
      <c r="H1"/>
      <c r="I1"/>
    </row>
    <row r="2" spans="2:23" ht="20" thickBot="1" x14ac:dyDescent="0.3">
      <c r="B2" s="435" t="s">
        <v>517</v>
      </c>
      <c r="G2"/>
      <c r="H2" s="436">
        <v>39795383</v>
      </c>
      <c r="I2"/>
    </row>
    <row r="3" spans="2:23" ht="16" thickBot="1" x14ac:dyDescent="0.25">
      <c r="B3" s="437" t="s">
        <v>449</v>
      </c>
      <c r="G3"/>
      <c r="H3"/>
      <c r="I3"/>
    </row>
    <row r="4" spans="2:23" x14ac:dyDescent="0.2">
      <c r="G4"/>
      <c r="H4"/>
      <c r="I4"/>
    </row>
    <row r="5" spans="2:23" ht="16" x14ac:dyDescent="0.2">
      <c r="D5" s="438" t="s">
        <v>518</v>
      </c>
      <c r="E5" s="438"/>
      <c r="F5" s="438"/>
      <c r="G5" s="438"/>
      <c r="H5" s="438"/>
      <c r="I5" s="438"/>
      <c r="J5" s="439"/>
      <c r="K5" s="438"/>
      <c r="L5" s="438"/>
      <c r="M5" s="438"/>
      <c r="N5" s="438"/>
      <c r="O5" s="438"/>
      <c r="P5" s="438"/>
      <c r="U5" s="440" t="s">
        <v>519</v>
      </c>
      <c r="V5" s="440" t="s">
        <v>520</v>
      </c>
    </row>
    <row r="6" spans="2:23"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c r="T6" s="442"/>
      <c r="U6" s="440" t="s">
        <v>526</v>
      </c>
      <c r="V6" s="440" t="s">
        <v>526</v>
      </c>
      <c r="W6" s="442"/>
    </row>
    <row r="7" spans="2:23"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c r="T7" s="442"/>
      <c r="U7" s="445" t="s">
        <v>308</v>
      </c>
      <c r="V7" s="445" t="s">
        <v>308</v>
      </c>
      <c r="W7" s="442"/>
    </row>
    <row r="8" spans="2:23" x14ac:dyDescent="0.2">
      <c r="D8" s="446" t="s">
        <v>1</v>
      </c>
      <c r="E8" s="446" t="s">
        <v>533</v>
      </c>
      <c r="F8" s="446" t="s">
        <v>534</v>
      </c>
      <c r="G8" s="447">
        <v>2.9575290178762699</v>
      </c>
      <c r="H8" s="310">
        <v>4918.4970320146822</v>
      </c>
      <c r="I8" s="448">
        <v>1.2122164747101443</v>
      </c>
      <c r="J8" s="439"/>
      <c r="K8" s="446" t="s">
        <v>1</v>
      </c>
      <c r="L8" s="446" t="s">
        <v>535</v>
      </c>
      <c r="M8" s="446" t="s">
        <v>534</v>
      </c>
      <c r="N8" s="449">
        <v>59.302557786665858</v>
      </c>
      <c r="O8" s="310">
        <v>8866.1685607432246</v>
      </c>
      <c r="P8" s="388">
        <f t="shared" ref="P8:P13" si="0">V8</f>
        <v>42.414273630809177</v>
      </c>
      <c r="Q8" s="29">
        <f>'Assumptions-Output Override'!D17</f>
        <v>1000</v>
      </c>
      <c r="R8" s="388">
        <f>N8*Q8/12000</f>
        <v>4.9418798155554882</v>
      </c>
      <c r="S8" s="388">
        <f>P8-R8</f>
        <v>37.472393815253689</v>
      </c>
      <c r="U8" s="388">
        <v>43.815539451649599</v>
      </c>
      <c r="V8" s="388">
        <f t="shared" ref="V8:V13" si="1">U8*(236.7/244.52)</f>
        <v>42.414273630809177</v>
      </c>
    </row>
    <row r="9" spans="2:23" x14ac:dyDescent="0.2">
      <c r="D9" s="446" t="s">
        <v>1</v>
      </c>
      <c r="E9" s="446" t="s">
        <v>536</v>
      </c>
      <c r="F9" s="446" t="s">
        <v>534</v>
      </c>
      <c r="G9" s="447">
        <v>2.0740094397382731</v>
      </c>
      <c r="H9" s="310">
        <v>1850.5629587089259</v>
      </c>
      <c r="I9" s="448">
        <v>0.31984042043269167</v>
      </c>
      <c r="J9" s="439"/>
      <c r="K9" s="446" t="s">
        <v>462</v>
      </c>
      <c r="L9" s="446" t="s">
        <v>0</v>
      </c>
      <c r="M9" s="446" t="s">
        <v>537</v>
      </c>
      <c r="N9" s="449">
        <v>0.23331345624451205</v>
      </c>
      <c r="O9" s="310">
        <v>908.90818688118907</v>
      </c>
      <c r="P9" s="388">
        <f t="shared" si="0"/>
        <v>1.7106549850396127E-2</v>
      </c>
      <c r="Q9" s="29">
        <f>'Assumptions-Output Override'!E17</f>
        <v>250</v>
      </c>
      <c r="R9" s="388">
        <f>N9*Q9/12000</f>
        <v>4.8606970050940014E-3</v>
      </c>
      <c r="S9" s="388">
        <f>P9-R9</f>
        <v>1.2245852845302125E-2</v>
      </c>
      <c r="U9" s="388">
        <v>1.7671709207515256E-2</v>
      </c>
      <c r="V9" s="388">
        <f t="shared" si="1"/>
        <v>1.7106549850396127E-2</v>
      </c>
    </row>
    <row r="10" spans="2:23" x14ac:dyDescent="0.2">
      <c r="D10" s="446" t="s">
        <v>1</v>
      </c>
      <c r="E10" s="446" t="s">
        <v>46</v>
      </c>
      <c r="F10" s="446" t="s">
        <v>534</v>
      </c>
      <c r="G10" s="447">
        <v>25.787313065940339</v>
      </c>
      <c r="H10" s="310">
        <v>8597.9827106574594</v>
      </c>
      <c r="I10" s="448">
        <v>18.476572657938853</v>
      </c>
      <c r="J10" s="439"/>
      <c r="K10" s="446" t="s">
        <v>462</v>
      </c>
      <c r="L10" s="446" t="s">
        <v>538</v>
      </c>
      <c r="M10" s="446" t="s">
        <v>539</v>
      </c>
      <c r="N10" s="449">
        <v>1305.5818199225751</v>
      </c>
      <c r="O10" s="310">
        <v>785.44177879513154</v>
      </c>
      <c r="P10" s="388">
        <f t="shared" si="0"/>
        <v>82.72194115256724</v>
      </c>
      <c r="Q10" s="29">
        <v>0</v>
      </c>
      <c r="R10" s="388">
        <f>N10*Q10/12000</f>
        <v>0</v>
      </c>
      <c r="S10" s="388">
        <f>P10-R10</f>
        <v>82.72194115256724</v>
      </c>
      <c r="U10" s="388">
        <v>85.454875583547704</v>
      </c>
      <c r="V10" s="388">
        <f t="shared" si="1"/>
        <v>82.72194115256724</v>
      </c>
    </row>
    <row r="11" spans="2:23" x14ac:dyDescent="0.2">
      <c r="D11" s="446" t="s">
        <v>1</v>
      </c>
      <c r="E11" s="446" t="s">
        <v>540</v>
      </c>
      <c r="F11" s="446" t="s">
        <v>534</v>
      </c>
      <c r="G11" s="447">
        <v>17.546457587806103</v>
      </c>
      <c r="H11" s="310">
        <v>11559.036265617224</v>
      </c>
      <c r="I11" s="448">
        <v>16.901678299213771</v>
      </c>
      <c r="J11" s="439"/>
      <c r="K11" s="320" t="s">
        <v>463</v>
      </c>
      <c r="L11" s="450" t="s">
        <v>541</v>
      </c>
      <c r="M11" s="446" t="s">
        <v>539</v>
      </c>
      <c r="N11" s="449">
        <v>1310.1806649236614</v>
      </c>
      <c r="O11" s="310">
        <v>79.750980047846824</v>
      </c>
      <c r="P11" s="388">
        <f t="shared" si="0"/>
        <v>8.4288793903545578</v>
      </c>
      <c r="Q11" s="29">
        <f>'Assumptions-Output Override'!G17</f>
        <v>30</v>
      </c>
      <c r="R11" s="388">
        <f>N11*Q11/12000</f>
        <v>3.2754516623091536</v>
      </c>
      <c r="S11" s="388">
        <f>P11-R11</f>
        <v>5.1534277280454042</v>
      </c>
      <c r="U11" s="388">
        <v>8.7073493389501344</v>
      </c>
      <c r="V11" s="388">
        <f t="shared" si="1"/>
        <v>8.4288793903545578</v>
      </c>
    </row>
    <row r="12" spans="2:23" x14ac:dyDescent="0.2">
      <c r="D12" s="446" t="s">
        <v>1</v>
      </c>
      <c r="E12" s="446" t="s">
        <v>542</v>
      </c>
      <c r="F12" s="446" t="s">
        <v>534</v>
      </c>
      <c r="G12" s="447">
        <v>6.9592997760569357</v>
      </c>
      <c r="H12" s="310">
        <v>2672.3079479180374</v>
      </c>
      <c r="I12" s="448">
        <v>1.5497826752917638</v>
      </c>
      <c r="J12" s="439"/>
      <c r="K12" s="320" t="s">
        <v>464</v>
      </c>
      <c r="L12" s="450" t="s">
        <v>541</v>
      </c>
      <c r="M12" s="446" t="s">
        <v>539</v>
      </c>
      <c r="N12" s="449">
        <v>3792.7015309634135</v>
      </c>
      <c r="O12" s="310">
        <v>117.74192334124086</v>
      </c>
      <c r="P12" s="388">
        <f t="shared" si="0"/>
        <v>36.023210640219304</v>
      </c>
      <c r="Q12" s="29">
        <f>'Assumptions-Output Override'!H17</f>
        <v>60</v>
      </c>
      <c r="R12" s="388">
        <f>N12*Q12/12000</f>
        <v>18.963507654817068</v>
      </c>
      <c r="S12" s="388">
        <f>P12-R12</f>
        <v>17.059702985402236</v>
      </c>
      <c r="U12" s="388">
        <v>37.213331076241758</v>
      </c>
      <c r="V12" s="388">
        <f t="shared" si="1"/>
        <v>36.023210640219304</v>
      </c>
    </row>
    <row r="13" spans="2:23" x14ac:dyDescent="0.2">
      <c r="D13" s="446" t="s">
        <v>1</v>
      </c>
      <c r="E13" s="446" t="s">
        <v>543</v>
      </c>
      <c r="F13" s="446" t="s">
        <v>534</v>
      </c>
      <c r="G13" s="447">
        <v>1.8231260646492584</v>
      </c>
      <c r="H13" s="310">
        <v>5816.9455722791863</v>
      </c>
      <c r="I13" s="448">
        <v>0.8837520907890235</v>
      </c>
      <c r="J13" s="439"/>
      <c r="K13" s="446" t="s">
        <v>465</v>
      </c>
      <c r="P13" s="388">
        <f t="shared" si="0"/>
        <v>67.091895557951673</v>
      </c>
      <c r="R13" s="388">
        <f>L117</f>
        <v>15.84275718617911</v>
      </c>
      <c r="S13" s="388">
        <f>M117</f>
        <v>53.465693603133715</v>
      </c>
      <c r="U13" s="388">
        <f>$I$117</f>
        <v>69.308450789312815</v>
      </c>
      <c r="V13" s="388">
        <f t="shared" si="1"/>
        <v>67.091895557951673</v>
      </c>
    </row>
    <row r="14" spans="2:23" x14ac:dyDescent="0.2">
      <c r="D14" s="446" t="s">
        <v>1</v>
      </c>
      <c r="E14" s="446" t="s">
        <v>544</v>
      </c>
      <c r="F14" s="446" t="s">
        <v>534</v>
      </c>
      <c r="G14" s="447">
        <v>1.5191712063683367</v>
      </c>
      <c r="H14" s="310">
        <v>27069.494335053609</v>
      </c>
      <c r="I14" s="448">
        <v>3.4269330303970205</v>
      </c>
      <c r="J14" s="439"/>
    </row>
    <row r="15" spans="2:23" x14ac:dyDescent="0.2">
      <c r="D15" s="446" t="s">
        <v>1</v>
      </c>
      <c r="E15" s="446" t="s">
        <v>545</v>
      </c>
      <c r="F15" s="446" t="s">
        <v>534</v>
      </c>
      <c r="G15" s="447">
        <v>0.3974330389030305</v>
      </c>
      <c r="H15" s="310">
        <v>7405.1836418816429</v>
      </c>
      <c r="I15" s="448">
        <v>0.24525538653566933</v>
      </c>
      <c r="J15" s="439"/>
      <c r="K15" s="446" t="s">
        <v>403</v>
      </c>
      <c r="P15" s="388">
        <f>SUM(P8:P13)</f>
        <v>236.69730692175233</v>
      </c>
      <c r="R15" s="388">
        <f>SUM(R8:R13)</f>
        <v>43.028457015865911</v>
      </c>
      <c r="S15" s="388">
        <f>P15-R15</f>
        <v>193.66884990588642</v>
      </c>
      <c r="U15" s="388">
        <f>SUM(U8:U13)</f>
        <v>244.51721794890952</v>
      </c>
      <c r="V15" s="388">
        <f>SUM(V8:V13)</f>
        <v>236.69730692175233</v>
      </c>
    </row>
    <row r="16" spans="2:23" x14ac:dyDescent="0.2">
      <c r="D16" s="451" t="s">
        <v>1</v>
      </c>
      <c r="E16" s="451" t="s">
        <v>546</v>
      </c>
      <c r="F16" s="451" t="s">
        <v>534</v>
      </c>
      <c r="G16" s="452">
        <v>0.23821858932730966</v>
      </c>
      <c r="H16" s="453">
        <v>40274.359037974667</v>
      </c>
      <c r="I16" s="454">
        <v>0.79950841634065906</v>
      </c>
      <c r="J16" s="439"/>
      <c r="P16" s="388"/>
      <c r="R16" s="455">
        <f>R15/P15</f>
        <v>0.18178684656556024</v>
      </c>
      <c r="S16" s="388"/>
    </row>
    <row r="17" spans="4:22" ht="16" x14ac:dyDescent="0.2">
      <c r="D17" s="456" t="s">
        <v>547</v>
      </c>
      <c r="E17" s="456"/>
      <c r="F17" s="456"/>
      <c r="G17" s="457">
        <v>59.302557786665858</v>
      </c>
      <c r="H17" s="458"/>
      <c r="I17" s="459">
        <v>43.815539451649599</v>
      </c>
      <c r="J17" s="439"/>
      <c r="K17" t="s">
        <v>516</v>
      </c>
      <c r="P17" s="388">
        <f>P15*('Assumptions-Output Override'!$D$10/'Assumptions-Output Override'!$D$5)*(1+'Assumptions-Output Override'!$F$37)</f>
        <v>389.64224114450059</v>
      </c>
      <c r="R17" s="388">
        <f>R15*('Assumptions-Output Override'!$D$10/'Assumptions-Output Override'!$D$5)*(1+'Assumptions-Output Override'!$F$37)</f>
        <v>70.83183430639636</v>
      </c>
      <c r="S17" s="388">
        <f>P17-R17</f>
        <v>318.8104068381042</v>
      </c>
      <c r="U17" s="388">
        <f>P17</f>
        <v>389.64224114450059</v>
      </c>
      <c r="V17" s="388">
        <f>U17*(236.7/244.52)</f>
        <v>377.18108326068739</v>
      </c>
    </row>
    <row r="18" spans="4:22" x14ac:dyDescent="0.2">
      <c r="D18" s="446" t="s">
        <v>462</v>
      </c>
      <c r="E18" s="446" t="s">
        <v>548</v>
      </c>
      <c r="F18" s="446" t="s">
        <v>537</v>
      </c>
      <c r="G18" s="447">
        <v>0.23331345624451205</v>
      </c>
      <c r="H18" s="310">
        <v>908.90818688118907</v>
      </c>
      <c r="I18" s="448">
        <v>1.7671709207515256E-2</v>
      </c>
      <c r="J18" s="439"/>
    </row>
    <row r="19" spans="4:22" x14ac:dyDescent="0.2">
      <c r="D19" s="446" t="s">
        <v>462</v>
      </c>
      <c r="E19" s="446" t="s">
        <v>549</v>
      </c>
      <c r="F19" s="446" t="s">
        <v>537</v>
      </c>
      <c r="G19" s="447">
        <v>5.9548350883693733</v>
      </c>
      <c r="H19" s="310">
        <v>921.32310825554669</v>
      </c>
      <c r="I19" s="448">
        <v>0.45719393106380529</v>
      </c>
      <c r="J19" s="439"/>
    </row>
    <row r="20" spans="4:22" x14ac:dyDescent="0.2">
      <c r="D20" s="446" t="s">
        <v>462</v>
      </c>
      <c r="E20" s="446" t="s">
        <v>550</v>
      </c>
      <c r="F20" s="446" t="s">
        <v>537</v>
      </c>
      <c r="G20" s="447">
        <v>110.26341966345699</v>
      </c>
      <c r="H20" s="310">
        <v>496.04354172613381</v>
      </c>
      <c r="I20" s="448">
        <v>4.5579547677246861</v>
      </c>
      <c r="J20" s="439"/>
      <c r="N20" s="352"/>
    </row>
    <row r="21" spans="4:22" x14ac:dyDescent="0.2">
      <c r="D21" s="446" t="s">
        <v>462</v>
      </c>
      <c r="E21" s="446" t="s">
        <v>551</v>
      </c>
      <c r="F21" s="446" t="s">
        <v>537</v>
      </c>
      <c r="G21" s="447">
        <v>12.750955764323386</v>
      </c>
      <c r="H21" s="310">
        <v>425.66595864895794</v>
      </c>
      <c r="I21" s="448">
        <v>0.45230398409259753</v>
      </c>
      <c r="J21" s="439"/>
    </row>
    <row r="22" spans="4:22" x14ac:dyDescent="0.2">
      <c r="D22" s="446" t="s">
        <v>462</v>
      </c>
      <c r="E22" s="446" t="s">
        <v>552</v>
      </c>
      <c r="F22" s="446" t="s">
        <v>537</v>
      </c>
      <c r="G22" s="447">
        <v>1.8037035945932509</v>
      </c>
      <c r="H22" s="310">
        <v>623.33931721764156</v>
      </c>
      <c r="I22" s="448">
        <v>9.369328059306356E-2</v>
      </c>
      <c r="J22" s="439"/>
    </row>
    <row r="23" spans="4:22" x14ac:dyDescent="0.2">
      <c r="D23" s="446" t="s">
        <v>462</v>
      </c>
      <c r="E23" s="446" t="s">
        <v>553</v>
      </c>
      <c r="F23" s="446" t="s">
        <v>554</v>
      </c>
      <c r="G23" s="447">
        <v>0.27402780937628962</v>
      </c>
      <c r="H23" s="310">
        <v>689.39404109589111</v>
      </c>
      <c r="I23" s="448">
        <v>1.5742761573214567E-2</v>
      </c>
      <c r="J23" s="439"/>
    </row>
    <row r="24" spans="4:22" x14ac:dyDescent="0.2">
      <c r="D24" s="446" t="s">
        <v>462</v>
      </c>
      <c r="E24" s="446" t="s">
        <v>555</v>
      </c>
      <c r="F24" s="446" t="s">
        <v>537</v>
      </c>
      <c r="G24" s="447">
        <v>0.16805498952265607</v>
      </c>
      <c r="H24" s="310">
        <v>418.20611683848824</v>
      </c>
      <c r="I24" s="448">
        <v>5.8568020486335689E-3</v>
      </c>
      <c r="J24" s="439"/>
    </row>
    <row r="25" spans="4:22" x14ac:dyDescent="0.2">
      <c r="D25" s="446" t="s">
        <v>462</v>
      </c>
      <c r="E25" s="446" t="s">
        <v>556</v>
      </c>
      <c r="F25" s="446" t="s">
        <v>537</v>
      </c>
      <c r="G25" s="447">
        <v>1.0854273292365368</v>
      </c>
      <c r="H25" s="310">
        <v>4351.001146581536</v>
      </c>
      <c r="I25" s="448">
        <v>0.39355796283659217</v>
      </c>
      <c r="J25" s="439"/>
    </row>
    <row r="26" spans="4:22" x14ac:dyDescent="0.2">
      <c r="D26" s="446" t="s">
        <v>462</v>
      </c>
      <c r="E26" s="446" t="s">
        <v>557</v>
      </c>
      <c r="F26" s="446" t="s">
        <v>537</v>
      </c>
      <c r="G26" s="447">
        <v>0.49405856885440658</v>
      </c>
      <c r="H26" s="310">
        <v>286.34331677381647</v>
      </c>
      <c r="I26" s="448">
        <v>1.1789197440524646E-2</v>
      </c>
      <c r="J26" s="439"/>
    </row>
    <row r="27" spans="4:22" x14ac:dyDescent="0.2">
      <c r="D27" s="446" t="s">
        <v>462</v>
      </c>
      <c r="E27" s="446" t="s">
        <v>558</v>
      </c>
      <c r="F27" s="446" t="s">
        <v>537</v>
      </c>
      <c r="G27" s="447">
        <v>1.4437713876516854E-3</v>
      </c>
      <c r="H27" s="310">
        <v>155.83799999999997</v>
      </c>
      <c r="I27" s="448">
        <v>1.8749537125738607E-5</v>
      </c>
      <c r="J27" s="439"/>
    </row>
    <row r="28" spans="4:22" x14ac:dyDescent="0.2">
      <c r="D28" s="446" t="s">
        <v>462</v>
      </c>
      <c r="E28" s="446" t="s">
        <v>559</v>
      </c>
      <c r="F28" s="446" t="s">
        <v>537</v>
      </c>
      <c r="G28" s="447">
        <v>0.38173315489510562</v>
      </c>
      <c r="H28" s="310">
        <v>536.13103630862315</v>
      </c>
      <c r="I28" s="448">
        <v>1.7054915993939428E-2</v>
      </c>
      <c r="J28" s="439"/>
    </row>
    <row r="29" spans="4:22" x14ac:dyDescent="0.2">
      <c r="D29" s="446" t="s">
        <v>462</v>
      </c>
      <c r="E29" s="446" t="s">
        <v>560</v>
      </c>
      <c r="F29" s="446" t="s">
        <v>537</v>
      </c>
      <c r="G29" s="447">
        <v>6.4969712444325808E-3</v>
      </c>
      <c r="H29" s="310">
        <v>110.75555555555557</v>
      </c>
      <c r="I29" s="448">
        <v>5.9964638300466645E-5</v>
      </c>
      <c r="J29" s="439"/>
    </row>
    <row r="30" spans="4:22" x14ac:dyDescent="0.2">
      <c r="D30" s="446" t="s">
        <v>462</v>
      </c>
      <c r="E30" s="446" t="s">
        <v>561</v>
      </c>
      <c r="F30" s="446" t="s">
        <v>554</v>
      </c>
      <c r="G30" s="447">
        <v>0.1680549895226561</v>
      </c>
      <c r="H30" s="310">
        <v>809.53727663230256</v>
      </c>
      <c r="I30" s="448">
        <v>1.1337231545220098E-2</v>
      </c>
      <c r="J30" s="439"/>
    </row>
    <row r="31" spans="4:22" x14ac:dyDescent="0.2">
      <c r="D31" s="446" t="s">
        <v>462</v>
      </c>
      <c r="E31" s="446" t="s">
        <v>562</v>
      </c>
      <c r="F31" s="446" t="s">
        <v>537</v>
      </c>
      <c r="G31" s="447">
        <v>9.1390728838351629E-2</v>
      </c>
      <c r="H31" s="310">
        <v>5196.996161137441</v>
      </c>
      <c r="I31" s="448">
        <v>3.9579772244705519E-2</v>
      </c>
      <c r="J31" s="439"/>
    </row>
    <row r="32" spans="4:22" x14ac:dyDescent="0.2">
      <c r="D32" s="446" t="s">
        <v>462</v>
      </c>
      <c r="E32" s="446" t="s">
        <v>563</v>
      </c>
      <c r="F32" s="446" t="s">
        <v>537</v>
      </c>
      <c r="G32" s="447">
        <v>3.8981827466595493E-3</v>
      </c>
      <c r="H32" s="310">
        <v>698.70037037037036</v>
      </c>
      <c r="I32" s="448">
        <v>2.2697181073853457E-4</v>
      </c>
      <c r="J32" s="439"/>
    </row>
    <row r="33" spans="4:10" x14ac:dyDescent="0.2">
      <c r="D33" s="446" t="s">
        <v>462</v>
      </c>
      <c r="E33" s="446" t="s">
        <v>564</v>
      </c>
      <c r="F33" s="446" t="s">
        <v>537</v>
      </c>
      <c r="G33" s="447">
        <v>3.9848090299186519E-2</v>
      </c>
      <c r="H33" s="310">
        <v>390.1124637681159</v>
      </c>
      <c r="I33" s="448">
        <v>1.2954363902558342E-3</v>
      </c>
      <c r="J33" s="439"/>
    </row>
    <row r="34" spans="4:10" x14ac:dyDescent="0.2">
      <c r="D34" s="446" t="s">
        <v>462</v>
      </c>
      <c r="E34" s="446" t="s">
        <v>565</v>
      </c>
      <c r="F34" s="446" t="s">
        <v>537</v>
      </c>
      <c r="G34" s="447">
        <v>1.2430871647681008</v>
      </c>
      <c r="H34" s="310">
        <v>183.9868269454123</v>
      </c>
      <c r="I34" s="448">
        <v>1.9059305255187647E-2</v>
      </c>
      <c r="J34" s="439"/>
    </row>
    <row r="35" spans="4:10" x14ac:dyDescent="0.2">
      <c r="D35" s="446" t="s">
        <v>462</v>
      </c>
      <c r="E35" s="446" t="s">
        <v>566</v>
      </c>
      <c r="F35" s="446" t="s">
        <v>537</v>
      </c>
      <c r="G35" s="447">
        <v>4.7500078653740431E-2</v>
      </c>
      <c r="H35" s="310">
        <v>225.46446808510635</v>
      </c>
      <c r="I35" s="448">
        <v>8.924649973055251E-4</v>
      </c>
      <c r="J35" s="439"/>
    </row>
    <row r="36" spans="4:10" x14ac:dyDescent="0.2">
      <c r="D36" s="446" t="s">
        <v>462</v>
      </c>
      <c r="E36" s="446" t="s">
        <v>567</v>
      </c>
      <c r="F36" s="446" t="s">
        <v>537</v>
      </c>
      <c r="G36" s="447">
        <v>1.4437713876516854E-3</v>
      </c>
      <c r="H36" s="310">
        <v>1053.2699999999993</v>
      </c>
      <c r="I36" s="448">
        <v>1.2672342412265749E-4</v>
      </c>
      <c r="J36" s="439"/>
    </row>
    <row r="37" spans="4:10" x14ac:dyDescent="0.2">
      <c r="D37" s="446" t="s">
        <v>462</v>
      </c>
      <c r="E37" s="446" t="s">
        <v>568</v>
      </c>
      <c r="F37" s="446" t="s">
        <v>537</v>
      </c>
      <c r="G37" s="447">
        <v>7.9118672043312327E-2</v>
      </c>
      <c r="H37" s="310">
        <v>559.24675182481769</v>
      </c>
      <c r="I37" s="448">
        <v>3.6872383624096195E-3</v>
      </c>
      <c r="J37" s="439"/>
    </row>
    <row r="38" spans="4:10" x14ac:dyDescent="0.2">
      <c r="D38" s="446" t="s">
        <v>462</v>
      </c>
      <c r="E38" s="446" t="s">
        <v>569</v>
      </c>
      <c r="F38" s="446" t="s">
        <v>537</v>
      </c>
      <c r="G38" s="447">
        <v>0.95245598443381685</v>
      </c>
      <c r="H38" s="310">
        <v>556.96958920721545</v>
      </c>
      <c r="I38" s="448">
        <v>4.4207418199004742E-2</v>
      </c>
      <c r="J38" s="439"/>
    </row>
    <row r="39" spans="4:10" x14ac:dyDescent="0.2">
      <c r="D39" s="446" t="s">
        <v>462</v>
      </c>
      <c r="E39" s="446" t="s">
        <v>570</v>
      </c>
      <c r="F39" s="446" t="s">
        <v>537</v>
      </c>
      <c r="G39" s="447">
        <v>2.8875427753033699E-4</v>
      </c>
      <c r="H39" s="310">
        <v>3243.42</v>
      </c>
      <c r="I39" s="448">
        <v>7.8045949902287134E-5</v>
      </c>
      <c r="J39" s="439"/>
    </row>
    <row r="40" spans="4:10" x14ac:dyDescent="0.2">
      <c r="D40" s="446" t="s">
        <v>462</v>
      </c>
      <c r="E40" s="446" t="s">
        <v>571</v>
      </c>
      <c r="F40" s="446" t="s">
        <v>537</v>
      </c>
      <c r="G40" s="447">
        <v>7.9407426320842675E-3</v>
      </c>
      <c r="H40" s="310">
        <v>542.92454545454541</v>
      </c>
      <c r="I40" s="448">
        <v>3.5926867367465679E-4</v>
      </c>
      <c r="J40" s="439"/>
    </row>
    <row r="41" spans="4:10" x14ac:dyDescent="0.2">
      <c r="D41" s="446" t="s">
        <v>462</v>
      </c>
      <c r="E41" s="446" t="s">
        <v>572</v>
      </c>
      <c r="F41" s="446" t="s">
        <v>537</v>
      </c>
      <c r="G41" s="447">
        <v>3.6383038968822466E-2</v>
      </c>
      <c r="H41" s="310">
        <v>244.43722222222218</v>
      </c>
      <c r="I41" s="448">
        <v>7.4111408179515221E-4</v>
      </c>
      <c r="J41" s="439"/>
    </row>
    <row r="42" spans="4:10" x14ac:dyDescent="0.2">
      <c r="D42" s="446" t="s">
        <v>462</v>
      </c>
      <c r="E42" s="446" t="s">
        <v>573</v>
      </c>
      <c r="F42" s="446" t="s">
        <v>537</v>
      </c>
      <c r="G42" s="447">
        <v>5.0531998567808975E-3</v>
      </c>
      <c r="H42" s="310">
        <v>347.42742857142849</v>
      </c>
      <c r="I42" s="448">
        <v>1.4630168602490818E-4</v>
      </c>
      <c r="J42" s="439"/>
    </row>
    <row r="43" spans="4:10" x14ac:dyDescent="0.2">
      <c r="D43" s="446" t="s">
        <v>462</v>
      </c>
      <c r="E43" s="446" t="s">
        <v>574</v>
      </c>
      <c r="F43" s="446" t="s">
        <v>537</v>
      </c>
      <c r="G43" s="447">
        <v>5.7750855506067398E-4</v>
      </c>
      <c r="H43" s="310">
        <v>13.75</v>
      </c>
      <c r="I43" s="448">
        <v>6.61728552673689E-7</v>
      </c>
      <c r="J43" s="439"/>
    </row>
    <row r="44" spans="4:10" x14ac:dyDescent="0.2">
      <c r="D44" s="446" t="s">
        <v>462</v>
      </c>
      <c r="E44" s="446" t="s">
        <v>575</v>
      </c>
      <c r="F44" s="446" t="s">
        <v>537</v>
      </c>
      <c r="G44" s="447">
        <v>6.4969712444325825E-3</v>
      </c>
      <c r="H44" s="310">
        <v>2521.4888888888886</v>
      </c>
      <c r="I44" s="448">
        <v>1.3651700670222809E-3</v>
      </c>
      <c r="J44" s="439"/>
    </row>
    <row r="45" spans="4:10" x14ac:dyDescent="0.2">
      <c r="D45" s="446" t="s">
        <v>462</v>
      </c>
      <c r="E45" s="446" t="s">
        <v>576</v>
      </c>
      <c r="F45" s="446" t="s">
        <v>537</v>
      </c>
      <c r="G45" s="447">
        <v>6.7857255219629185E-3</v>
      </c>
      <c r="H45" s="310">
        <v>649.29638297872339</v>
      </c>
      <c r="I45" s="448">
        <v>3.6716225310807777E-4</v>
      </c>
      <c r="J45" s="439"/>
    </row>
    <row r="46" spans="4:10" x14ac:dyDescent="0.2">
      <c r="D46" s="446" t="s">
        <v>462</v>
      </c>
      <c r="E46" s="446" t="s">
        <v>577</v>
      </c>
      <c r="F46" s="446" t="s">
        <v>537</v>
      </c>
      <c r="G46" s="447">
        <v>4.6200684404853927E-3</v>
      </c>
      <c r="H46" s="310">
        <v>1058.1384375</v>
      </c>
      <c r="I46" s="448">
        <v>4.0738933339652293E-4</v>
      </c>
      <c r="J46" s="439"/>
    </row>
    <row r="47" spans="4:10" x14ac:dyDescent="0.2">
      <c r="D47" s="446" t="s">
        <v>462</v>
      </c>
      <c r="E47" s="446" t="s">
        <v>578</v>
      </c>
      <c r="F47" s="446" t="s">
        <v>537</v>
      </c>
      <c r="G47" s="447">
        <v>3.1762970528337073E-3</v>
      </c>
      <c r="H47" s="310">
        <v>6698.3181818181811</v>
      </c>
      <c r="I47" s="448">
        <v>1.7729873583209603E-3</v>
      </c>
      <c r="J47" s="439"/>
    </row>
    <row r="48" spans="4:10" x14ac:dyDescent="0.2">
      <c r="D48" s="446" t="s">
        <v>462</v>
      </c>
      <c r="E48" s="446" t="s">
        <v>579</v>
      </c>
      <c r="F48" s="446" t="s">
        <v>537</v>
      </c>
      <c r="G48" s="447">
        <v>2.3100342202426959E-3</v>
      </c>
      <c r="H48" s="310">
        <v>1223.1875000000002</v>
      </c>
      <c r="I48" s="448">
        <v>2.3546708189775941E-4</v>
      </c>
      <c r="J48" s="439"/>
    </row>
    <row r="49" spans="4:10" x14ac:dyDescent="0.2">
      <c r="D49" s="446" t="s">
        <v>462</v>
      </c>
      <c r="E49" s="446" t="s">
        <v>580</v>
      </c>
      <c r="F49" s="446" t="s">
        <v>537</v>
      </c>
      <c r="G49" s="447">
        <v>2.8875427753033699E-4</v>
      </c>
      <c r="H49" s="310">
        <v>24</v>
      </c>
      <c r="I49" s="448">
        <v>5.7750855506067402E-7</v>
      </c>
      <c r="J49" s="439"/>
    </row>
    <row r="50" spans="4:10" x14ac:dyDescent="0.2">
      <c r="D50" s="446" t="s">
        <v>462</v>
      </c>
      <c r="E50" s="446" t="s">
        <v>581</v>
      </c>
      <c r="F50" s="446" t="s">
        <v>537</v>
      </c>
      <c r="G50" s="447">
        <v>2.0212799427123587E-3</v>
      </c>
      <c r="H50" s="310">
        <v>2502.0000000000005</v>
      </c>
      <c r="I50" s="448">
        <v>4.2143686805552684E-4</v>
      </c>
      <c r="J50" s="439"/>
    </row>
    <row r="51" spans="4:10" x14ac:dyDescent="0.2">
      <c r="D51" s="446" t="s">
        <v>462</v>
      </c>
      <c r="E51" s="446" t="s">
        <v>582</v>
      </c>
      <c r="F51" s="446" t="s">
        <v>537</v>
      </c>
      <c r="G51" s="447">
        <v>8.6626283259101102E-4</v>
      </c>
      <c r="H51" s="310">
        <v>316.05</v>
      </c>
      <c r="I51" s="448">
        <v>2.2815197353365754E-5</v>
      </c>
      <c r="J51" s="439"/>
    </row>
    <row r="52" spans="4:10" x14ac:dyDescent="0.2">
      <c r="D52" s="446" t="s">
        <v>462</v>
      </c>
      <c r="E52" s="446" t="s">
        <v>583</v>
      </c>
      <c r="F52" s="446" t="s">
        <v>537</v>
      </c>
      <c r="G52" s="447">
        <v>476.17391921499012</v>
      </c>
      <c r="H52" s="310">
        <v>813.78529201125195</v>
      </c>
      <c r="I52" s="448">
        <v>32.291944324709419</v>
      </c>
      <c r="J52" s="439"/>
    </row>
    <row r="53" spans="4:10" x14ac:dyDescent="0.2">
      <c r="D53" s="446" t="s">
        <v>462</v>
      </c>
      <c r="E53" s="446" t="s">
        <v>584</v>
      </c>
      <c r="F53" s="446" t="s">
        <v>554</v>
      </c>
      <c r="G53" s="447">
        <v>26.316322434922689</v>
      </c>
      <c r="H53" s="310">
        <v>813.78529201125332</v>
      </c>
      <c r="I53" s="448">
        <v>1.7846530114471548</v>
      </c>
      <c r="J53" s="439"/>
    </row>
    <row r="54" spans="4:10" x14ac:dyDescent="0.2">
      <c r="D54" s="446" t="s">
        <v>462</v>
      </c>
      <c r="E54" s="446" t="s">
        <v>585</v>
      </c>
      <c r="F54" s="446" t="s">
        <v>554</v>
      </c>
      <c r="G54" s="447">
        <v>116.52741760655644</v>
      </c>
      <c r="H54" s="310">
        <v>813.78529201125309</v>
      </c>
      <c r="I54" s="448">
        <v>7.9023582136890642</v>
      </c>
      <c r="J54" s="439"/>
    </row>
    <row r="55" spans="4:10" x14ac:dyDescent="0.2">
      <c r="D55" s="446" t="s">
        <v>462</v>
      </c>
      <c r="E55" s="446" t="s">
        <v>586</v>
      </c>
      <c r="F55" s="446" t="s">
        <v>537</v>
      </c>
      <c r="G55" s="447">
        <v>63.698206633934809</v>
      </c>
      <c r="H55" s="310">
        <v>813.78529201125207</v>
      </c>
      <c r="I55" s="448">
        <v>4.319721973849143</v>
      </c>
      <c r="J55" s="439"/>
    </row>
    <row r="56" spans="4:10" x14ac:dyDescent="0.2">
      <c r="D56" s="446" t="s">
        <v>462</v>
      </c>
      <c r="E56" s="446" t="s">
        <v>5</v>
      </c>
      <c r="F56" s="446" t="s">
        <v>537</v>
      </c>
      <c r="G56" s="447">
        <v>54.621878247117209</v>
      </c>
      <c r="H56" s="310">
        <v>813.78529201125241</v>
      </c>
      <c r="I56" s="448">
        <v>3.7042067616277792</v>
      </c>
      <c r="J56" s="439"/>
    </row>
    <row r="57" spans="4:10" x14ac:dyDescent="0.2">
      <c r="D57" s="446" t="s">
        <v>462</v>
      </c>
      <c r="E57" s="446" t="s">
        <v>587</v>
      </c>
      <c r="F57" s="446" t="s">
        <v>537</v>
      </c>
      <c r="G57" s="447">
        <v>144.25060580509844</v>
      </c>
      <c r="H57" s="310">
        <v>813.78529201125207</v>
      </c>
      <c r="I57" s="448">
        <v>9.7824184473251705</v>
      </c>
      <c r="J57" s="439"/>
    </row>
    <row r="58" spans="4:10" x14ac:dyDescent="0.2">
      <c r="D58" s="446" t="s">
        <v>462</v>
      </c>
      <c r="E58" s="446" t="s">
        <v>588</v>
      </c>
      <c r="F58" s="446" t="s">
        <v>537</v>
      </c>
      <c r="G58" s="447">
        <v>97.444269074737761</v>
      </c>
      <c r="H58" s="310">
        <v>813.78529201125252</v>
      </c>
      <c r="I58" s="448">
        <v>6.6082260803173778</v>
      </c>
      <c r="J58" s="439"/>
    </row>
    <row r="59" spans="4:10" x14ac:dyDescent="0.2">
      <c r="D59" s="446" t="s">
        <v>462</v>
      </c>
      <c r="E59" s="446" t="s">
        <v>589</v>
      </c>
      <c r="F59" s="446" t="s">
        <v>537</v>
      </c>
      <c r="G59" s="447">
        <v>37.666632843159732</v>
      </c>
      <c r="H59" s="310">
        <v>813.78529201125343</v>
      </c>
      <c r="I59" s="448">
        <v>2.5543793172792841</v>
      </c>
      <c r="J59" s="439"/>
    </row>
    <row r="60" spans="4:10" x14ac:dyDescent="0.2">
      <c r="D60" s="446" t="s">
        <v>462</v>
      </c>
      <c r="E60" s="446" t="s">
        <v>590</v>
      </c>
      <c r="F60" s="446" t="s">
        <v>537</v>
      </c>
      <c r="G60" s="447">
        <v>35.952109138455107</v>
      </c>
      <c r="H60" s="310">
        <v>813.78529201125195</v>
      </c>
      <c r="I60" s="448">
        <v>2.4381081361381742</v>
      </c>
      <c r="J60" s="439"/>
    </row>
    <row r="61" spans="4:10" x14ac:dyDescent="0.2">
      <c r="D61" s="446" t="s">
        <v>462</v>
      </c>
      <c r="E61" s="446" t="s">
        <v>591</v>
      </c>
      <c r="F61" s="446" t="s">
        <v>537</v>
      </c>
      <c r="G61" s="447">
        <v>59.609903390815894</v>
      </c>
      <c r="H61" s="310">
        <v>813.78529201125184</v>
      </c>
      <c r="I61" s="448">
        <v>4.0424718864714686</v>
      </c>
      <c r="J61" s="439"/>
    </row>
    <row r="62" spans="4:10" x14ac:dyDescent="0.2">
      <c r="D62" s="446" t="s">
        <v>462</v>
      </c>
      <c r="E62" s="446" t="s">
        <v>592</v>
      </c>
      <c r="F62" s="446" t="s">
        <v>537</v>
      </c>
      <c r="G62" s="447">
        <v>57.432792527010491</v>
      </c>
      <c r="H62" s="310">
        <v>813.78529201125161</v>
      </c>
      <c r="I62" s="448">
        <v>3.8948301531345719</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1305.8151333788196</v>
      </c>
      <c r="H64" s="463"/>
      <c r="I64" s="464">
        <v>85.472547292755223</v>
      </c>
      <c r="J64" s="439"/>
    </row>
    <row r="65" spans="4:10" x14ac:dyDescent="0.2">
      <c r="D65" s="446" t="s">
        <v>595</v>
      </c>
      <c r="E65" s="446" t="s">
        <v>596</v>
      </c>
      <c r="F65" s="446" t="s">
        <v>554</v>
      </c>
      <c r="G65" s="447">
        <v>57.069251033957052</v>
      </c>
      <c r="H65" s="310">
        <v>82.567323030061317</v>
      </c>
      <c r="I65" s="448">
        <v>0.39267127376703276</v>
      </c>
      <c r="J65" s="439"/>
    </row>
    <row r="66" spans="4:10" x14ac:dyDescent="0.2">
      <c r="D66" s="446" t="s">
        <v>595</v>
      </c>
      <c r="E66" s="446" t="s">
        <v>563</v>
      </c>
      <c r="F66" s="446" t="s">
        <v>554</v>
      </c>
      <c r="G66" s="447">
        <v>35.096205531008493</v>
      </c>
      <c r="H66" s="310">
        <v>409.24189203865302</v>
      </c>
      <c r="I66" s="448">
        <v>1.1969031295739463</v>
      </c>
      <c r="J66" s="439"/>
    </row>
    <row r="67" spans="4:10" x14ac:dyDescent="0.2">
      <c r="D67" s="446" t="s">
        <v>595</v>
      </c>
      <c r="E67" s="446" t="s">
        <v>564</v>
      </c>
      <c r="F67" s="446" t="s">
        <v>554</v>
      </c>
      <c r="G67" s="447">
        <v>47.625542387327336</v>
      </c>
      <c r="H67" s="310">
        <v>145.60351042383525</v>
      </c>
      <c r="I67" s="448">
        <v>0.57787051311950188</v>
      </c>
      <c r="J67" s="439"/>
    </row>
    <row r="68" spans="4:10" x14ac:dyDescent="0.2">
      <c r="D68" s="446" t="s">
        <v>595</v>
      </c>
      <c r="E68" s="446" t="s">
        <v>597</v>
      </c>
      <c r="F68" s="446" t="s">
        <v>554</v>
      </c>
      <c r="G68" s="447">
        <v>304.23742626865226</v>
      </c>
      <c r="H68" s="310">
        <v>32.740875922593908</v>
      </c>
      <c r="I68" s="448">
        <v>0.83008331870593799</v>
      </c>
      <c r="J68" s="439"/>
    </row>
    <row r="69" spans="4:10" x14ac:dyDescent="0.2">
      <c r="D69" s="446" t="s">
        <v>595</v>
      </c>
      <c r="E69" s="446" t="s">
        <v>572</v>
      </c>
      <c r="F69" s="446" t="s">
        <v>554</v>
      </c>
      <c r="G69" s="447">
        <v>4.1322180885978588</v>
      </c>
      <c r="H69" s="310">
        <v>222.1606788721582</v>
      </c>
      <c r="I69" s="448">
        <v>7.6501364650892689E-2</v>
      </c>
      <c r="J69" s="439"/>
    </row>
    <row r="70" spans="4:10" x14ac:dyDescent="0.2">
      <c r="D70" s="446" t="s">
        <v>595</v>
      </c>
      <c r="E70" s="446" t="s">
        <v>567</v>
      </c>
      <c r="F70" s="446" t="s">
        <v>554</v>
      </c>
      <c r="G70" s="447">
        <v>104.42047685763077</v>
      </c>
      <c r="H70" s="310">
        <v>107.24427316770844</v>
      </c>
      <c r="I70" s="448">
        <v>0.93320817870184436</v>
      </c>
      <c r="J70" s="439"/>
    </row>
    <row r="71" spans="4:10" x14ac:dyDescent="0.2">
      <c r="D71" s="446" t="s">
        <v>595</v>
      </c>
      <c r="E71" s="446" t="s">
        <v>568</v>
      </c>
      <c r="F71" s="446" t="s">
        <v>554</v>
      </c>
      <c r="G71" s="447">
        <v>7.5091993643151662</v>
      </c>
      <c r="H71" s="310">
        <v>273.92535790505923</v>
      </c>
      <c r="I71" s="448">
        <v>0.17141334362087293</v>
      </c>
      <c r="J71" s="439"/>
    </row>
    <row r="72" spans="4:10" x14ac:dyDescent="0.2">
      <c r="D72" s="446" t="s">
        <v>595</v>
      </c>
      <c r="E72" s="446" t="s">
        <v>548</v>
      </c>
      <c r="F72" s="446" t="s">
        <v>554</v>
      </c>
      <c r="G72" s="447">
        <v>80.172769533436806</v>
      </c>
      <c r="H72" s="310">
        <v>199.76713940727691</v>
      </c>
      <c r="I72" s="448">
        <v>1.3346570690044628</v>
      </c>
      <c r="J72" s="439"/>
    </row>
    <row r="73" spans="4:10" x14ac:dyDescent="0.2">
      <c r="D73" s="446" t="s">
        <v>595</v>
      </c>
      <c r="E73" s="446" t="s">
        <v>598</v>
      </c>
      <c r="F73" s="446" t="s">
        <v>554</v>
      </c>
      <c r="G73" s="447">
        <v>15.383095381151206</v>
      </c>
      <c r="H73" s="310">
        <v>93.492639092240054</v>
      </c>
      <c r="I73" s="448">
        <v>0.11985051538262288</v>
      </c>
      <c r="J73" s="439"/>
    </row>
    <row r="74" spans="4:10" x14ac:dyDescent="0.2">
      <c r="D74" s="446" t="s">
        <v>595</v>
      </c>
      <c r="E74" s="446" t="s">
        <v>549</v>
      </c>
      <c r="F74" s="446" t="s">
        <v>554</v>
      </c>
      <c r="G74" s="447">
        <v>497.65081644402227</v>
      </c>
      <c r="H74" s="310">
        <v>73.779431750036835</v>
      </c>
      <c r="I74" s="448">
        <v>3.0596995372651539</v>
      </c>
      <c r="J74" s="439"/>
    </row>
    <row r="75" spans="4:10" x14ac:dyDescent="0.2">
      <c r="D75" s="446" t="s">
        <v>595</v>
      </c>
      <c r="E75" s="446" t="s">
        <v>571</v>
      </c>
      <c r="F75" s="446" t="s">
        <v>554</v>
      </c>
      <c r="G75" s="447">
        <v>34.020740224346724</v>
      </c>
      <c r="H75" s="310">
        <v>258.48559243415758</v>
      </c>
      <c r="I75" s="448">
        <v>0.73282259932823657</v>
      </c>
      <c r="J75" s="439"/>
    </row>
    <row r="76" spans="4:10" x14ac:dyDescent="0.2">
      <c r="D76" s="446" t="s">
        <v>595</v>
      </c>
      <c r="E76" s="446" t="s">
        <v>561</v>
      </c>
      <c r="F76" s="446" t="s">
        <v>554</v>
      </c>
      <c r="G76" s="447">
        <v>28.150077007877382</v>
      </c>
      <c r="H76" s="310">
        <v>241.07909435007448</v>
      </c>
      <c r="I76" s="448">
        <v>0.56553292257866117</v>
      </c>
      <c r="J76" s="439"/>
    </row>
    <row r="77" spans="4:10" x14ac:dyDescent="0.2">
      <c r="D77" s="446" t="s">
        <v>595</v>
      </c>
      <c r="E77" s="446" t="s">
        <v>599</v>
      </c>
      <c r="F77" s="446" t="s">
        <v>554</v>
      </c>
      <c r="G77" s="447">
        <v>807.86199120622314</v>
      </c>
      <c r="H77" s="310">
        <v>112.59183325237781</v>
      </c>
      <c r="I77" s="448">
        <v>7.5798885504020825</v>
      </c>
      <c r="J77" s="439"/>
    </row>
    <row r="78" spans="4:10" x14ac:dyDescent="0.2">
      <c r="D78" s="446" t="s">
        <v>595</v>
      </c>
      <c r="E78" s="446" t="s">
        <v>600</v>
      </c>
      <c r="F78" s="446" t="s">
        <v>554</v>
      </c>
      <c r="G78" s="447">
        <v>7.9036377074216135</v>
      </c>
      <c r="H78" s="310">
        <v>115.3089193138851</v>
      </c>
      <c r="I78" s="448">
        <v>7.5946660224271545E-2</v>
      </c>
      <c r="J78" s="439"/>
    </row>
    <row r="79" spans="4:10" x14ac:dyDescent="0.2">
      <c r="D79" s="446" t="s">
        <v>595</v>
      </c>
      <c r="E79" s="446" t="s">
        <v>555</v>
      </c>
      <c r="F79" s="446" t="s">
        <v>554</v>
      </c>
      <c r="G79" s="447">
        <v>268.2876630932638</v>
      </c>
      <c r="H79" s="310">
        <v>94.154470375763253</v>
      </c>
      <c r="I79" s="448">
        <v>2.1050402355747884</v>
      </c>
      <c r="J79" s="439"/>
    </row>
    <row r="80" spans="4:10" x14ac:dyDescent="0.2">
      <c r="D80" s="446" t="s">
        <v>595</v>
      </c>
      <c r="E80" s="446" t="s">
        <v>552</v>
      </c>
      <c r="F80" s="446" t="s">
        <v>554</v>
      </c>
      <c r="G80" s="447">
        <v>148.00446999950526</v>
      </c>
      <c r="H80" s="310">
        <v>96.154208398201703</v>
      </c>
      <c r="I80" s="448">
        <v>1.185937721016485</v>
      </c>
      <c r="J80" s="439"/>
    </row>
    <row r="81" spans="4:10" x14ac:dyDescent="0.2">
      <c r="D81" s="446" t="s">
        <v>595</v>
      </c>
      <c r="E81" s="446" t="s">
        <v>581</v>
      </c>
      <c r="F81" s="446" t="s">
        <v>554</v>
      </c>
      <c r="G81" s="447">
        <v>23.850670192589547</v>
      </c>
      <c r="H81" s="310">
        <v>193.64439868762781</v>
      </c>
      <c r="I81" s="448">
        <v>0.38487905731174427</v>
      </c>
      <c r="J81" s="439"/>
    </row>
    <row r="82" spans="4:10" x14ac:dyDescent="0.2">
      <c r="D82" s="446" t="s">
        <v>595</v>
      </c>
      <c r="E82" s="446" t="s">
        <v>574</v>
      </c>
      <c r="F82" s="446" t="s">
        <v>554</v>
      </c>
      <c r="G82" s="447">
        <v>2.6419572622638219</v>
      </c>
      <c r="H82" s="310">
        <v>127.00973277228236</v>
      </c>
      <c r="I82" s="448">
        <v>2.796285715632656E-2</v>
      </c>
      <c r="J82" s="439"/>
    </row>
    <row r="83" spans="4:10" x14ac:dyDescent="0.2">
      <c r="D83" s="446" t="s">
        <v>595</v>
      </c>
      <c r="E83" s="446" t="s">
        <v>601</v>
      </c>
      <c r="F83" s="446" t="s">
        <v>554</v>
      </c>
      <c r="G83" s="447">
        <v>4.0865949127480929</v>
      </c>
      <c r="H83" s="310">
        <v>247.65079526585427</v>
      </c>
      <c r="I83" s="448">
        <v>8.4337373339288299E-2</v>
      </c>
      <c r="J83" s="439"/>
    </row>
    <row r="84" spans="4:10" x14ac:dyDescent="0.2">
      <c r="D84" s="446" t="s">
        <v>595</v>
      </c>
      <c r="E84" s="446" t="s">
        <v>559</v>
      </c>
      <c r="F84" s="446" t="s">
        <v>554</v>
      </c>
      <c r="G84" s="447">
        <v>105.53867779736704</v>
      </c>
      <c r="H84" s="310">
        <v>100.99463577626592</v>
      </c>
      <c r="I84" s="448">
        <v>0.88823669370448066</v>
      </c>
      <c r="J84" s="439"/>
    </row>
    <row r="85" spans="4:10" x14ac:dyDescent="0.2">
      <c r="D85" s="446" t="s">
        <v>595</v>
      </c>
      <c r="E85" s="446" t="s">
        <v>573</v>
      </c>
      <c r="F85" s="446" t="s">
        <v>554</v>
      </c>
      <c r="G85" s="447">
        <v>158.75753491759596</v>
      </c>
      <c r="H85" s="310">
        <v>97.001809644025514</v>
      </c>
      <c r="I85" s="448">
        <v>1.2833140151359481</v>
      </c>
      <c r="J85" s="439"/>
    </row>
    <row r="86" spans="4:10" x14ac:dyDescent="0.2">
      <c r="D86" s="446" t="s">
        <v>595</v>
      </c>
      <c r="E86" s="446" t="s">
        <v>562</v>
      </c>
      <c r="F86" s="446" t="s">
        <v>554</v>
      </c>
      <c r="G86" s="447">
        <v>57.158764859991329</v>
      </c>
      <c r="H86" s="310">
        <v>282.95333883136828</v>
      </c>
      <c r="I86" s="448">
        <v>1.3477719467176361</v>
      </c>
      <c r="J86" s="439"/>
    </row>
    <row r="87" spans="4:10" x14ac:dyDescent="0.2">
      <c r="D87" s="446" t="s">
        <v>595</v>
      </c>
      <c r="E87" s="446" t="s">
        <v>550</v>
      </c>
      <c r="F87" s="446" t="s">
        <v>554</v>
      </c>
      <c r="G87" s="447">
        <v>618.08632741917904</v>
      </c>
      <c r="H87" s="310">
        <v>163.69417319660121</v>
      </c>
      <c r="I87" s="448">
        <v>8.4314275275838551</v>
      </c>
      <c r="J87" s="439"/>
    </row>
    <row r="88" spans="4:10" x14ac:dyDescent="0.2">
      <c r="D88" s="446" t="s">
        <v>595</v>
      </c>
      <c r="E88" s="446" t="s">
        <v>579</v>
      </c>
      <c r="F88" s="446" t="s">
        <v>554</v>
      </c>
      <c r="G88" s="447">
        <v>43.334653823226617</v>
      </c>
      <c r="H88" s="310">
        <v>163.98378212154583</v>
      </c>
      <c r="I88" s="448">
        <v>0.59218170257171721</v>
      </c>
      <c r="J88" s="439"/>
    </row>
    <row r="89" spans="4:10" x14ac:dyDescent="0.2">
      <c r="D89" s="446" t="s">
        <v>595</v>
      </c>
      <c r="E89" s="446" t="s">
        <v>556</v>
      </c>
      <c r="F89" s="446" t="s">
        <v>554</v>
      </c>
      <c r="G89" s="447">
        <v>127.92204312868591</v>
      </c>
      <c r="H89" s="310">
        <v>114.55306518875851</v>
      </c>
      <c r="I89" s="448">
        <v>1.2211551787999613</v>
      </c>
      <c r="J89" s="439"/>
    </row>
    <row r="90" spans="4:10" x14ac:dyDescent="0.2">
      <c r="D90" s="446" t="s">
        <v>595</v>
      </c>
      <c r="E90" s="446" t="s">
        <v>602</v>
      </c>
      <c r="F90" s="446" t="s">
        <v>554</v>
      </c>
      <c r="G90" s="447">
        <v>49.889231546026508</v>
      </c>
      <c r="H90" s="310">
        <v>141.16208850868765</v>
      </c>
      <c r="I90" s="448">
        <v>0.58687234326088378</v>
      </c>
      <c r="J90" s="439"/>
    </row>
    <row r="91" spans="4:10" x14ac:dyDescent="0.2">
      <c r="D91" s="446" t="s">
        <v>595</v>
      </c>
      <c r="E91" s="446" t="s">
        <v>577</v>
      </c>
      <c r="F91" s="446" t="s">
        <v>554</v>
      </c>
      <c r="G91" s="447">
        <v>228.2775816443833</v>
      </c>
      <c r="H91" s="310">
        <v>77.187057845072289</v>
      </c>
      <c r="I91" s="448">
        <v>1.4683395749265189</v>
      </c>
      <c r="J91" s="439"/>
    </row>
    <row r="92" spans="4:10" x14ac:dyDescent="0.2">
      <c r="D92" s="446" t="s">
        <v>595</v>
      </c>
      <c r="E92" s="446" t="s">
        <v>576</v>
      </c>
      <c r="F92" s="446" t="s">
        <v>554</v>
      </c>
      <c r="G92" s="447">
        <v>438.70350758900838</v>
      </c>
      <c r="H92" s="310">
        <v>72.605926138865001</v>
      </c>
      <c r="I92" s="448">
        <v>2.6543728724057121</v>
      </c>
      <c r="J92" s="439"/>
    </row>
    <row r="93" spans="4:10" x14ac:dyDescent="0.2">
      <c r="D93" s="446" t="s">
        <v>595</v>
      </c>
      <c r="E93" s="446" t="s">
        <v>603</v>
      </c>
      <c r="F93" s="446" t="s">
        <v>554</v>
      </c>
      <c r="G93" s="447">
        <v>7.0430055832424427</v>
      </c>
      <c r="H93" s="310">
        <v>644.25993378705323</v>
      </c>
      <c r="I93" s="448">
        <v>0.37812719256013522</v>
      </c>
      <c r="J93" s="439"/>
    </row>
    <row r="94" spans="4:10" x14ac:dyDescent="0.2">
      <c r="D94" s="446" t="s">
        <v>595</v>
      </c>
      <c r="E94" s="446" t="s">
        <v>557</v>
      </c>
      <c r="F94" s="446" t="s">
        <v>554</v>
      </c>
      <c r="G94" s="447">
        <v>42.682502287424278</v>
      </c>
      <c r="H94" s="310">
        <v>77.773220659468549</v>
      </c>
      <c r="I94" s="448">
        <v>0.27662963905817661</v>
      </c>
      <c r="J94" s="439"/>
    </row>
    <row r="95" spans="4:10" x14ac:dyDescent="0.2">
      <c r="D95" s="446" t="s">
        <v>595</v>
      </c>
      <c r="E95" s="446" t="s">
        <v>582</v>
      </c>
      <c r="F95" s="446" t="s">
        <v>554</v>
      </c>
      <c r="G95" s="447">
        <v>44.984740142173635</v>
      </c>
      <c r="H95" s="310">
        <v>101.18062276540697</v>
      </c>
      <c r="I95" s="448">
        <v>0.37929866854376088</v>
      </c>
      <c r="J95" s="439"/>
    </row>
    <row r="96" spans="4:10" x14ac:dyDescent="0.2">
      <c r="D96" s="446" t="s">
        <v>595</v>
      </c>
      <c r="E96" s="446" t="s">
        <v>565</v>
      </c>
      <c r="F96" s="446" t="s">
        <v>554</v>
      </c>
      <c r="G96" s="447">
        <v>256.57809963085373</v>
      </c>
      <c r="H96" s="310">
        <v>55.463234565914298</v>
      </c>
      <c r="I96" s="448">
        <v>1.1858876103585474</v>
      </c>
      <c r="J96" s="439"/>
    </row>
    <row r="97" spans="4:13" x14ac:dyDescent="0.2">
      <c r="D97" s="446" t="s">
        <v>595</v>
      </c>
      <c r="E97" s="446" t="s">
        <v>604</v>
      </c>
      <c r="F97" s="446" t="s">
        <v>554</v>
      </c>
      <c r="G97" s="447">
        <v>10.133109484233364</v>
      </c>
      <c r="H97" s="310">
        <v>123.92687939018317</v>
      </c>
      <c r="I97" s="448">
        <v>0.1046470530750091</v>
      </c>
      <c r="J97" s="439"/>
    </row>
    <row r="98" spans="4:13" x14ac:dyDescent="0.2">
      <c r="D98" s="446" t="s">
        <v>595</v>
      </c>
      <c r="E98" s="446" t="s">
        <v>569</v>
      </c>
      <c r="F98" s="446" t="s">
        <v>554</v>
      </c>
      <c r="G98" s="447">
        <v>48.858667529520645</v>
      </c>
      <c r="H98" s="310">
        <v>104.89974589994395</v>
      </c>
      <c r="I98" s="448">
        <v>0.4271051507380465</v>
      </c>
      <c r="J98" s="439"/>
    </row>
    <row r="99" spans="4:13" x14ac:dyDescent="0.2">
      <c r="D99" s="446" t="s">
        <v>595</v>
      </c>
      <c r="E99" s="446" t="s">
        <v>553</v>
      </c>
      <c r="F99" s="446" t="s">
        <v>554</v>
      </c>
      <c r="G99" s="447">
        <v>191.93583453724756</v>
      </c>
      <c r="H99" s="310">
        <v>115.0504001335938</v>
      </c>
      <c r="I99" s="448">
        <v>1.8401912136237986</v>
      </c>
      <c r="J99" s="439"/>
    </row>
    <row r="100" spans="4:13" x14ac:dyDescent="0.2">
      <c r="D100" s="446" t="s">
        <v>595</v>
      </c>
      <c r="E100" s="446" t="s">
        <v>570</v>
      </c>
      <c r="F100" s="446" t="s">
        <v>554</v>
      </c>
      <c r="G100" s="447">
        <v>16.146561690941382</v>
      </c>
      <c r="H100" s="310">
        <v>131.3709718695232</v>
      </c>
      <c r="I100" s="448">
        <v>0.17676579180751512</v>
      </c>
      <c r="J100" s="439"/>
    </row>
    <row r="101" spans="4:13" x14ac:dyDescent="0.2">
      <c r="D101" s="446" t="s">
        <v>595</v>
      </c>
      <c r="E101" s="446" t="s">
        <v>551</v>
      </c>
      <c r="F101" s="446" t="s">
        <v>554</v>
      </c>
      <c r="G101" s="447">
        <v>12.056934858279263</v>
      </c>
      <c r="H101" s="310">
        <v>128.23725146688983</v>
      </c>
      <c r="I101" s="448">
        <v>0.1288456822784223</v>
      </c>
      <c r="J101" s="439"/>
    </row>
    <row r="102" spans="4:13" x14ac:dyDescent="0.2">
      <c r="D102" s="446" t="s">
        <v>595</v>
      </c>
      <c r="E102" s="446" t="s">
        <v>578</v>
      </c>
      <c r="F102" s="446" t="s">
        <v>554</v>
      </c>
      <c r="G102" s="447">
        <v>38.990490094921377</v>
      </c>
      <c r="H102" s="310">
        <v>126.95304921128665</v>
      </c>
      <c r="I102" s="448">
        <v>0.41249680064939487</v>
      </c>
      <c r="J102" s="439"/>
    </row>
    <row r="103" spans="4:13" x14ac:dyDescent="0.2">
      <c r="D103" s="446" t="s">
        <v>595</v>
      </c>
      <c r="E103" s="446" t="s">
        <v>560</v>
      </c>
      <c r="F103" s="446" t="s">
        <v>554</v>
      </c>
      <c r="G103" s="447">
        <v>115.960252804853</v>
      </c>
      <c r="H103" s="310">
        <v>48.03438602497701</v>
      </c>
      <c r="I103" s="448">
        <v>0.46417329556518599</v>
      </c>
      <c r="J103" s="439"/>
    </row>
    <row r="104" spans="4:13" x14ac:dyDescent="0.2">
      <c r="D104" s="446" t="s">
        <v>595</v>
      </c>
      <c r="E104" s="446" t="s">
        <v>575</v>
      </c>
      <c r="F104" s="446" t="s">
        <v>554</v>
      </c>
      <c r="G104" s="447">
        <v>1.2153667541251891</v>
      </c>
      <c r="H104" s="310">
        <v>129.64776669042504</v>
      </c>
      <c r="I104" s="448">
        <v>1.3130798781843476E-2</v>
      </c>
      <c r="J104" s="439"/>
    </row>
    <row r="105" spans="4:13" x14ac:dyDescent="0.2">
      <c r="D105" s="446" t="s">
        <v>595</v>
      </c>
      <c r="E105" s="446" t="s">
        <v>566</v>
      </c>
      <c r="F105" s="446" t="s">
        <v>554</v>
      </c>
      <c r="G105" s="447">
        <v>5.0279338574969916</v>
      </c>
      <c r="H105" s="310">
        <v>329.86622225412771</v>
      </c>
      <c r="I105" s="448">
        <v>0.13821212894301302</v>
      </c>
      <c r="J105" s="439"/>
    </row>
    <row r="106" spans="4:13" x14ac:dyDescent="0.2">
      <c r="D106" s="446" t="s">
        <v>595</v>
      </c>
      <c r="E106" s="446" t="s">
        <v>580</v>
      </c>
      <c r="F106" s="446" t="s">
        <v>554</v>
      </c>
      <c r="G106" s="447">
        <v>2.3866984809270013</v>
      </c>
      <c r="H106" s="310">
        <v>177.26758332829331</v>
      </c>
      <c r="I106" s="448">
        <v>3.5257022653936522E-2</v>
      </c>
      <c r="J106" s="439"/>
    </row>
    <row r="107" spans="4:13" x14ac:dyDescent="0.2">
      <c r="D107" s="451" t="s">
        <v>595</v>
      </c>
      <c r="E107" s="451" t="s">
        <v>558</v>
      </c>
      <c r="F107" s="451" t="s">
        <v>554</v>
      </c>
      <c r="G107" s="452">
        <v>3.1088729290303725</v>
      </c>
      <c r="H107" s="310">
        <v>196.98826638183246</v>
      </c>
      <c r="I107" s="454">
        <v>5.1034290724258559E-2</v>
      </c>
      <c r="J107" s="439"/>
    </row>
    <row r="108" spans="4:13" ht="16" x14ac:dyDescent="0.2">
      <c r="D108" s="461" t="s">
        <v>605</v>
      </c>
      <c r="E108" s="460"/>
      <c r="F108" s="460"/>
      <c r="G108" s="465">
        <v>5102.8821958870749</v>
      </c>
      <c r="H108" s="466"/>
      <c r="I108" s="467">
        <v>45.920680415191896</v>
      </c>
      <c r="J108" s="439"/>
      <c r="K108" s="313" t="s">
        <v>311</v>
      </c>
      <c r="L108" s="313" t="s">
        <v>606</v>
      </c>
      <c r="M108" s="313" t="s">
        <v>528</v>
      </c>
    </row>
    <row r="109" spans="4:13" x14ac:dyDescent="0.2">
      <c r="D109" s="446" t="s">
        <v>607</v>
      </c>
      <c r="E109" s="446" t="s">
        <v>608</v>
      </c>
      <c r="F109" s="468" t="s">
        <v>609</v>
      </c>
      <c r="G109" s="469">
        <v>7296.8775297375578</v>
      </c>
      <c r="H109" s="310">
        <v>27.648629741780571</v>
      </c>
      <c r="I109" s="470">
        <v>16.812388757569348</v>
      </c>
      <c r="J109" s="439"/>
      <c r="K109">
        <f>'Assumptions-Output Override'!$J$17</f>
        <v>10</v>
      </c>
      <c r="L109" s="470">
        <f>G109*K109/12000</f>
        <v>6.0807312747812974</v>
      </c>
      <c r="M109" s="388">
        <f>I109-L109</f>
        <v>10.731657482788052</v>
      </c>
    </row>
    <row r="110" spans="4:13" x14ac:dyDescent="0.2">
      <c r="D110" s="446" t="s">
        <v>607</v>
      </c>
      <c r="E110" s="446" t="s">
        <v>610</v>
      </c>
      <c r="F110" s="468" t="s">
        <v>609</v>
      </c>
      <c r="G110" s="469">
        <v>566.25342693648656</v>
      </c>
      <c r="H110" s="310">
        <v>179.99300737802494</v>
      </c>
      <c r="I110" s="470">
        <v>8.4934714377009115</v>
      </c>
      <c r="J110" s="439"/>
      <c r="K110">
        <f>'Assumptions-Output Override'!$K$17</f>
        <v>50</v>
      </c>
      <c r="L110" s="470">
        <f t="shared" ref="L110:L116" si="2">G110*K110/12000</f>
        <v>2.3593892789020274</v>
      </c>
      <c r="M110" s="388">
        <f t="shared" ref="M110:M116" si="3">I110-L110</f>
        <v>6.1340821587988845</v>
      </c>
    </row>
    <row r="111" spans="4:13" x14ac:dyDescent="0.2">
      <c r="D111" s="446" t="s">
        <v>607</v>
      </c>
      <c r="E111" s="446" t="s">
        <v>611</v>
      </c>
      <c r="F111" s="468" t="s">
        <v>609</v>
      </c>
      <c r="G111" s="469">
        <v>319.74875075332233</v>
      </c>
      <c r="H111" s="310">
        <v>193.65936719154118</v>
      </c>
      <c r="I111" s="470">
        <v>5.1601950609311853</v>
      </c>
      <c r="J111" s="439"/>
      <c r="K111">
        <f>'Assumptions-Output Override'!$L$17</f>
        <v>80</v>
      </c>
      <c r="L111" s="470">
        <f t="shared" si="2"/>
        <v>2.1316583383554821</v>
      </c>
      <c r="M111" s="388">
        <f t="shared" si="3"/>
        <v>3.0285367225757032</v>
      </c>
    </row>
    <row r="112" spans="4:13" x14ac:dyDescent="0.2">
      <c r="D112" s="446" t="s">
        <v>607</v>
      </c>
      <c r="E112" s="446" t="s">
        <v>612</v>
      </c>
      <c r="F112" s="468" t="s">
        <v>609</v>
      </c>
      <c r="G112" s="469">
        <v>125.27764841464148</v>
      </c>
      <c r="H112" s="310">
        <v>2070.8597128624051</v>
      </c>
      <c r="I112" s="470">
        <v>21.61936958533515</v>
      </c>
      <c r="J112" s="439"/>
      <c r="K112">
        <f>'Assumptions-Output Override'!$M$17</f>
        <v>200</v>
      </c>
      <c r="L112" s="470">
        <f t="shared" si="2"/>
        <v>2.0879608069106914</v>
      </c>
      <c r="M112" s="388">
        <f t="shared" si="3"/>
        <v>19.53140877842446</v>
      </c>
    </row>
    <row r="113" spans="4:15" x14ac:dyDescent="0.2">
      <c r="D113" s="446" t="s">
        <v>607</v>
      </c>
      <c r="E113" s="446" t="s">
        <v>613</v>
      </c>
      <c r="F113" s="468" t="s">
        <v>609</v>
      </c>
      <c r="G113" s="469">
        <v>702.05671848917757</v>
      </c>
      <c r="H113" s="310">
        <v>55.568899870972025</v>
      </c>
      <c r="I113" s="470">
        <v>3.2510432911223588</v>
      </c>
      <c r="J113" s="439"/>
      <c r="K113">
        <f>2*K109</f>
        <v>20</v>
      </c>
      <c r="L113" s="470">
        <f t="shared" si="2"/>
        <v>1.1700945308152959</v>
      </c>
      <c r="M113" s="388">
        <f t="shared" si="3"/>
        <v>2.0809487603070629</v>
      </c>
    </row>
    <row r="114" spans="4:15" x14ac:dyDescent="0.2">
      <c r="D114" s="446" t="s">
        <v>607</v>
      </c>
      <c r="E114" s="446" t="s">
        <v>614</v>
      </c>
      <c r="F114" s="468" t="s">
        <v>609</v>
      </c>
      <c r="G114" s="469">
        <v>94.142780332080221</v>
      </c>
      <c r="H114" s="310">
        <v>427.42663891605713</v>
      </c>
      <c r="I114" s="470">
        <v>3.3532610146294779</v>
      </c>
      <c r="J114" s="439"/>
      <c r="K114">
        <f>2*K110</f>
        <v>100</v>
      </c>
      <c r="L114" s="470">
        <f t="shared" si="2"/>
        <v>0.7845231694340018</v>
      </c>
      <c r="M114" s="388">
        <f t="shared" si="3"/>
        <v>2.5687378451954759</v>
      </c>
    </row>
    <row r="115" spans="4:15" x14ac:dyDescent="0.2">
      <c r="D115" s="446" t="s">
        <v>607</v>
      </c>
      <c r="E115" s="446" t="s">
        <v>615</v>
      </c>
      <c r="F115" s="468" t="s">
        <v>609</v>
      </c>
      <c r="G115" s="469">
        <v>25.611212235349011</v>
      </c>
      <c r="H115" s="310">
        <v>405.96124289973784</v>
      </c>
      <c r="I115" s="470">
        <v>0.86642996260260485</v>
      </c>
      <c r="J115" s="439"/>
      <c r="K115">
        <f>2*K111</f>
        <v>160</v>
      </c>
      <c r="L115" s="470">
        <f t="shared" si="2"/>
        <v>0.3414828298046535</v>
      </c>
      <c r="M115" s="388">
        <f t="shared" si="3"/>
        <v>0.52494713279795135</v>
      </c>
    </row>
    <row r="116" spans="4:15" x14ac:dyDescent="0.2">
      <c r="D116" s="446" t="s">
        <v>607</v>
      </c>
      <c r="E116" s="446" t="s">
        <v>616</v>
      </c>
      <c r="F116" s="468" t="s">
        <v>609</v>
      </c>
      <c r="G116" s="447">
        <v>26.607508715269809</v>
      </c>
      <c r="H116" s="310">
        <v>4398.2885209354554</v>
      </c>
      <c r="I116" s="448">
        <v>9.7522916794217736</v>
      </c>
      <c r="J116" s="439"/>
      <c r="K116">
        <f>2*K112</f>
        <v>400</v>
      </c>
      <c r="L116" s="470">
        <f t="shared" si="2"/>
        <v>0.88691695717566033</v>
      </c>
      <c r="M116" s="388">
        <f t="shared" si="3"/>
        <v>8.8653747222461128</v>
      </c>
    </row>
    <row r="117" spans="4:15" x14ac:dyDescent="0.2">
      <c r="D117" s="460" t="s">
        <v>617</v>
      </c>
      <c r="E117" s="460"/>
      <c r="F117" s="460"/>
      <c r="G117" s="471">
        <v>9156.5755756138842</v>
      </c>
      <c r="H117" s="472"/>
      <c r="I117" s="473">
        <v>69.308450789312815</v>
      </c>
      <c r="J117" s="439"/>
      <c r="K117" s="373">
        <f>SUMPRODUCT(G109:G116,K109:K116)/G117</f>
        <v>20.762465690827167</v>
      </c>
      <c r="L117" s="388">
        <f>SUM(L109:L116)</f>
        <v>15.84275718617911</v>
      </c>
      <c r="M117" s="388">
        <f>SUM(M109:M116)</f>
        <v>53.465693603133715</v>
      </c>
      <c r="O117" s="388"/>
    </row>
    <row r="118" spans="4:15" ht="16" x14ac:dyDescent="0.2">
      <c r="D118" s="461" t="s">
        <v>618</v>
      </c>
      <c r="E118" s="461"/>
      <c r="F118" s="461"/>
      <c r="G118" s="474"/>
      <c r="H118" s="474"/>
      <c r="I118" s="473">
        <v>244.51721794890955</v>
      </c>
      <c r="J118" s="439"/>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K38"/>
  <sheetViews>
    <sheetView workbookViewId="0"/>
  </sheetViews>
  <sheetFormatPr baseColWidth="10" defaultColWidth="8.83203125" defaultRowHeight="15" x14ac:dyDescent="0.2"/>
  <cols>
    <col min="1" max="1" width="46.5" customWidth="1"/>
    <col min="3" max="3" width="13.5" customWidth="1"/>
    <col min="5" max="5" width="2" customWidth="1"/>
    <col min="7" max="7" width="13.5" customWidth="1"/>
  </cols>
  <sheetData>
    <row r="1" spans="1:8" x14ac:dyDescent="0.2">
      <c r="A1" s="389" t="s">
        <v>457</v>
      </c>
      <c r="B1" s="984" t="s">
        <v>619</v>
      </c>
      <c r="C1" s="984"/>
      <c r="D1" s="984"/>
      <c r="F1" s="984" t="s">
        <v>620</v>
      </c>
      <c r="G1" s="984"/>
      <c r="H1" s="984"/>
    </row>
    <row r="2" spans="1:8" x14ac:dyDescent="0.2">
      <c r="B2" s="313" t="s">
        <v>526</v>
      </c>
      <c r="C2" s="313" t="s">
        <v>621</v>
      </c>
      <c r="D2" s="313" t="s">
        <v>528</v>
      </c>
      <c r="F2" s="313" t="s">
        <v>526</v>
      </c>
      <c r="G2" s="313" t="s">
        <v>621</v>
      </c>
      <c r="H2" s="313" t="s">
        <v>528</v>
      </c>
    </row>
    <row r="3" spans="1:8" ht="7.5" customHeight="1" x14ac:dyDescent="0.2">
      <c r="B3" s="475"/>
      <c r="C3" s="475"/>
      <c r="D3" s="475"/>
      <c r="F3" s="476"/>
      <c r="G3" s="476"/>
      <c r="H3" s="476"/>
    </row>
    <row r="4" spans="1:8" x14ac:dyDescent="0.2">
      <c r="A4" t="s">
        <v>469</v>
      </c>
      <c r="B4" s="448">
        <f>'Cost Model -Asthma'!$P$15</f>
        <v>4.1491269262628485</v>
      </c>
      <c r="C4" s="448">
        <f>'Cost Model -Asthma'!$R$15</f>
        <v>0.82628977692054772</v>
      </c>
      <c r="D4" s="448">
        <f>'Cost Model -Asthma'!$S$15</f>
        <v>3.3228371493423001</v>
      </c>
      <c r="F4" s="388">
        <f>'Cost Model -Asthma Override'!$P$15</f>
        <v>4.1491269262628485</v>
      </c>
      <c r="G4" s="388">
        <f>'Cost Model -Asthma Override'!$R$15</f>
        <v>0.82671474221305608</v>
      </c>
      <c r="H4" s="388">
        <f>'Cost Model -Asthma Override'!$S$15</f>
        <v>3.3224121840497922</v>
      </c>
    </row>
    <row r="5" spans="1:8" x14ac:dyDescent="0.2">
      <c r="A5" t="s">
        <v>471</v>
      </c>
      <c r="B5" s="448">
        <f>'Cost Model  -Biploar Mood'!$P$15</f>
        <v>2.1569949871845444</v>
      </c>
      <c r="C5" s="448">
        <f>'Cost Model  -Biploar Mood'!$R$15</f>
        <v>0.44317718273927337</v>
      </c>
      <c r="D5" s="448">
        <f>'Cost Model  -Biploar Mood'!$S$15</f>
        <v>1.7138178044452714</v>
      </c>
      <c r="F5" s="388">
        <f>'Cost Model  -Biploar Mood Ovrd'!$P$15</f>
        <v>2.1569949871845444</v>
      </c>
      <c r="G5" s="388">
        <f>'Cost Model  -Biploar Mood Ovrd'!$R$15</f>
        <v>0.45175100696905712</v>
      </c>
      <c r="H5" s="388">
        <f>'Cost Model  -Biploar Mood Ovrd'!$S$15</f>
        <v>1.7052439802154877</v>
      </c>
    </row>
    <row r="6" spans="1:8" x14ac:dyDescent="0.2">
      <c r="A6" t="s">
        <v>472</v>
      </c>
      <c r="B6" s="448">
        <v>0</v>
      </c>
      <c r="C6" s="448">
        <v>0</v>
      </c>
      <c r="D6" s="448">
        <v>0</v>
      </c>
      <c r="F6" s="388">
        <v>0</v>
      </c>
      <c r="G6" s="388">
        <v>0</v>
      </c>
      <c r="H6" s="388">
        <v>0</v>
      </c>
    </row>
    <row r="7" spans="1:8" x14ac:dyDescent="0.2">
      <c r="A7" t="s">
        <v>474</v>
      </c>
      <c r="B7" s="448">
        <f>'Cost Model -Cardiac failure'!$P$15</f>
        <v>1.1447081733449551E-2</v>
      </c>
      <c r="C7" s="448">
        <f>'Cost Model -Cardiac failure'!$R$15</f>
        <v>1.5712230004077361E-2</v>
      </c>
      <c r="D7" s="448">
        <f>'Cost Model -Cardiac failure'!$S$15</f>
        <v>-4.2651482706278108E-3</v>
      </c>
      <c r="F7" s="388">
        <f>'Cost Model -Cardiac failure Ovr'!$P$15</f>
        <v>1.1447081733449551E-2</v>
      </c>
      <c r="G7" s="388">
        <f>'Cost Model -Cardiac failure Ovr'!$R$15</f>
        <v>1.7121323943314417E-2</v>
      </c>
      <c r="H7" s="388">
        <f>'Cost Model -Cardiac failure Ovr'!$S$15</f>
        <v>-5.6742422098648654E-3</v>
      </c>
    </row>
    <row r="8" spans="1:8" x14ac:dyDescent="0.2">
      <c r="A8" t="s">
        <v>476</v>
      </c>
      <c r="B8" s="448">
        <f>'Cost Model -Cardiomyopathy'!$P$15</f>
        <v>0.2506009993017157</v>
      </c>
      <c r="C8" s="448">
        <f>'Cost Model -Cardiomyopathy'!$R$15</f>
        <v>2.7528643393137063E-2</v>
      </c>
      <c r="D8" s="448">
        <f>'Cost Model -Cardiomyopathy'!$S$15</f>
        <v>0.2230723559085786</v>
      </c>
      <c r="F8" s="388">
        <f>'Cost Model -Cardiomyopathy Ovrd'!$P$15</f>
        <v>0.2506009993017157</v>
      </c>
      <c r="G8" s="388">
        <f>'Cost Model -Cardiomyopathy Ovrd'!$R$15</f>
        <v>2.9873795667594832E-2</v>
      </c>
      <c r="H8" s="388">
        <f>'Cost Model -Cardiomyopathy Ovrd'!$S$15</f>
        <v>0.22072720363412085</v>
      </c>
    </row>
    <row r="9" spans="1:8" x14ac:dyDescent="0.2">
      <c r="A9" t="s">
        <v>478</v>
      </c>
      <c r="B9" s="448">
        <f>'Cost Model-COPD'!$P$15</f>
        <v>0.28098487182076692</v>
      </c>
      <c r="C9" s="448">
        <f>'Cost Model-COPD'!$R$15</f>
        <v>5.307710083006581E-2</v>
      </c>
      <c r="D9" s="448">
        <f>'Cost Model-COPD'!$S$15</f>
        <v>0.22790777099070109</v>
      </c>
      <c r="F9" s="388">
        <f>'Cost Model-COPD Override'!$P$15</f>
        <v>0.28098487182076692</v>
      </c>
      <c r="G9" s="388">
        <f>'Cost Model-COPD Override'!$R$15</f>
        <v>5.7233624406441197E-2</v>
      </c>
      <c r="H9" s="388">
        <f>'Cost Model-COPD Override'!$S$15</f>
        <v>0.22375124741432573</v>
      </c>
    </row>
    <row r="10" spans="1:8" x14ac:dyDescent="0.2">
      <c r="A10" t="s">
        <v>480</v>
      </c>
      <c r="B10" s="448">
        <f>'Cost Model -CKD'!$P$15</f>
        <v>9.1594131697197838</v>
      </c>
      <c r="C10" s="448">
        <f>'Cost Model -CKD'!$R$15</f>
        <v>0.1297573241784</v>
      </c>
      <c r="D10" s="448">
        <f>'Cost Model -CKD'!$S$15</f>
        <v>9.0296558455413809</v>
      </c>
      <c r="F10" s="388">
        <f>'Cost Model -CKD Override'!$P$15</f>
        <v>9.1594131697197838</v>
      </c>
      <c r="G10" s="388">
        <f>'Cost Model -CKD Override'!$R$15</f>
        <v>0.14085469752214533</v>
      </c>
      <c r="H10" s="388">
        <f>'Cost Model -CKD Override'!$S$15</f>
        <v>9.0185584721976362</v>
      </c>
    </row>
    <row r="11" spans="1:8" x14ac:dyDescent="0.2">
      <c r="A11" t="s">
        <v>481</v>
      </c>
      <c r="B11" s="448">
        <v>0</v>
      </c>
      <c r="C11" s="448">
        <v>0</v>
      </c>
      <c r="D11" s="448">
        <v>0</v>
      </c>
      <c r="F11" s="388">
        <v>0</v>
      </c>
      <c r="G11" s="388">
        <v>0</v>
      </c>
      <c r="H11" s="388">
        <v>0</v>
      </c>
    </row>
    <row r="12" spans="1:8" x14ac:dyDescent="0.2">
      <c r="A12" t="s">
        <v>482</v>
      </c>
      <c r="B12" s="448">
        <v>0</v>
      </c>
      <c r="C12" s="448">
        <v>0</v>
      </c>
      <c r="D12" s="448">
        <v>0</v>
      </c>
      <c r="F12" s="388">
        <v>0</v>
      </c>
      <c r="G12" s="388">
        <v>0</v>
      </c>
      <c r="H12" s="388">
        <v>0</v>
      </c>
    </row>
    <row r="13" spans="1:8" x14ac:dyDescent="0.2">
      <c r="A13" t="s">
        <v>484</v>
      </c>
      <c r="B13" s="448">
        <f>'Cost Model -Diabetes insipidus'!$P$15</f>
        <v>11.0279371358478</v>
      </c>
      <c r="C13" s="448">
        <f>'Cost Model -Diabetes insipidus'!$R$15</f>
        <v>2.3261675486398357</v>
      </c>
      <c r="D13" s="448">
        <f>'Cost Model -Diabetes insipidus'!$S$15</f>
        <v>8.7017695872079628</v>
      </c>
      <c r="F13" s="388">
        <f>'Cost Model -Diabetes ins Ovrd'!$P$15</f>
        <v>11.0279371358478</v>
      </c>
      <c r="G13" s="388">
        <f>'Cost Model -Diabetes ins Ovrd'!$R$15</f>
        <v>2.3340640387877407</v>
      </c>
      <c r="H13" s="388">
        <f>'Cost Model -Diabetes ins Ovrd'!$S$15</f>
        <v>8.6938730970600577</v>
      </c>
    </row>
    <row r="14" spans="1:8" x14ac:dyDescent="0.2">
      <c r="A14" t="s">
        <v>486</v>
      </c>
      <c r="B14" s="448">
        <f>'Cost Model - Diabetes1'!$P$15</f>
        <v>0.5232005352986232</v>
      </c>
      <c r="C14" s="448">
        <f>'Cost Model - Diabetes1'!$R$15</f>
        <v>0.13591843294794048</v>
      </c>
      <c r="D14" s="448">
        <f>'Cost Model - Diabetes1'!$S$15</f>
        <v>0.38728210235068272</v>
      </c>
      <c r="F14" s="388">
        <f>'Cost Model - Diabetes1 Override'!$P$15</f>
        <v>0.5232005352986232</v>
      </c>
      <c r="G14" s="388">
        <f>'Cost Model - Diabetes1 Override'!$R$15</f>
        <v>0.13515567389731817</v>
      </c>
      <c r="H14" s="388">
        <f>'Cost Model - Diabetes1 Override'!$S$15</f>
        <v>0.38804486140130512</v>
      </c>
    </row>
    <row r="15" spans="1:8" x14ac:dyDescent="0.2">
      <c r="A15" t="s">
        <v>487</v>
      </c>
      <c r="B15" s="448">
        <v>0</v>
      </c>
      <c r="C15" s="448">
        <v>0</v>
      </c>
      <c r="D15" s="448">
        <v>0</v>
      </c>
      <c r="F15" s="388">
        <v>0</v>
      </c>
      <c r="G15" s="388">
        <v>0</v>
      </c>
      <c r="H15" s="388">
        <v>0</v>
      </c>
    </row>
    <row r="16" spans="1:8" x14ac:dyDescent="0.2">
      <c r="A16" t="s">
        <v>622</v>
      </c>
      <c r="B16" s="448">
        <v>0</v>
      </c>
      <c r="C16" s="448">
        <v>0</v>
      </c>
      <c r="D16" s="448">
        <v>0</v>
      </c>
      <c r="F16" s="388">
        <v>0</v>
      </c>
      <c r="G16" s="388">
        <v>0</v>
      </c>
      <c r="H16" s="388">
        <v>0</v>
      </c>
    </row>
    <row r="17" spans="1:11" x14ac:dyDescent="0.2">
      <c r="A17" t="s">
        <v>490</v>
      </c>
      <c r="B17" s="448">
        <f>'Cost Model -Epilepsy'!$P$15</f>
        <v>1.5999402262099252</v>
      </c>
      <c r="C17" s="448">
        <f>'Cost Model -Epilepsy'!$R$15</f>
        <v>0.18165832579332902</v>
      </c>
      <c r="D17" s="448">
        <f>'Cost Model -Epilepsy'!$S$15</f>
        <v>1.4182819004165961</v>
      </c>
      <c r="F17" s="388">
        <f>'Cost Model -Epilepsy Override'!$P$15</f>
        <v>1.5999402262099252</v>
      </c>
      <c r="G17" s="388">
        <f>'Cost Model -Epilepsy Override'!$R$15</f>
        <v>0.18286362104605686</v>
      </c>
      <c r="H17" s="388">
        <f>'Cost Model -Epilepsy Override'!$S$15</f>
        <v>1.4170766051638681</v>
      </c>
    </row>
    <row r="18" spans="1:11" x14ac:dyDescent="0.2">
      <c r="A18" t="s">
        <v>492</v>
      </c>
      <c r="B18" s="448">
        <f>'Cost Model - Glaucoma'!$P$15</f>
        <v>0.38531096447982149</v>
      </c>
      <c r="C18" s="448">
        <f>'Cost Model - Glaucoma'!$R$15</f>
        <v>0.17313037095587813</v>
      </c>
      <c r="D18" s="448">
        <f>'Cost Model - Glaucoma'!$S$15</f>
        <v>0.21218059352394339</v>
      </c>
      <c r="F18" s="388">
        <f>'Cost Model - Glaucoma Override'!$P$15</f>
        <v>0.38531096447982149</v>
      </c>
      <c r="G18" s="388">
        <f>'Cost Model - Glaucoma Override'!$R$15</f>
        <v>0.18100617155695189</v>
      </c>
      <c r="H18" s="388">
        <f>'Cost Model - Glaucoma Override'!$S$15</f>
        <v>0.20430479292286963</v>
      </c>
    </row>
    <row r="19" spans="1:11" x14ac:dyDescent="0.2">
      <c r="A19" t="s">
        <v>494</v>
      </c>
      <c r="B19" s="448">
        <f>'Cost Model - Haemophilia'!$P$15</f>
        <v>0.80570201426730781</v>
      </c>
      <c r="C19" s="448">
        <f>'Cost Model - Haemophilia'!$R$15</f>
        <v>2.3594721286209368E-2</v>
      </c>
      <c r="D19" s="448">
        <f>'Cost Model - Haemophilia'!$S$15</f>
        <v>0.78210729298109838</v>
      </c>
      <c r="F19" s="388">
        <f>'Cost Model - Haemophilia Ovrd'!$P$15</f>
        <v>0.80570201426730781</v>
      </c>
      <c r="G19" s="388">
        <f>'Cost Model - Haemophilia Ovrd'!$R$15</f>
        <v>2.4897529840404442E-2</v>
      </c>
      <c r="H19" s="388">
        <f>'Cost Model - Haemophilia Ovrd'!$S$15</f>
        <v>0.78080448442690342</v>
      </c>
    </row>
    <row r="20" spans="1:11" x14ac:dyDescent="0.2">
      <c r="A20" t="s">
        <v>496</v>
      </c>
      <c r="B20" s="448">
        <f>'Cost Model -HIV'!$P$15</f>
        <v>1.2942440516553419E-2</v>
      </c>
      <c r="C20" s="448">
        <f>'Cost Model -HIV'!$R$15</f>
        <v>1.7198545877564354E-2</v>
      </c>
      <c r="D20" s="448">
        <f>'Cost Model -HIV'!$S$15</f>
        <v>-4.2561053610109343E-3</v>
      </c>
      <c r="F20" s="388">
        <f>'Cost Model -HIV Override'!$P$15</f>
        <v>1.2942440516553419E-2</v>
      </c>
      <c r="G20" s="388">
        <f>'Cost Model -HIV Override'!$R$15</f>
        <v>1.8733655640474432E-2</v>
      </c>
      <c r="H20" s="388">
        <f>'Cost Model -HIV Override'!$S$15</f>
        <v>-5.7912151239210112E-3</v>
      </c>
    </row>
    <row r="21" spans="1:11" x14ac:dyDescent="0.2">
      <c r="A21" t="s">
        <v>498</v>
      </c>
      <c r="B21" s="448">
        <f>'Cost Model -Hyperlipidaemia HC'!$P$15</f>
        <v>0.53909408415031301</v>
      </c>
      <c r="C21" s="448">
        <f>'Cost Model -Hyperlipidaemia HC'!$R$15</f>
        <v>0.36068819069725511</v>
      </c>
      <c r="D21" s="448">
        <f>'Cost Model -Hyperlipidaemia HC'!$S$15</f>
        <v>0.17840589345305796</v>
      </c>
      <c r="F21" s="388">
        <f>'Cost Model -Hyperlipidaemia Ovr'!$P$15</f>
        <v>0.53909408415031301</v>
      </c>
      <c r="G21" s="388">
        <f>'Cost Model -Hyperlipidaemia Ovr'!$R$15</f>
        <v>0.38519014516855504</v>
      </c>
      <c r="H21" s="388">
        <f>'Cost Model -Hyperlipidaemia Ovr'!$S$15</f>
        <v>0.15390393898175797</v>
      </c>
    </row>
    <row r="22" spans="1:11" x14ac:dyDescent="0.2">
      <c r="A22" t="s">
        <v>500</v>
      </c>
      <c r="B22" s="448">
        <f>'Cost Model -Hypertension-HBP'!$P$15</f>
        <v>3.3228407433372302</v>
      </c>
      <c r="C22" s="448">
        <f>'Cost Model -Hypertension-HBP'!$R$15</f>
        <v>0.63728881755084732</v>
      </c>
      <c r="D22" s="448">
        <f>'Cost Model -Hypertension-HBP'!$S$15</f>
        <v>2.6855519257863829</v>
      </c>
      <c r="F22" s="388">
        <f>'Cost Model -Hypertension-HBP Ov'!$P$15</f>
        <v>3.3228407433372302</v>
      </c>
      <c r="G22" s="388">
        <f>'Cost Model -Hypertension-HBP Ov'!$R$15</f>
        <v>0.67327992691772542</v>
      </c>
      <c r="H22" s="388">
        <f>'Cost Model -Hypertension-HBP Ov'!$S$15</f>
        <v>2.6495608164195046</v>
      </c>
    </row>
    <row r="23" spans="1:11" x14ac:dyDescent="0.2">
      <c r="A23" t="s">
        <v>502</v>
      </c>
      <c r="B23" s="448">
        <f>'Cost Model - Hypothyroidism'!$P$15</f>
        <v>0.84999932998961503</v>
      </c>
      <c r="C23" s="448">
        <f>'Cost Model - Hypothyroidism'!$R$15</f>
        <v>0.3462871880911072</v>
      </c>
      <c r="D23" s="448">
        <f>'Cost Model - Hypothyroidism'!$S$15</f>
        <v>0.50371214189850777</v>
      </c>
      <c r="F23" s="388">
        <f>'Cost Model - Hypothyroidism Ovr'!$P$15</f>
        <v>0.84999932998961503</v>
      </c>
      <c r="G23" s="388">
        <f>'Cost Model - Hypothyroidism Ovr'!$R$15</f>
        <v>0.37082004791869333</v>
      </c>
      <c r="H23" s="388">
        <f>'Cost Model - Hypothyroidism Ovr'!$S$15</f>
        <v>0.47917928207092153</v>
      </c>
    </row>
    <row r="24" spans="1:11" x14ac:dyDescent="0.2">
      <c r="A24" t="s">
        <v>504</v>
      </c>
      <c r="B24" s="448">
        <f>'Cost Model -Multiple sclerosis'!$P$15</f>
        <v>5.1872337634904291</v>
      </c>
      <c r="C24" s="448">
        <f>'Cost Model -Multiple sclerosis'!$R$15</f>
        <v>0.31067585749032317</v>
      </c>
      <c r="D24" s="448">
        <f>'Cost Model -Multiple sclerosis'!$S$15</f>
        <v>4.8765579060001061</v>
      </c>
      <c r="F24" s="388">
        <f>'Cost Model -Multiple scler Ovr'!$P$15</f>
        <v>5.1872337634904291</v>
      </c>
      <c r="G24" s="388">
        <f>'Cost Model -Multiple scler Ovr'!$R$15</f>
        <v>0.30965152924646494</v>
      </c>
      <c r="H24" s="388">
        <f>'Cost Model -Multiple scler Ovr'!$S$15</f>
        <v>4.8775822342439641</v>
      </c>
    </row>
    <row r="25" spans="1:11" x14ac:dyDescent="0.2">
      <c r="A25" t="s">
        <v>506</v>
      </c>
      <c r="B25" s="448">
        <f>'Cost Model -Parkinson''s disease'!$P$15</f>
        <v>0.14713767471697642</v>
      </c>
      <c r="C25" s="448">
        <f>'Cost Model -Parkinson''s disease'!$R$15</f>
        <v>3.1330205785534783E-2</v>
      </c>
      <c r="D25" s="448">
        <f>'Cost Model -Parkinson''s disease'!$S$15</f>
        <v>0.11580746893144162</v>
      </c>
      <c r="F25" s="388">
        <f>'Cost Model -Parkinson''s dis Ovr'!$P$15</f>
        <v>0.14713767471697642</v>
      </c>
      <c r="G25" s="388">
        <f>'Cost Model -Parkinson''s dis Ovr'!$R$15</f>
        <v>3.2644470386704594E-2</v>
      </c>
      <c r="H25" s="388">
        <f>'Cost Model -Parkinson''s dis Ovr'!$S$15</f>
        <v>0.11449320433027181</v>
      </c>
    </row>
    <row r="26" spans="1:11" x14ac:dyDescent="0.2">
      <c r="A26" t="s">
        <v>508</v>
      </c>
      <c r="B26" s="448">
        <f>'Cost Model - Rheumatoid arthir'!$P$15</f>
        <v>3.0878622236780182</v>
      </c>
      <c r="C26" s="448">
        <f>'Cost Model - Rheumatoid arthir'!$R$15</f>
        <v>0.37046563456668191</v>
      </c>
      <c r="D26" s="448">
        <f>'Cost Model - Rheumatoid arthir'!$S$15</f>
        <v>2.7173965891113365</v>
      </c>
      <c r="F26" s="388">
        <f>'Cost Model - Rheumatoid art Ovr'!$P$15</f>
        <v>3.0878622236780182</v>
      </c>
      <c r="G26" s="388">
        <f>'Cost Model - Rheumatoid art Ovr'!$R$15</f>
        <v>0.37537015359460735</v>
      </c>
      <c r="H26" s="388">
        <f>'Cost Model - Rheumatoid art Ovr'!$S$15</f>
        <v>2.7124920700834103</v>
      </c>
    </row>
    <row r="27" spans="1:11" x14ac:dyDescent="0.2">
      <c r="A27" t="s">
        <v>510</v>
      </c>
      <c r="B27" s="448">
        <f>'Cost Model Schizophrenia'!$P$15</f>
        <v>1.1236618900909041</v>
      </c>
      <c r="C27" s="448">
        <f>'Cost Model Schizophrenia'!$R$15</f>
        <v>0.14150519258423344</v>
      </c>
      <c r="D27" s="448">
        <f>'Cost Model Schizophrenia'!$S$15</f>
        <v>0.98215669750667067</v>
      </c>
      <c r="F27" s="388">
        <f>'Cost Model Schizophrenia Ovrd'!$P$15</f>
        <v>1.1236618900909041</v>
      </c>
      <c r="G27" s="388">
        <f>'Cost Model Schizophrenia Ovrd'!$R$15</f>
        <v>0.14440462364681456</v>
      </c>
      <c r="H27" s="388">
        <f>'Cost Model Schizophrenia Ovrd'!$S$15</f>
        <v>0.9792572664440895</v>
      </c>
    </row>
    <row r="28" spans="1:11" x14ac:dyDescent="0.2">
      <c r="A28" t="s">
        <v>512</v>
      </c>
      <c r="B28" s="448">
        <f>'Cost Model -Lupus'!$P$15</f>
        <v>0.19345260240468731</v>
      </c>
      <c r="C28" s="448">
        <f>'Cost Model -Lupus'!$R$15</f>
        <v>4.3990856941522709E-2</v>
      </c>
      <c r="D28" s="448">
        <f>'Cost Model -Lupus'!$S$15</f>
        <v>0.1494617454631646</v>
      </c>
      <c r="F28" s="388">
        <f>'Cost Model -Lupus Override'!$P$15</f>
        <v>0.19345260240468731</v>
      </c>
      <c r="G28" s="388">
        <f>'Cost Model -Lupus Override'!$R$15</f>
        <v>4.7793404873998323E-2</v>
      </c>
      <c r="H28" s="388">
        <f>'Cost Model -Lupus Override'!$S$15</f>
        <v>0.14565919753068898</v>
      </c>
    </row>
    <row r="29" spans="1:11" x14ac:dyDescent="0.2">
      <c r="A29" t="s">
        <v>513</v>
      </c>
      <c r="B29" s="448">
        <v>0</v>
      </c>
      <c r="C29" s="448">
        <v>0</v>
      </c>
      <c r="D29" s="448">
        <v>0</v>
      </c>
      <c r="F29" s="388">
        <v>0</v>
      </c>
      <c r="G29" s="388">
        <v>0</v>
      </c>
      <c r="H29" s="388">
        <v>0</v>
      </c>
    </row>
    <row r="30" spans="1:11" x14ac:dyDescent="0.2">
      <c r="A30" t="s">
        <v>515</v>
      </c>
      <c r="B30" s="448">
        <f>'Cost Model -Clinical depression'!$P$15</f>
        <v>0</v>
      </c>
      <c r="C30" s="448">
        <f>'Cost Model -Clinical depression'!$R$15</f>
        <v>1.4249001104831023E-2</v>
      </c>
      <c r="D30" s="448">
        <f>'Cost Model -Clinical depression'!$S$15</f>
        <v>-1.4249001104831023E-2</v>
      </c>
      <c r="F30" s="388">
        <f>'Cost Model -Clinical depres Ovr'!$P$15</f>
        <v>0</v>
      </c>
      <c r="G30" s="388">
        <f>'Cost Model -Clinical depres Ovr'!$R$15</f>
        <v>1.5544364645151864E-2</v>
      </c>
      <c r="H30" s="388">
        <f>'Cost Model -Clinical depres Ovr'!$S$15</f>
        <v>-1.5544364645151864E-2</v>
      </c>
    </row>
    <row r="31" spans="1:11" x14ac:dyDescent="0.2">
      <c r="B31" s="313"/>
      <c r="C31" s="313"/>
      <c r="D31" s="313"/>
    </row>
    <row r="32" spans="1:11" x14ac:dyDescent="0.2">
      <c r="A32" t="s">
        <v>403</v>
      </c>
      <c r="B32" s="448">
        <f>SUM(B4:B30)</f>
        <v>44.814883664501316</v>
      </c>
      <c r="C32" s="448">
        <f>SUM(C4:C30)</f>
        <v>6.6096911483785954</v>
      </c>
      <c r="D32" s="448">
        <f>SUM(D4:D30)</f>
        <v>38.205192516122708</v>
      </c>
      <c r="F32" s="448">
        <f>SUM(F4:F30)</f>
        <v>44.814883664501316</v>
      </c>
      <c r="G32" s="448">
        <f>SUM(G4:G30)</f>
        <v>6.7549685478892716</v>
      </c>
      <c r="H32" s="448">
        <f>SUM(H4:H30)</f>
        <v>38.059915116612039</v>
      </c>
      <c r="K32" s="388"/>
    </row>
    <row r="33" spans="1:11" x14ac:dyDescent="0.2">
      <c r="C33" s="477">
        <f>C32/$B32</f>
        <v>0.14748874944897497</v>
      </c>
      <c r="D33" s="477">
        <f>D32/$B32</f>
        <v>0.85251125055102472</v>
      </c>
      <c r="G33" s="477">
        <f>G32/$F32</f>
        <v>0.15073047156518685</v>
      </c>
      <c r="H33" s="477">
        <f>H32/$F32</f>
        <v>0.84926952843481307</v>
      </c>
    </row>
    <row r="34" spans="1:11" x14ac:dyDescent="0.2">
      <c r="A34" t="s">
        <v>516</v>
      </c>
      <c r="B34" s="448">
        <f>B32*('Assumptions-Output Target'!$D$10/'Assumptions-Output Target'!$D$5)*(1+'Assumptions-Output Target'!$F$36)</f>
        <v>75.468730205072958</v>
      </c>
      <c r="C34" s="448">
        <f>C32*('Assumptions-Output Target'!$D$10/'Assumptions-Output Target'!$D$5)*(1+'Assumptions-Output Target'!$F$36)</f>
        <v>11.130788640448296</v>
      </c>
      <c r="D34" s="448">
        <f>D32*('Assumptions-Output Target'!$D$10/'Assumptions-Output Target'!$D$5)*(1+'Assumptions-Output Target'!$F$36)</f>
        <v>64.337941564624643</v>
      </c>
      <c r="F34" s="448">
        <f>F32*('Assumptions-Output Override'!$D$10/'Assumptions-Output Override'!$D$5)*(1+'Assumptions-Output Override'!$F$38)</f>
        <v>75.299659450786038</v>
      </c>
      <c r="G34" s="448">
        <f>G32*('Assumptions-Output Override'!$D$10/'Assumptions-Output Override'!$D$5)*(1+'Assumptions-Output Override'!$F$38)</f>
        <v>11.349953177714955</v>
      </c>
      <c r="H34" s="448">
        <f>H32*('Assumptions-Output Override'!$D$10/'Assumptions-Output Override'!$D$5)*(1+'Assumptions-Output Override'!$F$38)</f>
        <v>63.949706273071058</v>
      </c>
      <c r="J34" s="388"/>
      <c r="K34" s="388"/>
    </row>
    <row r="35" spans="1:11" x14ac:dyDescent="0.2">
      <c r="C35" s="477">
        <f>C34/$B34</f>
        <v>0.147488749448975</v>
      </c>
      <c r="D35" s="477">
        <f>D34/$B34</f>
        <v>0.85251125055102472</v>
      </c>
      <c r="G35" s="477">
        <f>G34/$F34</f>
        <v>0.15073047156518682</v>
      </c>
      <c r="H35" s="477">
        <f>H34/$F34</f>
        <v>0.84926952843481285</v>
      </c>
    </row>
    <row r="36" spans="1:11" x14ac:dyDescent="0.2">
      <c r="A36" t="s">
        <v>623</v>
      </c>
      <c r="B36" s="388">
        <f>SUM(B4,B13:B15)</f>
        <v>15.700264597409271</v>
      </c>
      <c r="C36" s="388">
        <f>SUM(C4,C13:C15)</f>
        <v>3.2883757585083235</v>
      </c>
      <c r="D36" s="388">
        <f>SUM(D4,D13:D15)</f>
        <v>12.411888838900946</v>
      </c>
      <c r="F36" s="388">
        <f>SUM(F4,F13:F15)</f>
        <v>15.700264597409271</v>
      </c>
      <c r="G36" s="388">
        <f>SUM(G4,G13:G15)</f>
        <v>3.2959344548981151</v>
      </c>
      <c r="H36" s="388">
        <f>SUM(H4,H13:H15)</f>
        <v>12.404330142511155</v>
      </c>
    </row>
    <row r="37" spans="1:11" x14ac:dyDescent="0.2">
      <c r="B37" s="477">
        <f>B36/B32</f>
        <v>0.35033594452562944</v>
      </c>
      <c r="C37" s="477">
        <f>C36/$B36</f>
        <v>0.20944715537156899</v>
      </c>
      <c r="D37" s="477">
        <f>D36/$B36</f>
        <v>0.7905528446284309</v>
      </c>
      <c r="G37" s="477">
        <f>G36/$F36</f>
        <v>0.20992859288766275</v>
      </c>
      <c r="H37" s="477">
        <f>H36/$F36</f>
        <v>0.79007140711233714</v>
      </c>
    </row>
    <row r="38" spans="1:11" x14ac:dyDescent="0.2">
      <c r="A38" t="s">
        <v>624</v>
      </c>
      <c r="B38" s="448">
        <f>B36*('Assumptions-Output Target'!$D$10/'Assumptions-Output Target'!$D$5)*(1+'Assumptions-Output Target'!$F$36)</f>
        <v>26.439408878544139</v>
      </c>
      <c r="C38" s="448">
        <f>C36*('Assumptions-Output Target'!$D$10/'Assumptions-Output Target'!$D$5)*(1+'Assumptions-Output Target'!$F$36)</f>
        <v>5.5376589793168742</v>
      </c>
      <c r="D38" s="448">
        <f>D36*('Assumptions-Output Target'!$D$10/'Assumptions-Output Target'!$D$5)*(1+'Assumptions-Output Target'!$F$36)</f>
        <v>20.901749899227262</v>
      </c>
      <c r="F38" s="448">
        <f>F36*('Assumptions-Output Override'!$D$10/'Assumptions-Output Override'!$D$5)*(1+'Assumptions-Output Override'!$F$38)</f>
        <v>26.380177316149368</v>
      </c>
      <c r="G38" s="448">
        <f>G36*('Assumptions-Output Override'!$D$10/'Assumptions-Output Override'!$D$5)*(1+'Assumptions-Output Override'!$F$38)</f>
        <v>5.5379535041062757</v>
      </c>
      <c r="H38" s="448">
        <f>H36*('Assumptions-Output Override'!$D$10/'Assumptions-Output Override'!$D$5)*(1+'Assumptions-Output Override'!$F$38)</f>
        <v>20.842223812043088</v>
      </c>
    </row>
  </sheetData>
  <mergeCells count="2">
    <mergeCell ref="B1:D1"/>
    <mergeCell ref="F1:H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enableFormatConditionsCalculation="0"/>
  <dimension ref="A3:D66"/>
  <sheetViews>
    <sheetView workbookViewId="0"/>
  </sheetViews>
  <sheetFormatPr baseColWidth="10" defaultColWidth="8.83203125" defaultRowHeight="15" x14ac:dyDescent="0.2"/>
  <cols>
    <col min="1" max="1" width="74.5" customWidth="1"/>
    <col min="2" max="2" width="15.33203125" customWidth="1"/>
    <col min="3" max="3" width="22.1640625" customWidth="1"/>
    <col min="4" max="4" width="21.5" customWidth="1"/>
  </cols>
  <sheetData>
    <row r="3" spans="1:4" x14ac:dyDescent="0.2">
      <c r="A3" t="s">
        <v>625</v>
      </c>
      <c r="B3" t="s">
        <v>626</v>
      </c>
      <c r="C3" t="s">
        <v>627</v>
      </c>
      <c r="D3" t="s">
        <v>628</v>
      </c>
    </row>
    <row r="4" spans="1:4" x14ac:dyDescent="0.2">
      <c r="A4" s="478" t="s">
        <v>629</v>
      </c>
      <c r="B4" s="479">
        <v>536833594.429995</v>
      </c>
      <c r="C4" s="480">
        <v>52236</v>
      </c>
      <c r="D4" s="479">
        <v>10277.080833716116</v>
      </c>
    </row>
    <row r="5" spans="1:4" x14ac:dyDescent="0.2">
      <c r="A5" s="478" t="s">
        <v>630</v>
      </c>
      <c r="B5" s="479">
        <v>392614232.44999999</v>
      </c>
      <c r="C5" s="480">
        <v>48239</v>
      </c>
      <c r="D5" s="479">
        <v>8138.9380470158994</v>
      </c>
    </row>
    <row r="6" spans="1:4" x14ac:dyDescent="0.2">
      <c r="A6" s="478" t="s">
        <v>631</v>
      </c>
      <c r="B6" s="479">
        <v>320500387.31999803</v>
      </c>
      <c r="C6" s="480">
        <v>409202</v>
      </c>
      <c r="D6" s="479">
        <v>783.23270003567438</v>
      </c>
    </row>
    <row r="7" spans="1:4" x14ac:dyDescent="0.2">
      <c r="A7" s="478" t="s">
        <v>632</v>
      </c>
      <c r="B7" s="479">
        <v>236445248.52999601</v>
      </c>
      <c r="C7" s="480">
        <v>7327</v>
      </c>
      <c r="D7" s="479">
        <v>32270.403784631639</v>
      </c>
    </row>
    <row r="8" spans="1:4" x14ac:dyDescent="0.2">
      <c r="A8" s="478" t="s">
        <v>633</v>
      </c>
      <c r="B8" s="479">
        <v>232067078.379998</v>
      </c>
      <c r="C8" s="480">
        <v>3362</v>
      </c>
      <c r="D8" s="479">
        <v>69026.495651397388</v>
      </c>
    </row>
    <row r="9" spans="1:4" x14ac:dyDescent="0.2">
      <c r="A9" s="478" t="s">
        <v>634</v>
      </c>
      <c r="B9" s="479">
        <v>184127077.76001</v>
      </c>
      <c r="C9" s="480">
        <v>66921</v>
      </c>
      <c r="D9" s="479">
        <v>2751.4095390088314</v>
      </c>
    </row>
    <row r="10" spans="1:4" x14ac:dyDescent="0.2">
      <c r="A10" s="478" t="s">
        <v>635</v>
      </c>
      <c r="B10" s="479">
        <v>181873709.97000101</v>
      </c>
      <c r="C10" s="480">
        <v>12046</v>
      </c>
      <c r="D10" s="479">
        <v>15098.265811887848</v>
      </c>
    </row>
    <row r="11" spans="1:4" x14ac:dyDescent="0.2">
      <c r="A11" s="478" t="s">
        <v>636</v>
      </c>
      <c r="B11" s="479">
        <v>170402891.230001</v>
      </c>
      <c r="C11" s="480">
        <v>11925</v>
      </c>
      <c r="D11" s="479">
        <v>14289.550627253753</v>
      </c>
    </row>
    <row r="12" spans="1:4" x14ac:dyDescent="0.2">
      <c r="A12" s="478" t="s">
        <v>637</v>
      </c>
      <c r="B12" s="479">
        <v>161090582.41999701</v>
      </c>
      <c r="C12" s="480">
        <v>5915</v>
      </c>
      <c r="D12" s="479">
        <v>27234.248929838886</v>
      </c>
    </row>
    <row r="13" spans="1:4" x14ac:dyDescent="0.2">
      <c r="A13" s="478" t="s">
        <v>638</v>
      </c>
      <c r="B13" s="479">
        <v>144583897.64999899</v>
      </c>
      <c r="C13" s="480">
        <v>277575</v>
      </c>
      <c r="D13" s="479">
        <v>520.88227560118526</v>
      </c>
    </row>
    <row r="14" spans="1:4" x14ac:dyDescent="0.2">
      <c r="A14" s="478" t="s">
        <v>639</v>
      </c>
      <c r="B14" s="479">
        <v>124606697.249998</v>
      </c>
      <c r="C14" s="480">
        <v>3225</v>
      </c>
      <c r="D14" s="479">
        <v>38637.735581394729</v>
      </c>
    </row>
    <row r="15" spans="1:4" x14ac:dyDescent="0.2">
      <c r="A15" s="478" t="s">
        <v>640</v>
      </c>
      <c r="B15" s="479">
        <v>123857489.319996</v>
      </c>
      <c r="C15" s="480">
        <v>5649</v>
      </c>
      <c r="D15" s="479">
        <v>21925.560155779076</v>
      </c>
    </row>
    <row r="16" spans="1:4" x14ac:dyDescent="0.2">
      <c r="A16" s="478" t="s">
        <v>641</v>
      </c>
      <c r="B16" s="479">
        <v>116990562.06999999</v>
      </c>
      <c r="C16" s="480">
        <v>1265</v>
      </c>
      <c r="D16" s="479">
        <v>92482.657762845847</v>
      </c>
    </row>
    <row r="17" spans="1:4" x14ac:dyDescent="0.2">
      <c r="A17" s="478" t="s">
        <v>642</v>
      </c>
      <c r="B17" s="479">
        <v>93771120.090002105</v>
      </c>
      <c r="C17" s="480">
        <v>361415</v>
      </c>
      <c r="D17" s="479">
        <v>259.45552921157702</v>
      </c>
    </row>
    <row r="18" spans="1:4" x14ac:dyDescent="0.2">
      <c r="A18" s="478" t="s">
        <v>643</v>
      </c>
      <c r="B18" s="479">
        <v>87630884.960000098</v>
      </c>
      <c r="C18" s="480">
        <v>3146</v>
      </c>
      <c r="D18" s="479">
        <v>27854.699605848728</v>
      </c>
    </row>
    <row r="19" spans="1:4" x14ac:dyDescent="0.2">
      <c r="A19" s="478" t="s">
        <v>644</v>
      </c>
      <c r="B19" s="479">
        <v>82517059.679998904</v>
      </c>
      <c r="C19" s="480">
        <v>2217</v>
      </c>
      <c r="D19" s="479">
        <v>37220.144194857421</v>
      </c>
    </row>
    <row r="20" spans="1:4" x14ac:dyDescent="0.2">
      <c r="A20" s="478" t="s">
        <v>645</v>
      </c>
      <c r="B20" s="479">
        <v>72307472.300000593</v>
      </c>
      <c r="C20" s="480">
        <v>3398</v>
      </c>
      <c r="D20" s="479">
        <v>21279.420924073158</v>
      </c>
    </row>
    <row r="21" spans="1:4" x14ac:dyDescent="0.2">
      <c r="A21" s="478" t="s">
        <v>646</v>
      </c>
      <c r="B21" s="479">
        <v>70651976.300000101</v>
      </c>
      <c r="C21" s="480">
        <v>5331</v>
      </c>
      <c r="D21" s="479">
        <v>13253.043762896286</v>
      </c>
    </row>
    <row r="22" spans="1:4" x14ac:dyDescent="0.2">
      <c r="A22" s="478" t="s">
        <v>647</v>
      </c>
      <c r="B22" s="479">
        <v>70221740.019999698</v>
      </c>
      <c r="C22" s="480">
        <v>2474</v>
      </c>
      <c r="D22" s="479">
        <v>28383.888447857596</v>
      </c>
    </row>
    <row r="23" spans="1:4" x14ac:dyDescent="0.2">
      <c r="A23" s="478" t="s">
        <v>648</v>
      </c>
      <c r="B23" s="479">
        <v>56602758.240000002</v>
      </c>
      <c r="C23" s="480">
        <v>1667649</v>
      </c>
      <c r="D23" s="479">
        <v>33.941649735645811</v>
      </c>
    </row>
    <row r="24" spans="1:4" x14ac:dyDescent="0.2">
      <c r="A24" s="478" t="s">
        <v>649</v>
      </c>
      <c r="B24" s="479">
        <v>50606937.309999503</v>
      </c>
      <c r="C24" s="480">
        <v>2703</v>
      </c>
      <c r="D24" s="479">
        <v>18722.507328893636</v>
      </c>
    </row>
    <row r="25" spans="1:4" x14ac:dyDescent="0.2">
      <c r="A25" s="478" t="s">
        <v>650</v>
      </c>
      <c r="B25" s="479">
        <v>49641817.2000001</v>
      </c>
      <c r="C25" s="480">
        <v>5247</v>
      </c>
      <c r="D25" s="479">
        <v>9460.9905088622254</v>
      </c>
    </row>
    <row r="26" spans="1:4" x14ac:dyDescent="0.2">
      <c r="A26" s="478" t="s">
        <v>651</v>
      </c>
      <c r="B26" s="479">
        <v>45763138.019999698</v>
      </c>
      <c r="C26" s="480">
        <v>532</v>
      </c>
      <c r="D26" s="479">
        <v>86020.936127818975</v>
      </c>
    </row>
    <row r="27" spans="1:4" x14ac:dyDescent="0.2">
      <c r="A27" s="478" t="s">
        <v>652</v>
      </c>
      <c r="B27" s="479">
        <v>44645417.8299997</v>
      </c>
      <c r="C27" s="480">
        <v>1677</v>
      </c>
      <c r="D27" s="479">
        <v>26622.193100775014</v>
      </c>
    </row>
    <row r="28" spans="1:4" x14ac:dyDescent="0.2">
      <c r="A28" s="478" t="s">
        <v>653</v>
      </c>
      <c r="B28" s="479">
        <v>36086848.600000203</v>
      </c>
      <c r="C28" s="480">
        <v>319027</v>
      </c>
      <c r="D28" s="479">
        <v>113.11534321546516</v>
      </c>
    </row>
    <row r="29" spans="1:4" x14ac:dyDescent="0.2">
      <c r="A29" s="478" t="s">
        <v>654</v>
      </c>
      <c r="B29" s="479">
        <v>33385395.7900001</v>
      </c>
      <c r="C29" s="480">
        <v>2236</v>
      </c>
      <c r="D29" s="479">
        <v>14930.856793381083</v>
      </c>
    </row>
    <row r="30" spans="1:4" x14ac:dyDescent="0.2">
      <c r="A30" s="478" t="s">
        <v>655</v>
      </c>
      <c r="B30" s="479">
        <v>31972559.620000198</v>
      </c>
      <c r="C30" s="480">
        <v>3689</v>
      </c>
      <c r="D30" s="479">
        <v>8666.9990837625919</v>
      </c>
    </row>
    <row r="31" spans="1:4" x14ac:dyDescent="0.2">
      <c r="A31" s="478" t="s">
        <v>656</v>
      </c>
      <c r="B31" s="479">
        <v>31150204.719999801</v>
      </c>
      <c r="C31" s="480">
        <v>4636</v>
      </c>
      <c r="D31" s="479">
        <v>6719.1986022432702</v>
      </c>
    </row>
    <row r="32" spans="1:4" x14ac:dyDescent="0.2">
      <c r="A32" s="478" t="s">
        <v>657</v>
      </c>
      <c r="B32" s="479">
        <v>27681891.469999999</v>
      </c>
      <c r="C32" s="480">
        <v>3615</v>
      </c>
      <c r="D32" s="479">
        <v>7657.5080138312587</v>
      </c>
    </row>
    <row r="33" spans="1:4" x14ac:dyDescent="0.2">
      <c r="A33" s="478" t="s">
        <v>658</v>
      </c>
      <c r="B33" s="479">
        <v>23509248.809999902</v>
      </c>
      <c r="C33" s="480">
        <v>4470</v>
      </c>
      <c r="D33" s="479">
        <v>5259.3397785234683</v>
      </c>
    </row>
    <row r="34" spans="1:4" x14ac:dyDescent="0.2">
      <c r="A34" s="478" t="s">
        <v>659</v>
      </c>
      <c r="B34" s="479">
        <v>23386389.059999999</v>
      </c>
      <c r="C34" s="480">
        <v>35007</v>
      </c>
      <c r="D34" s="479">
        <v>668.04893478447161</v>
      </c>
    </row>
    <row r="35" spans="1:4" x14ac:dyDescent="0.2">
      <c r="A35" s="478" t="s">
        <v>660</v>
      </c>
      <c r="B35" s="479">
        <v>22154432.539999899</v>
      </c>
      <c r="C35" s="480">
        <v>1340</v>
      </c>
      <c r="D35" s="479">
        <v>16533.158611940224</v>
      </c>
    </row>
    <row r="36" spans="1:4" x14ac:dyDescent="0.2">
      <c r="A36" s="478" t="s">
        <v>661</v>
      </c>
      <c r="B36" s="479">
        <v>19274909.66</v>
      </c>
      <c r="C36" s="480">
        <v>18343</v>
      </c>
      <c r="D36" s="479">
        <v>1050.8046480946409</v>
      </c>
    </row>
    <row r="37" spans="1:4" x14ac:dyDescent="0.2">
      <c r="A37" s="478" t="s">
        <v>662</v>
      </c>
      <c r="B37" s="479">
        <v>18529534.939999901</v>
      </c>
      <c r="C37" s="480">
        <v>679</v>
      </c>
      <c r="D37" s="479">
        <v>27289.447628865833</v>
      </c>
    </row>
    <row r="38" spans="1:4" x14ac:dyDescent="0.2">
      <c r="A38" s="478" t="s">
        <v>663</v>
      </c>
      <c r="B38" s="479">
        <v>18415914.059999999</v>
      </c>
      <c r="C38" s="480">
        <v>1949</v>
      </c>
      <c r="D38" s="479">
        <v>9448.9040841457154</v>
      </c>
    </row>
    <row r="39" spans="1:4" x14ac:dyDescent="0.2">
      <c r="A39" s="478" t="s">
        <v>664</v>
      </c>
      <c r="B39" s="479">
        <v>18122999.329999901</v>
      </c>
      <c r="C39" s="480">
        <v>623</v>
      </c>
      <c r="D39" s="479">
        <v>29089.886565007866</v>
      </c>
    </row>
    <row r="40" spans="1:4" x14ac:dyDescent="0.2">
      <c r="A40" s="478" t="s">
        <v>665</v>
      </c>
      <c r="B40" s="479">
        <v>17204580.289999999</v>
      </c>
      <c r="C40" s="480">
        <v>49441</v>
      </c>
      <c r="D40" s="479">
        <v>347.98204506381342</v>
      </c>
    </row>
    <row r="41" spans="1:4" x14ac:dyDescent="0.2">
      <c r="A41" s="478" t="s">
        <v>666</v>
      </c>
      <c r="B41" s="479">
        <v>16958303.239999998</v>
      </c>
      <c r="C41" s="480">
        <v>232990</v>
      </c>
      <c r="D41" s="479">
        <v>72.785541182024971</v>
      </c>
    </row>
    <row r="42" spans="1:4" x14ac:dyDescent="0.2">
      <c r="A42" s="478" t="s">
        <v>1024</v>
      </c>
      <c r="B42" s="479">
        <v>16868198.390000101</v>
      </c>
      <c r="C42" s="480">
        <v>703</v>
      </c>
      <c r="D42" s="479">
        <v>23994.592304409816</v>
      </c>
    </row>
    <row r="43" spans="1:4" x14ac:dyDescent="0.2">
      <c r="A43" s="478" t="s">
        <v>668</v>
      </c>
      <c r="B43" s="479">
        <v>16759786.49</v>
      </c>
      <c r="C43" s="480">
        <v>28574</v>
      </c>
      <c r="D43" s="479">
        <v>586.53973857352844</v>
      </c>
    </row>
    <row r="44" spans="1:4" x14ac:dyDescent="0.2">
      <c r="A44" s="478" t="s">
        <v>669</v>
      </c>
      <c r="B44" s="479">
        <v>15717392.560000001</v>
      </c>
      <c r="C44" s="480">
        <v>45442</v>
      </c>
      <c r="D44" s="479">
        <v>345.87809867523436</v>
      </c>
    </row>
    <row r="45" spans="1:4" x14ac:dyDescent="0.2">
      <c r="A45" s="478" t="s">
        <v>670</v>
      </c>
      <c r="B45" s="479">
        <v>14261544.410000101</v>
      </c>
      <c r="C45" s="480">
        <v>500</v>
      </c>
      <c r="D45" s="479">
        <v>28523.088820000201</v>
      </c>
    </row>
    <row r="46" spans="1:4" x14ac:dyDescent="0.2">
      <c r="A46" s="478" t="s">
        <v>671</v>
      </c>
      <c r="B46" s="479">
        <v>13126327.289999999</v>
      </c>
      <c r="C46" s="480">
        <v>380</v>
      </c>
      <c r="D46" s="479">
        <v>34542.966552631573</v>
      </c>
    </row>
    <row r="47" spans="1:4" x14ac:dyDescent="0.2">
      <c r="A47" s="478" t="s">
        <v>672</v>
      </c>
      <c r="B47" s="479">
        <v>12417316.18</v>
      </c>
      <c r="C47" s="480">
        <v>6968</v>
      </c>
      <c r="D47" s="479">
        <v>1782.0488203214695</v>
      </c>
    </row>
    <row r="48" spans="1:4" x14ac:dyDescent="0.2">
      <c r="A48" s="478" t="s">
        <v>673</v>
      </c>
      <c r="B48" s="479">
        <v>12410687.84</v>
      </c>
      <c r="C48" s="480">
        <v>1333</v>
      </c>
      <c r="D48" s="479">
        <v>9310.3434658664664</v>
      </c>
    </row>
    <row r="49" spans="1:4" x14ac:dyDescent="0.2">
      <c r="A49" s="478" t="s">
        <v>674</v>
      </c>
      <c r="B49" s="479">
        <v>12361435.27</v>
      </c>
      <c r="C49" s="480">
        <v>112190</v>
      </c>
      <c r="D49" s="479">
        <v>110.18304011052678</v>
      </c>
    </row>
    <row r="50" spans="1:4" x14ac:dyDescent="0.2">
      <c r="A50" s="478" t="s">
        <v>675</v>
      </c>
      <c r="B50" s="479">
        <v>12139099.82</v>
      </c>
      <c r="C50" s="480">
        <v>5306</v>
      </c>
      <c r="D50" s="479">
        <v>2287.8062231436111</v>
      </c>
    </row>
    <row r="51" spans="1:4" x14ac:dyDescent="0.2">
      <c r="A51" s="478" t="s">
        <v>676</v>
      </c>
      <c r="B51" s="479">
        <v>11521874.470000001</v>
      </c>
      <c r="C51" s="480">
        <v>867</v>
      </c>
      <c r="D51" s="479">
        <v>13289.359250288351</v>
      </c>
    </row>
    <row r="52" spans="1:4" x14ac:dyDescent="0.2">
      <c r="A52" s="478" t="s">
        <v>677</v>
      </c>
      <c r="B52" s="479">
        <v>10331844.42</v>
      </c>
      <c r="C52" s="480">
        <v>8988</v>
      </c>
      <c r="D52" s="479">
        <v>1149.5154005340453</v>
      </c>
    </row>
    <row r="53" spans="1:4" x14ac:dyDescent="0.2">
      <c r="A53" s="478" t="s">
        <v>678</v>
      </c>
      <c r="B53" s="479">
        <v>10107888.52</v>
      </c>
      <c r="C53" s="480">
        <v>429</v>
      </c>
      <c r="D53" s="479">
        <v>23561.511701631702</v>
      </c>
    </row>
    <row r="54" spans="1:4" x14ac:dyDescent="0.2">
      <c r="A54" s="478" t="s">
        <v>679</v>
      </c>
      <c r="B54" s="479">
        <v>7989513.3200000003</v>
      </c>
      <c r="C54" s="480">
        <v>28385</v>
      </c>
      <c r="D54" s="479">
        <v>281.4695550466796</v>
      </c>
    </row>
    <row r="55" spans="1:4" x14ac:dyDescent="0.2">
      <c r="A55" s="478" t="s">
        <v>680</v>
      </c>
      <c r="B55" s="479">
        <v>3291490.81</v>
      </c>
      <c r="C55" s="480">
        <v>5635</v>
      </c>
      <c r="D55" s="479">
        <v>584.11549423247561</v>
      </c>
    </row>
    <row r="56" spans="1:4" x14ac:dyDescent="0.2">
      <c r="A56" s="478" t="s">
        <v>681</v>
      </c>
      <c r="B56" s="479">
        <v>1588993.61</v>
      </c>
      <c r="C56" s="480">
        <v>3329</v>
      </c>
      <c r="D56" s="479">
        <v>477.31859717632926</v>
      </c>
    </row>
    <row r="57" spans="1:4" x14ac:dyDescent="0.2">
      <c r="A57" s="478" t="s">
        <v>682</v>
      </c>
      <c r="B57" s="479">
        <v>1432013.34</v>
      </c>
      <c r="C57" s="480">
        <v>206</v>
      </c>
      <c r="D57" s="479">
        <v>6951.5210679611655</v>
      </c>
    </row>
    <row r="58" spans="1:4" x14ac:dyDescent="0.2">
      <c r="A58" s="478" t="s">
        <v>683</v>
      </c>
      <c r="B58" s="479">
        <v>1324807.7</v>
      </c>
      <c r="C58" s="480">
        <v>639</v>
      </c>
      <c r="D58" s="479">
        <v>2073.2514866979654</v>
      </c>
    </row>
    <row r="59" spans="1:4" x14ac:dyDescent="0.2">
      <c r="A59" s="478" t="s">
        <v>684</v>
      </c>
      <c r="B59" s="479">
        <v>1280903.77</v>
      </c>
      <c r="C59" s="480">
        <v>187</v>
      </c>
      <c r="D59" s="479">
        <v>6849.7527807486631</v>
      </c>
    </row>
    <row r="60" spans="1:4" x14ac:dyDescent="0.2">
      <c r="A60" s="478" t="s">
        <v>685</v>
      </c>
      <c r="B60" s="479">
        <v>915900.96999999904</v>
      </c>
      <c r="C60" s="480">
        <v>3697</v>
      </c>
      <c r="D60" s="479">
        <v>247.74167433053802</v>
      </c>
    </row>
    <row r="61" spans="1:4" x14ac:dyDescent="0.2">
      <c r="A61" s="478" t="s">
        <v>686</v>
      </c>
      <c r="B61" s="479">
        <v>614294.52</v>
      </c>
      <c r="C61" s="480">
        <v>819</v>
      </c>
      <c r="D61" s="479">
        <v>750.05435897435905</v>
      </c>
    </row>
    <row r="62" spans="1:4" x14ac:dyDescent="0.2">
      <c r="A62" s="478" t="s">
        <v>687</v>
      </c>
      <c r="B62" s="479">
        <v>501408.35</v>
      </c>
      <c r="C62" s="480">
        <v>350</v>
      </c>
      <c r="D62" s="479">
        <v>1432.5952857142856</v>
      </c>
    </row>
    <row r="63" spans="1:4" x14ac:dyDescent="0.2">
      <c r="A63" s="478" t="s">
        <v>688</v>
      </c>
      <c r="B63" s="479">
        <v>316369.87</v>
      </c>
      <c r="C63" s="480">
        <v>898</v>
      </c>
      <c r="D63" s="479">
        <v>352.30497772828505</v>
      </c>
    </row>
    <row r="64" spans="1:4" x14ac:dyDescent="0.2">
      <c r="A64" s="478" t="s">
        <v>689</v>
      </c>
      <c r="B64" s="479">
        <v>172846.9</v>
      </c>
      <c r="C64" s="480">
        <v>93</v>
      </c>
      <c r="D64" s="479">
        <v>1858.568817204301</v>
      </c>
    </row>
    <row r="65" spans="1:4" x14ac:dyDescent="0.2">
      <c r="A65" s="478" t="s">
        <v>690</v>
      </c>
      <c r="B65" s="479">
        <v>28690.85</v>
      </c>
      <c r="C65" s="480">
        <v>137</v>
      </c>
      <c r="D65" s="479">
        <v>209.42226277372262</v>
      </c>
    </row>
    <row r="66" spans="1:4" x14ac:dyDescent="0.2">
      <c r="A66" s="478" t="s">
        <v>691</v>
      </c>
      <c r="B66" s="479">
        <v>4165667612.5299897</v>
      </c>
      <c r="C66" s="480">
        <v>3894776</v>
      </c>
      <c r="D66" s="479">
        <v>891947.66833005403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Q82"/>
  <sheetViews>
    <sheetView showGridLines="0" workbookViewId="0">
      <pane xSplit="1" ySplit="3" topLeftCell="B4" activePane="bottomRight" state="frozen"/>
      <selection pane="topRight"/>
      <selection pane="bottomLeft"/>
      <selection pane="bottomRight" activeCell="B4" sqref="B4"/>
    </sheetView>
  </sheetViews>
  <sheetFormatPr baseColWidth="10" defaultColWidth="8.83203125" defaultRowHeight="15" x14ac:dyDescent="0.2"/>
  <cols>
    <col min="1" max="1" width="39.1640625" customWidth="1"/>
    <col min="2" max="2" width="19" customWidth="1"/>
    <col min="3" max="3" width="12.5" customWidth="1"/>
    <col min="4" max="4" width="13" customWidth="1"/>
    <col min="5" max="5" width="9.5" customWidth="1"/>
    <col min="6" max="6" width="9" customWidth="1"/>
    <col min="7" max="7" width="10.5" customWidth="1"/>
    <col min="8" max="8" width="10.1640625" customWidth="1"/>
    <col min="9" max="9" width="11" customWidth="1"/>
    <col min="10" max="10" width="9.1640625" customWidth="1"/>
    <col min="11" max="11" width="16.5" customWidth="1"/>
    <col min="12" max="12" width="23.83203125" customWidth="1"/>
    <col min="13" max="14" width="11.1640625" customWidth="1"/>
    <col min="15" max="16" width="10.1640625" customWidth="1"/>
    <col min="17" max="17" width="11.1640625" customWidth="1"/>
  </cols>
  <sheetData>
    <row r="1" spans="1:17" ht="19" x14ac:dyDescent="0.25">
      <c r="A1" s="289" t="s">
        <v>692</v>
      </c>
      <c r="N1" s="313"/>
      <c r="O1" s="392" t="s">
        <v>693</v>
      </c>
    </row>
    <row r="2" spans="1:17" x14ac:dyDescent="0.2">
      <c r="M2" s="28">
        <v>0.5</v>
      </c>
      <c r="N2" s="481">
        <v>0.375</v>
      </c>
      <c r="O2" s="28">
        <v>0.1</v>
      </c>
      <c r="P2" s="481">
        <v>2.5000000000000001E-2</v>
      </c>
      <c r="Q2" s="28">
        <f>SUM(M2:P2)</f>
        <v>1</v>
      </c>
    </row>
    <row r="3" spans="1:17" ht="45" x14ac:dyDescent="0.2">
      <c r="A3" s="482" t="s">
        <v>694</v>
      </c>
      <c r="B3" s="483" t="s">
        <v>695</v>
      </c>
      <c r="C3" s="483" t="s">
        <v>696</v>
      </c>
      <c r="D3" s="483" t="s">
        <v>697</v>
      </c>
      <c r="E3" s="484" t="s">
        <v>306</v>
      </c>
      <c r="F3" s="483" t="s">
        <v>698</v>
      </c>
      <c r="G3" s="485" t="s">
        <v>400</v>
      </c>
      <c r="H3" s="485" t="s">
        <v>699</v>
      </c>
      <c r="I3" s="485" t="s">
        <v>700</v>
      </c>
      <c r="K3" s="483" t="s">
        <v>701</v>
      </c>
      <c r="M3" s="486" t="s">
        <v>702</v>
      </c>
      <c r="N3" s="486" t="s">
        <v>703</v>
      </c>
      <c r="O3" s="486" t="s">
        <v>704</v>
      </c>
      <c r="P3" s="486" t="s">
        <v>705</v>
      </c>
      <c r="Q3" s="486" t="s">
        <v>403</v>
      </c>
    </row>
    <row r="4" spans="1:17" x14ac:dyDescent="0.2">
      <c r="A4" t="s">
        <v>666</v>
      </c>
      <c r="B4" s="487">
        <v>16958303.239999998</v>
      </c>
      <c r="C4" s="488" t="s">
        <v>706</v>
      </c>
      <c r="D4" s="489">
        <v>232990</v>
      </c>
      <c r="E4" s="490">
        <v>70.256391300468195</v>
      </c>
      <c r="F4" s="491">
        <v>72.785541182024971</v>
      </c>
      <c r="G4" s="352">
        <v>0.42613745519172408</v>
      </c>
      <c r="H4" s="352">
        <f>G4*'Assumptions-Output Target'!$D$10/'Assumptions-Output Target'!$D$5</f>
        <v>0.72011791167880357</v>
      </c>
      <c r="I4" s="352">
        <f>H4*(1+'Assumptions-Output Target'!$F$39)</f>
        <v>0.50876141011244924</v>
      </c>
      <c r="J4">
        <f>IF(ISERROR(VLOOKUP($A4,'Add-In_List'!$C:$D,2,0)),0,VLOOKUP($A4,'Add-In_List'!$C:$D,2,0))</f>
        <v>0</v>
      </c>
      <c r="K4" s="310">
        <f>F4*'Assumptions-Output Target'!$D$22</f>
        <v>22.174546147567419</v>
      </c>
      <c r="M4" s="352">
        <f>M$2*$F4</f>
        <v>36.392770591012486</v>
      </c>
      <c r="N4" s="352">
        <f t="shared" ref="N4:P19" si="0">N$2*$F4</f>
        <v>27.294577943259362</v>
      </c>
      <c r="O4" s="352">
        <f t="shared" si="0"/>
        <v>7.2785541182024973</v>
      </c>
      <c r="P4" s="352">
        <f t="shared" si="0"/>
        <v>1.8196385295506243</v>
      </c>
      <c r="Q4" s="479">
        <f>SUM(M4:P4)</f>
        <v>72.785541182024971</v>
      </c>
    </row>
    <row r="5" spans="1:17" x14ac:dyDescent="0.2">
      <c r="A5" t="s">
        <v>673</v>
      </c>
      <c r="B5" s="487">
        <v>12410687.84</v>
      </c>
      <c r="C5" s="488" t="s">
        <v>707</v>
      </c>
      <c r="D5" s="489">
        <v>1333</v>
      </c>
      <c r="E5" s="490">
        <v>0.40195617667506806</v>
      </c>
      <c r="F5" s="491">
        <v>9310.3434658664664</v>
      </c>
      <c r="G5" s="352">
        <v>0.31186250525594889</v>
      </c>
      <c r="H5" s="352">
        <f>G5*'Assumptions-Output Target'!$D$10/'Assumptions-Output Target'!$D$5</f>
        <v>0.5270078311111932</v>
      </c>
      <c r="I5" s="352">
        <f>H5*(1+'Assumptions-Output Target'!$F$39)</f>
        <v>0.37232964622608233</v>
      </c>
      <c r="J5">
        <f>J59</f>
        <v>1</v>
      </c>
      <c r="K5" s="310">
        <f>F5*'Assumptions-Output Target'!$D$22</f>
        <v>2836.4512715135797</v>
      </c>
      <c r="M5" s="352">
        <f t="shared" ref="M5:P36" si="1">M$2*$F5</f>
        <v>4655.1717329332332</v>
      </c>
      <c r="N5" s="352">
        <f t="shared" si="0"/>
        <v>3491.3787996999249</v>
      </c>
      <c r="O5" s="352">
        <f t="shared" si="0"/>
        <v>931.03434658664673</v>
      </c>
      <c r="P5" s="352">
        <f t="shared" si="0"/>
        <v>232.75858664666168</v>
      </c>
      <c r="Q5" s="479">
        <f t="shared" ref="Q5:Q65" si="2">SUM(M5:P5)</f>
        <v>9310.3434658664664</v>
      </c>
    </row>
    <row r="6" spans="1:17" x14ac:dyDescent="0.2">
      <c r="A6" t="s">
        <v>649</v>
      </c>
      <c r="B6" s="487">
        <v>50606937.309999503</v>
      </c>
      <c r="C6" s="488" t="s">
        <v>707</v>
      </c>
      <c r="D6" s="489">
        <v>2703</v>
      </c>
      <c r="E6" s="490">
        <v>0.81506942652116199</v>
      </c>
      <c r="F6" s="491">
        <v>18722.507328893636</v>
      </c>
      <c r="G6" s="352">
        <v>1.2716786092999659</v>
      </c>
      <c r="H6" s="352">
        <f>G6*'Assumptions-Output Target'!$D$10/'Assumptions-Output Target'!$D$5</f>
        <v>2.1489745463554395</v>
      </c>
      <c r="I6" s="352">
        <f>H6*(1+'Assumptions-Output Target'!$F$39)</f>
        <v>1.5182448634706494</v>
      </c>
      <c r="J6">
        <f>IF(ISERROR(VLOOKUP($A6,'Add-In_List'!$C:$D,2,0)),0,VLOOKUP($A6,'Add-In_List'!$C:$D,2,0))</f>
        <v>0</v>
      </c>
      <c r="K6" s="310">
        <f>F6*'Assumptions-Output Target'!$D$22</f>
        <v>5703.9227299892545</v>
      </c>
      <c r="M6" s="352">
        <f t="shared" si="1"/>
        <v>9361.2536644468182</v>
      </c>
      <c r="N6" s="352">
        <f t="shared" si="0"/>
        <v>7020.9402483351132</v>
      </c>
      <c r="O6" s="352">
        <f t="shared" si="0"/>
        <v>1872.2507328893637</v>
      </c>
      <c r="P6" s="352">
        <f t="shared" si="0"/>
        <v>468.06268322234092</v>
      </c>
      <c r="Q6" s="479">
        <f t="shared" si="2"/>
        <v>18722.507328893636</v>
      </c>
    </row>
    <row r="7" spans="1:17" x14ac:dyDescent="0.2">
      <c r="A7" t="s">
        <v>678</v>
      </c>
      <c r="B7" s="487">
        <v>10107888.52</v>
      </c>
      <c r="C7" s="488" t="s">
        <v>707</v>
      </c>
      <c r="D7" s="489">
        <v>429</v>
      </c>
      <c r="E7" s="490">
        <v>0.12936174028027322</v>
      </c>
      <c r="F7" s="491">
        <v>23561.511701631702</v>
      </c>
      <c r="G7" s="352">
        <v>0.25399651311309152</v>
      </c>
      <c r="H7" s="352">
        <f>G7*'Assumptions-Output Target'!$D$10/'Assumptions-Output Target'!$D$5</f>
        <v>0.42922168978177516</v>
      </c>
      <c r="I7" s="352">
        <f>H7*(1+'Assumptions-Output Target'!$F$39)</f>
        <v>0.3032439946329582</v>
      </c>
      <c r="J7">
        <f>IF(ISERROR(VLOOKUP($A7,'Add-In_List'!$C:$D,2,0)),0,VLOOKUP($A7,'Add-In_List'!$C:$D,2,0))</f>
        <v>1</v>
      </c>
      <c r="K7" s="310">
        <f>F7*'Assumptions-Output Target'!$D$22</f>
        <v>7178.1540680954568</v>
      </c>
      <c r="M7" s="352">
        <f t="shared" si="1"/>
        <v>11780.755850815851</v>
      </c>
      <c r="N7" s="352">
        <f t="shared" si="0"/>
        <v>8835.5668881118872</v>
      </c>
      <c r="O7" s="352">
        <f t="shared" si="0"/>
        <v>2356.1511701631703</v>
      </c>
      <c r="P7" s="352">
        <f t="shared" si="0"/>
        <v>589.03779254079257</v>
      </c>
      <c r="Q7" s="479">
        <f t="shared" si="2"/>
        <v>23561.511701631702</v>
      </c>
    </row>
    <row r="8" spans="1:17" x14ac:dyDescent="0.2">
      <c r="A8" t="s">
        <v>689</v>
      </c>
      <c r="B8" s="487">
        <v>172846.9</v>
      </c>
      <c r="C8" s="488" t="s">
        <v>706</v>
      </c>
      <c r="D8" s="489">
        <v>93</v>
      </c>
      <c r="E8" s="490">
        <v>2.8043454186632656E-2</v>
      </c>
      <c r="F8" s="491">
        <v>1858.568817204301</v>
      </c>
      <c r="G8" s="352">
        <v>4.3433907898310711E-3</v>
      </c>
      <c r="H8" s="352">
        <f>G8*'Assumptions-Output Target'!$D$10/'Assumptions-Output Target'!$D$5</f>
        <v>7.3397760911931295E-3</v>
      </c>
      <c r="I8" s="352">
        <f>H8*(1+'Assumptions-Output Target'!$F$39)</f>
        <v>5.185532498920304E-3</v>
      </c>
      <c r="J8">
        <f>IF(ISERROR(VLOOKUP($A8,'Add-In_List'!$C:$D,2,0)),0,VLOOKUP($A8,'Add-In_List'!$C:$D,2,0))</f>
        <v>1</v>
      </c>
      <c r="K8" s="310">
        <f>F8*'Assumptions-Output Target'!$D$22</f>
        <v>566.22399636295427</v>
      </c>
      <c r="M8" s="352">
        <f t="shared" si="1"/>
        <v>929.28440860215051</v>
      </c>
      <c r="N8" s="352">
        <f t="shared" si="0"/>
        <v>696.96330645161288</v>
      </c>
      <c r="O8" s="352">
        <f t="shared" si="0"/>
        <v>185.85688172043012</v>
      </c>
      <c r="P8" s="352">
        <f t="shared" si="0"/>
        <v>46.464220430107531</v>
      </c>
      <c r="Q8" s="479">
        <f t="shared" si="2"/>
        <v>1858.568817204301</v>
      </c>
    </row>
    <row r="9" spans="1:17" x14ac:dyDescent="0.2">
      <c r="A9" t="s">
        <v>668</v>
      </c>
      <c r="B9" s="487">
        <v>16759786.49</v>
      </c>
      <c r="C9" s="488" t="s">
        <v>708</v>
      </c>
      <c r="D9" s="489">
        <v>28574</v>
      </c>
      <c r="E9" s="490">
        <v>8.6162759132133502</v>
      </c>
      <c r="F9" s="492">
        <v>586.53973857352844</v>
      </c>
      <c r="G9" s="352">
        <v>0.42114901846779562</v>
      </c>
      <c r="H9" s="352">
        <f>G9*'Assumptions-Output Target'!$D$10/'Assumptions-Output Target'!$D$5</f>
        <v>0.71168809028570168</v>
      </c>
      <c r="I9" s="352">
        <f>H9*(1+'Assumptions-Output Target'!$F$39)</f>
        <v>0.50280576347542527</v>
      </c>
      <c r="J9">
        <f>IF(ISERROR(VLOOKUP($A9,'Add-In_List'!$C:$D,2,0)),0,VLOOKUP($A9,'Add-In_List'!$C:$D,2,0))</f>
        <v>1</v>
      </c>
      <c r="K9" s="310">
        <f>F9*'Assumptions-Output Target'!$D$22</f>
        <v>178.69280476811025</v>
      </c>
      <c r="M9" s="352">
        <f t="shared" si="1"/>
        <v>293.26986928676422</v>
      </c>
      <c r="N9" s="352">
        <f t="shared" si="0"/>
        <v>219.95240196507316</v>
      </c>
      <c r="O9" s="352">
        <f t="shared" si="0"/>
        <v>58.653973857352845</v>
      </c>
      <c r="P9" s="352">
        <f t="shared" si="0"/>
        <v>14.663493464338211</v>
      </c>
      <c r="Q9" s="479">
        <f t="shared" si="2"/>
        <v>586.53973857352844</v>
      </c>
    </row>
    <row r="10" spans="1:17" x14ac:dyDescent="0.2">
      <c r="A10" t="s">
        <v>654</v>
      </c>
      <c r="B10" s="487">
        <v>33385395.7900001</v>
      </c>
      <c r="C10" s="488" t="s">
        <v>707</v>
      </c>
      <c r="D10" s="489">
        <v>2236</v>
      </c>
      <c r="E10" s="490">
        <v>0.67424907055172711</v>
      </c>
      <c r="F10" s="491">
        <v>14930.856793381083</v>
      </c>
      <c r="G10" s="352">
        <v>0.83892635962317785</v>
      </c>
      <c r="H10" s="352">
        <f>G10*'Assumptions-Output Target'!$D$10/'Assumptions-Output Target'!$D$5</f>
        <v>1.4176784762380032</v>
      </c>
      <c r="I10" s="352">
        <f>H10*(1+'Assumptions-Output Target'!$F$39)</f>
        <v>1.0015861138288431</v>
      </c>
      <c r="J10">
        <f>IF(ISERROR(VLOOKUP($A10,'Add-In_List'!$C:$D,2,0)),0,VLOOKUP($A10,'Add-In_List'!$C:$D,2,0))</f>
        <v>1</v>
      </c>
      <c r="K10" s="310">
        <f>F10*'Assumptions-Output Target'!$D$22</f>
        <v>4548.7739406863639</v>
      </c>
      <c r="M10" s="352">
        <f t="shared" si="1"/>
        <v>7465.4283966905414</v>
      </c>
      <c r="N10" s="352">
        <f t="shared" si="0"/>
        <v>5599.0712975179058</v>
      </c>
      <c r="O10" s="352">
        <f t="shared" si="0"/>
        <v>1493.0856793381083</v>
      </c>
      <c r="P10" s="352">
        <f t="shared" si="0"/>
        <v>373.27141983452708</v>
      </c>
      <c r="Q10" s="479">
        <f t="shared" si="2"/>
        <v>14930.856793381083</v>
      </c>
    </row>
    <row r="11" spans="1:17" x14ac:dyDescent="0.2">
      <c r="A11" t="s">
        <v>663</v>
      </c>
      <c r="B11" s="487">
        <v>18415914.059999999</v>
      </c>
      <c r="C11" s="488" t="s">
        <v>708</v>
      </c>
      <c r="D11" s="489">
        <v>1949</v>
      </c>
      <c r="E11" s="490">
        <v>0.58770636784674235</v>
      </c>
      <c r="F11" s="491">
        <v>9448.9040841457154</v>
      </c>
      <c r="G11" s="352">
        <v>0.46276509161879403</v>
      </c>
      <c r="H11" s="352">
        <f>G11*'Assumptions-Output Target'!$D$10/'Assumptions-Output Target'!$D$5</f>
        <v>0.78201394248352385</v>
      </c>
      <c r="I11" s="352">
        <f>H11*(1+'Assumptions-Output Target'!$F$39)</f>
        <v>0.55249079303969795</v>
      </c>
      <c r="J11">
        <f>IF(ISERROR(VLOOKUP($A11,'Add-In_List'!$C:$D,2,0)),0,VLOOKUP($A11,'Add-In_List'!$C:$D,2,0))</f>
        <v>1</v>
      </c>
      <c r="K11" s="310">
        <f>F11*'Assumptions-Output Target'!$D$22</f>
        <v>2878.6645844102277</v>
      </c>
      <c r="M11" s="352">
        <f t="shared" si="1"/>
        <v>4724.4520420728577</v>
      </c>
      <c r="N11" s="352">
        <f t="shared" si="0"/>
        <v>3543.339031554643</v>
      </c>
      <c r="O11" s="352">
        <f t="shared" si="0"/>
        <v>944.89040841457154</v>
      </c>
      <c r="P11" s="352">
        <f t="shared" si="0"/>
        <v>236.22260210364288</v>
      </c>
      <c r="Q11" s="479">
        <f t="shared" si="2"/>
        <v>9448.9040841457154</v>
      </c>
    </row>
    <row r="12" spans="1:17" x14ac:dyDescent="0.2">
      <c r="A12" t="s">
        <v>657</v>
      </c>
      <c r="B12" s="487">
        <v>27681891.469999999</v>
      </c>
      <c r="C12" s="488" t="s">
        <v>707</v>
      </c>
      <c r="D12" s="489">
        <v>3615</v>
      </c>
      <c r="E12" s="490">
        <v>1.0900762030610436</v>
      </c>
      <c r="F12" s="491">
        <v>7657.5080138312587</v>
      </c>
      <c r="G12" s="352">
        <v>0.69560560505222424</v>
      </c>
      <c r="H12" s="352">
        <f>G12*'Assumptions-Output Target'!$D$10/'Assumptions-Output Target'!$D$5</f>
        <v>1.1754846929306171</v>
      </c>
      <c r="I12" s="352">
        <f>H12*(1+'Assumptions-Output Target'!$F$39)</f>
        <v>0.83047684308639491</v>
      </c>
      <c r="J12">
        <f>IF(ISERROR(VLOOKUP($A12,'Add-In_List'!$C:$D,2,0)),0,VLOOKUP($A12,'Add-In_List'!$C:$D,2,0))</f>
        <v>1</v>
      </c>
      <c r="K12" s="310">
        <f>F12*'Assumptions-Output Target'!$D$22</f>
        <v>2332.9051631754937</v>
      </c>
      <c r="M12" s="352">
        <f t="shared" si="1"/>
        <v>3828.7540069156294</v>
      </c>
      <c r="N12" s="352">
        <f t="shared" si="0"/>
        <v>2871.565505186722</v>
      </c>
      <c r="O12" s="352">
        <f t="shared" si="0"/>
        <v>765.75080138312592</v>
      </c>
      <c r="P12" s="352">
        <f t="shared" si="0"/>
        <v>191.43770034578148</v>
      </c>
      <c r="Q12" s="479">
        <f t="shared" si="2"/>
        <v>7657.5080138312578</v>
      </c>
    </row>
    <row r="13" spans="1:17" x14ac:dyDescent="0.2">
      <c r="A13" t="s">
        <v>648</v>
      </c>
      <c r="B13" s="487">
        <v>56602758.240000002</v>
      </c>
      <c r="C13" s="488" t="s">
        <v>706</v>
      </c>
      <c r="D13" s="489">
        <v>1667649</v>
      </c>
      <c r="E13" s="490">
        <v>502.86707882670714</v>
      </c>
      <c r="F13" s="491">
        <v>33.941649735645811</v>
      </c>
      <c r="G13" s="352">
        <v>1.422344854426957</v>
      </c>
      <c r="H13" s="352">
        <f>G13*'Assumptions-Output Target'!$D$10/'Assumptions-Output Target'!$D$5</f>
        <v>2.4035812712032265</v>
      </c>
      <c r="I13" s="352">
        <f>H13*(1+'Assumptions-Output Target'!$F$39)</f>
        <v>1.6981238447553824</v>
      </c>
      <c r="J13">
        <f>IF(ISERROR(VLOOKUP($A13,'Add-In_List'!$C:$D,2,0)),0,VLOOKUP($A13,'Add-In_List'!$C:$D,2,0))</f>
        <v>0</v>
      </c>
      <c r="K13" s="310">
        <f>F13*'Assumptions-Output Target'!$D$22</f>
        <v>10.340524589978852</v>
      </c>
      <c r="M13" s="352">
        <f t="shared" si="1"/>
        <v>16.970824867822905</v>
      </c>
      <c r="N13" s="352">
        <f t="shared" si="0"/>
        <v>12.728118650867179</v>
      </c>
      <c r="O13" s="352">
        <f t="shared" si="0"/>
        <v>3.3941649735645814</v>
      </c>
      <c r="P13" s="352">
        <f t="shared" si="0"/>
        <v>0.84854124339114534</v>
      </c>
      <c r="Q13" s="479">
        <f t="shared" si="2"/>
        <v>33.941649735645811</v>
      </c>
    </row>
    <row r="14" spans="1:17" x14ac:dyDescent="0.2">
      <c r="A14" t="s">
        <v>634</v>
      </c>
      <c r="B14" s="487">
        <v>184127077.76001</v>
      </c>
      <c r="C14" s="488" t="s">
        <v>707</v>
      </c>
      <c r="D14" s="489">
        <v>66921</v>
      </c>
      <c r="E14" s="490">
        <v>20.179526856168213</v>
      </c>
      <c r="F14" s="491">
        <v>2751.4095390088314</v>
      </c>
      <c r="G14" s="352">
        <v>4.6268452237288429</v>
      </c>
      <c r="H14" s="352">
        <f>G14*'Assumptions-Output Target'!$D$10/'Assumptions-Output Target'!$D$5</f>
        <v>7.8187779074092729</v>
      </c>
      <c r="I14" s="352">
        <f>H14*(1+'Assumptions-Output Target'!$F$39)</f>
        <v>5.5239460219174195</v>
      </c>
      <c r="J14">
        <f>IF(ISERROR(VLOOKUP($A14,'Add-In_List'!$C:$D,2,0)),0,VLOOKUP($A14,'Add-In_List'!$C:$D,2,0))</f>
        <v>0</v>
      </c>
      <c r="K14" s="310">
        <f>F14*'Assumptions-Output Target'!$D$22</f>
        <v>838.23320954678559</v>
      </c>
      <c r="M14" s="352">
        <f t="shared" si="1"/>
        <v>1375.7047695044157</v>
      </c>
      <c r="N14" s="352">
        <f t="shared" si="0"/>
        <v>1031.7785771283118</v>
      </c>
      <c r="O14" s="352">
        <f t="shared" si="0"/>
        <v>275.14095390088318</v>
      </c>
      <c r="P14" s="352">
        <f t="shared" si="0"/>
        <v>68.785238475220794</v>
      </c>
      <c r="Q14" s="479">
        <f t="shared" si="2"/>
        <v>2751.4095390088314</v>
      </c>
    </row>
    <row r="15" spans="1:17" x14ac:dyDescent="0.2">
      <c r="A15" t="s">
        <v>679</v>
      </c>
      <c r="B15" s="487">
        <v>7989513.3200000003</v>
      </c>
      <c r="C15" s="488" t="s">
        <v>706</v>
      </c>
      <c r="D15" s="489">
        <v>28385</v>
      </c>
      <c r="E15" s="490">
        <v>8.5592843772856764</v>
      </c>
      <c r="F15" s="491">
        <v>281.4695550466796</v>
      </c>
      <c r="G15" s="352">
        <v>0.20076483043271628</v>
      </c>
      <c r="H15" s="352">
        <f>G15*'Assumptions-Output Target'!$D$10/'Assumptions-Output Target'!$D$5</f>
        <v>0.33926693997060436</v>
      </c>
      <c r="I15" s="352">
        <f>H15*(1+'Assumptions-Output Target'!$F$39)</f>
        <v>0.23969120054462456</v>
      </c>
      <c r="J15">
        <f>IF(ISERROR(VLOOKUP($A15,'Add-In_List'!$C:$D,2,0)),0,VLOOKUP($A15,'Add-In_List'!$C:$D,2,0))</f>
        <v>0</v>
      </c>
      <c r="K15" s="310">
        <f>F15*'Assumptions-Output Target'!$D$22</f>
        <v>85.751366770894435</v>
      </c>
      <c r="M15" s="352">
        <f t="shared" si="1"/>
        <v>140.7347775233398</v>
      </c>
      <c r="N15" s="352">
        <f t="shared" si="0"/>
        <v>105.55108314250485</v>
      </c>
      <c r="O15" s="352">
        <f t="shared" si="0"/>
        <v>28.146955504667961</v>
      </c>
      <c r="P15" s="352">
        <f t="shared" si="0"/>
        <v>7.0367388761669902</v>
      </c>
      <c r="Q15" s="479">
        <f t="shared" si="2"/>
        <v>281.4695550466796</v>
      </c>
    </row>
    <row r="16" spans="1:17" x14ac:dyDescent="0.2">
      <c r="A16" s="349" t="s">
        <v>632</v>
      </c>
      <c r="B16" s="493">
        <v>236445248.52999601</v>
      </c>
      <c r="C16" s="488" t="s">
        <v>707</v>
      </c>
      <c r="D16" s="489">
        <v>7327</v>
      </c>
      <c r="E16" s="490">
        <v>2.2094020303812631</v>
      </c>
      <c r="F16" s="491">
        <v>32270.403784631639</v>
      </c>
      <c r="G16" s="352">
        <v>5.9415246369156947</v>
      </c>
      <c r="H16" s="352">
        <f>G16*'Assumptions-Output Target'!$D$10/'Assumptions-Output Target'!$D$5</f>
        <v>10.040418324174068</v>
      </c>
      <c r="I16" s="352">
        <f>H16*(1+'Assumptions-Output Target'!$F$39)</f>
        <v>7.0935291316626623</v>
      </c>
      <c r="J16">
        <f>IF(ISERROR(VLOOKUP($A16,'Add-In_List'!$C:$D,2,0)),0,VLOOKUP($A16,'Add-In_List'!$C:$D,2,0))</f>
        <v>1</v>
      </c>
      <c r="K16" s="310">
        <f>F16*'Assumptions-Output Target'!$D$22</f>
        <v>9831.3696141022538</v>
      </c>
      <c r="M16" s="352">
        <f t="shared" si="1"/>
        <v>16135.201892315819</v>
      </c>
      <c r="N16" s="352">
        <f t="shared" si="0"/>
        <v>12101.401419236865</v>
      </c>
      <c r="O16" s="352">
        <f t="shared" si="0"/>
        <v>3227.040378463164</v>
      </c>
      <c r="P16" s="352">
        <f t="shared" si="0"/>
        <v>806.76009461579099</v>
      </c>
      <c r="Q16" s="479">
        <f t="shared" si="2"/>
        <v>32270.403784631639</v>
      </c>
    </row>
    <row r="17" spans="1:17" x14ac:dyDescent="0.2">
      <c r="A17" t="s">
        <v>651</v>
      </c>
      <c r="B17" s="487">
        <v>45763138.019999698</v>
      </c>
      <c r="C17" s="488" t="s">
        <v>707</v>
      </c>
      <c r="D17" s="489">
        <v>532</v>
      </c>
      <c r="E17" s="490">
        <v>0.16042061964826423</v>
      </c>
      <c r="F17" s="491">
        <v>86020.936127818975</v>
      </c>
      <c r="G17" s="352">
        <v>1.1499609896957066</v>
      </c>
      <c r="H17" s="352">
        <f>G17*'Assumptions-Output Target'!$D$10/'Assumptions-Output Target'!$D$5</f>
        <v>1.9432873039502887</v>
      </c>
      <c r="I17" s="352">
        <f>H17*(1+'Assumptions-Output Target'!$F$39)</f>
        <v>1.3729273678340999</v>
      </c>
      <c r="J17">
        <f>IF(ISERROR(VLOOKUP($A17,'Add-In_List'!$C:$D,2,0)),0,VLOOKUP($A17,'Add-In_List'!$C:$D,2,0))</f>
        <v>1</v>
      </c>
      <c r="K17" s="310">
        <f>F17*'Assumptions-Output Target'!$D$22</f>
        <v>26206.787596082875</v>
      </c>
      <c r="M17" s="352">
        <f t="shared" si="1"/>
        <v>43010.468063909488</v>
      </c>
      <c r="N17" s="352">
        <f t="shared" si="0"/>
        <v>32257.851047932116</v>
      </c>
      <c r="O17" s="352">
        <f t="shared" si="0"/>
        <v>8602.0936127818986</v>
      </c>
      <c r="P17" s="352">
        <f t="shared" si="0"/>
        <v>2150.5234031954747</v>
      </c>
      <c r="Q17" s="479">
        <f t="shared" si="2"/>
        <v>86020.936127818975</v>
      </c>
    </row>
    <row r="18" spans="1:17" x14ac:dyDescent="0.2">
      <c r="A18" t="s">
        <v>646</v>
      </c>
      <c r="B18" s="487">
        <v>70651976.300000101</v>
      </c>
      <c r="C18" s="488" t="s">
        <v>707</v>
      </c>
      <c r="D18" s="489">
        <v>5331</v>
      </c>
      <c r="E18" s="490">
        <v>1.6075231641821364</v>
      </c>
      <c r="F18" s="491">
        <v>13253.043762896286</v>
      </c>
      <c r="G18" s="352">
        <v>1.7753812370646138</v>
      </c>
      <c r="H18" s="352">
        <f>G18*'Assumptions-Output Target'!$D$10/'Assumptions-Output Target'!$D$5</f>
        <v>3.0001677000992464</v>
      </c>
      <c r="I18" s="352">
        <f>H18*(1+'Assumptions-Output Target'!$F$39)</f>
        <v>2.1196105872688356</v>
      </c>
      <c r="J18">
        <f>IF(ISERROR(VLOOKUP($A18,'Add-In_List'!$C:$D,2,0)),0,VLOOKUP($A18,'Add-In_List'!$C:$D,2,0))</f>
        <v>1</v>
      </c>
      <c r="K18" s="310">
        <f>F18*'Assumptions-Output Target'!$D$22</f>
        <v>4037.6182651596546</v>
      </c>
      <c r="M18" s="352">
        <f t="shared" si="1"/>
        <v>6626.5218814481432</v>
      </c>
      <c r="N18" s="352">
        <f t="shared" si="0"/>
        <v>4969.8914110861078</v>
      </c>
      <c r="O18" s="352">
        <f t="shared" si="0"/>
        <v>1325.3043762896286</v>
      </c>
      <c r="P18" s="352">
        <f t="shared" si="0"/>
        <v>331.32609407240716</v>
      </c>
      <c r="Q18" s="479">
        <f t="shared" si="2"/>
        <v>13253.043762896286</v>
      </c>
    </row>
    <row r="19" spans="1:17" x14ac:dyDescent="0.2">
      <c r="A19" t="s">
        <v>642</v>
      </c>
      <c r="B19" s="487">
        <v>93771120.090002105</v>
      </c>
      <c r="C19" s="488" t="s">
        <v>706</v>
      </c>
      <c r="D19" s="489">
        <v>361415</v>
      </c>
      <c r="E19" s="490">
        <v>108.9819891920628</v>
      </c>
      <c r="F19" s="491">
        <v>259.45552921157702</v>
      </c>
      <c r="G19" s="352">
        <v>2.3563316400297518</v>
      </c>
      <c r="H19" s="352">
        <f>G19*'Assumptions-Output Target'!$D$10/'Assumptions-Output Target'!$D$5</f>
        <v>3.9818997348578269</v>
      </c>
      <c r="I19" s="352">
        <f>H19*(1+'Assumptions-Output Target'!$F$39)</f>
        <v>2.8132016870818317</v>
      </c>
      <c r="J19">
        <f>IF(ISERROR(VLOOKUP($A19,'Add-In_List'!$C:$D,2,0)),0,VLOOKUP($A19,'Add-In_List'!$C:$D,2,0))</f>
        <v>0</v>
      </c>
      <c r="K19" s="310">
        <f>F19*'Assumptions-Output Target'!$D$22</f>
        <v>79.044663436046164</v>
      </c>
      <c r="M19" s="352">
        <f t="shared" si="1"/>
        <v>129.72776460578851</v>
      </c>
      <c r="N19" s="352">
        <f t="shared" si="0"/>
        <v>97.295823454341388</v>
      </c>
      <c r="O19" s="352">
        <f t="shared" si="0"/>
        <v>25.945552921157702</v>
      </c>
      <c r="P19" s="352">
        <f t="shared" si="0"/>
        <v>6.4863882302894256</v>
      </c>
      <c r="Q19" s="479">
        <f t="shared" si="2"/>
        <v>259.45552921157702</v>
      </c>
    </row>
    <row r="20" spans="1:17" x14ac:dyDescent="0.2">
      <c r="A20" t="s">
        <v>681</v>
      </c>
      <c r="B20" s="487">
        <v>1588993.61</v>
      </c>
      <c r="C20" s="488" t="s">
        <v>706</v>
      </c>
      <c r="D20" s="489">
        <v>3329</v>
      </c>
      <c r="E20" s="490">
        <v>1.0038350428741947</v>
      </c>
      <c r="F20" s="491">
        <v>477.31859717632926</v>
      </c>
      <c r="G20" s="352">
        <v>3.9929094538429244E-2</v>
      </c>
      <c r="H20" s="352">
        <f>G20*'Assumptions-Output Target'!$D$10/'Assumptions-Output Target'!$D$5</f>
        <v>6.7475073650361456E-2</v>
      </c>
      <c r="I20" s="352">
        <f>H20*(1+'Assumptions-Output Target'!$F$39)</f>
        <v>4.7670962020329534E-2</v>
      </c>
      <c r="J20">
        <f>IF(ISERROR(VLOOKUP($A20,'Add-In_List'!$C:$D,2,0)),0,VLOOKUP($A20,'Add-In_List'!$C:$D,2,0))</f>
        <v>0</v>
      </c>
      <c r="K20" s="310">
        <f>F20*'Assumptions-Output Target'!$D$22</f>
        <v>145.4179372481268</v>
      </c>
      <c r="M20" s="352">
        <f t="shared" si="1"/>
        <v>238.65929858816463</v>
      </c>
      <c r="N20" s="352">
        <f t="shared" si="1"/>
        <v>178.99447394112349</v>
      </c>
      <c r="O20" s="352">
        <f t="shared" si="1"/>
        <v>47.731859717632929</v>
      </c>
      <c r="P20" s="352">
        <f t="shared" si="1"/>
        <v>11.932964929408232</v>
      </c>
      <c r="Q20" s="479">
        <f t="shared" si="2"/>
        <v>477.31859717632926</v>
      </c>
    </row>
    <row r="21" spans="1:17" x14ac:dyDescent="0.2">
      <c r="A21" t="s">
        <v>647</v>
      </c>
      <c r="B21" s="487">
        <v>70221740.019999698</v>
      </c>
      <c r="C21" s="488" t="s">
        <v>707</v>
      </c>
      <c r="D21" s="489">
        <v>2474</v>
      </c>
      <c r="E21" s="490">
        <v>0.74601618986805573</v>
      </c>
      <c r="F21" s="491">
        <v>28383.888447857596</v>
      </c>
      <c r="G21" s="352">
        <v>1.7645700261258874</v>
      </c>
      <c r="H21" s="352">
        <f>G21*'Assumptions-Output Target'!$D$10/'Assumptions-Output Target'!$D$5</f>
        <v>2.9818981334393251</v>
      </c>
      <c r="I21" s="352">
        <f>H21*(1+'Assumptions-Output Target'!$F$39)</f>
        <v>2.1067031864872385</v>
      </c>
      <c r="J21">
        <f>J55</f>
        <v>1</v>
      </c>
      <c r="K21" s="310">
        <f>F21*'Assumptions-Output Target'!$D$22</f>
        <v>8647.3197013180943</v>
      </c>
      <c r="M21" s="352">
        <f t="shared" si="1"/>
        <v>14191.944223928798</v>
      </c>
      <c r="N21" s="352">
        <f t="shared" si="1"/>
        <v>10643.958167946599</v>
      </c>
      <c r="O21" s="352">
        <f t="shared" si="1"/>
        <v>2838.3888447857598</v>
      </c>
      <c r="P21" s="352">
        <f t="shared" si="1"/>
        <v>709.59721119643996</v>
      </c>
      <c r="Q21" s="479">
        <f t="shared" si="2"/>
        <v>28383.888447857596</v>
      </c>
    </row>
    <row r="22" spans="1:17" x14ac:dyDescent="0.2">
      <c r="A22" t="s">
        <v>631</v>
      </c>
      <c r="B22" s="487">
        <v>320500387.31999803</v>
      </c>
      <c r="C22" s="488" t="s">
        <v>709</v>
      </c>
      <c r="D22" s="489">
        <v>409202</v>
      </c>
      <c r="E22" s="490">
        <v>123.39180150621995</v>
      </c>
      <c r="F22" s="491">
        <v>783.23270003567438</v>
      </c>
      <c r="G22" s="352">
        <v>8.0537078213318871</v>
      </c>
      <c r="H22" s="352">
        <f>G22*'Assumptions-Output Target'!$D$10/'Assumptions-Output Target'!$D$5</f>
        <v>13.609738329524333</v>
      </c>
      <c r="I22" s="352">
        <f>H22*(1+'Assumptions-Output Target'!$F$39)</f>
        <v>9.6152443252635429</v>
      </c>
      <c r="J22">
        <f>IF(ISERROR(VLOOKUP($A22,'Add-In_List'!$C:$D,2,0)),0,VLOOKUP($A22,'Add-In_List'!$C:$D,2,0))</f>
        <v>0</v>
      </c>
      <c r="K22" s="310">
        <f>F22*'Assumptions-Output Target'!$D$22</f>
        <v>238.61648026756762</v>
      </c>
      <c r="M22" s="352">
        <f t="shared" si="1"/>
        <v>391.61635001783719</v>
      </c>
      <c r="N22" s="352">
        <f t="shared" si="1"/>
        <v>293.71226251337788</v>
      </c>
      <c r="O22" s="352">
        <f t="shared" si="1"/>
        <v>78.323270003567444</v>
      </c>
      <c r="P22" s="352">
        <f t="shared" si="1"/>
        <v>19.580817500891861</v>
      </c>
      <c r="Q22" s="479">
        <f t="shared" si="2"/>
        <v>783.23270003567438</v>
      </c>
    </row>
    <row r="23" spans="1:17" x14ac:dyDescent="0.2">
      <c r="A23" t="s">
        <v>682</v>
      </c>
      <c r="B23" s="487">
        <v>1432013.34</v>
      </c>
      <c r="C23" s="488" t="s">
        <v>707</v>
      </c>
      <c r="D23" s="489">
        <v>206</v>
      </c>
      <c r="E23" s="490">
        <v>6.2117758735982014E-2</v>
      </c>
      <c r="F23" s="491">
        <v>6951.5210679611655</v>
      </c>
      <c r="G23" s="352">
        <v>3.5984409045642304E-2</v>
      </c>
      <c r="H23" s="352">
        <f>G23*'Assumptions-Output Target'!$D$10/'Assumptions-Output Target'!$D$5</f>
        <v>6.0809058624722911E-2</v>
      </c>
      <c r="I23" s="352">
        <f>H23*(1+'Assumptions-Output Target'!$F$39)</f>
        <v>4.296143994169066E-2</v>
      </c>
      <c r="J23">
        <f>IF(ISERROR(VLOOKUP($A23,'Add-In_List'!$C:$D,2,0)),0,VLOOKUP($A23,'Add-In_List'!$C:$D,2,0))</f>
        <v>1</v>
      </c>
      <c r="K23" s="310">
        <f>F23*'Assumptions-Output Target'!$D$22</f>
        <v>2117.8220593537321</v>
      </c>
      <c r="M23" s="352">
        <f t="shared" si="1"/>
        <v>3475.7605339805827</v>
      </c>
      <c r="N23" s="352">
        <f t="shared" si="1"/>
        <v>2606.8204004854369</v>
      </c>
      <c r="O23" s="352">
        <f t="shared" si="1"/>
        <v>695.15210679611664</v>
      </c>
      <c r="P23" s="352">
        <f t="shared" si="1"/>
        <v>173.78802669902916</v>
      </c>
      <c r="Q23" s="479">
        <f t="shared" si="2"/>
        <v>6951.5210679611646</v>
      </c>
    </row>
    <row r="24" spans="1:17" x14ac:dyDescent="0.2">
      <c r="A24" t="s">
        <v>671</v>
      </c>
      <c r="B24" s="487">
        <v>13126327.289999999</v>
      </c>
      <c r="C24" s="488" t="s">
        <v>707</v>
      </c>
      <c r="D24" s="489">
        <v>380</v>
      </c>
      <c r="E24" s="490">
        <v>0.1145861568916173</v>
      </c>
      <c r="F24" s="491">
        <v>34542.966552631573</v>
      </c>
      <c r="G24" s="352">
        <v>0.32984548207514425</v>
      </c>
      <c r="H24" s="352">
        <f>G24*'Assumptions-Output Target'!$D$10/'Assumptions-Output Target'!$D$5</f>
        <v>0.55739676678215189</v>
      </c>
      <c r="I24" s="352">
        <f>H24*(1+'Assumptions-Output Target'!$F$39)</f>
        <v>0.39379934933030042</v>
      </c>
      <c r="J24">
        <f>IF(ISERROR(VLOOKUP($A24,'Add-In_List'!$C:$D,2,0)),0,VLOOKUP($A24,'Add-In_List'!$C:$D,2,0))</f>
        <v>0</v>
      </c>
      <c r="K24" s="310">
        <f>F24*'Assumptions-Output Target'!$D$22</f>
        <v>10523.719319193175</v>
      </c>
      <c r="M24" s="352">
        <f t="shared" si="1"/>
        <v>17271.483276315786</v>
      </c>
      <c r="N24" s="352">
        <f t="shared" si="1"/>
        <v>12953.612457236839</v>
      </c>
      <c r="O24" s="352">
        <f t="shared" si="1"/>
        <v>3454.2966552631574</v>
      </c>
      <c r="P24" s="352">
        <f t="shared" si="1"/>
        <v>863.57416381578935</v>
      </c>
      <c r="Q24" s="479">
        <f t="shared" si="2"/>
        <v>34542.966552631573</v>
      </c>
    </row>
    <row r="25" spans="1:17" x14ac:dyDescent="0.2">
      <c r="A25" t="s">
        <v>645</v>
      </c>
      <c r="B25" s="487">
        <v>72307472.300000593</v>
      </c>
      <c r="C25" s="488" t="s">
        <v>707</v>
      </c>
      <c r="D25" s="489">
        <v>3398</v>
      </c>
      <c r="E25" s="490">
        <v>1.0246414766255674</v>
      </c>
      <c r="F25" s="491">
        <v>21279.420924073158</v>
      </c>
      <c r="G25" s="352">
        <v>1.8169814397816098</v>
      </c>
      <c r="H25" s="352">
        <f>G25*'Assumptions-Output Target'!$D$10/'Assumptions-Output Target'!$D$5</f>
        <v>3.0704667332891362</v>
      </c>
      <c r="I25" s="352">
        <f>H25*(1+'Assumptions-Output Target'!$F$39)</f>
        <v>2.1692766692745598</v>
      </c>
      <c r="J25">
        <f>IF(ISERROR(VLOOKUP($A25,'Add-In_List'!$C:$D,2,0)),0,VLOOKUP($A25,'Add-In_List'!$C:$D,2,0))</f>
        <v>1</v>
      </c>
      <c r="K25" s="310">
        <f>F25*'Assumptions-Output Target'!$D$22</f>
        <v>6482.9015984688776</v>
      </c>
      <c r="M25" s="352">
        <f t="shared" si="1"/>
        <v>10639.710462036579</v>
      </c>
      <c r="N25" s="352">
        <f t="shared" si="1"/>
        <v>7979.7828465274342</v>
      </c>
      <c r="O25" s="352">
        <f t="shared" si="1"/>
        <v>2127.9420924073161</v>
      </c>
      <c r="P25" s="352">
        <f t="shared" si="1"/>
        <v>531.98552310182902</v>
      </c>
      <c r="Q25" s="479">
        <f t="shared" si="2"/>
        <v>21279.420924073162</v>
      </c>
    </row>
    <row r="26" spans="1:17" x14ac:dyDescent="0.2">
      <c r="A26" t="s">
        <v>686</v>
      </c>
      <c r="B26" s="487">
        <v>614294.52</v>
      </c>
      <c r="C26" s="488" t="s">
        <v>706</v>
      </c>
      <c r="D26" s="489">
        <v>819</v>
      </c>
      <c r="E26" s="490">
        <v>0.24696332235324886</v>
      </c>
      <c r="F26" s="491">
        <v>750.05435897435905</v>
      </c>
      <c r="G26" s="352">
        <v>1.5436326369820339E-2</v>
      </c>
      <c r="H26" s="352">
        <f>G26*'Assumptions-Output Target'!$D$10/'Assumptions-Output Target'!$D$5</f>
        <v>2.6085421438550308E-2</v>
      </c>
      <c r="I26" s="352">
        <f>H26*(1+'Assumptions-Output Target'!$F$39)</f>
        <v>1.8429281620721286E-2</v>
      </c>
      <c r="J26">
        <f>IF(ISERROR(VLOOKUP($A26,'Add-In_List'!$C:$D,2,0)),0,VLOOKUP($A26,'Add-In_List'!$C:$D,2,0))</f>
        <v>1</v>
      </c>
      <c r="K26" s="310">
        <f>F26*'Assumptions-Output Target'!$D$22</f>
        <v>228.50850218543778</v>
      </c>
      <c r="M26" s="352">
        <f t="shared" si="1"/>
        <v>375.02717948717952</v>
      </c>
      <c r="N26" s="352">
        <f t="shared" si="1"/>
        <v>281.27038461538461</v>
      </c>
      <c r="O26" s="352">
        <f t="shared" si="1"/>
        <v>75.005435897435902</v>
      </c>
      <c r="P26" s="352">
        <f t="shared" si="1"/>
        <v>18.751358974358975</v>
      </c>
      <c r="Q26" s="479">
        <f t="shared" si="2"/>
        <v>750.05435897435893</v>
      </c>
    </row>
    <row r="27" spans="1:17" x14ac:dyDescent="0.2">
      <c r="A27" t="s">
        <v>688</v>
      </c>
      <c r="B27" s="487">
        <v>316369.87</v>
      </c>
      <c r="C27" s="488" t="s">
        <v>706</v>
      </c>
      <c r="D27" s="489">
        <v>898</v>
      </c>
      <c r="E27" s="490">
        <v>0.27078518128597984</v>
      </c>
      <c r="F27" s="491">
        <v>352.30497772828505</v>
      </c>
      <c r="G27" s="352">
        <v>7.9499139385088968E-3</v>
      </c>
      <c r="H27" s="352">
        <f>G27*'Assumptions-Output Target'!$D$10/'Assumptions-Output Target'!$D$5</f>
        <v>1.3434339914686807E-2</v>
      </c>
      <c r="I27" s="352">
        <f>H27*(1+'Assumptions-Output Target'!$F$39)</f>
        <v>9.4913258066195699E-3</v>
      </c>
      <c r="J27">
        <f>IF(ISERROR(VLOOKUP($A27,'Add-In_List'!$C:$D,2,0)),0,VLOOKUP($A27,'Add-In_List'!$C:$D,2,0))</f>
        <v>0</v>
      </c>
      <c r="K27" s="310">
        <f>F27*'Assumptions-Output Target'!$D$22</f>
        <v>107.33179776896213</v>
      </c>
      <c r="M27" s="352">
        <f t="shared" si="1"/>
        <v>176.15248886414253</v>
      </c>
      <c r="N27" s="352">
        <f t="shared" si="1"/>
        <v>132.11436664810691</v>
      </c>
      <c r="O27" s="352">
        <f t="shared" si="1"/>
        <v>35.230497772828507</v>
      </c>
      <c r="P27" s="352">
        <f t="shared" si="1"/>
        <v>8.8076244432071267</v>
      </c>
      <c r="Q27" s="479">
        <f t="shared" si="2"/>
        <v>352.30497772828511</v>
      </c>
    </row>
    <row r="28" spans="1:17" x14ac:dyDescent="0.2">
      <c r="A28" t="s">
        <v>676</v>
      </c>
      <c r="B28" s="487">
        <v>11521874.470000001</v>
      </c>
      <c r="C28" s="488" t="s">
        <v>707</v>
      </c>
      <c r="D28" s="489">
        <v>867</v>
      </c>
      <c r="E28" s="490">
        <v>0.26143736322376898</v>
      </c>
      <c r="F28" s="491">
        <v>13289.359250288351</v>
      </c>
      <c r="G28" s="352">
        <v>0.28952792011073247</v>
      </c>
      <c r="H28" s="352">
        <f>G28*'Assumptions-Output Target'!$D$10/'Assumptions-Output Target'!$D$5</f>
        <v>0.48926523276167827</v>
      </c>
      <c r="I28" s="352">
        <f>H28*(1+'Assumptions-Output Target'!$F$39)</f>
        <v>0.34566459978550479</v>
      </c>
      <c r="J28">
        <f>IF(ISERROR(VLOOKUP($A28,'Add-In_List'!$C:$D,2,0)),0,VLOOKUP($A28,'Add-In_List'!$C:$D,2,0))</f>
        <v>1</v>
      </c>
      <c r="K28" s="310">
        <f>F28*'Assumptions-Output Target'!$D$22</f>
        <v>4048.6819934492178</v>
      </c>
      <c r="M28" s="352">
        <f t="shared" si="1"/>
        <v>6644.6796251441756</v>
      </c>
      <c r="N28" s="352">
        <f t="shared" si="1"/>
        <v>4983.5097188581312</v>
      </c>
      <c r="O28" s="352">
        <f t="shared" si="1"/>
        <v>1328.9359250288353</v>
      </c>
      <c r="P28" s="352">
        <f t="shared" si="1"/>
        <v>332.23398125720882</v>
      </c>
      <c r="Q28" s="479">
        <f t="shared" si="2"/>
        <v>13289.359250288349</v>
      </c>
    </row>
    <row r="29" spans="1:17" x14ac:dyDescent="0.2">
      <c r="A29" t="s">
        <v>664</v>
      </c>
      <c r="B29" s="487">
        <v>18122999.329999901</v>
      </c>
      <c r="C29" s="488" t="s">
        <v>707</v>
      </c>
      <c r="D29" s="489">
        <v>623</v>
      </c>
      <c r="E29" s="490">
        <v>0.1878609887986252</v>
      </c>
      <c r="F29" s="491">
        <v>29089.886565007866</v>
      </c>
      <c r="G29" s="352">
        <v>0.4554045711785184</v>
      </c>
      <c r="H29" s="352">
        <f>G29*'Assumptions-Output Target'!$D$10/'Assumptions-Output Target'!$D$5</f>
        <v>0.76957560235701306</v>
      </c>
      <c r="I29" s="352">
        <f>H29*(1+'Assumptions-Output Target'!$F$39)</f>
        <v>0.54370313846314511</v>
      </c>
      <c r="J29">
        <f>IF(ISERROR(VLOOKUP($A29,'Add-In_List'!$C:$D,2,0)),0,VLOOKUP($A29,'Add-In_List'!$C:$D,2,0))</f>
        <v>1</v>
      </c>
      <c r="K29" s="310">
        <f>F29*'Assumptions-Output Target'!$D$22</f>
        <v>8862.4062085365167</v>
      </c>
      <c r="M29" s="352">
        <f t="shared" si="1"/>
        <v>14544.943282503933</v>
      </c>
      <c r="N29" s="352">
        <f t="shared" si="1"/>
        <v>10908.70746187795</v>
      </c>
      <c r="O29" s="352">
        <f t="shared" si="1"/>
        <v>2908.9886565007869</v>
      </c>
      <c r="P29" s="352">
        <f t="shared" si="1"/>
        <v>727.24716412519672</v>
      </c>
      <c r="Q29" s="479">
        <f t="shared" si="2"/>
        <v>29089.88656500787</v>
      </c>
    </row>
    <row r="30" spans="1:17" x14ac:dyDescent="0.2">
      <c r="A30" t="s">
        <v>644</v>
      </c>
      <c r="B30" s="487">
        <v>82517059.679998904</v>
      </c>
      <c r="C30" s="488" t="s">
        <v>707</v>
      </c>
      <c r="D30" s="489">
        <v>2217</v>
      </c>
      <c r="E30" s="490">
        <v>0.66851976270714619</v>
      </c>
      <c r="F30" s="491">
        <v>37220.144194857421</v>
      </c>
      <c r="G30" s="352">
        <v>2.0735334970893207</v>
      </c>
      <c r="H30" s="352">
        <f>G30*'Assumptions-Output Target'!$D$10/'Assumptions-Output Target'!$D$5</f>
        <v>3.5040069665976805</v>
      </c>
      <c r="I30" s="352">
        <f>H30*(1+'Assumptions-Output Target'!$F$39)</f>
        <v>2.4755717035479412</v>
      </c>
      <c r="J30">
        <f>IF(ISERROR(VLOOKUP($A30,'Add-In_List'!$C:$D,2,0)),0,VLOOKUP($A30,'Add-In_List'!$C:$D,2,0))</f>
        <v>1</v>
      </c>
      <c r="K30" s="310">
        <f>F30*'Assumptions-Output Target'!$D$22</f>
        <v>11339.337341793433</v>
      </c>
      <c r="M30" s="352">
        <f t="shared" si="1"/>
        <v>18610.072097428711</v>
      </c>
      <c r="N30" s="352">
        <f t="shared" si="1"/>
        <v>13957.554073071533</v>
      </c>
      <c r="O30" s="352">
        <f t="shared" si="1"/>
        <v>3722.0144194857421</v>
      </c>
      <c r="P30" s="352">
        <f t="shared" si="1"/>
        <v>930.50360487143553</v>
      </c>
      <c r="Q30" s="479">
        <f t="shared" si="2"/>
        <v>37220.144194857421</v>
      </c>
    </row>
    <row r="31" spans="1:17" x14ac:dyDescent="0.2">
      <c r="A31" t="s">
        <v>675</v>
      </c>
      <c r="B31" s="487">
        <v>12139099.82</v>
      </c>
      <c r="C31" s="488" t="s">
        <v>710</v>
      </c>
      <c r="D31" s="489">
        <v>5306</v>
      </c>
      <c r="E31" s="490">
        <v>1.5999846012287406</v>
      </c>
      <c r="F31" s="491">
        <v>2287.8062231436111</v>
      </c>
      <c r="G31" s="352">
        <v>0.30503789396875514</v>
      </c>
      <c r="H31" s="352">
        <f>G31*'Assumptions-Output Target'!$D$10/'Assumptions-Output Target'!$D$5</f>
        <v>0.51547510905571836</v>
      </c>
      <c r="I31" s="352">
        <f>H31*(1+'Assumptions-Output Target'!$F$39)</f>
        <v>0.36418180843421338</v>
      </c>
      <c r="J31">
        <f>IF(ISERROR(VLOOKUP($A31,'Add-In_List'!$C:$D,2,0)),0,VLOOKUP($A31,'Add-In_List'!$C:$D,2,0))</f>
        <v>0</v>
      </c>
      <c r="K31" s="310">
        <f>F31*'Assumptions-Output Target'!$D$22</f>
        <v>696.99371397019183</v>
      </c>
      <c r="M31" s="352">
        <f t="shared" si="1"/>
        <v>1143.9031115718055</v>
      </c>
      <c r="N31" s="352">
        <f t="shared" si="1"/>
        <v>857.92733367885421</v>
      </c>
      <c r="O31" s="352">
        <f t="shared" si="1"/>
        <v>228.78062231436112</v>
      </c>
      <c r="P31" s="352">
        <f t="shared" si="1"/>
        <v>57.195155578590281</v>
      </c>
      <c r="Q31" s="479">
        <f t="shared" si="2"/>
        <v>2287.8062231436111</v>
      </c>
    </row>
    <row r="32" spans="1:17" x14ac:dyDescent="0.2">
      <c r="A32" t="s">
        <v>640</v>
      </c>
      <c r="B32" s="487">
        <v>123857489.319996</v>
      </c>
      <c r="C32" s="488" t="s">
        <v>707</v>
      </c>
      <c r="D32" s="489">
        <v>5649</v>
      </c>
      <c r="E32" s="490">
        <v>1.703413684949332</v>
      </c>
      <c r="F32" s="491">
        <v>21925.560155779076</v>
      </c>
      <c r="G32" s="352">
        <v>3.1123582682944901</v>
      </c>
      <c r="H32" s="352">
        <f>G32*'Assumptions-Output Target'!$D$10/'Assumptions-Output Target'!$D$5</f>
        <v>5.2594882455289333</v>
      </c>
      <c r="I32" s="352">
        <f>H32*(1+'Assumptions-Output Target'!$F$39)</f>
        <v>3.7158146087868151</v>
      </c>
      <c r="J32">
        <f>IF(ISERROR(VLOOKUP($A32,'Add-In_List'!$C:$D,2,0)),0,VLOOKUP($A32,'Add-In_List'!$C:$D,2,0))</f>
        <v>1</v>
      </c>
      <c r="K32" s="310">
        <f>F32*'Assumptions-Output Target'!$D$22</f>
        <v>6679.7517417601803</v>
      </c>
      <c r="M32" s="352">
        <f t="shared" si="1"/>
        <v>10962.780077889538</v>
      </c>
      <c r="N32" s="352">
        <f t="shared" si="1"/>
        <v>8222.085058417153</v>
      </c>
      <c r="O32" s="352">
        <f t="shared" si="1"/>
        <v>2192.5560155779076</v>
      </c>
      <c r="P32" s="352">
        <f t="shared" si="1"/>
        <v>548.1390038944769</v>
      </c>
      <c r="Q32" s="479">
        <f t="shared" si="2"/>
        <v>21925.560155779076</v>
      </c>
    </row>
    <row r="33" spans="1:17" x14ac:dyDescent="0.2">
      <c r="A33" t="s">
        <v>655</v>
      </c>
      <c r="B33" s="487">
        <v>31972559.620000198</v>
      </c>
      <c r="C33" s="488" t="s">
        <v>707</v>
      </c>
      <c r="D33" s="489">
        <v>3689</v>
      </c>
      <c r="E33" s="490">
        <v>1.1123903494030953</v>
      </c>
      <c r="F33" s="491">
        <v>8666.9990837625919</v>
      </c>
      <c r="G33" s="352">
        <v>0.80342384492191465</v>
      </c>
      <c r="H33" s="352">
        <f>G33*'Assumptions-Output Target'!$D$10/'Assumptions-Output Target'!$D$5</f>
        <v>1.3576837575514771</v>
      </c>
      <c r="I33" s="352">
        <f>H33*(1+'Assumptions-Output Target'!$F$39)</f>
        <v>0.95920000291112006</v>
      </c>
      <c r="J33">
        <f>IF(ISERROR(VLOOKUP($A33,'Add-In_List'!$C:$D,2,0)),0,VLOOKUP($A33,'Add-In_List'!$C:$D,2,0))</f>
        <v>0</v>
      </c>
      <c r="K33" s="310">
        <f>F33*'Assumptions-Output Target'!$D$22</f>
        <v>2640.4525957042738</v>
      </c>
      <c r="M33" s="352">
        <f t="shared" si="1"/>
        <v>4333.499541881296</v>
      </c>
      <c r="N33" s="352">
        <f t="shared" si="1"/>
        <v>3250.124656410972</v>
      </c>
      <c r="O33" s="352">
        <f t="shared" si="1"/>
        <v>866.69990837625926</v>
      </c>
      <c r="P33" s="352">
        <f t="shared" si="1"/>
        <v>216.67497709406481</v>
      </c>
      <c r="Q33" s="479">
        <f t="shared" si="2"/>
        <v>8666.9990837625901</v>
      </c>
    </row>
    <row r="34" spans="1:17" x14ac:dyDescent="0.2">
      <c r="A34" t="s">
        <v>669</v>
      </c>
      <c r="B34" s="487">
        <v>15717392.560000001</v>
      </c>
      <c r="C34" s="488" t="s">
        <v>706</v>
      </c>
      <c r="D34" s="489">
        <v>45442</v>
      </c>
      <c r="E34" s="490">
        <v>13.702695109128616</v>
      </c>
      <c r="F34" s="491">
        <v>345.87809867523436</v>
      </c>
      <c r="G34" s="352">
        <v>0.39495517758931986</v>
      </c>
      <c r="H34" s="352">
        <f>G34*'Assumptions-Output Target'!$D$10/'Assumptions-Output Target'!$D$5</f>
        <v>0.66742384230081531</v>
      </c>
      <c r="I34" s="352">
        <f>H34*(1+'Assumptions-Output Target'!$F$39)</f>
        <v>0.47153318872463557</v>
      </c>
      <c r="J34">
        <f>IF(ISERROR(VLOOKUP($A34,'Add-In_List'!$C:$D,2,0)),0,VLOOKUP($A34,'Add-In_List'!$C:$D,2,0))</f>
        <v>0</v>
      </c>
      <c r="K34" s="310">
        <f>F34*'Assumptions-Output Target'!$D$22</f>
        <v>105.37381100631232</v>
      </c>
      <c r="M34" s="352">
        <f t="shared" si="1"/>
        <v>172.93904933761718</v>
      </c>
      <c r="N34" s="352">
        <f t="shared" si="1"/>
        <v>129.70428700321287</v>
      </c>
      <c r="O34" s="352">
        <f t="shared" si="1"/>
        <v>34.58780986752344</v>
      </c>
      <c r="P34" s="352">
        <f t="shared" si="1"/>
        <v>8.6469524668808599</v>
      </c>
      <c r="Q34" s="479">
        <f t="shared" si="2"/>
        <v>345.87809867523436</v>
      </c>
    </row>
    <row r="35" spans="1:17" x14ac:dyDescent="0.2">
      <c r="A35" t="s">
        <v>636</v>
      </c>
      <c r="B35" s="487">
        <v>170402891.230001</v>
      </c>
      <c r="C35" s="488" t="s">
        <v>707</v>
      </c>
      <c r="D35" s="489">
        <v>11925</v>
      </c>
      <c r="E35" s="490">
        <v>3.5958945287698323</v>
      </c>
      <c r="F35" s="491">
        <v>14289.550627253753</v>
      </c>
      <c r="G35" s="352">
        <v>4.2819764099267745</v>
      </c>
      <c r="H35" s="352">
        <f>G35*'Assumptions-Output Target'!$D$10/'Assumptions-Output Target'!$D$5</f>
        <v>7.2359936274248762</v>
      </c>
      <c r="I35" s="352">
        <f>H35*(1+'Assumptions-Output Target'!$F$39)</f>
        <v>5.1122104612992887</v>
      </c>
      <c r="J35">
        <f>IF(ISERROR(VLOOKUP($A35,'Add-In_List'!$C:$D,2,0)),0,VLOOKUP($A35,'Add-In_List'!$C:$D,2,0))</f>
        <v>1</v>
      </c>
      <c r="K35" s="310">
        <f>F35*'Assumptions-Output Target'!$D$22</f>
        <v>4353.3962194443602</v>
      </c>
      <c r="M35" s="352">
        <f t="shared" si="1"/>
        <v>7144.7753136268766</v>
      </c>
      <c r="N35" s="352">
        <f t="shared" si="1"/>
        <v>5358.5814852201574</v>
      </c>
      <c r="O35" s="352">
        <f t="shared" si="1"/>
        <v>1428.9550627253755</v>
      </c>
      <c r="P35" s="352">
        <f t="shared" si="1"/>
        <v>357.23876568134386</v>
      </c>
      <c r="Q35" s="479">
        <f t="shared" si="2"/>
        <v>14289.550627253755</v>
      </c>
    </row>
    <row r="36" spans="1:17" x14ac:dyDescent="0.2">
      <c r="A36" t="s">
        <v>639</v>
      </c>
      <c r="B36" s="487">
        <v>124606697.249998</v>
      </c>
      <c r="C36" s="488" t="s">
        <v>707</v>
      </c>
      <c r="D36" s="489">
        <v>3225</v>
      </c>
      <c r="E36" s="490">
        <v>0.97247462098806792</v>
      </c>
      <c r="F36" s="491">
        <v>38637.735581394729</v>
      </c>
      <c r="G36" s="352">
        <v>3.1311847721128352</v>
      </c>
      <c r="H36" s="352">
        <f>G36*'Assumptions-Output Target'!$D$10/'Assumptions-Output Target'!$D$5</f>
        <v>5.291302634169754</v>
      </c>
      <c r="I36" s="352">
        <f>H36*(1+'Assumptions-Output Target'!$F$39)</f>
        <v>3.7382913906641542</v>
      </c>
      <c r="J36">
        <f>IF(ISERROR(VLOOKUP($A36,'Add-In_List'!$C:$D,2,0)),0,VLOOKUP($A36,'Add-In_List'!$C:$D,2,0))</f>
        <v>1</v>
      </c>
      <c r="K36" s="310">
        <f>F36*'Assumptions-Output Target'!$D$22</f>
        <v>11771.214952492968</v>
      </c>
      <c r="M36" s="352">
        <f t="shared" si="1"/>
        <v>19318.867790697364</v>
      </c>
      <c r="N36" s="352">
        <f t="shared" si="1"/>
        <v>14489.150843023024</v>
      </c>
      <c r="O36" s="352">
        <f t="shared" si="1"/>
        <v>3863.7735581394732</v>
      </c>
      <c r="P36" s="352">
        <f t="shared" si="1"/>
        <v>965.94338953486829</v>
      </c>
      <c r="Q36" s="479">
        <f t="shared" si="2"/>
        <v>38637.735581394736</v>
      </c>
    </row>
    <row r="37" spans="1:17" x14ac:dyDescent="0.2">
      <c r="A37" t="s">
        <v>672</v>
      </c>
      <c r="B37" s="487">
        <v>12417316.18</v>
      </c>
      <c r="C37" s="488" t="s">
        <v>706</v>
      </c>
      <c r="D37" s="489">
        <v>6968</v>
      </c>
      <c r="E37" s="490">
        <v>2.1011482663704983</v>
      </c>
      <c r="F37" s="491">
        <v>1782.0488203214695</v>
      </c>
      <c r="G37" s="352">
        <v>0.31202906578383727</v>
      </c>
      <c r="H37" s="352">
        <f>G37*'Assumptions-Output Target'!$D$10/'Assumptions-Output Target'!$D$5</f>
        <v>0.52728929714533268</v>
      </c>
      <c r="I37" s="352">
        <f>H37*(1+'Assumptions-Output Target'!$F$39)</f>
        <v>0.37252850123872011</v>
      </c>
      <c r="J37">
        <f>J36</f>
        <v>1</v>
      </c>
      <c r="K37" s="310">
        <f>F37*'Assumptions-Output Target'!$D$22</f>
        <v>542.91172617117752</v>
      </c>
      <c r="M37" s="352">
        <f t="shared" ref="M37:P65" si="3">M$2*$F37</f>
        <v>891.02441016073476</v>
      </c>
      <c r="N37" s="352">
        <f t="shared" si="3"/>
        <v>668.26830762055101</v>
      </c>
      <c r="O37" s="352">
        <f t="shared" si="3"/>
        <v>178.20488203214697</v>
      </c>
      <c r="P37" s="352">
        <f t="shared" si="3"/>
        <v>44.551220508036742</v>
      </c>
      <c r="Q37" s="479">
        <f t="shared" si="2"/>
        <v>1782.0488203214695</v>
      </c>
    </row>
    <row r="38" spans="1:17" x14ac:dyDescent="0.2">
      <c r="A38" t="s">
        <v>674</v>
      </c>
      <c r="B38" s="487">
        <v>12361435.27</v>
      </c>
      <c r="C38" s="488" t="s">
        <v>706</v>
      </c>
      <c r="D38" s="489">
        <v>112190</v>
      </c>
      <c r="E38" s="490">
        <v>33.830055109659327</v>
      </c>
      <c r="F38" s="491">
        <v>110.18304011052678</v>
      </c>
      <c r="G38" s="352">
        <v>0.31062485992407712</v>
      </c>
      <c r="H38" s="352">
        <f>G38*'Assumptions-Output Target'!$D$10/'Assumptions-Output Target'!$D$5</f>
        <v>0.52491636846005052</v>
      </c>
      <c r="I38" s="352">
        <f>H38*(1+'Assumptions-Output Target'!$F$39)</f>
        <v>0.370852033365277</v>
      </c>
      <c r="J38">
        <f>IF(ISERROR(VLOOKUP($A38,'Add-In_List'!$C:$D,2,0)),0,VLOOKUP($A38,'Add-In_List'!$C:$D,2,0))</f>
        <v>0</v>
      </c>
      <c r="K38" s="310">
        <f>F38*'Assumptions-Output Target'!$D$22</f>
        <v>33.567915659237173</v>
      </c>
      <c r="M38" s="352">
        <f t="shared" si="3"/>
        <v>55.091520055263388</v>
      </c>
      <c r="N38" s="352">
        <f t="shared" si="3"/>
        <v>41.318640041447537</v>
      </c>
      <c r="O38" s="352">
        <f t="shared" si="3"/>
        <v>11.018304011052678</v>
      </c>
      <c r="P38" s="352">
        <f t="shared" si="3"/>
        <v>2.7545760027631694</v>
      </c>
      <c r="Q38" s="479">
        <f t="shared" si="2"/>
        <v>110.18304011052678</v>
      </c>
    </row>
    <row r="39" spans="1:17" x14ac:dyDescent="0.2">
      <c r="A39" t="s">
        <v>662</v>
      </c>
      <c r="B39" s="487">
        <v>18529534.939999901</v>
      </c>
      <c r="C39" s="488" t="s">
        <v>707</v>
      </c>
      <c r="D39" s="489">
        <v>679</v>
      </c>
      <c r="E39" s="490">
        <v>0.20474736981423197</v>
      </c>
      <c r="F39" s="491">
        <v>27289.447628865833</v>
      </c>
      <c r="G39" s="352">
        <v>0.46562021880779236</v>
      </c>
      <c r="H39" s="352">
        <f>G39*'Assumptions-Output Target'!$D$10/'Assumptions-Output Target'!$D$5</f>
        <v>0.78683874303524681</v>
      </c>
      <c r="I39" s="352">
        <f>H39*(1+'Assumptions-Output Target'!$F$39)</f>
        <v>0.55589950193638871</v>
      </c>
      <c r="J39">
        <f>IF(ISERROR(VLOOKUP($A39,'Add-In_List'!$C:$D,2,0)),0,VLOOKUP($A39,'Add-In_List'!$C:$D,2,0))</f>
        <v>0</v>
      </c>
      <c r="K39" s="310">
        <f>F39*'Assumptions-Output Target'!$D$22</f>
        <v>8313.8918246767425</v>
      </c>
      <c r="M39" s="352">
        <f t="shared" si="3"/>
        <v>13644.723814432917</v>
      </c>
      <c r="N39" s="352">
        <f t="shared" si="3"/>
        <v>10233.542860824688</v>
      </c>
      <c r="O39" s="352">
        <f t="shared" si="3"/>
        <v>2728.9447628865837</v>
      </c>
      <c r="P39" s="352">
        <f t="shared" si="3"/>
        <v>682.23619072164593</v>
      </c>
      <c r="Q39" s="479">
        <f t="shared" si="2"/>
        <v>27289.447628865833</v>
      </c>
    </row>
    <row r="40" spans="1:17" x14ac:dyDescent="0.2">
      <c r="A40" t="s">
        <v>680</v>
      </c>
      <c r="B40" s="487">
        <v>3291490.81</v>
      </c>
      <c r="C40" s="488" t="s">
        <v>706</v>
      </c>
      <c r="D40" s="489">
        <v>5635</v>
      </c>
      <c r="E40" s="490">
        <v>1.69919208969543</v>
      </c>
      <c r="F40" s="491">
        <v>584.11549423247561</v>
      </c>
      <c r="G40" s="352">
        <v>8.2710368939029943E-2</v>
      </c>
      <c r="H40" s="352">
        <f>G40*'Assumptions-Output Target'!$D$10/'Assumptions-Output Target'!$D$5</f>
        <v>0.13976996724627352</v>
      </c>
      <c r="I40" s="352">
        <f>H40*(1+'Assumptions-Output Target'!$F$39)</f>
        <v>9.8747114152192034E-2</v>
      </c>
      <c r="J40">
        <f>IF(ISERROR(VLOOKUP($A40,'Add-In_List'!$C:$D,2,0)),0,VLOOKUP($A40,'Add-In_List'!$C:$D,2,0))</f>
        <v>1</v>
      </c>
      <c r="K40" s="310">
        <f>F40*'Assumptions-Output Target'!$D$22</f>
        <v>177.9542443735503</v>
      </c>
      <c r="M40" s="352">
        <f t="shared" si="3"/>
        <v>292.05774711623781</v>
      </c>
      <c r="N40" s="352">
        <f t="shared" si="3"/>
        <v>219.04331033717835</v>
      </c>
      <c r="O40" s="352">
        <f t="shared" si="3"/>
        <v>58.411549423247564</v>
      </c>
      <c r="P40" s="352">
        <f t="shared" si="3"/>
        <v>14.602887355811891</v>
      </c>
      <c r="Q40" s="479">
        <f t="shared" si="2"/>
        <v>584.11549423247561</v>
      </c>
    </row>
    <row r="41" spans="1:17" x14ac:dyDescent="0.2">
      <c r="A41" t="s">
        <v>638</v>
      </c>
      <c r="B41" s="487">
        <v>144583897.64999899</v>
      </c>
      <c r="C41" s="488" t="s">
        <v>706</v>
      </c>
      <c r="D41" s="489">
        <v>277575</v>
      </c>
      <c r="E41" s="490">
        <v>83.700664471554404</v>
      </c>
      <c r="F41" s="491">
        <v>520.88227560118526</v>
      </c>
      <c r="G41" s="352">
        <v>3.6331827149395446</v>
      </c>
      <c r="H41" s="352">
        <f>G41*'Assumptions-Output Target'!$D$10/'Assumptions-Output Target'!$D$5</f>
        <v>6.1396150879360718</v>
      </c>
      <c r="I41" s="352">
        <f>H41*(1+'Assumptions-Output Target'!$F$39)</f>
        <v>4.337621907506799</v>
      </c>
      <c r="J41">
        <f>IF(ISERROR(VLOOKUP($A41,'Add-In_List'!$C:$D,2,0)),0,VLOOKUP($A41,'Add-In_List'!$C:$D,2,0))</f>
        <v>0</v>
      </c>
      <c r="K41" s="310">
        <f>F41*'Assumptions-Output Target'!$D$22</f>
        <v>158.68986985867008</v>
      </c>
      <c r="M41" s="352">
        <f t="shared" si="3"/>
        <v>260.44113780059263</v>
      </c>
      <c r="N41" s="352">
        <f t="shared" si="3"/>
        <v>195.33085335044447</v>
      </c>
      <c r="O41" s="352">
        <f t="shared" si="3"/>
        <v>52.088227560118526</v>
      </c>
      <c r="P41" s="352">
        <f t="shared" si="3"/>
        <v>13.022056890029631</v>
      </c>
      <c r="Q41" s="479">
        <f t="shared" si="2"/>
        <v>520.88227560118526</v>
      </c>
    </row>
    <row r="42" spans="1:17" x14ac:dyDescent="0.2">
      <c r="A42" t="s">
        <v>687</v>
      </c>
      <c r="B42" s="487">
        <v>501408.35</v>
      </c>
      <c r="C42" s="488" t="s">
        <v>707</v>
      </c>
      <c r="D42" s="489">
        <v>350</v>
      </c>
      <c r="E42" s="490">
        <v>0.10553988134754225</v>
      </c>
      <c r="F42" s="491">
        <v>1432.5952857142856</v>
      </c>
      <c r="G42" s="352">
        <v>1.2599661372777841E-2</v>
      </c>
      <c r="H42" s="352">
        <f>G42*'Assumptions-Output Target'!$D$10/'Assumptions-Output Target'!$D$5</f>
        <v>2.1291819634917358E-2</v>
      </c>
      <c r="I42" s="352">
        <f>H42*(1+'Assumptions-Output Target'!$F$39)</f>
        <v>1.5042614557478363E-2</v>
      </c>
      <c r="J42">
        <f>IF(ISERROR(VLOOKUP($A42,'Add-In_List'!$C:$D,2,0)),0,VLOOKUP($A42,'Add-In_List'!$C:$D,2,0))</f>
        <v>1</v>
      </c>
      <c r="K42" s="310">
        <f>F42*'Assumptions-Output Target'!$D$22</f>
        <v>436.44863743493244</v>
      </c>
      <c r="M42" s="352">
        <f t="shared" si="3"/>
        <v>716.29764285714282</v>
      </c>
      <c r="N42" s="352">
        <f t="shared" si="3"/>
        <v>537.22323214285711</v>
      </c>
      <c r="O42" s="352">
        <f t="shared" si="3"/>
        <v>143.25952857142858</v>
      </c>
      <c r="P42" s="352">
        <f t="shared" si="3"/>
        <v>35.814882142857144</v>
      </c>
      <c r="Q42" s="479">
        <f t="shared" si="2"/>
        <v>1432.5952857142856</v>
      </c>
    </row>
    <row r="43" spans="1:17" x14ac:dyDescent="0.2">
      <c r="A43" t="s">
        <v>1024</v>
      </c>
      <c r="B43" s="487">
        <v>16868198.390000101</v>
      </c>
      <c r="C43" s="488" t="s">
        <v>707</v>
      </c>
      <c r="D43" s="489">
        <v>703</v>
      </c>
      <c r="E43" s="490">
        <v>0.21198439024949201</v>
      </c>
      <c r="F43" s="491">
        <v>23994.592304409816</v>
      </c>
      <c r="G43" s="352">
        <v>0.42387325157795569</v>
      </c>
      <c r="H43" s="352">
        <f>G43*'Assumptions-Output Target'!$D$10/'Assumptions-Output Target'!$D$5</f>
        <v>0.71629169655009839</v>
      </c>
      <c r="I43" s="352">
        <f>H43*(1+'Assumptions-Output Target'!$F$39)</f>
        <v>0.50605819919003869</v>
      </c>
      <c r="J43">
        <f>IF(ISERROR(VLOOKUP($A43,'Add-In_List'!$C:$D,2,0)),0,VLOOKUP($A43,'Add-In_List'!$C:$D,2,0))</f>
        <v>0</v>
      </c>
      <c r="K43" s="310">
        <f>F43*'Assumptions-Output Target'!$D$22</f>
        <v>7310.0946383785449</v>
      </c>
      <c r="M43" s="352">
        <f t="shared" si="3"/>
        <v>11997.296152204908</v>
      </c>
      <c r="N43" s="352">
        <f t="shared" si="3"/>
        <v>8997.9721141536811</v>
      </c>
      <c r="O43" s="352">
        <f t="shared" si="3"/>
        <v>2399.4592304409816</v>
      </c>
      <c r="P43" s="352">
        <f t="shared" si="3"/>
        <v>599.86480761024541</v>
      </c>
      <c r="Q43" s="479">
        <f t="shared" si="2"/>
        <v>23994.592304409816</v>
      </c>
    </row>
    <row r="44" spans="1:17" x14ac:dyDescent="0.2">
      <c r="A44" t="s">
        <v>677</v>
      </c>
      <c r="B44" s="487">
        <v>10331844.42</v>
      </c>
      <c r="C44" s="488" t="s">
        <v>706</v>
      </c>
      <c r="D44" s="489">
        <v>8988</v>
      </c>
      <c r="E44" s="490">
        <v>2.7102641530048852</v>
      </c>
      <c r="F44" s="491">
        <v>1149.5154005340453</v>
      </c>
      <c r="G44" s="352">
        <v>0.25962419861620628</v>
      </c>
      <c r="H44" s="352">
        <f>G44*'Assumptions-Output Target'!$D$10/'Assumptions-Output Target'!$D$5</f>
        <v>0.43873176002487263</v>
      </c>
      <c r="I44" s="352">
        <f>H44*(1+'Assumptions-Output Target'!$F$39)</f>
        <v>0.30996283424058174</v>
      </c>
      <c r="J44">
        <f>IF(ISERROR(VLOOKUP($A44,'Add-In_List'!$C:$D,2,0)),0,VLOOKUP($A44,'Add-In_List'!$C:$D,2,0))</f>
        <v>0</v>
      </c>
      <c r="K44" s="310">
        <f>F44*'Assumptions-Output Target'!$D$22</f>
        <v>350.20667405268409</v>
      </c>
      <c r="M44" s="352">
        <f t="shared" si="3"/>
        <v>574.75770026702264</v>
      </c>
      <c r="N44" s="352">
        <f t="shared" si="3"/>
        <v>431.06827520026695</v>
      </c>
      <c r="O44" s="352">
        <f t="shared" si="3"/>
        <v>114.95154005340453</v>
      </c>
      <c r="P44" s="352">
        <f t="shared" si="3"/>
        <v>28.737885013351132</v>
      </c>
      <c r="Q44" s="479">
        <f t="shared" si="2"/>
        <v>1149.5154005340453</v>
      </c>
    </row>
    <row r="45" spans="1:17" x14ac:dyDescent="0.2">
      <c r="A45" t="s">
        <v>684</v>
      </c>
      <c r="B45" s="487">
        <v>1280903.77</v>
      </c>
      <c r="C45" s="488" t="s">
        <v>707</v>
      </c>
      <c r="D45" s="489">
        <v>187</v>
      </c>
      <c r="E45" s="490">
        <v>5.638845089140114E-2</v>
      </c>
      <c r="F45" s="491">
        <v>6849.7527807486631</v>
      </c>
      <c r="G45" s="352">
        <v>3.2187245691290368E-2</v>
      </c>
      <c r="H45" s="352">
        <f>G45*'Assumptions-Output Target'!$D$10/'Assumptions-Output Target'!$D$5</f>
        <v>5.4392337184902627E-2</v>
      </c>
      <c r="I45" s="352">
        <f>H45*(1+'Assumptions-Output Target'!$F$39)</f>
        <v>3.8428043125589992E-2</v>
      </c>
      <c r="J45">
        <f>IF(ISERROR(VLOOKUP($A45,'Add-In_List'!$C:$D,2,0)),0,VLOOKUP($A45,'Add-In_List'!$C:$D,2,0))</f>
        <v>1</v>
      </c>
      <c r="K45" s="310">
        <f>F45*'Assumptions-Output Target'!$D$22</f>
        <v>2086.8177479959454</v>
      </c>
      <c r="M45" s="352">
        <f t="shared" si="3"/>
        <v>3424.8763903743315</v>
      </c>
      <c r="N45" s="352">
        <f t="shared" si="3"/>
        <v>2568.6572927807488</v>
      </c>
      <c r="O45" s="352">
        <f t="shared" si="3"/>
        <v>684.97527807486631</v>
      </c>
      <c r="P45" s="352">
        <f t="shared" si="3"/>
        <v>171.24381951871658</v>
      </c>
      <c r="Q45" s="479">
        <f t="shared" si="2"/>
        <v>6849.752780748664</v>
      </c>
    </row>
    <row r="46" spans="1:17" x14ac:dyDescent="0.2">
      <c r="A46" t="s">
        <v>629</v>
      </c>
      <c r="B46" s="487">
        <v>536833594.429995</v>
      </c>
      <c r="C46" s="488" t="s">
        <v>711</v>
      </c>
      <c r="D46" s="489">
        <v>52236</v>
      </c>
      <c r="E46" s="490">
        <v>15.751374977343477</v>
      </c>
      <c r="F46" s="491">
        <v>10277.080833716116</v>
      </c>
      <c r="G46" s="352">
        <v>13.489846157027689</v>
      </c>
      <c r="H46" s="352">
        <f>G46*'Assumptions-Output Target'!$D$10/'Assumptions-Output Target'!$D$5</f>
        <v>22.796118306701175</v>
      </c>
      <c r="I46" s="352">
        <f>H46*(1+'Assumptions-Output Target'!$F$39)</f>
        <v>16.105397611579622</v>
      </c>
      <c r="J46">
        <f>IF(ISERROR(VLOOKUP($A46,'Add-In_List'!$C:$D,2,0)),0,VLOOKUP($A46,'Add-In_List'!$C:$D,2,0))</f>
        <v>0</v>
      </c>
      <c r="K46" s="310">
        <f>F46*'Assumptions-Output Target'!$D$22</f>
        <v>3130.9735355213379</v>
      </c>
      <c r="M46" s="352">
        <f t="shared" si="3"/>
        <v>5138.5404168580581</v>
      </c>
      <c r="N46" s="352">
        <f t="shared" si="3"/>
        <v>3853.9053126435438</v>
      </c>
      <c r="O46" s="352">
        <f t="shared" si="3"/>
        <v>1027.7080833716116</v>
      </c>
      <c r="P46" s="352">
        <f t="shared" si="3"/>
        <v>256.92702084290289</v>
      </c>
      <c r="Q46" s="479">
        <f t="shared" si="2"/>
        <v>10277.080833716116</v>
      </c>
    </row>
    <row r="47" spans="1:17" x14ac:dyDescent="0.2">
      <c r="A47" t="s">
        <v>690</v>
      </c>
      <c r="B47" s="487">
        <v>28690.85</v>
      </c>
      <c r="C47" s="488" t="s">
        <v>706</v>
      </c>
      <c r="D47" s="489">
        <v>137</v>
      </c>
      <c r="E47" s="490">
        <v>4.1311324984609397E-2</v>
      </c>
      <c r="F47" s="491">
        <v>209.42226277372262</v>
      </c>
      <c r="G47" s="352">
        <v>7.2095926303812673E-4</v>
      </c>
      <c r="H47" s="352">
        <f>G47*'Assumptions-Output Target'!$D$10/'Assumptions-Output Target'!$D$5</f>
        <v>1.2183291390589499E-3</v>
      </c>
      <c r="I47" s="352">
        <f>H47*(1+'Assumptions-Output Target'!$F$39)</f>
        <v>8.6074633156074892E-4</v>
      </c>
      <c r="J47">
        <f>IF(ISERROR(VLOOKUP($A47,'Add-In_List'!$C:$D,2,0)),0,VLOOKUP($A47,'Add-In_List'!$C:$D,2,0))</f>
        <v>0</v>
      </c>
      <c r="K47" s="310">
        <f>F47*'Assumptions-Output Target'!$D$22</f>
        <v>63.801732525288152</v>
      </c>
      <c r="M47" s="352">
        <f t="shared" si="3"/>
        <v>104.71113138686131</v>
      </c>
      <c r="N47" s="352">
        <f t="shared" si="3"/>
        <v>78.53334854014598</v>
      </c>
      <c r="O47" s="352">
        <f t="shared" si="3"/>
        <v>20.942226277372264</v>
      </c>
      <c r="P47" s="352">
        <f t="shared" si="3"/>
        <v>5.2355565693430659</v>
      </c>
      <c r="Q47" s="479">
        <f t="shared" si="2"/>
        <v>209.42226277372262</v>
      </c>
    </row>
    <row r="48" spans="1:17" x14ac:dyDescent="0.2">
      <c r="A48" s="349" t="s">
        <v>641</v>
      </c>
      <c r="B48" s="487">
        <v>116990562.06999999</v>
      </c>
      <c r="C48" s="488" t="s">
        <v>707</v>
      </c>
      <c r="D48" s="489">
        <v>1265</v>
      </c>
      <c r="E48" s="490">
        <v>0.38145128544183127</v>
      </c>
      <c r="F48" s="491">
        <v>92482.657762845847</v>
      </c>
      <c r="G48" s="352">
        <v>2.9398023903928752</v>
      </c>
      <c r="H48" s="352">
        <f>G48*'Assumptions-Output Target'!$D$10/'Assumptions-Output Target'!$D$5</f>
        <v>4.9678908350490047</v>
      </c>
      <c r="I48" s="352">
        <f>H48*(1+'Assumptions-Output Target'!$F$39)</f>
        <v>3.5098018054181943</v>
      </c>
      <c r="J48">
        <f>IF(ISERROR(VLOOKUP($A48,'Add-In_List'!$C:$D,2,0)),0,VLOOKUP($A48,'Add-In_List'!$C:$D,2,0))</f>
        <v>0</v>
      </c>
      <c r="K48" s="310">
        <f>F48*'Assumptions-Output Target'!$D$22</f>
        <v>28175.389357664939</v>
      </c>
      <c r="M48" s="352">
        <f t="shared" si="3"/>
        <v>46241.328881422924</v>
      </c>
      <c r="N48" s="352">
        <f t="shared" si="3"/>
        <v>34680.996661067191</v>
      </c>
      <c r="O48" s="352">
        <f t="shared" si="3"/>
        <v>9248.2657762845847</v>
      </c>
      <c r="P48" s="352">
        <f t="shared" si="3"/>
        <v>2312.0664440711462</v>
      </c>
      <c r="Q48" s="479">
        <f t="shared" si="2"/>
        <v>92482.657762845847</v>
      </c>
    </row>
    <row r="49" spans="1:17" x14ac:dyDescent="0.2">
      <c r="A49" t="s">
        <v>643</v>
      </c>
      <c r="B49" s="487">
        <v>87630884.960000098</v>
      </c>
      <c r="C49" s="488" t="s">
        <v>707</v>
      </c>
      <c r="D49" s="489">
        <v>3146</v>
      </c>
      <c r="E49" s="490">
        <v>0.94865276205533688</v>
      </c>
      <c r="F49" s="491">
        <v>27854.699605848728</v>
      </c>
      <c r="G49" s="352">
        <v>2.2020364764425082</v>
      </c>
      <c r="H49" s="352">
        <f>G49*'Assumptions-Output Target'!$D$10/'Assumptions-Output Target'!$D$5</f>
        <v>3.7211606009682812</v>
      </c>
      <c r="I49" s="352">
        <f>H49*(1+'Assumptions-Output Target'!$F$39)</f>
        <v>2.6289901749422584</v>
      </c>
      <c r="J49">
        <f>J25</f>
        <v>1</v>
      </c>
      <c r="K49" s="310">
        <f>F49*'Assumptions-Output Target'!$D$22</f>
        <v>8486.0991868129222</v>
      </c>
      <c r="M49" s="352">
        <f t="shared" si="3"/>
        <v>13927.349802924364</v>
      </c>
      <c r="N49" s="352">
        <f t="shared" si="3"/>
        <v>10445.512352193273</v>
      </c>
      <c r="O49" s="352">
        <f t="shared" si="3"/>
        <v>2785.4699605848728</v>
      </c>
      <c r="P49" s="352">
        <f t="shared" si="3"/>
        <v>696.36749014621819</v>
      </c>
      <c r="Q49" s="479">
        <f t="shared" si="2"/>
        <v>27854.699605848728</v>
      </c>
    </row>
    <row r="50" spans="1:17" x14ac:dyDescent="0.2">
      <c r="A50" t="s">
        <v>637</v>
      </c>
      <c r="B50" s="487">
        <v>161090582.41999701</v>
      </c>
      <c r="C50" s="488" t="s">
        <v>707</v>
      </c>
      <c r="D50" s="489">
        <v>5915</v>
      </c>
      <c r="E50" s="490">
        <v>1.783623994773464</v>
      </c>
      <c r="F50" s="491">
        <v>27234.248929838886</v>
      </c>
      <c r="G50" s="352">
        <v>4.0479716559078476</v>
      </c>
      <c r="H50" s="352">
        <f>G50*'Assumptions-Output Target'!$D$10/'Assumptions-Output Target'!$D$5</f>
        <v>6.8405554589794235</v>
      </c>
      <c r="I50" s="352">
        <f>H50*(1+'Assumptions-Output Target'!$F$39)</f>
        <v>4.8328344356126403</v>
      </c>
      <c r="J50">
        <f>J51</f>
        <v>1</v>
      </c>
      <c r="K50" s="310">
        <f>F50*'Assumptions-Output Target'!$D$22</f>
        <v>8297.0752141387002</v>
      </c>
      <c r="M50" s="352">
        <f t="shared" si="3"/>
        <v>13617.124464919443</v>
      </c>
      <c r="N50" s="352">
        <f t="shared" si="3"/>
        <v>10212.843348689583</v>
      </c>
      <c r="O50" s="352">
        <f t="shared" si="3"/>
        <v>2723.4248929838886</v>
      </c>
      <c r="P50" s="352">
        <f t="shared" si="3"/>
        <v>680.85622324597216</v>
      </c>
      <c r="Q50" s="479">
        <f t="shared" si="2"/>
        <v>27234.24892983889</v>
      </c>
    </row>
    <row r="51" spans="1:17" x14ac:dyDescent="0.2">
      <c r="A51" t="s">
        <v>670</v>
      </c>
      <c r="B51" s="487">
        <v>14261544.410000101</v>
      </c>
      <c r="C51" s="488" t="s">
        <v>707</v>
      </c>
      <c r="D51" s="489">
        <v>500</v>
      </c>
      <c r="E51" s="490">
        <v>0.1507712590679175</v>
      </c>
      <c r="F51" s="491">
        <v>28523.088820000201</v>
      </c>
      <c r="G51" s="352">
        <v>0.35837183449145599</v>
      </c>
      <c r="H51" s="352">
        <f>G51*'Assumptions-Output Target'!$D$10/'Assumptions-Output Target'!$D$5</f>
        <v>0.60560266156932985</v>
      </c>
      <c r="I51" s="352">
        <f>H51*(1+'Assumptions-Output Target'!$F$39)</f>
        <v>0.42785668717721143</v>
      </c>
      <c r="J51">
        <f>IF(ISERROR(VLOOKUP($A51,'Add-In_List'!$C:$D,2,0)),0,VLOOKUP($A51,'Add-In_List'!$C:$D,2,0))</f>
        <v>1</v>
      </c>
      <c r="K51" s="310">
        <f>F51*'Assumptions-Output Target'!$D$22</f>
        <v>8689.7279190177524</v>
      </c>
      <c r="M51" s="352">
        <f t="shared" si="3"/>
        <v>14261.5444100001</v>
      </c>
      <c r="N51" s="352">
        <f t="shared" si="3"/>
        <v>10696.158307500074</v>
      </c>
      <c r="O51" s="352">
        <f t="shared" si="3"/>
        <v>2852.3088820000203</v>
      </c>
      <c r="P51" s="352">
        <f t="shared" si="3"/>
        <v>713.07722050000507</v>
      </c>
      <c r="Q51" s="479">
        <f t="shared" si="2"/>
        <v>28523.088820000201</v>
      </c>
    </row>
    <row r="52" spans="1:17" x14ac:dyDescent="0.2">
      <c r="A52" t="s">
        <v>685</v>
      </c>
      <c r="B52" s="487">
        <v>915900.96999999904</v>
      </c>
      <c r="C52" s="488" t="s">
        <v>706</v>
      </c>
      <c r="D52" s="489">
        <v>3697</v>
      </c>
      <c r="E52" s="490">
        <v>1.1148026895481822</v>
      </c>
      <c r="F52" s="491">
        <v>247.74167433053802</v>
      </c>
      <c r="G52" s="352">
        <v>2.3015257071404466E-2</v>
      </c>
      <c r="H52" s="352">
        <f>G52*'Assumptions-Output Target'!$D$10/'Assumptions-Output Target'!$D$5</f>
        <v>3.8892847031139058E-2</v>
      </c>
      <c r="I52" s="352">
        <f>H52*(1+'Assumptions-Output Target'!$F$39)</f>
        <v>2.7477694108066886E-2</v>
      </c>
      <c r="J52">
        <f>IF(ISERROR(VLOOKUP($A52,'Add-In_List'!$C:$D,2,0)),0,VLOOKUP($A52,'Add-In_List'!$C:$D,2,0))</f>
        <v>0</v>
      </c>
      <c r="K52" s="310">
        <f>F52*'Assumptions-Output Target'!$D$22</f>
        <v>75.475968178619752</v>
      </c>
      <c r="M52" s="352">
        <f t="shared" si="3"/>
        <v>123.87083716526901</v>
      </c>
      <c r="N52" s="352">
        <f t="shared" si="3"/>
        <v>92.90312787395176</v>
      </c>
      <c r="O52" s="352">
        <f t="shared" si="3"/>
        <v>24.774167433053805</v>
      </c>
      <c r="P52" s="352">
        <f t="shared" si="3"/>
        <v>6.1935418582634512</v>
      </c>
      <c r="Q52" s="479">
        <f t="shared" si="2"/>
        <v>247.74167433053802</v>
      </c>
    </row>
    <row r="53" spans="1:17" x14ac:dyDescent="0.2">
      <c r="A53" t="s">
        <v>659</v>
      </c>
      <c r="B53" s="487">
        <v>23386389.059999999</v>
      </c>
      <c r="C53" s="488" t="s">
        <v>706</v>
      </c>
      <c r="D53" s="489">
        <v>35007</v>
      </c>
      <c r="E53" s="490">
        <v>10.556098932381175</v>
      </c>
      <c r="F53" s="491">
        <v>668.04893478447161</v>
      </c>
      <c r="G53" s="352">
        <v>0.58766588727139524</v>
      </c>
      <c r="H53" s="352">
        <f>G53*'Assumptions-Output Target'!$D$10/'Assumptions-Output Target'!$D$5</f>
        <v>0.99308034614406493</v>
      </c>
      <c r="I53" s="352">
        <f>H53*(1+'Assumptions-Output Target'!$F$39)</f>
        <v>0.70160865195166511</v>
      </c>
      <c r="J53">
        <f>IF(ISERROR(VLOOKUP($A53,'Add-In_List'!$C:$D,2,0)),0,VLOOKUP($A53,'Add-In_List'!$C:$D,2,0))</f>
        <v>0</v>
      </c>
      <c r="K53" s="310">
        <f>F53*'Assumptions-Output Target'!$D$22</f>
        <v>203.52506408058269</v>
      </c>
      <c r="M53" s="352">
        <f t="shared" si="3"/>
        <v>334.02446739223581</v>
      </c>
      <c r="N53" s="352">
        <f t="shared" si="3"/>
        <v>250.51835054417685</v>
      </c>
      <c r="O53" s="352">
        <f t="shared" si="3"/>
        <v>66.80489347844717</v>
      </c>
      <c r="P53" s="352">
        <f t="shared" si="3"/>
        <v>16.701223369611792</v>
      </c>
      <c r="Q53" s="479">
        <f t="shared" si="2"/>
        <v>668.04893478447161</v>
      </c>
    </row>
    <row r="54" spans="1:17" x14ac:dyDescent="0.2">
      <c r="A54" t="s">
        <v>665</v>
      </c>
      <c r="B54" s="487">
        <v>17204580.289999999</v>
      </c>
      <c r="C54" s="488" t="s">
        <v>706</v>
      </c>
      <c r="D54" s="489">
        <v>49441</v>
      </c>
      <c r="E54" s="490">
        <v>14.908563639153819</v>
      </c>
      <c r="F54" s="491">
        <v>347.98204506381342</v>
      </c>
      <c r="G54" s="352">
        <v>0.43232603867639618</v>
      </c>
      <c r="H54" s="352">
        <f>G54*'Assumptions-Output Target'!$D$10/'Assumptions-Output Target'!$D$5</f>
        <v>0.73057582792375553</v>
      </c>
      <c r="I54" s="352">
        <f>H54*(1+'Assumptions-Output Target'!$F$39)</f>
        <v>0.51614990042678655</v>
      </c>
      <c r="J54">
        <f>IF(ISERROR(VLOOKUP($A54,'Add-In_List'!$C:$D,2,0)),0,VLOOKUP($A54,'Add-In_List'!$C:$D,2,0))</f>
        <v>0</v>
      </c>
      <c r="K54" s="310">
        <f>F54*'Assumptions-Output Target'!$D$22</f>
        <v>106.01479073288851</v>
      </c>
      <c r="M54" s="352">
        <f t="shared" si="3"/>
        <v>173.99102253190671</v>
      </c>
      <c r="N54" s="352">
        <f t="shared" si="3"/>
        <v>130.49326689893002</v>
      </c>
      <c r="O54" s="352">
        <f t="shared" si="3"/>
        <v>34.798204506381346</v>
      </c>
      <c r="P54" s="352">
        <f t="shared" si="3"/>
        <v>8.6995511265953365</v>
      </c>
      <c r="Q54" s="479">
        <f t="shared" si="2"/>
        <v>347.98204506381342</v>
      </c>
    </row>
    <row r="55" spans="1:17" x14ac:dyDescent="0.2">
      <c r="A55" t="s">
        <v>633</v>
      </c>
      <c r="B55" s="487">
        <v>232067078.379998</v>
      </c>
      <c r="C55" s="488" t="s">
        <v>707</v>
      </c>
      <c r="D55" s="489">
        <v>3362</v>
      </c>
      <c r="E55" s="490">
        <v>1.0137859459726772</v>
      </c>
      <c r="F55" s="491">
        <v>69026.495651397388</v>
      </c>
      <c r="G55" s="352">
        <v>5.8315075992608989</v>
      </c>
      <c r="H55" s="352">
        <f>G55*'Assumptions-Output Target'!$D$10/'Assumptions-Output Target'!$D$5</f>
        <v>9.8545035719272462</v>
      </c>
      <c r="I55" s="352">
        <f>H55*(1+'Assumptions-Output Target'!$F$39)</f>
        <v>6.9621808483054384</v>
      </c>
      <c r="J55">
        <f>IF(ISERROR(VLOOKUP($A55,'Add-In_List'!$C:$D,2,0)),0,VLOOKUP($A55,'Add-In_List'!$C:$D,2,0))</f>
        <v>1</v>
      </c>
      <c r="K55" s="310">
        <f>F55*'Assumptions-Output Target'!$D$22</f>
        <v>21029.330666085312</v>
      </c>
      <c r="M55" s="352">
        <f t="shared" si="3"/>
        <v>34513.247825698694</v>
      </c>
      <c r="N55" s="352">
        <f t="shared" si="3"/>
        <v>25884.935869274021</v>
      </c>
      <c r="O55" s="352">
        <f t="shared" si="3"/>
        <v>6902.649565139739</v>
      </c>
      <c r="P55" s="352">
        <f t="shared" si="3"/>
        <v>1725.6623912849348</v>
      </c>
      <c r="Q55" s="479">
        <f t="shared" si="2"/>
        <v>69026.495651397388</v>
      </c>
    </row>
    <row r="56" spans="1:17" x14ac:dyDescent="0.2">
      <c r="A56" t="s">
        <v>660</v>
      </c>
      <c r="B56" s="487">
        <v>22154432.539999899</v>
      </c>
      <c r="C56" s="488" t="s">
        <v>707</v>
      </c>
      <c r="D56" s="489">
        <v>1340</v>
      </c>
      <c r="E56" s="490">
        <v>0.40406697430201893</v>
      </c>
      <c r="F56" s="491">
        <v>16533.158611940224</v>
      </c>
      <c r="G56" s="352">
        <v>0.55670861466517108</v>
      </c>
      <c r="H56" s="352">
        <f>G56*'Assumptions-Output Target'!$D$10/'Assumptions-Output Target'!$D$5</f>
        <v>0.94076650649240678</v>
      </c>
      <c r="I56" s="352">
        <f>H56*(1+'Assumptions-Output Target'!$F$39)</f>
        <v>0.66464906186519412</v>
      </c>
      <c r="J56">
        <f>IF(ISERROR(VLOOKUP($A56,'Add-In_List'!$C:$D,2,0)),0,VLOOKUP($A56,'Add-In_List'!$C:$D,2,0))</f>
        <v>0</v>
      </c>
      <c r="K56" s="310">
        <f>F56*'Assumptions-Output Target'!$D$22</f>
        <v>5036.9246783323915</v>
      </c>
      <c r="M56" s="352">
        <f t="shared" si="3"/>
        <v>8266.5793059701118</v>
      </c>
      <c r="N56" s="352">
        <f t="shared" si="3"/>
        <v>6199.9344794775843</v>
      </c>
      <c r="O56" s="352">
        <f t="shared" si="3"/>
        <v>1653.3158611940225</v>
      </c>
      <c r="P56" s="352">
        <f t="shared" si="3"/>
        <v>413.32896529850564</v>
      </c>
      <c r="Q56" s="479">
        <f t="shared" si="2"/>
        <v>16533.158611940224</v>
      </c>
    </row>
    <row r="57" spans="1:17" x14ac:dyDescent="0.2">
      <c r="A57" t="s">
        <v>683</v>
      </c>
      <c r="B57" s="487">
        <v>1324807.7</v>
      </c>
      <c r="C57" s="488" t="s">
        <v>710</v>
      </c>
      <c r="D57" s="489">
        <v>639</v>
      </c>
      <c r="E57" s="490">
        <v>0.19268566908879856</v>
      </c>
      <c r="F57" s="491">
        <v>2073.2514866979654</v>
      </c>
      <c r="G57" s="352">
        <v>3.3290487491978653E-2</v>
      </c>
      <c r="H57" s="352">
        <f>G57*'Assumptions-Output Target'!$D$10/'Assumptions-Output Target'!$D$5</f>
        <v>5.6256675022164478E-2</v>
      </c>
      <c r="I57" s="352">
        <f>H57*(1+'Assumptions-Output Target'!$F$39)</f>
        <v>3.9745192902909232E-2</v>
      </c>
      <c r="J57">
        <f>IF(ISERROR(VLOOKUP($A57,'Add-In_List'!$C:$D,2,0)),0,VLOOKUP($A57,'Add-In_List'!$C:$D,2,0))</f>
        <v>0</v>
      </c>
      <c r="K57" s="310">
        <f>F57*'Assumptions-Output Target'!$D$22</f>
        <v>631.6283429469139</v>
      </c>
      <c r="M57" s="352">
        <f t="shared" si="3"/>
        <v>1036.6257433489827</v>
      </c>
      <c r="N57" s="352">
        <f t="shared" si="3"/>
        <v>777.46930751173704</v>
      </c>
      <c r="O57" s="352">
        <f t="shared" si="3"/>
        <v>207.32514866979656</v>
      </c>
      <c r="P57" s="352">
        <f t="shared" si="3"/>
        <v>51.83128716744914</v>
      </c>
      <c r="Q57" s="479">
        <f t="shared" si="2"/>
        <v>2073.2514866979654</v>
      </c>
    </row>
    <row r="58" spans="1:17" x14ac:dyDescent="0.2">
      <c r="A58" t="s">
        <v>630</v>
      </c>
      <c r="B58" s="487">
        <v>392614232.44999999</v>
      </c>
      <c r="C58" s="488" t="s">
        <v>710</v>
      </c>
      <c r="D58" s="489">
        <v>48239</v>
      </c>
      <c r="E58" s="490">
        <v>14.546109532354544</v>
      </c>
      <c r="F58" s="491">
        <v>8138.9380470158994</v>
      </c>
      <c r="G58" s="352">
        <v>9.8658236924117553</v>
      </c>
      <c r="H58" s="352">
        <f>G58*'Assumptions-Output Target'!$D$10/'Assumptions-Output Target'!$D$5</f>
        <v>16.671982872696312</v>
      </c>
      <c r="I58" s="352">
        <f>H58*(1+'Assumptions-Output Target'!$F$39)</f>
        <v>11.778712038851296</v>
      </c>
      <c r="J58">
        <f>IF(ISERROR(VLOOKUP($A58,'Add-In_List'!$C:$D,2,0)),0,VLOOKUP($A58,'Add-In_List'!$C:$D,2,0))</f>
        <v>0</v>
      </c>
      <c r="K58" s="310">
        <f>F58*'Assumptions-Output Target'!$D$22</f>
        <v>2479.5756737509391</v>
      </c>
      <c r="M58" s="352">
        <f t="shared" si="3"/>
        <v>4069.4690235079497</v>
      </c>
      <c r="N58" s="352">
        <f t="shared" si="3"/>
        <v>3052.1017676309621</v>
      </c>
      <c r="O58" s="352">
        <f t="shared" si="3"/>
        <v>813.89380470158994</v>
      </c>
      <c r="P58" s="352">
        <f t="shared" si="3"/>
        <v>203.47345117539749</v>
      </c>
      <c r="Q58" s="479">
        <f t="shared" si="2"/>
        <v>8138.9380470158994</v>
      </c>
    </row>
    <row r="59" spans="1:17" x14ac:dyDescent="0.2">
      <c r="A59" t="s">
        <v>656</v>
      </c>
      <c r="B59" s="487">
        <v>31150204.719999801</v>
      </c>
      <c r="C59" s="488" t="s">
        <v>707</v>
      </c>
      <c r="D59" s="489">
        <v>4636</v>
      </c>
      <c r="E59" s="490">
        <v>1.397951114077731</v>
      </c>
      <c r="F59" s="491">
        <v>6719.1986022432702</v>
      </c>
      <c r="G59" s="352">
        <v>0.78275926430962606</v>
      </c>
      <c r="H59" s="352">
        <f>G59*'Assumptions-Output Target'!$D$10/'Assumptions-Output Target'!$D$5</f>
        <v>1.3227632537212177</v>
      </c>
      <c r="I59" s="352">
        <f>H59*(1+'Assumptions-Output Target'!$F$39)</f>
        <v>0.93452875882402087</v>
      </c>
      <c r="J59">
        <f>IF(ISERROR(VLOOKUP($A59,'Add-In_List'!$C:$D,2,0)),0,VLOOKUP($A59,'Add-In_List'!$C:$D,2,0))</f>
        <v>1</v>
      </c>
      <c r="K59" s="310">
        <f>F59*'Assumptions-Output Target'!$D$22</f>
        <v>2047.0436443894926</v>
      </c>
      <c r="M59" s="352">
        <f t="shared" si="3"/>
        <v>3359.5993011216351</v>
      </c>
      <c r="N59" s="352">
        <f t="shared" si="3"/>
        <v>2519.6994758412266</v>
      </c>
      <c r="O59" s="352">
        <f t="shared" si="3"/>
        <v>671.91986022432707</v>
      </c>
      <c r="P59" s="352">
        <f t="shared" si="3"/>
        <v>167.97996505608177</v>
      </c>
      <c r="Q59" s="479">
        <f t="shared" si="2"/>
        <v>6719.1986022432702</v>
      </c>
    </row>
    <row r="60" spans="1:17" x14ac:dyDescent="0.2">
      <c r="A60" t="s">
        <v>658</v>
      </c>
      <c r="B60" s="487">
        <v>23509248.809999902</v>
      </c>
      <c r="C60" s="488" t="s">
        <v>707</v>
      </c>
      <c r="D60" s="489">
        <v>4470</v>
      </c>
      <c r="E60" s="490">
        <v>1.3478950560671825</v>
      </c>
      <c r="F60" s="491">
        <v>5259.3397785234683</v>
      </c>
      <c r="G60" s="352">
        <v>0.59075317380410441</v>
      </c>
      <c r="H60" s="352">
        <f>G60*'Assumptions-Output Target'!$D$10/'Assumptions-Output Target'!$D$5</f>
        <v>0.99829746635634109</v>
      </c>
      <c r="I60" s="352">
        <f>H60*(1+'Assumptions-Output Target'!$F$39)</f>
        <v>0.70529453365642081</v>
      </c>
      <c r="J60">
        <f>J42</f>
        <v>1</v>
      </c>
      <c r="K60" s="310">
        <f>F60*'Assumptions-Output Target'!$D$22</f>
        <v>1602.2890086500704</v>
      </c>
      <c r="M60" s="352">
        <f t="shared" si="3"/>
        <v>2629.6698892617342</v>
      </c>
      <c r="N60" s="352">
        <f t="shared" si="3"/>
        <v>1972.2524169463006</v>
      </c>
      <c r="O60" s="352">
        <f t="shared" si="3"/>
        <v>525.93397785234686</v>
      </c>
      <c r="P60" s="352">
        <f t="shared" si="3"/>
        <v>131.48349446308671</v>
      </c>
      <c r="Q60" s="479">
        <f t="shared" si="2"/>
        <v>5259.3397785234683</v>
      </c>
    </row>
    <row r="61" spans="1:17" x14ac:dyDescent="0.2">
      <c r="A61" t="s">
        <v>650</v>
      </c>
      <c r="B61" s="487">
        <v>49641817.2000001</v>
      </c>
      <c r="C61" s="488" t="s">
        <v>707</v>
      </c>
      <c r="D61" s="489">
        <v>5247</v>
      </c>
      <c r="E61" s="490">
        <v>1.5821935926587263</v>
      </c>
      <c r="F61" s="491">
        <v>9460.9905088622254</v>
      </c>
      <c r="G61" s="352">
        <v>1.247426546943903</v>
      </c>
      <c r="H61" s="352">
        <f>G61*'Assumptions-Output Target'!$D$10/'Assumptions-Output Target'!$D$5</f>
        <v>2.1079916562457335</v>
      </c>
      <c r="I61" s="352">
        <f>H61*(1+'Assumptions-Output Target'!$F$39)</f>
        <v>1.4892905594260673</v>
      </c>
      <c r="J61">
        <f>IF(ISERROR(VLOOKUP($A61,'Add-In_List'!$C:$D,2,0)),0,VLOOKUP($A61,'Add-In_List'!$C:$D,2,0))</f>
        <v>1</v>
      </c>
      <c r="K61" s="310">
        <f>F61*'Assumptions-Output Target'!$D$22</f>
        <v>2882.3467852743402</v>
      </c>
      <c r="M61" s="352">
        <f t="shared" si="3"/>
        <v>4730.4952544311127</v>
      </c>
      <c r="N61" s="352">
        <f t="shared" si="3"/>
        <v>3547.8714408233345</v>
      </c>
      <c r="O61" s="352">
        <f t="shared" si="3"/>
        <v>946.09905088622259</v>
      </c>
      <c r="P61" s="352">
        <f t="shared" si="3"/>
        <v>236.52476272155565</v>
      </c>
      <c r="Q61" s="479">
        <f t="shared" si="2"/>
        <v>9460.9905088622272</v>
      </c>
    </row>
    <row r="62" spans="1:17" x14ac:dyDescent="0.2">
      <c r="A62" t="s">
        <v>635</v>
      </c>
      <c r="B62" s="487">
        <v>181873709.97000101</v>
      </c>
      <c r="C62" s="488" t="s">
        <v>707</v>
      </c>
      <c r="D62" s="489">
        <v>12046</v>
      </c>
      <c r="E62" s="490">
        <v>3.6323811734642684</v>
      </c>
      <c r="F62" s="491">
        <v>15098.265811887848</v>
      </c>
      <c r="G62" s="352">
        <v>4.5702213739217186</v>
      </c>
      <c r="H62" s="352">
        <f>G62*'Assumptions-Output Target'!$D$10/'Assumptions-Output Target'!$D$5</f>
        <v>7.7230908280935733</v>
      </c>
      <c r="I62" s="352">
        <f>H62*(1+'Assumptions-Output Target'!$F$39)</f>
        <v>5.456343352114768</v>
      </c>
      <c r="J62">
        <f>IF(ISERROR(VLOOKUP($A62,'Add-In_List'!$C:$D,2,0)),0,VLOOKUP($A62,'Add-In_List'!$C:$D,2,0))</f>
        <v>1</v>
      </c>
      <c r="K62" s="310">
        <f>F62*'Assumptions-Output Target'!$D$22</f>
        <v>4599.7760895487809</v>
      </c>
      <c r="M62" s="352">
        <f t="shared" si="3"/>
        <v>7549.132905943924</v>
      </c>
      <c r="N62" s="352">
        <f t="shared" si="3"/>
        <v>5661.8496794579432</v>
      </c>
      <c r="O62" s="352">
        <f t="shared" si="3"/>
        <v>1509.826581188785</v>
      </c>
      <c r="P62" s="352">
        <f t="shared" si="3"/>
        <v>377.45664529719625</v>
      </c>
      <c r="Q62" s="479">
        <f t="shared" si="2"/>
        <v>15098.265811887848</v>
      </c>
    </row>
    <row r="63" spans="1:17" x14ac:dyDescent="0.2">
      <c r="A63" t="s">
        <v>661</v>
      </c>
      <c r="B63" s="487">
        <v>19274909.66</v>
      </c>
      <c r="C63" s="488" t="s">
        <v>706</v>
      </c>
      <c r="D63" s="489">
        <v>18343</v>
      </c>
      <c r="E63" s="490">
        <v>5.5311944101656216</v>
      </c>
      <c r="F63" s="491">
        <v>1050.8046480946409</v>
      </c>
      <c r="G63" s="352">
        <v>0.48435039964309429</v>
      </c>
      <c r="H63" s="352">
        <f>G63*'Assumptions-Output Target'!$D$10/'Assumptions-Output Target'!$D$5</f>
        <v>0.81849035812835247</v>
      </c>
      <c r="I63" s="352">
        <f>H63*(1+'Assumptions-Output Target'!$F$39)</f>
        <v>0.57826128473049232</v>
      </c>
      <c r="J63">
        <f>IF(ISERROR(VLOOKUP($A63,'Add-In_List'!$C:$D,2,0)),0,VLOOKUP($A63,'Add-In_List'!$C:$D,2,0))</f>
        <v>0</v>
      </c>
      <c r="K63" s="310">
        <f>F63*'Assumptions-Output Target'!$D$22</f>
        <v>320.13385876984279</v>
      </c>
      <c r="M63" s="352">
        <f t="shared" si="3"/>
        <v>525.40232404732046</v>
      </c>
      <c r="N63" s="352">
        <f t="shared" si="3"/>
        <v>394.05174303549035</v>
      </c>
      <c r="O63" s="352">
        <f t="shared" si="3"/>
        <v>105.0804648094641</v>
      </c>
      <c r="P63" s="352">
        <f t="shared" si="3"/>
        <v>26.270116202366026</v>
      </c>
      <c r="Q63" s="479">
        <f t="shared" si="2"/>
        <v>1050.8046480946409</v>
      </c>
    </row>
    <row r="64" spans="1:17" x14ac:dyDescent="0.2">
      <c r="A64" t="s">
        <v>653</v>
      </c>
      <c r="B64" s="487">
        <v>36086848.600000203</v>
      </c>
      <c r="C64" s="488" t="s">
        <v>706</v>
      </c>
      <c r="D64" s="489">
        <v>319027</v>
      </c>
      <c r="E64" s="490">
        <v>96.200204933321046</v>
      </c>
      <c r="F64" s="491">
        <v>113.11534321546516</v>
      </c>
      <c r="G64" s="352">
        <v>0.90680993320255776</v>
      </c>
      <c r="H64" s="352">
        <f>G64*'Assumptions-Output Target'!$D$10/'Assumptions-Output Target'!$D$5</f>
        <v>1.532393051658941</v>
      </c>
      <c r="I64" s="352">
        <f>H64*(1+'Assumptions-Output Target'!$F$39)</f>
        <v>1.0826316595722445</v>
      </c>
      <c r="J64">
        <f>IF(ISERROR(VLOOKUP($A64,'Add-In_List'!$C:$D,2,0)),0,VLOOKUP($A64,'Add-In_List'!$C:$D,2,0))</f>
        <v>0</v>
      </c>
      <c r="K64" s="310">
        <f>F64*'Assumptions-Output Target'!$D$22</f>
        <v>34.461259164872452</v>
      </c>
      <c r="M64" s="352">
        <f t="shared" si="3"/>
        <v>56.55767160773258</v>
      </c>
      <c r="N64" s="352">
        <f t="shared" si="3"/>
        <v>42.418253705799437</v>
      </c>
      <c r="O64" s="352">
        <f t="shared" si="3"/>
        <v>11.311534321546517</v>
      </c>
      <c r="P64" s="352">
        <f t="shared" si="3"/>
        <v>2.8278835803866293</v>
      </c>
      <c r="Q64" s="479">
        <f t="shared" si="2"/>
        <v>113.11534321546516</v>
      </c>
    </row>
    <row r="65" spans="1:17" x14ac:dyDescent="0.2">
      <c r="A65" t="s">
        <v>652</v>
      </c>
      <c r="B65" s="487">
        <v>44645417.8299997</v>
      </c>
      <c r="C65" s="488" t="s">
        <v>707</v>
      </c>
      <c r="D65" s="489">
        <v>1677</v>
      </c>
      <c r="E65" s="490">
        <v>0.50568680291379531</v>
      </c>
      <c r="F65" s="491">
        <v>26622.193100775014</v>
      </c>
      <c r="G65" s="352">
        <v>1.1218743096403847</v>
      </c>
      <c r="H65" s="352">
        <f>G65*'Assumptions-Output Target'!$D$10/'Assumptions-Output Target'!$D$5</f>
        <v>1.8958243993381387</v>
      </c>
      <c r="I65" s="352">
        <f>H65*(1+'Assumptions-Output Target'!$F$39)</f>
        <v>1.3393949505911851</v>
      </c>
      <c r="J65">
        <f>J8</f>
        <v>1</v>
      </c>
      <c r="K65" s="310">
        <f>F65*'Assumptions-Output Target'!$D$22</f>
        <v>8110.608781299753</v>
      </c>
      <c r="M65" s="352">
        <f t="shared" si="3"/>
        <v>13311.096550387507</v>
      </c>
      <c r="N65" s="352">
        <f t="shared" si="3"/>
        <v>9983.3224127906306</v>
      </c>
      <c r="O65" s="352">
        <f t="shared" si="3"/>
        <v>2662.2193100775016</v>
      </c>
      <c r="P65" s="352">
        <f t="shared" si="3"/>
        <v>665.55482751937541</v>
      </c>
      <c r="Q65" s="479">
        <f t="shared" si="2"/>
        <v>26622.193100775014</v>
      </c>
    </row>
    <row r="66" spans="1:17" ht="16" thickBot="1" x14ac:dyDescent="0.25">
      <c r="F66" s="479"/>
      <c r="G66" s="352"/>
    </row>
    <row r="67" spans="1:17" ht="16" thickTop="1" x14ac:dyDescent="0.2">
      <c r="A67" s="494" t="s">
        <v>445</v>
      </c>
      <c r="B67" s="495">
        <v>4165667612.5299897</v>
      </c>
      <c r="C67" s="496"/>
      <c r="D67" s="497">
        <v>3894776</v>
      </c>
      <c r="E67" s="498">
        <v>1174.4405626150149</v>
      </c>
      <c r="F67" s="495">
        <v>1069.552552580685</v>
      </c>
      <c r="G67" s="499">
        <v>104.67715846659874</v>
      </c>
      <c r="H67" s="499">
        <f>SUM(H4:H65)</f>
        <v>176.89103794343538</v>
      </c>
      <c r="I67" s="499">
        <f>SUM(I4:I65)</f>
        <v>124.97305294149916</v>
      </c>
      <c r="M67" s="499">
        <f>SUM(M4:M65)</f>
        <v>445973.83416502702</v>
      </c>
      <c r="N67" s="499">
        <f>SUM(N4:N65)</f>
        <v>334480.37562377017</v>
      </c>
      <c r="O67" s="499">
        <f>SUM(O4:O65)</f>
        <v>89194.766833005415</v>
      </c>
      <c r="P67" s="499">
        <f>SUM(P4:P65)</f>
        <v>22298.691708251354</v>
      </c>
      <c r="Q67" s="499">
        <f>SUM(Q4:Q65)</f>
        <v>891947.66833005403</v>
      </c>
    </row>
    <row r="68" spans="1:17" x14ac:dyDescent="0.2">
      <c r="A68" s="320" t="s">
        <v>712</v>
      </c>
      <c r="B68" s="500">
        <v>0.26567182315802035</v>
      </c>
      <c r="C68" s="500"/>
      <c r="D68" s="500"/>
      <c r="E68" s="455"/>
      <c r="F68" s="430"/>
      <c r="G68" s="500">
        <v>0.26567182315802035</v>
      </c>
      <c r="H68" s="500">
        <v>0.26567182315802035</v>
      </c>
      <c r="I68" s="500">
        <f>I67/H67-1</f>
        <v>-0.29350263080336536</v>
      </c>
      <c r="M68" s="500" t="e">
        <f>M67/L67-1</f>
        <v>#DIV/0!</v>
      </c>
      <c r="N68" s="500">
        <f>N67/$M67-1</f>
        <v>-0.25000000000000022</v>
      </c>
      <c r="O68" s="500">
        <f>O67/N67-1</f>
        <v>-0.73333333333333317</v>
      </c>
      <c r="P68" s="500">
        <f>P67/O67-1</f>
        <v>-0.75</v>
      </c>
      <c r="Q68" s="500">
        <f>Q67/P67-1</f>
        <v>38.999999999999993</v>
      </c>
    </row>
    <row r="69" spans="1:17" ht="16" thickBot="1" x14ac:dyDescent="0.25"/>
    <row r="70" spans="1:17" ht="16" thickTop="1" x14ac:dyDescent="0.2">
      <c r="A70" s="494" t="s">
        <v>713</v>
      </c>
      <c r="B70" s="495">
        <v>11514081797.900602</v>
      </c>
      <c r="C70" s="501"/>
      <c r="D70" s="497">
        <v>194611482</v>
      </c>
      <c r="E70" s="498"/>
      <c r="F70" s="501"/>
      <c r="G70" s="499">
        <v>289.33210161341083</v>
      </c>
      <c r="H70" s="499">
        <f>G70*'Assumptions-Output Target'!$D$10/'Assumptions-Output Target'!$D$5</f>
        <v>488.93432449336871</v>
      </c>
      <c r="I70" s="499">
        <f>H70</f>
        <v>488.93432449336871</v>
      </c>
      <c r="M70" s="499">
        <f>L70</f>
        <v>0</v>
      </c>
      <c r="N70" s="499">
        <f>M70</f>
        <v>0</v>
      </c>
      <c r="O70" s="499">
        <f>N70</f>
        <v>0</v>
      </c>
      <c r="P70" s="499">
        <f>O70</f>
        <v>0</v>
      </c>
      <c r="Q70" s="499">
        <f>P70</f>
        <v>0</v>
      </c>
    </row>
    <row r="71" spans="1:17" ht="16" thickBot="1" x14ac:dyDescent="0.25">
      <c r="J71" s="502"/>
    </row>
    <row r="72" spans="1:17" ht="16" thickTop="1" x14ac:dyDescent="0.2">
      <c r="A72" s="494" t="s">
        <v>403</v>
      </c>
      <c r="B72" s="495">
        <v>15679749410.430592</v>
      </c>
      <c r="C72" s="501"/>
      <c r="D72" s="497"/>
      <c r="E72" s="498"/>
      <c r="F72" s="501"/>
      <c r="G72" s="499">
        <v>394.00926008000954</v>
      </c>
      <c r="H72" s="499">
        <f>H67:I67+H70</f>
        <v>665.82536243680408</v>
      </c>
      <c r="I72" s="499">
        <f>I67:J67+I70</f>
        <v>613.90737743486784</v>
      </c>
      <c r="M72" s="499">
        <f>M67+M70</f>
        <v>445973.83416502702</v>
      </c>
      <c r="N72" s="499">
        <f>N67+N70</f>
        <v>334480.37562377017</v>
      </c>
      <c r="O72" s="499">
        <f>O67+O70</f>
        <v>89194.766833005415</v>
      </c>
      <c r="P72" s="499">
        <f>P67+P70</f>
        <v>22298.691708251354</v>
      </c>
      <c r="Q72" s="499">
        <f>Q67+Q70</f>
        <v>891947.66833005403</v>
      </c>
    </row>
    <row r="73" spans="1:17" ht="16" thickBot="1" x14ac:dyDescent="0.25">
      <c r="I73" s="500">
        <f>I72/H72-1</f>
        <v>-7.7975379027205416E-2</v>
      </c>
      <c r="M73" s="500" t="e">
        <f>M72/L72-1</f>
        <v>#DIV/0!</v>
      </c>
      <c r="N73" s="500">
        <f>N72/M72-1</f>
        <v>-0.25000000000000022</v>
      </c>
      <c r="O73" s="500">
        <f>O72/N72-1</f>
        <v>-0.73333333333333317</v>
      </c>
      <c r="P73" s="500">
        <f>P72/O72-1</f>
        <v>-0.75</v>
      </c>
      <c r="Q73" s="500">
        <f>Q72/P72-1</f>
        <v>38.999999999999993</v>
      </c>
    </row>
    <row r="74" spans="1:17" ht="16" thickTop="1" x14ac:dyDescent="0.2">
      <c r="A74" s="494" t="s">
        <v>623</v>
      </c>
      <c r="B74" s="495">
        <f>SUMPRODUCT(B$4:B$65,$J$4:$J$65)</f>
        <v>1990760913.1899855</v>
      </c>
      <c r="C74" s="496"/>
      <c r="D74" s="497">
        <f t="shared" ref="D74:I74" si="4">SUMPRODUCT(D$4:D$65,$J$4:$J$65)</f>
        <v>136961</v>
      </c>
      <c r="E74" s="498">
        <f t="shared" si="4"/>
        <v>41.299564826402083</v>
      </c>
      <c r="F74" s="495"/>
      <c r="G74" s="499">
        <f t="shared" si="4"/>
        <v>50.024921564141891</v>
      </c>
      <c r="H74" s="499">
        <f t="shared" si="4"/>
        <v>84.53573280118799</v>
      </c>
      <c r="I74" s="499">
        <f t="shared" si="4"/>
        <v>59.724272827148965</v>
      </c>
    </row>
    <row r="75" spans="1:17" x14ac:dyDescent="0.2">
      <c r="B75" s="500">
        <f>B74/B67</f>
        <v>0.47789720600893321</v>
      </c>
    </row>
    <row r="76" spans="1:17" ht="46" x14ac:dyDescent="0.25">
      <c r="A76" s="503" t="s">
        <v>853</v>
      </c>
      <c r="M76" s="486" t="s">
        <v>702</v>
      </c>
      <c r="N76" s="486" t="s">
        <v>703</v>
      </c>
      <c r="O76" s="486" t="s">
        <v>704</v>
      </c>
      <c r="P76" s="486" t="s">
        <v>705</v>
      </c>
      <c r="Q76" s="486" t="s">
        <v>403</v>
      </c>
    </row>
    <row r="77" spans="1:17" x14ac:dyDescent="0.2">
      <c r="L77" t="s">
        <v>714</v>
      </c>
      <c r="M77" s="479">
        <f t="shared" ref="M77:P79" si="5">M$2*$F77</f>
        <v>0</v>
      </c>
      <c r="N77" s="479">
        <f t="shared" si="5"/>
        <v>0</v>
      </c>
      <c r="O77" s="479">
        <f t="shared" si="5"/>
        <v>0</v>
      </c>
      <c r="P77" s="479">
        <f t="shared" si="5"/>
        <v>0</v>
      </c>
      <c r="Q77" s="479">
        <f>SUM(M77:P77)</f>
        <v>0</v>
      </c>
    </row>
    <row r="78" spans="1:17" x14ac:dyDescent="0.2">
      <c r="L78" t="s">
        <v>715</v>
      </c>
      <c r="M78" s="479">
        <f t="shared" si="5"/>
        <v>0</v>
      </c>
      <c r="N78" s="479">
        <f t="shared" si="5"/>
        <v>0</v>
      </c>
      <c r="O78" s="479">
        <f t="shared" si="5"/>
        <v>0</v>
      </c>
      <c r="P78" s="479">
        <f t="shared" si="5"/>
        <v>0</v>
      </c>
      <c r="Q78" s="479">
        <f>SUM(M78:P78)</f>
        <v>0</v>
      </c>
    </row>
    <row r="79" spans="1:17" x14ac:dyDescent="0.2">
      <c r="L79" t="s">
        <v>716</v>
      </c>
      <c r="M79" s="479">
        <f t="shared" si="5"/>
        <v>0</v>
      </c>
      <c r="N79" s="479">
        <f t="shared" si="5"/>
        <v>0</v>
      </c>
      <c r="O79" s="479">
        <f t="shared" si="5"/>
        <v>0</v>
      </c>
      <c r="P79" s="479">
        <f t="shared" si="5"/>
        <v>0</v>
      </c>
      <c r="Q79" s="479">
        <f>SUM(M79:P79)</f>
        <v>0</v>
      </c>
    </row>
    <row r="82" spans="2:2" x14ac:dyDescent="0.2">
      <c r="B82" s="502"/>
    </row>
  </sheetData>
  <autoFilter ref="A3:I65"/>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enableFormatConditionsCalculation="0">
    <pageSetUpPr fitToPage="1"/>
  </sheetPr>
  <dimension ref="A2:L64"/>
  <sheetViews>
    <sheetView zoomScale="85" zoomScaleNormal="85" zoomScalePageLayoutView="85" workbookViewId="0"/>
  </sheetViews>
  <sheetFormatPr baseColWidth="10" defaultColWidth="8.83203125" defaultRowHeight="15" outlineLevelCol="1" x14ac:dyDescent="0.2"/>
  <cols>
    <col min="1" max="1" width="56.1640625" style="90" customWidth="1"/>
    <col min="2" max="2" width="14.1640625" style="90" hidden="1" customWidth="1" outlineLevel="1"/>
    <col min="3" max="3" width="12.33203125" style="90" customWidth="1" collapsed="1"/>
    <col min="4" max="4" width="10" style="90" hidden="1" customWidth="1" outlineLevel="1"/>
    <col min="5" max="5" width="11.83203125" style="90" customWidth="1" collapsed="1"/>
    <col min="6" max="10" width="11.83203125" style="90" customWidth="1"/>
    <col min="11" max="16384" width="8.83203125" style="90"/>
  </cols>
  <sheetData>
    <row r="2" spans="1:12" ht="30" x14ac:dyDescent="0.2">
      <c r="A2" s="504" t="s">
        <v>717</v>
      </c>
      <c r="B2" s="505" t="s">
        <v>695</v>
      </c>
      <c r="C2" s="505" t="s">
        <v>696</v>
      </c>
      <c r="D2" s="505" t="s">
        <v>697</v>
      </c>
      <c r="E2" s="506" t="s">
        <v>306</v>
      </c>
      <c r="F2" s="505" t="s">
        <v>698</v>
      </c>
      <c r="G2" s="507" t="s">
        <v>400</v>
      </c>
      <c r="H2" s="507" t="s">
        <v>699</v>
      </c>
      <c r="I2" s="507" t="s">
        <v>700</v>
      </c>
      <c r="J2" s="505" t="s">
        <v>701</v>
      </c>
      <c r="K2" s="90" t="s">
        <v>718</v>
      </c>
      <c r="L2" s="90" t="s">
        <v>719</v>
      </c>
    </row>
    <row r="3" spans="1:12" x14ac:dyDescent="0.2">
      <c r="A3" t="s">
        <v>673</v>
      </c>
      <c r="B3" s="487">
        <v>12410687.84</v>
      </c>
      <c r="C3" s="488" t="s">
        <v>707</v>
      </c>
      <c r="D3" s="489">
        <v>1333</v>
      </c>
      <c r="E3" s="490">
        <v>0.40195617667506806</v>
      </c>
      <c r="F3" s="491">
        <v>9310.3434658664664</v>
      </c>
      <c r="G3" s="352">
        <v>0.31186250525594889</v>
      </c>
      <c r="H3" s="352">
        <v>0.3561815466451293</v>
      </c>
      <c r="I3" s="352">
        <v>0.25229258961597495</v>
      </c>
      <c r="J3" s="310">
        <v>4655.1717329332332</v>
      </c>
      <c r="L3" s="90" t="s">
        <v>720</v>
      </c>
    </row>
    <row r="4" spans="1:12" x14ac:dyDescent="0.2">
      <c r="A4" t="s">
        <v>649</v>
      </c>
      <c r="B4" s="487">
        <v>50606937.309999503</v>
      </c>
      <c r="C4" s="488" t="s">
        <v>707</v>
      </c>
      <c r="D4" s="489">
        <v>2703</v>
      </c>
      <c r="E4" s="490">
        <v>0.81506942652116199</v>
      </c>
      <c r="F4" s="491">
        <v>18722.507328893636</v>
      </c>
      <c r="G4" s="352">
        <v>1.2716786092999659</v>
      </c>
      <c r="H4" s="352">
        <v>1.4523979197956143</v>
      </c>
      <c r="I4" s="352">
        <v>1.0287709618577496</v>
      </c>
      <c r="J4" s="310">
        <v>9361.2536644468182</v>
      </c>
      <c r="L4" s="90" t="s">
        <v>720</v>
      </c>
    </row>
    <row r="5" spans="1:12" x14ac:dyDescent="0.2">
      <c r="A5" t="s">
        <v>678</v>
      </c>
      <c r="B5" s="487">
        <v>10107888.52</v>
      </c>
      <c r="C5" s="488" t="s">
        <v>707</v>
      </c>
      <c r="D5" s="489">
        <v>429</v>
      </c>
      <c r="E5" s="490">
        <v>0.12936174028027322</v>
      </c>
      <c r="F5" s="491">
        <v>23561.511701631702</v>
      </c>
      <c r="G5" s="352">
        <v>0.25399651311309152</v>
      </c>
      <c r="H5" s="352">
        <v>0.29009216997356585</v>
      </c>
      <c r="I5" s="352">
        <v>0.20547977703872247</v>
      </c>
      <c r="J5" s="310">
        <v>11780.755850815851</v>
      </c>
      <c r="L5" s="90" t="s">
        <v>720</v>
      </c>
    </row>
    <row r="6" spans="1:12" x14ac:dyDescent="0.2">
      <c r="A6" t="s">
        <v>689</v>
      </c>
      <c r="B6" s="487">
        <v>172846.9</v>
      </c>
      <c r="C6" s="488" t="s">
        <v>706</v>
      </c>
      <c r="D6" s="489">
        <v>93</v>
      </c>
      <c r="E6" s="490">
        <v>2.8043454186632656E-2</v>
      </c>
      <c r="F6" s="491">
        <v>1858.568817204301</v>
      </c>
      <c r="G6" s="352">
        <v>4.3433907898310711E-3</v>
      </c>
      <c r="H6" s="352">
        <v>4.9606336867478572E-3</v>
      </c>
      <c r="I6" s="352">
        <v>3.5137449729050201E-3</v>
      </c>
      <c r="J6" s="310">
        <v>929.28440860215051</v>
      </c>
      <c r="K6" s="90" t="s">
        <v>721</v>
      </c>
      <c r="L6" s="90" t="s">
        <v>720</v>
      </c>
    </row>
    <row r="7" spans="1:12" x14ac:dyDescent="0.2">
      <c r="A7" t="s">
        <v>668</v>
      </c>
      <c r="B7" s="487">
        <v>16759786.49</v>
      </c>
      <c r="C7" s="488" t="s">
        <v>708</v>
      </c>
      <c r="D7" s="489">
        <v>28574</v>
      </c>
      <c r="E7" s="490">
        <v>8.6162759132133502</v>
      </c>
      <c r="F7" s="491">
        <v>586.53973857352844</v>
      </c>
      <c r="G7" s="352">
        <v>0.42114901846779562</v>
      </c>
      <c r="H7" s="352">
        <v>0.48099885763062938</v>
      </c>
      <c r="I7" s="352">
        <v>0.34070391500338726</v>
      </c>
      <c r="J7" s="310">
        <v>293.26986928676422</v>
      </c>
      <c r="K7" s="90" t="s">
        <v>721</v>
      </c>
      <c r="L7" s="90" t="s">
        <v>720</v>
      </c>
    </row>
    <row r="8" spans="1:12" x14ac:dyDescent="0.2">
      <c r="A8" t="s">
        <v>654</v>
      </c>
      <c r="B8" s="487">
        <v>33385395.7900001</v>
      </c>
      <c r="C8" s="488" t="s">
        <v>707</v>
      </c>
      <c r="D8" s="489">
        <v>2236</v>
      </c>
      <c r="E8" s="490">
        <v>0.67424907055172711</v>
      </c>
      <c r="F8" s="491">
        <v>14930.856793381083</v>
      </c>
      <c r="G8" s="352">
        <v>0.83892635962317785</v>
      </c>
      <c r="H8" s="352">
        <v>0.95814688606671339</v>
      </c>
      <c r="I8" s="352">
        <v>0.67868018822181531</v>
      </c>
      <c r="J8" s="310">
        <v>7465.4283966905414</v>
      </c>
      <c r="L8" s="90" t="s">
        <v>720</v>
      </c>
    </row>
    <row r="9" spans="1:12" x14ac:dyDescent="0.2">
      <c r="A9" t="s">
        <v>663</v>
      </c>
      <c r="B9" s="487">
        <v>18415914.059999999</v>
      </c>
      <c r="C9" s="488" t="s">
        <v>708</v>
      </c>
      <c r="D9" s="489">
        <v>1949</v>
      </c>
      <c r="E9" s="490">
        <v>0.58770636784674235</v>
      </c>
      <c r="F9" s="491">
        <v>9448.9040841457154</v>
      </c>
      <c r="G9" s="352">
        <v>0.46276509161879403</v>
      </c>
      <c r="H9" s="352">
        <v>0.52852902573485261</v>
      </c>
      <c r="I9" s="352">
        <v>0.37437076077023002</v>
      </c>
      <c r="J9" s="310">
        <v>4724.4520420728577</v>
      </c>
      <c r="L9" s="90" t="s">
        <v>720</v>
      </c>
    </row>
    <row r="10" spans="1:12" x14ac:dyDescent="0.2">
      <c r="A10" t="s">
        <v>657</v>
      </c>
      <c r="B10" s="487">
        <v>27681891.469999999</v>
      </c>
      <c r="C10" s="488" t="s">
        <v>707</v>
      </c>
      <c r="D10" s="489">
        <v>3615</v>
      </c>
      <c r="E10" s="490">
        <v>1.0900762030610436</v>
      </c>
      <c r="F10" s="491">
        <v>7657.5080138312587</v>
      </c>
      <c r="G10" s="352">
        <v>0.69560560505222424</v>
      </c>
      <c r="H10" s="352">
        <v>0.79445869922445911</v>
      </c>
      <c r="I10" s="352">
        <v>0.56273561743493727</v>
      </c>
      <c r="J10" s="310">
        <v>3828.7540069156294</v>
      </c>
      <c r="L10" s="90" t="s">
        <v>720</v>
      </c>
    </row>
    <row r="11" spans="1:12" x14ac:dyDescent="0.2">
      <c r="A11" t="s">
        <v>634</v>
      </c>
      <c r="B11" s="487">
        <v>184127077.76001</v>
      </c>
      <c r="C11" s="488" t="s">
        <v>707</v>
      </c>
      <c r="D11" s="489">
        <v>66921</v>
      </c>
      <c r="E11" s="490">
        <v>20.179526856168213</v>
      </c>
      <c r="F11" s="491">
        <v>2751.4095390088314</v>
      </c>
      <c r="G11" s="352">
        <v>4.6268452237288429</v>
      </c>
      <c r="H11" s="352">
        <v>5.2843700672603777</v>
      </c>
      <c r="I11" s="352">
        <v>3.7430558132944638</v>
      </c>
      <c r="J11" s="310">
        <v>1375.7047695044157</v>
      </c>
      <c r="L11" s="90" t="s">
        <v>720</v>
      </c>
    </row>
    <row r="12" spans="1:12" x14ac:dyDescent="0.2">
      <c r="A12" t="s">
        <v>679</v>
      </c>
      <c r="B12" s="487">
        <v>7989513.3200000003</v>
      </c>
      <c r="C12" s="488" t="s">
        <v>706</v>
      </c>
      <c r="D12" s="489">
        <v>28385</v>
      </c>
      <c r="E12" s="490">
        <v>8.5592843772856764</v>
      </c>
      <c r="F12" s="491">
        <v>281.4695550466796</v>
      </c>
      <c r="G12" s="352">
        <v>0.20076483043271628</v>
      </c>
      <c r="H12" s="352">
        <v>0.22929568835722663</v>
      </c>
      <c r="I12" s="352">
        <v>0.16241605874393869</v>
      </c>
      <c r="J12" s="310">
        <v>140.7347775233398</v>
      </c>
      <c r="K12" s="90" t="s">
        <v>721</v>
      </c>
      <c r="L12" s="90" t="s">
        <v>720</v>
      </c>
    </row>
    <row r="13" spans="1:12" x14ac:dyDescent="0.2">
      <c r="A13" t="s">
        <v>632</v>
      </c>
      <c r="B13" s="487">
        <v>236445248.52999601</v>
      </c>
      <c r="C13" s="488" t="s">
        <v>707</v>
      </c>
      <c r="D13" s="489">
        <v>7327</v>
      </c>
      <c r="E13" s="490">
        <v>2.2094020303812631</v>
      </c>
      <c r="F13" s="491">
        <v>32270.403784631639</v>
      </c>
      <c r="G13" s="352">
        <v>5.9415246369156947</v>
      </c>
      <c r="H13" s="352">
        <v>6.7858796711388383</v>
      </c>
      <c r="I13" s="352">
        <v>4.8066138495370856</v>
      </c>
      <c r="J13" s="310">
        <v>16135.201892315819</v>
      </c>
      <c r="L13" s="90" t="s">
        <v>720</v>
      </c>
    </row>
    <row r="14" spans="1:12" x14ac:dyDescent="0.2">
      <c r="A14" t="s">
        <v>651</v>
      </c>
      <c r="B14" s="487">
        <v>45763138.019999698</v>
      </c>
      <c r="C14" s="488" t="s">
        <v>707</v>
      </c>
      <c r="D14" s="489">
        <v>532</v>
      </c>
      <c r="E14" s="490">
        <v>0.16042061964826423</v>
      </c>
      <c r="F14" s="491">
        <v>86020.936127818975</v>
      </c>
      <c r="G14" s="352">
        <v>1.1499609896957066</v>
      </c>
      <c r="H14" s="352">
        <v>1.3133829074938699</v>
      </c>
      <c r="I14" s="352">
        <v>0.93030303790309554</v>
      </c>
      <c r="J14" s="310">
        <v>43010.468063909488</v>
      </c>
      <c r="L14" s="90" t="s">
        <v>720</v>
      </c>
    </row>
    <row r="15" spans="1:12" x14ac:dyDescent="0.2">
      <c r="A15" t="s">
        <v>646</v>
      </c>
      <c r="B15" s="487">
        <v>70651976.300000101</v>
      </c>
      <c r="C15" s="488" t="s">
        <v>707</v>
      </c>
      <c r="D15" s="489">
        <v>5331</v>
      </c>
      <c r="E15" s="490">
        <v>1.6075231641821364</v>
      </c>
      <c r="F15" s="491">
        <v>13253.043762896286</v>
      </c>
      <c r="G15" s="352">
        <v>1.7753812370646138</v>
      </c>
      <c r="H15" s="352">
        <v>2.0276821491683781</v>
      </c>
      <c r="I15" s="352">
        <v>1.4362596410460933</v>
      </c>
      <c r="J15" s="310">
        <v>6626.5218814481432</v>
      </c>
      <c r="L15" s="90" t="s">
        <v>720</v>
      </c>
    </row>
    <row r="16" spans="1:12" x14ac:dyDescent="0.2">
      <c r="A16" t="s">
        <v>647</v>
      </c>
      <c r="B16" s="487">
        <v>70221740.019999698</v>
      </c>
      <c r="C16" s="488" t="s">
        <v>707</v>
      </c>
      <c r="D16" s="489">
        <v>2474</v>
      </c>
      <c r="E16" s="490">
        <v>0.74601618986805573</v>
      </c>
      <c r="F16" s="491">
        <v>28383.888447857596</v>
      </c>
      <c r="G16" s="352">
        <v>1.7645700261258874</v>
      </c>
      <c r="H16" s="352">
        <v>2.0153345480032367</v>
      </c>
      <c r="I16" s="352">
        <v>1.4275135162037456</v>
      </c>
      <c r="J16" s="310">
        <v>14191.944223928798</v>
      </c>
      <c r="L16" s="90" t="s">
        <v>720</v>
      </c>
    </row>
    <row r="17" spans="1:12" x14ac:dyDescent="0.2">
      <c r="A17" t="s">
        <v>682</v>
      </c>
      <c r="B17" s="487">
        <v>1432013.34</v>
      </c>
      <c r="C17" s="488" t="s">
        <v>707</v>
      </c>
      <c r="D17" s="489">
        <v>206</v>
      </c>
      <c r="E17" s="490">
        <v>6.2117758735982014E-2</v>
      </c>
      <c r="F17" s="491">
        <v>6951.5210679611655</v>
      </c>
      <c r="G17" s="352">
        <v>3.5984409045642304E-2</v>
      </c>
      <c r="H17" s="352">
        <v>4.1098183503877207E-2</v>
      </c>
      <c r="I17" s="352">
        <v>2.9110904937016097E-2</v>
      </c>
      <c r="J17" s="310">
        <v>3475.7605339805827</v>
      </c>
      <c r="L17" s="90" t="s">
        <v>720</v>
      </c>
    </row>
    <row r="18" spans="1:12" x14ac:dyDescent="0.2">
      <c r="A18" t="s">
        <v>671</v>
      </c>
      <c r="B18" s="487">
        <v>13126327.289999999</v>
      </c>
      <c r="C18" s="488" t="s">
        <v>707</v>
      </c>
      <c r="D18" s="489">
        <v>380</v>
      </c>
      <c r="E18" s="490">
        <v>0.1145861568916173</v>
      </c>
      <c r="F18" s="491">
        <v>34542.966552631573</v>
      </c>
      <c r="G18" s="352">
        <v>0.32984548207514425</v>
      </c>
      <c r="H18" s="352">
        <v>0.37672009933676398</v>
      </c>
      <c r="I18" s="352">
        <v>0.26684057699584707</v>
      </c>
      <c r="J18" s="310">
        <v>17271.483276315786</v>
      </c>
      <c r="L18" s="90" t="s">
        <v>720</v>
      </c>
    </row>
    <row r="19" spans="1:12" x14ac:dyDescent="0.2">
      <c r="A19" t="s">
        <v>645</v>
      </c>
      <c r="B19" s="487">
        <v>72307472.300000593</v>
      </c>
      <c r="C19" s="488" t="s">
        <v>707</v>
      </c>
      <c r="D19" s="489">
        <v>3398</v>
      </c>
      <c r="E19" s="490">
        <v>1.0246414766255674</v>
      </c>
      <c r="F19" s="491">
        <v>21279.420924073158</v>
      </c>
      <c r="G19" s="352">
        <v>1.8169814397816098</v>
      </c>
      <c r="H19" s="352">
        <v>2.0751941914779528</v>
      </c>
      <c r="I19" s="352">
        <v>1.4699136478443993</v>
      </c>
      <c r="J19" s="310">
        <v>10639.710462036579</v>
      </c>
      <c r="L19" s="90" t="s">
        <v>720</v>
      </c>
    </row>
    <row r="20" spans="1:12" x14ac:dyDescent="0.2">
      <c r="A20" t="s">
        <v>676</v>
      </c>
      <c r="B20" s="487">
        <v>11521874.470000001</v>
      </c>
      <c r="C20" s="488" t="s">
        <v>707</v>
      </c>
      <c r="D20" s="489">
        <v>867</v>
      </c>
      <c r="E20" s="490">
        <v>0.26143736322376898</v>
      </c>
      <c r="F20" s="491">
        <v>13289.359250288351</v>
      </c>
      <c r="G20" s="352">
        <v>0.28952792011073247</v>
      </c>
      <c r="H20" s="352">
        <v>0.33067297492961767</v>
      </c>
      <c r="I20" s="352">
        <v>0.23422420938648714</v>
      </c>
      <c r="J20" s="310">
        <v>6644.6796251441756</v>
      </c>
      <c r="L20" s="90" t="s">
        <v>720</v>
      </c>
    </row>
    <row r="21" spans="1:12" x14ac:dyDescent="0.2">
      <c r="A21" t="s">
        <v>664</v>
      </c>
      <c r="B21" s="487">
        <v>18122999.329999901</v>
      </c>
      <c r="C21" s="488" t="s">
        <v>707</v>
      </c>
      <c r="D21" s="489">
        <v>623</v>
      </c>
      <c r="E21" s="490">
        <v>0.1878609887986252</v>
      </c>
      <c r="F21" s="491">
        <v>29089.886565007866</v>
      </c>
      <c r="G21" s="352">
        <v>0.4554045711785184</v>
      </c>
      <c r="H21" s="352">
        <v>0.52012249558022949</v>
      </c>
      <c r="I21" s="352">
        <v>0.36841619832203071</v>
      </c>
      <c r="J21" s="310">
        <v>14544.943282503933</v>
      </c>
      <c r="L21" s="90" t="s">
        <v>720</v>
      </c>
    </row>
    <row r="22" spans="1:12" x14ac:dyDescent="0.2">
      <c r="A22" t="s">
        <v>644</v>
      </c>
      <c r="B22" s="487">
        <v>82517059.679998904</v>
      </c>
      <c r="C22" s="488" t="s">
        <v>707</v>
      </c>
      <c r="D22" s="489">
        <v>2217</v>
      </c>
      <c r="E22" s="490">
        <v>0.66851976270714619</v>
      </c>
      <c r="F22" s="491">
        <v>37220.144194857421</v>
      </c>
      <c r="G22" s="352">
        <v>2.0735334970893207</v>
      </c>
      <c r="H22" s="352">
        <v>2.3682050761684819</v>
      </c>
      <c r="I22" s="352">
        <v>1.6774608259072028</v>
      </c>
      <c r="J22" s="310">
        <v>18610.072097428711</v>
      </c>
      <c r="L22" s="90" t="s">
        <v>720</v>
      </c>
    </row>
    <row r="23" spans="1:12" x14ac:dyDescent="0.2">
      <c r="A23" t="s">
        <v>675</v>
      </c>
      <c r="B23" s="487">
        <v>12139099.82</v>
      </c>
      <c r="C23" s="488" t="s">
        <v>710</v>
      </c>
      <c r="D23" s="489">
        <v>5306</v>
      </c>
      <c r="E23" s="490">
        <v>1.5999846012287406</v>
      </c>
      <c r="F23" s="491">
        <v>2287.8062231436111</v>
      </c>
      <c r="G23" s="352">
        <v>0.30503789396875514</v>
      </c>
      <c r="H23" s="352">
        <v>0.34838708414143876</v>
      </c>
      <c r="I23" s="352">
        <v>0.24677157049456619</v>
      </c>
      <c r="J23" s="310">
        <v>1143.9031115718055</v>
      </c>
      <c r="L23" s="90" t="s">
        <v>720</v>
      </c>
    </row>
    <row r="24" spans="1:12" x14ac:dyDescent="0.2">
      <c r="A24" t="s">
        <v>640</v>
      </c>
      <c r="B24" s="487">
        <v>123857489.319996</v>
      </c>
      <c r="C24" s="488" t="s">
        <v>707</v>
      </c>
      <c r="D24" s="489">
        <v>5649</v>
      </c>
      <c r="E24" s="490">
        <v>1.703413684949332</v>
      </c>
      <c r="F24" s="491">
        <v>21925.560155779076</v>
      </c>
      <c r="G24" s="352">
        <v>3.1123582682944901</v>
      </c>
      <c r="H24" s="352">
        <v>3.5546581042343548</v>
      </c>
      <c r="I24" s="352">
        <v>2.5178561516276723</v>
      </c>
      <c r="J24" s="310">
        <v>10962.780077889538</v>
      </c>
      <c r="L24" s="90" t="s">
        <v>720</v>
      </c>
    </row>
    <row r="25" spans="1:12" x14ac:dyDescent="0.2">
      <c r="A25" t="s">
        <v>655</v>
      </c>
      <c r="B25" s="487">
        <v>31972559.620000198</v>
      </c>
      <c r="C25" s="488" t="s">
        <v>707</v>
      </c>
      <c r="D25" s="489">
        <v>3689</v>
      </c>
      <c r="E25" s="490">
        <v>1.1123903494030953</v>
      </c>
      <c r="F25" s="491">
        <v>8666.9990837625919</v>
      </c>
      <c r="G25" s="352">
        <v>0.80342384492191465</v>
      </c>
      <c r="H25" s="352">
        <v>0.91759907931543616</v>
      </c>
      <c r="I25" s="352">
        <v>0.64995912935483213</v>
      </c>
      <c r="J25" s="310">
        <v>4333.499541881296</v>
      </c>
      <c r="L25" s="90" t="s">
        <v>720</v>
      </c>
    </row>
    <row r="26" spans="1:12" x14ac:dyDescent="0.2">
      <c r="A26" t="s">
        <v>669</v>
      </c>
      <c r="B26" s="487">
        <v>15717392.560000001</v>
      </c>
      <c r="C26" s="488" t="s">
        <v>706</v>
      </c>
      <c r="D26" s="489">
        <v>45442</v>
      </c>
      <c r="E26" s="490">
        <v>13.702695109128616</v>
      </c>
      <c r="F26" s="491">
        <v>345.87809867523436</v>
      </c>
      <c r="G26" s="352">
        <v>0.39495517758931986</v>
      </c>
      <c r="H26" s="352">
        <v>0.45108258812264579</v>
      </c>
      <c r="I26" s="352">
        <v>0.31951344857717878</v>
      </c>
      <c r="J26" s="310">
        <v>172.93904933761718</v>
      </c>
      <c r="K26" s="90" t="s">
        <v>721</v>
      </c>
      <c r="L26" s="90" t="s">
        <v>720</v>
      </c>
    </row>
    <row r="27" spans="1:12" x14ac:dyDescent="0.2">
      <c r="A27" t="s">
        <v>636</v>
      </c>
      <c r="B27" s="487">
        <v>170402891.230001</v>
      </c>
      <c r="C27" s="488" t="s">
        <v>707</v>
      </c>
      <c r="D27" s="489">
        <v>11925</v>
      </c>
      <c r="E27" s="490">
        <v>3.5958945287698323</v>
      </c>
      <c r="F27" s="491">
        <v>14289.550627253753</v>
      </c>
      <c r="G27" s="352">
        <v>4.2819764099267745</v>
      </c>
      <c r="H27" s="352">
        <v>4.8904916579630529</v>
      </c>
      <c r="I27" s="352">
        <v>3.4640615621564339</v>
      </c>
      <c r="J27" s="310">
        <v>7144.7753136268766</v>
      </c>
      <c r="L27" s="90" t="s">
        <v>720</v>
      </c>
    </row>
    <row r="28" spans="1:12" x14ac:dyDescent="0.2">
      <c r="A28" t="s">
        <v>639</v>
      </c>
      <c r="B28" s="487">
        <v>124606697.249998</v>
      </c>
      <c r="C28" s="488" t="s">
        <v>707</v>
      </c>
      <c r="D28" s="489">
        <v>3225</v>
      </c>
      <c r="E28" s="490">
        <v>0.97247462098806792</v>
      </c>
      <c r="F28" s="491">
        <v>38637.735581394729</v>
      </c>
      <c r="G28" s="352">
        <v>3.1311847721128352</v>
      </c>
      <c r="H28" s="352">
        <v>3.576160058252313</v>
      </c>
      <c r="I28" s="352">
        <v>2.5330865410515218</v>
      </c>
      <c r="J28" s="310">
        <v>19318.867790697364</v>
      </c>
      <c r="L28" s="90" t="s">
        <v>720</v>
      </c>
    </row>
    <row r="29" spans="1:12" x14ac:dyDescent="0.2">
      <c r="A29" t="s">
        <v>672</v>
      </c>
      <c r="B29" s="487">
        <v>12417316.18</v>
      </c>
      <c r="C29" s="488" t="s">
        <v>706</v>
      </c>
      <c r="D29" s="489">
        <v>6968</v>
      </c>
      <c r="E29" s="490">
        <v>2.1011482663704983</v>
      </c>
      <c r="F29" s="491">
        <v>1782.0488203214695</v>
      </c>
      <c r="G29" s="352">
        <v>0.31202906578383727</v>
      </c>
      <c r="H29" s="352">
        <v>0.35637177722890734</v>
      </c>
      <c r="I29" s="352">
        <v>0.2524273348520984</v>
      </c>
      <c r="J29" s="310">
        <v>891.02441016073476</v>
      </c>
      <c r="K29" s="90" t="s">
        <v>721</v>
      </c>
      <c r="L29" s="90" t="s">
        <v>720</v>
      </c>
    </row>
    <row r="30" spans="1:12" x14ac:dyDescent="0.2">
      <c r="A30" t="s">
        <v>674</v>
      </c>
      <c r="B30" s="487">
        <v>12361435.27</v>
      </c>
      <c r="C30" s="488" t="s">
        <v>706</v>
      </c>
      <c r="D30" s="489">
        <v>112190</v>
      </c>
      <c r="E30" s="490">
        <v>33.830055109659327</v>
      </c>
      <c r="F30" s="491">
        <v>110.18304011052678</v>
      </c>
      <c r="G30" s="352">
        <v>0.31062485992407712</v>
      </c>
      <c r="H30" s="352">
        <v>0.35476801850027451</v>
      </c>
      <c r="I30" s="352">
        <v>0.25129135111970946</v>
      </c>
      <c r="J30" s="310">
        <v>55.091520055263388</v>
      </c>
      <c r="K30" s="90" t="s">
        <v>721</v>
      </c>
      <c r="L30" s="90" t="s">
        <v>720</v>
      </c>
    </row>
    <row r="31" spans="1:12" x14ac:dyDescent="0.2">
      <c r="A31" t="s">
        <v>662</v>
      </c>
      <c r="B31" s="487">
        <v>18529534.939999901</v>
      </c>
      <c r="C31" s="488" t="s">
        <v>707</v>
      </c>
      <c r="D31" s="489">
        <v>679</v>
      </c>
      <c r="E31" s="490">
        <v>0.20474736981423197</v>
      </c>
      <c r="F31" s="491">
        <v>27289.447628865833</v>
      </c>
      <c r="G31" s="352">
        <v>0.46562021880779236</v>
      </c>
      <c r="H31" s="352">
        <v>0.53178989743602545</v>
      </c>
      <c r="I31" s="352">
        <v>0.37668052042410116</v>
      </c>
      <c r="J31" s="310">
        <v>13644.723814432917</v>
      </c>
      <c r="L31" s="90" t="s">
        <v>720</v>
      </c>
    </row>
    <row r="32" spans="1:12" x14ac:dyDescent="0.2">
      <c r="A32" t="s">
        <v>680</v>
      </c>
      <c r="B32" s="487">
        <v>3291490.81</v>
      </c>
      <c r="C32" s="488" t="s">
        <v>706</v>
      </c>
      <c r="D32" s="489">
        <v>5635</v>
      </c>
      <c r="E32" s="490">
        <v>1.69919208969543</v>
      </c>
      <c r="F32" s="491">
        <v>584.11549423247561</v>
      </c>
      <c r="G32" s="352">
        <v>8.2710368939029943E-2</v>
      </c>
      <c r="H32" s="352">
        <v>9.4464408628138499E-2</v>
      </c>
      <c r="I32" s="352">
        <v>6.6911580635814552E-2</v>
      </c>
      <c r="J32" s="310">
        <v>292.05774711623781</v>
      </c>
      <c r="K32" s="90" t="s">
        <v>721</v>
      </c>
      <c r="L32" s="90" t="s">
        <v>720</v>
      </c>
    </row>
    <row r="33" spans="1:12" x14ac:dyDescent="0.2">
      <c r="A33" t="s">
        <v>687</v>
      </c>
      <c r="B33" s="487">
        <v>501408.35</v>
      </c>
      <c r="C33" s="488" t="s">
        <v>707</v>
      </c>
      <c r="D33" s="489">
        <v>350</v>
      </c>
      <c r="E33" s="490">
        <v>0.10553988134754225</v>
      </c>
      <c r="F33" s="491">
        <v>1432.5952857142856</v>
      </c>
      <c r="G33" s="352">
        <v>1.2599661372777841E-2</v>
      </c>
      <c r="H33" s="352">
        <v>1.4390209785808482E-2</v>
      </c>
      <c r="I33" s="352">
        <v>1.0192957288705212E-2</v>
      </c>
      <c r="J33" s="310">
        <v>716.29764285714282</v>
      </c>
      <c r="K33" s="90" t="s">
        <v>721</v>
      </c>
      <c r="L33" s="90" t="s">
        <v>720</v>
      </c>
    </row>
    <row r="34" spans="1:12" x14ac:dyDescent="0.2">
      <c r="A34" t="s">
        <v>667</v>
      </c>
      <c r="B34" s="487">
        <v>16868198.390000101</v>
      </c>
      <c r="C34" s="488" t="s">
        <v>707</v>
      </c>
      <c r="D34" s="489">
        <v>703</v>
      </c>
      <c r="E34" s="490">
        <v>0.21198439024949201</v>
      </c>
      <c r="F34" s="491">
        <v>23994.592304409816</v>
      </c>
      <c r="G34" s="352">
        <v>0.42387325157795569</v>
      </c>
      <c r="H34" s="352">
        <v>0.48411023378597173</v>
      </c>
      <c r="I34" s="352">
        <v>0.34290778310069436</v>
      </c>
      <c r="J34" s="310">
        <v>11997.296152204908</v>
      </c>
      <c r="L34" s="90" t="s">
        <v>720</v>
      </c>
    </row>
    <row r="35" spans="1:12" x14ac:dyDescent="0.2">
      <c r="A35" t="s">
        <v>684</v>
      </c>
      <c r="B35" s="487">
        <v>1280903.77</v>
      </c>
      <c r="C35" s="488" t="s">
        <v>707</v>
      </c>
      <c r="D35" s="489">
        <v>187</v>
      </c>
      <c r="E35" s="490">
        <v>5.638845089140114E-2</v>
      </c>
      <c r="F35" s="491">
        <v>6849.7527807486631</v>
      </c>
      <c r="G35" s="352">
        <v>3.2187245691290368E-2</v>
      </c>
      <c r="H35" s="352">
        <v>3.6761402090198493E-2</v>
      </c>
      <c r="I35" s="352">
        <v>2.603905064315639E-2</v>
      </c>
      <c r="J35" s="310">
        <v>3424.8763903743315</v>
      </c>
      <c r="L35" s="90" t="s">
        <v>720</v>
      </c>
    </row>
    <row r="36" spans="1:12" x14ac:dyDescent="0.2">
      <c r="A36" t="s">
        <v>629</v>
      </c>
      <c r="B36" s="487">
        <v>536833594.429995</v>
      </c>
      <c r="C36" s="488" t="s">
        <v>711</v>
      </c>
      <c r="D36" s="489">
        <v>52236</v>
      </c>
      <c r="E36" s="490">
        <v>15.751374977343477</v>
      </c>
      <c r="F36" s="491">
        <v>10277.080833716116</v>
      </c>
      <c r="G36" s="352">
        <v>13.489846157027689</v>
      </c>
      <c r="H36" s="352">
        <v>15.406899474085854</v>
      </c>
      <c r="I36" s="352">
        <v>10.913104855886495</v>
      </c>
      <c r="J36" s="310">
        <v>5138.5404168580581</v>
      </c>
      <c r="L36" s="90" t="s">
        <v>720</v>
      </c>
    </row>
    <row r="37" spans="1:12" x14ac:dyDescent="0.2">
      <c r="A37" t="s">
        <v>641</v>
      </c>
      <c r="B37" s="487">
        <v>116990562.06999999</v>
      </c>
      <c r="C37" s="488" t="s">
        <v>707</v>
      </c>
      <c r="D37" s="489">
        <v>1265</v>
      </c>
      <c r="E37" s="490">
        <v>0.38145128544183127</v>
      </c>
      <c r="F37" s="491">
        <v>92482.657762845847</v>
      </c>
      <c r="G37" s="352">
        <v>2.9398023903928752</v>
      </c>
      <c r="H37" s="352">
        <v>3.3575801662396501</v>
      </c>
      <c r="I37" s="352">
        <v>2.3782607576461898</v>
      </c>
      <c r="J37" s="310">
        <v>46241.328881422924</v>
      </c>
      <c r="L37" s="90" t="s">
        <v>720</v>
      </c>
    </row>
    <row r="38" spans="1:12" x14ac:dyDescent="0.2">
      <c r="A38" t="s">
        <v>643</v>
      </c>
      <c r="B38" s="487">
        <v>87630884.960000098</v>
      </c>
      <c r="C38" s="488" t="s">
        <v>707</v>
      </c>
      <c r="D38" s="489">
        <v>3146</v>
      </c>
      <c r="E38" s="490">
        <v>0.94865276205533688</v>
      </c>
      <c r="F38" s="491">
        <v>27854.699605848728</v>
      </c>
      <c r="G38" s="352">
        <v>2.2020364764425082</v>
      </c>
      <c r="H38" s="352">
        <v>2.5149697213667279</v>
      </c>
      <c r="I38" s="352">
        <v>1.7814180150145504</v>
      </c>
      <c r="J38" s="310">
        <v>13927.349802924364</v>
      </c>
      <c r="L38" s="90" t="s">
        <v>720</v>
      </c>
    </row>
    <row r="39" spans="1:12" x14ac:dyDescent="0.2">
      <c r="A39" t="s">
        <v>637</v>
      </c>
      <c r="B39" s="487">
        <v>161090582.41999701</v>
      </c>
      <c r="C39" s="488" t="s">
        <v>707</v>
      </c>
      <c r="D39" s="489">
        <v>5915</v>
      </c>
      <c r="E39" s="490">
        <v>1.783623994773464</v>
      </c>
      <c r="F39" s="491">
        <v>27234.248929838886</v>
      </c>
      <c r="G39" s="352">
        <v>4.0479716559078476</v>
      </c>
      <c r="H39" s="352">
        <v>4.6232322926848521</v>
      </c>
      <c r="I39" s="352">
        <v>3.274754850452084</v>
      </c>
      <c r="J39" s="310">
        <v>13617.124464919443</v>
      </c>
      <c r="L39" s="90" t="s">
        <v>720</v>
      </c>
    </row>
    <row r="40" spans="1:12" x14ac:dyDescent="0.2">
      <c r="A40" t="s">
        <v>670</v>
      </c>
      <c r="B40" s="487">
        <v>14261544.410000101</v>
      </c>
      <c r="C40" s="488" t="s">
        <v>707</v>
      </c>
      <c r="D40" s="489">
        <v>500</v>
      </c>
      <c r="E40" s="490">
        <v>0.1507712590679175</v>
      </c>
      <c r="F40" s="491">
        <v>28523.088820000201</v>
      </c>
      <c r="G40" s="352">
        <v>0.35837183449145599</v>
      </c>
      <c r="H40" s="352">
        <v>0.40930035554758054</v>
      </c>
      <c r="I40" s="352">
        <v>0.28991801401413358</v>
      </c>
      <c r="J40" s="310">
        <v>14261.5444100001</v>
      </c>
      <c r="L40" s="90" t="s">
        <v>720</v>
      </c>
    </row>
    <row r="41" spans="1:12" x14ac:dyDescent="0.2">
      <c r="A41" t="s">
        <v>665</v>
      </c>
      <c r="B41" s="487">
        <v>17204580.289999999</v>
      </c>
      <c r="C41" s="488" t="s">
        <v>706</v>
      </c>
      <c r="D41" s="489">
        <v>49441</v>
      </c>
      <c r="E41" s="490">
        <v>14.908563639153819</v>
      </c>
      <c r="F41" s="491">
        <v>347.98204506381342</v>
      </c>
      <c r="G41" s="352">
        <v>0.43232603867639618</v>
      </c>
      <c r="H41" s="352">
        <v>0.49376425352686232</v>
      </c>
      <c r="I41" s="352">
        <v>0.34974597464535545</v>
      </c>
      <c r="J41" s="310">
        <v>173.99102253190671</v>
      </c>
      <c r="K41" s="90" t="s">
        <v>721</v>
      </c>
      <c r="L41" s="90" t="s">
        <v>720</v>
      </c>
    </row>
    <row r="42" spans="1:12" x14ac:dyDescent="0.2">
      <c r="A42" t="s">
        <v>633</v>
      </c>
      <c r="B42" s="487">
        <v>232067078.379998</v>
      </c>
      <c r="C42" s="488" t="s">
        <v>707</v>
      </c>
      <c r="D42" s="489">
        <v>3362</v>
      </c>
      <c r="E42" s="490">
        <v>1.0137859459726772</v>
      </c>
      <c r="F42" s="491">
        <v>69026.495651397388</v>
      </c>
      <c r="G42" s="352">
        <v>5.8315075992608989</v>
      </c>
      <c r="H42" s="352">
        <v>6.6602280202709645</v>
      </c>
      <c r="I42" s="352">
        <v>4.7176115396600871</v>
      </c>
      <c r="J42" s="310">
        <v>34513.247825698694</v>
      </c>
      <c r="L42" s="90" t="s">
        <v>720</v>
      </c>
    </row>
    <row r="43" spans="1:12" x14ac:dyDescent="0.2">
      <c r="A43" t="s">
        <v>660</v>
      </c>
      <c r="B43" s="487">
        <v>22154432.539999899</v>
      </c>
      <c r="C43" s="488" t="s">
        <v>707</v>
      </c>
      <c r="D43" s="489">
        <v>1340</v>
      </c>
      <c r="E43" s="490">
        <v>0.40406697430201893</v>
      </c>
      <c r="F43" s="491">
        <v>16533.158611940224</v>
      </c>
      <c r="G43" s="352">
        <v>0.55670861466517108</v>
      </c>
      <c r="H43" s="352">
        <v>0.63582294139325846</v>
      </c>
      <c r="I43" s="352">
        <v>0.4503698126202324</v>
      </c>
      <c r="J43" s="310">
        <v>8266.5793059701118</v>
      </c>
      <c r="L43" s="90" t="s">
        <v>720</v>
      </c>
    </row>
    <row r="44" spans="1:12" x14ac:dyDescent="0.2">
      <c r="A44" t="s">
        <v>683</v>
      </c>
      <c r="B44" s="487">
        <v>1324807.7</v>
      </c>
      <c r="C44" s="488" t="s">
        <v>710</v>
      </c>
      <c r="D44" s="489">
        <v>639</v>
      </c>
      <c r="E44" s="490">
        <v>0.19268566908879856</v>
      </c>
      <c r="F44" s="491">
        <v>2073.2514866979654</v>
      </c>
      <c r="G44" s="352">
        <v>3.3290487491978653E-2</v>
      </c>
      <c r="H44" s="352">
        <v>3.8021426505670336E-2</v>
      </c>
      <c r="I44" s="352">
        <v>2.6931558482916746E-2</v>
      </c>
      <c r="J44" s="310">
        <v>1036.6257433489827</v>
      </c>
      <c r="L44" s="90" t="s">
        <v>720</v>
      </c>
    </row>
    <row r="45" spans="1:12" x14ac:dyDescent="0.2">
      <c r="A45" t="s">
        <v>630</v>
      </c>
      <c r="B45" s="487">
        <v>392614232.44999999</v>
      </c>
      <c r="C45" s="488" t="s">
        <v>710</v>
      </c>
      <c r="D45" s="489">
        <v>48239</v>
      </c>
      <c r="E45" s="490">
        <v>14.546109532354544</v>
      </c>
      <c r="F45" s="491">
        <v>8138.9380470158994</v>
      </c>
      <c r="G45" s="352">
        <v>9.8658236924117553</v>
      </c>
      <c r="H45" s="352">
        <v>11.267864146757182</v>
      </c>
      <c r="I45" s="352">
        <v>7.9813192227465501</v>
      </c>
      <c r="J45" s="310">
        <v>4069.4690235079497</v>
      </c>
      <c r="L45" s="90" t="s">
        <v>720</v>
      </c>
    </row>
    <row r="46" spans="1:12" x14ac:dyDescent="0.2">
      <c r="A46" t="s">
        <v>656</v>
      </c>
      <c r="B46" s="487">
        <v>31150204.719999801</v>
      </c>
      <c r="C46" s="488" t="s">
        <v>707</v>
      </c>
      <c r="D46" s="489">
        <v>4636</v>
      </c>
      <c r="E46" s="490">
        <v>1.397951114077731</v>
      </c>
      <c r="F46" s="491">
        <v>6719.1986022432702</v>
      </c>
      <c r="G46" s="352">
        <v>0.78275926430962606</v>
      </c>
      <c r="H46" s="352">
        <v>0.89399783787341924</v>
      </c>
      <c r="I46" s="352">
        <v>0.63324176042417613</v>
      </c>
      <c r="J46" s="310">
        <v>3359.5993011216351</v>
      </c>
      <c r="L46" s="90" t="s">
        <v>720</v>
      </c>
    </row>
    <row r="47" spans="1:12" x14ac:dyDescent="0.2">
      <c r="A47" t="s">
        <v>658</v>
      </c>
      <c r="B47" s="487">
        <v>23509248.809999902</v>
      </c>
      <c r="C47" s="488" t="s">
        <v>707</v>
      </c>
      <c r="D47" s="489">
        <v>4470</v>
      </c>
      <c r="E47" s="490">
        <v>1.3478950560671825</v>
      </c>
      <c r="F47" s="491">
        <v>5259.3397785234683</v>
      </c>
      <c r="G47" s="352">
        <v>0.59075317380410441</v>
      </c>
      <c r="H47" s="352">
        <v>0.67470560129815749</v>
      </c>
      <c r="I47" s="352">
        <v>0.47791140496537965</v>
      </c>
      <c r="J47" s="310">
        <v>2629.6698892617342</v>
      </c>
      <c r="L47" s="90" t="s">
        <v>720</v>
      </c>
    </row>
    <row r="48" spans="1:12" x14ac:dyDescent="0.2">
      <c r="A48" t="s">
        <v>650</v>
      </c>
      <c r="B48" s="487">
        <v>49641817.2000001</v>
      </c>
      <c r="C48" s="488" t="s">
        <v>707</v>
      </c>
      <c r="D48" s="489">
        <v>5247</v>
      </c>
      <c r="E48" s="490">
        <v>1.5821935926587263</v>
      </c>
      <c r="F48" s="491">
        <v>9460.9905088622254</v>
      </c>
      <c r="G48" s="352">
        <v>1.247426546943903</v>
      </c>
      <c r="H48" s="352">
        <v>1.4246993765795029</v>
      </c>
      <c r="I48" s="352">
        <v>1.0091513682476823</v>
      </c>
      <c r="J48" s="310">
        <v>4730.4952544311127</v>
      </c>
      <c r="L48" s="90" t="s">
        <v>720</v>
      </c>
    </row>
    <row r="49" spans="1:12" x14ac:dyDescent="0.2">
      <c r="A49" t="s">
        <v>635</v>
      </c>
      <c r="B49" s="487">
        <v>181873709.97000101</v>
      </c>
      <c r="C49" s="488" t="s">
        <v>707</v>
      </c>
      <c r="D49" s="489">
        <v>12046</v>
      </c>
      <c r="E49" s="490">
        <v>3.6323811734642684</v>
      </c>
      <c r="F49" s="491">
        <v>15098.265811887848</v>
      </c>
      <c r="G49" s="352">
        <v>4.5702213739217186</v>
      </c>
      <c r="H49" s="352">
        <v>5.2196993548105093</v>
      </c>
      <c r="I49" s="352">
        <v>3.6972478772293669</v>
      </c>
      <c r="J49" s="310">
        <v>7549.132905943924</v>
      </c>
      <c r="L49" s="90" t="s">
        <v>720</v>
      </c>
    </row>
    <row r="50" spans="1:12" x14ac:dyDescent="0.2">
      <c r="A50" t="s">
        <v>661</v>
      </c>
      <c r="B50" s="487">
        <v>19274909.66</v>
      </c>
      <c r="C50" s="488" t="s">
        <v>706</v>
      </c>
      <c r="D50" s="489">
        <v>18343</v>
      </c>
      <c r="E50" s="490">
        <v>5.5311944101656216</v>
      </c>
      <c r="F50" s="491">
        <v>1050.8046480946409</v>
      </c>
      <c r="G50" s="352">
        <v>0.48435039964309429</v>
      </c>
      <c r="H50" s="352">
        <v>0.55318183993127845</v>
      </c>
      <c r="I50" s="352">
        <v>0.39183298584483384</v>
      </c>
      <c r="J50" s="310">
        <v>525.40232404732046</v>
      </c>
      <c r="K50" s="90" t="s">
        <v>721</v>
      </c>
      <c r="L50" s="90" t="s">
        <v>720</v>
      </c>
    </row>
    <row r="51" spans="1:12" x14ac:dyDescent="0.2">
      <c r="A51" t="s">
        <v>652</v>
      </c>
      <c r="B51" s="487">
        <v>44645417.8299997</v>
      </c>
      <c r="C51" s="488" t="s">
        <v>707</v>
      </c>
      <c r="D51" s="489">
        <v>1677</v>
      </c>
      <c r="E51" s="490">
        <v>0.50568680291379531</v>
      </c>
      <c r="F51" s="491">
        <v>26622.193100775014</v>
      </c>
      <c r="G51" s="352">
        <v>1.1218743096403847</v>
      </c>
      <c r="H51" s="352">
        <v>1.2813048058509002</v>
      </c>
      <c r="I51" s="352">
        <v>0.907581289935808</v>
      </c>
      <c r="J51" s="310">
        <v>13311.096550387507</v>
      </c>
      <c r="L51" s="90" t="s">
        <v>720</v>
      </c>
    </row>
    <row r="52" spans="1:12" x14ac:dyDescent="0.2">
      <c r="A52" t="s">
        <v>666</v>
      </c>
      <c r="B52" s="487">
        <v>16958303.239999998</v>
      </c>
      <c r="C52" s="488" t="s">
        <v>706</v>
      </c>
      <c r="D52" s="489">
        <v>232990</v>
      </c>
      <c r="E52" s="490">
        <v>70.256391300468195</v>
      </c>
      <c r="F52" s="491">
        <v>72.785541182024971</v>
      </c>
      <c r="G52" s="352">
        <v>0.42613745519172408</v>
      </c>
      <c r="H52" s="352">
        <v>0.48669620526853147</v>
      </c>
      <c r="I52" s="352">
        <v>0.34473949349712901</v>
      </c>
      <c r="J52" s="310">
        <v>36.392770591012486</v>
      </c>
      <c r="K52" s="90" t="s">
        <v>721</v>
      </c>
      <c r="L52" s="90" t="s">
        <v>721</v>
      </c>
    </row>
    <row r="53" spans="1:12" x14ac:dyDescent="0.2">
      <c r="A53" t="s">
        <v>648</v>
      </c>
      <c r="B53" s="487">
        <v>56602758.240000002</v>
      </c>
      <c r="C53" s="488" t="s">
        <v>706</v>
      </c>
      <c r="D53" s="489">
        <v>1667649</v>
      </c>
      <c r="E53" s="490">
        <v>502.86707882670714</v>
      </c>
      <c r="F53" s="491">
        <v>33.941649735645811</v>
      </c>
      <c r="G53" s="352">
        <v>1.422344854426957</v>
      </c>
      <c r="H53" s="352">
        <v>1.6244754709988372</v>
      </c>
      <c r="I53" s="352">
        <v>1.1506579361177911</v>
      </c>
      <c r="J53" s="310">
        <v>16.970824867822905</v>
      </c>
      <c r="K53" s="90" t="s">
        <v>721</v>
      </c>
      <c r="L53" s="90" t="s">
        <v>721</v>
      </c>
    </row>
    <row r="54" spans="1:12" x14ac:dyDescent="0.2">
      <c r="A54" t="s">
        <v>642</v>
      </c>
      <c r="B54" s="487">
        <v>93771120.090002105</v>
      </c>
      <c r="C54" s="488" t="s">
        <v>706</v>
      </c>
      <c r="D54" s="489">
        <v>361415</v>
      </c>
      <c r="E54" s="490">
        <v>108.9819891920628</v>
      </c>
      <c r="F54" s="491">
        <v>259.45552921157702</v>
      </c>
      <c r="G54" s="352">
        <v>2.3563316400297518</v>
      </c>
      <c r="H54" s="352">
        <v>2.6911918996669493</v>
      </c>
      <c r="I54" s="352">
        <v>1.9062407357026236</v>
      </c>
      <c r="J54" s="310">
        <v>129.72776460578851</v>
      </c>
      <c r="K54" s="90" t="s">
        <v>721</v>
      </c>
      <c r="L54" s="90" t="s">
        <v>721</v>
      </c>
    </row>
    <row r="55" spans="1:12" x14ac:dyDescent="0.2">
      <c r="A55" t="s">
        <v>681</v>
      </c>
      <c r="B55" s="487">
        <v>1588993.61</v>
      </c>
      <c r="C55" s="488" t="s">
        <v>706</v>
      </c>
      <c r="D55" s="489">
        <v>3329</v>
      </c>
      <c r="E55" s="490">
        <v>1.0038350428741947</v>
      </c>
      <c r="F55" s="491">
        <v>477.31859717632926</v>
      </c>
      <c r="G55" s="352">
        <v>3.9929094538429244E-2</v>
      </c>
      <c r="H55" s="352">
        <v>4.5603451550436179E-2</v>
      </c>
      <c r="I55" s="352">
        <v>3.230210266493469E-2</v>
      </c>
      <c r="J55" s="310">
        <v>238.65929858816463</v>
      </c>
      <c r="K55" s="90" t="s">
        <v>721</v>
      </c>
      <c r="L55" s="90" t="s">
        <v>721</v>
      </c>
    </row>
    <row r="56" spans="1:12" x14ac:dyDescent="0.2">
      <c r="A56" t="s">
        <v>631</v>
      </c>
      <c r="B56" s="487">
        <v>320500387.31999803</v>
      </c>
      <c r="C56" s="488" t="s">
        <v>709</v>
      </c>
      <c r="D56" s="489">
        <v>409202</v>
      </c>
      <c r="E56" s="490">
        <v>123.39180150621995</v>
      </c>
      <c r="F56" s="491">
        <v>783.23270003567438</v>
      </c>
      <c r="G56" s="352">
        <v>8.0537078213318871</v>
      </c>
      <c r="H56" s="352">
        <v>9.1982269740175724</v>
      </c>
      <c r="I56" s="352">
        <v>6.5153417548116561</v>
      </c>
      <c r="J56" s="310">
        <v>391.61635001783719</v>
      </c>
      <c r="K56" s="90" t="s">
        <v>721</v>
      </c>
      <c r="L56" s="90" t="s">
        <v>721</v>
      </c>
    </row>
    <row r="57" spans="1:12" x14ac:dyDescent="0.2">
      <c r="A57" t="s">
        <v>686</v>
      </c>
      <c r="B57" s="487">
        <v>614294.52</v>
      </c>
      <c r="C57" s="488" t="s">
        <v>706</v>
      </c>
      <c r="D57" s="489">
        <v>819</v>
      </c>
      <c r="E57" s="490">
        <v>0.24696332235324886</v>
      </c>
      <c r="F57" s="491">
        <v>750.05435897435905</v>
      </c>
      <c r="G57" s="352">
        <v>1.5436326369820339E-2</v>
      </c>
      <c r="H57" s="352">
        <v>1.7629995617489267E-2</v>
      </c>
      <c r="I57" s="352">
        <v>1.2487781276569626E-2</v>
      </c>
      <c r="J57" s="310">
        <v>375.02717948717952</v>
      </c>
      <c r="K57" s="90" t="s">
        <v>721</v>
      </c>
      <c r="L57" s="90" t="s">
        <v>721</v>
      </c>
    </row>
    <row r="58" spans="1:12" x14ac:dyDescent="0.2">
      <c r="A58" t="s">
        <v>688</v>
      </c>
      <c r="B58" s="487">
        <v>316369.87</v>
      </c>
      <c r="C58" s="488" t="s">
        <v>706</v>
      </c>
      <c r="D58" s="489">
        <v>898</v>
      </c>
      <c r="E58" s="490">
        <v>0.27078518128597984</v>
      </c>
      <c r="F58" s="491">
        <v>352.30497772828505</v>
      </c>
      <c r="G58" s="352">
        <v>7.9499139385088968E-3</v>
      </c>
      <c r="H58" s="352">
        <v>9.0796828557182119E-3</v>
      </c>
      <c r="I58" s="352">
        <v>6.4313738938396618E-3</v>
      </c>
      <c r="J58" s="310">
        <v>176.15248886414253</v>
      </c>
      <c r="K58" s="90" t="s">
        <v>721</v>
      </c>
      <c r="L58" s="90" t="s">
        <v>721</v>
      </c>
    </row>
    <row r="59" spans="1:12" x14ac:dyDescent="0.2">
      <c r="A59" t="s">
        <v>638</v>
      </c>
      <c r="B59" s="487">
        <v>144583897.64999899</v>
      </c>
      <c r="C59" s="488" t="s">
        <v>706</v>
      </c>
      <c r="D59" s="489">
        <v>277575</v>
      </c>
      <c r="E59" s="490">
        <v>83.700664471554404</v>
      </c>
      <c r="F59" s="491">
        <v>520.88227560118526</v>
      </c>
      <c r="G59" s="352">
        <v>3.6331827149395446</v>
      </c>
      <c r="H59" s="352">
        <v>4.1494973484852169</v>
      </c>
      <c r="I59" s="352">
        <v>2.9391961529578947</v>
      </c>
      <c r="J59" s="310">
        <v>260.44113780059263</v>
      </c>
      <c r="K59" s="90" t="s">
        <v>721</v>
      </c>
      <c r="L59" s="90" t="s">
        <v>721</v>
      </c>
    </row>
    <row r="60" spans="1:12" x14ac:dyDescent="0.2">
      <c r="A60" t="s">
        <v>677</v>
      </c>
      <c r="B60" s="487">
        <v>10331844.42</v>
      </c>
      <c r="C60" s="488" t="s">
        <v>706</v>
      </c>
      <c r="D60" s="489">
        <v>8988</v>
      </c>
      <c r="E60" s="490">
        <v>2.7102641530048852</v>
      </c>
      <c r="F60" s="491">
        <v>1149.5154005340453</v>
      </c>
      <c r="G60" s="352">
        <v>0.25962419861620628</v>
      </c>
      <c r="H60" s="352">
        <v>0.29651961056917925</v>
      </c>
      <c r="I60" s="352">
        <v>0.21003249923262596</v>
      </c>
      <c r="J60" s="310">
        <v>574.75770026702264</v>
      </c>
      <c r="K60" s="90" t="s">
        <v>721</v>
      </c>
      <c r="L60" s="90" t="s">
        <v>721</v>
      </c>
    </row>
    <row r="61" spans="1:12" x14ac:dyDescent="0.2">
      <c r="A61" t="s">
        <v>690</v>
      </c>
      <c r="B61" s="487">
        <v>28690.85</v>
      </c>
      <c r="C61" s="488" t="s">
        <v>706</v>
      </c>
      <c r="D61" s="489">
        <v>137</v>
      </c>
      <c r="E61" s="490">
        <v>4.1311324984609397E-2</v>
      </c>
      <c r="F61" s="491">
        <v>209.42226277372262</v>
      </c>
      <c r="G61" s="352">
        <v>7.2095926303812673E-4</v>
      </c>
      <c r="H61" s="352">
        <v>8.234153867464777E-4</v>
      </c>
      <c r="I61" s="352">
        <v>5.8324638715459749E-4</v>
      </c>
      <c r="J61" s="310">
        <v>104.71113138686131</v>
      </c>
      <c r="K61" s="90" t="s">
        <v>721</v>
      </c>
      <c r="L61" s="90" t="s">
        <v>721</v>
      </c>
    </row>
    <row r="62" spans="1:12" x14ac:dyDescent="0.2">
      <c r="A62" t="s">
        <v>685</v>
      </c>
      <c r="B62" s="487">
        <v>915900.96999999904</v>
      </c>
      <c r="C62" s="488" t="s">
        <v>706</v>
      </c>
      <c r="D62" s="489">
        <v>3697</v>
      </c>
      <c r="E62" s="490">
        <v>1.1148026895481822</v>
      </c>
      <c r="F62" s="491">
        <v>247.74167433053802</v>
      </c>
      <c r="G62" s="352">
        <v>2.3015257071404466E-2</v>
      </c>
      <c r="H62" s="352">
        <v>2.6285974498281628E-2</v>
      </c>
      <c r="I62" s="352">
        <v>1.8619034700745739E-2</v>
      </c>
      <c r="J62" s="310">
        <v>123.87083716526901</v>
      </c>
      <c r="K62" s="90" t="s">
        <v>721</v>
      </c>
      <c r="L62" s="90" t="s">
        <v>721</v>
      </c>
    </row>
    <row r="63" spans="1:12" x14ac:dyDescent="0.2">
      <c r="A63" t="s">
        <v>659</v>
      </c>
      <c r="B63" s="487">
        <v>23386389.059999999</v>
      </c>
      <c r="C63" s="488" t="s">
        <v>706</v>
      </c>
      <c r="D63" s="489">
        <v>35007</v>
      </c>
      <c r="E63" s="490">
        <v>10.556098932381175</v>
      </c>
      <c r="F63" s="491">
        <v>668.04893478447161</v>
      </c>
      <c r="G63" s="352">
        <v>0.58766588727139524</v>
      </c>
      <c r="H63" s="352">
        <v>0.67117957789481641</v>
      </c>
      <c r="I63" s="352">
        <v>0.47541383151202565</v>
      </c>
      <c r="J63" s="310">
        <v>334.02446739223581</v>
      </c>
      <c r="K63" s="90" t="s">
        <v>721</v>
      </c>
      <c r="L63" s="90" t="s">
        <v>721</v>
      </c>
    </row>
    <row r="64" spans="1:12" x14ac:dyDescent="0.2">
      <c r="A64" t="s">
        <v>653</v>
      </c>
      <c r="B64" s="487">
        <v>36086848.600000203</v>
      </c>
      <c r="C64" s="488" t="s">
        <v>706</v>
      </c>
      <c r="D64" s="489">
        <v>319027</v>
      </c>
      <c r="E64" s="490">
        <v>96.200204933321046</v>
      </c>
      <c r="F64" s="491">
        <v>113.11534321546516</v>
      </c>
      <c r="G64" s="352">
        <v>0.90680993320255776</v>
      </c>
      <c r="H64" s="352">
        <v>1.0356774510490543</v>
      </c>
      <c r="I64" s="352">
        <v>0.73359709000413253</v>
      </c>
      <c r="J64" s="310">
        <v>56.55767160773258</v>
      </c>
      <c r="K64" s="90" t="s">
        <v>721</v>
      </c>
      <c r="L64" s="90" t="s">
        <v>721</v>
      </c>
    </row>
  </sheetData>
  <printOptions horizontalCentered="1"/>
  <pageMargins left="0.7" right="0.7" top="0.75" bottom="0.75" header="0.3" footer="0.3"/>
  <pageSetup scale="10" orientation="portrait" horizontalDpi="4294967293"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AC24"/>
  <sheetViews>
    <sheetView showGridLines="0" workbookViewId="0"/>
  </sheetViews>
  <sheetFormatPr baseColWidth="10" defaultColWidth="8.83203125" defaultRowHeight="15" x14ac:dyDescent="0.2"/>
  <cols>
    <col min="1" max="1" width="70" customWidth="1"/>
    <col min="2" max="2" width="21.1640625" customWidth="1"/>
    <col min="3" max="3" width="15.1640625" customWidth="1"/>
    <col min="4" max="4" width="13.1640625" customWidth="1"/>
    <col min="5" max="5" width="12.1640625" customWidth="1"/>
    <col min="7" max="7" width="9.5" customWidth="1"/>
    <col min="8" max="8" width="10.5" customWidth="1"/>
    <col min="12" max="12" width="9.1640625" customWidth="1"/>
    <col min="13" max="14" width="10.1640625" customWidth="1"/>
    <col min="15" max="16" width="11.1640625" customWidth="1"/>
    <col min="17" max="17" width="11.83203125" customWidth="1"/>
    <col min="21" max="21" width="9.5" customWidth="1"/>
    <col min="23" max="23" width="14.83203125" customWidth="1"/>
    <col min="25" max="25" width="9.83203125" customWidth="1"/>
    <col min="26" max="26" width="13.5" customWidth="1"/>
  </cols>
  <sheetData>
    <row r="1" spans="1:28" ht="19" x14ac:dyDescent="0.25">
      <c r="A1" s="289" t="s">
        <v>722</v>
      </c>
      <c r="Q1" t="s">
        <v>723</v>
      </c>
      <c r="R1" s="310">
        <f>'Assumptions-Output Target'!$D$27</f>
        <v>2500</v>
      </c>
      <c r="S1" s="310">
        <f>'Assumptions-Output Target'!$E$27</f>
        <v>2500</v>
      </c>
      <c r="T1" s="310">
        <f>'Assumptions-Output Target'!$F$27</f>
        <v>2500</v>
      </c>
    </row>
    <row r="2" spans="1:28" x14ac:dyDescent="0.2">
      <c r="J2" s="982" t="s">
        <v>724</v>
      </c>
      <c r="K2" s="982"/>
      <c r="L2" s="982"/>
      <c r="M2" s="392"/>
      <c r="N2" s="982" t="s">
        <v>725</v>
      </c>
      <c r="O2" s="982"/>
      <c r="P2" s="982"/>
      <c r="R2" s="982" t="s">
        <v>726</v>
      </c>
      <c r="S2" s="982"/>
      <c r="T2" s="982"/>
      <c r="U2" s="392"/>
    </row>
    <row r="3" spans="1:28" s="208" customFormat="1" ht="60" x14ac:dyDescent="0.2">
      <c r="A3" s="482" t="s">
        <v>727</v>
      </c>
      <c r="B3" s="483" t="s">
        <v>695</v>
      </c>
      <c r="C3" s="483" t="s">
        <v>728</v>
      </c>
      <c r="D3" s="483" t="s">
        <v>729</v>
      </c>
      <c r="E3" s="483" t="s">
        <v>697</v>
      </c>
      <c r="F3" s="484" t="s">
        <v>306</v>
      </c>
      <c r="G3" s="483" t="s">
        <v>698</v>
      </c>
      <c r="H3" s="485" t="s">
        <v>400</v>
      </c>
      <c r="I3" s="485" t="s">
        <v>699</v>
      </c>
      <c r="J3" s="485" t="s">
        <v>345</v>
      </c>
      <c r="K3" s="485" t="s">
        <v>346</v>
      </c>
      <c r="L3" s="485" t="s">
        <v>347</v>
      </c>
      <c r="M3" s="485" t="s">
        <v>730</v>
      </c>
      <c r="N3" s="485" t="s">
        <v>345</v>
      </c>
      <c r="O3" s="485" t="s">
        <v>346</v>
      </c>
      <c r="P3" s="485" t="s">
        <v>347</v>
      </c>
      <c r="Q3" s="485" t="s">
        <v>731</v>
      </c>
      <c r="R3" s="485" t="s">
        <v>345</v>
      </c>
      <c r="S3" s="485" t="s">
        <v>346</v>
      </c>
      <c r="T3" s="485" t="s">
        <v>347</v>
      </c>
      <c r="U3" s="485" t="s">
        <v>730</v>
      </c>
      <c r="V3" s="485" t="s">
        <v>731</v>
      </c>
      <c r="W3" s="485" t="s">
        <v>732</v>
      </c>
      <c r="X3" s="485" t="s">
        <v>733</v>
      </c>
      <c r="Y3" s="485" t="s">
        <v>734</v>
      </c>
      <c r="Z3" s="485" t="s">
        <v>735</v>
      </c>
      <c r="AA3" s="485" t="s">
        <v>736</v>
      </c>
      <c r="AB3" s="485" t="s">
        <v>737</v>
      </c>
    </row>
    <row r="4" spans="1:28" x14ac:dyDescent="0.2">
      <c r="A4" t="s">
        <v>738</v>
      </c>
      <c r="B4" s="491">
        <v>23539973.609999999</v>
      </c>
      <c r="C4" s="313" t="s">
        <v>739</v>
      </c>
      <c r="D4" s="313"/>
      <c r="E4" s="489">
        <v>198</v>
      </c>
      <c r="F4" s="430">
        <v>5.9705418590895336E-2</v>
      </c>
      <c r="G4" s="491">
        <v>118888.7556060606</v>
      </c>
      <c r="H4" s="508">
        <v>0.59152524326754186</v>
      </c>
      <c r="I4" s="508">
        <f>H4*'Assumptions-Output Target'!$D$10/'Assumptions-Output Target'!$D$5</f>
        <v>0.99960216521091927</v>
      </c>
      <c r="J4" s="490">
        <v>50</v>
      </c>
      <c r="K4" s="509">
        <v>98</v>
      </c>
      <c r="L4" s="490">
        <v>50</v>
      </c>
      <c r="M4" s="510">
        <f>SUM(J4:L4)</f>
        <v>198</v>
      </c>
      <c r="N4" s="479">
        <v>25843.282599999999</v>
      </c>
      <c r="O4" s="479">
        <v>104036.42755102049</v>
      </c>
      <c r="P4" s="479">
        <v>241044.7916</v>
      </c>
      <c r="Q4" s="479">
        <f>SUMPRODUCT(J4:L4,$N4:$P4)/M4</f>
        <v>118888.75560606064</v>
      </c>
      <c r="R4" s="490">
        <f>J4+'Assumptions-Output Target'!$E$28*'Shoppable Detail'!K4</f>
        <v>50</v>
      </c>
      <c r="S4" s="490">
        <f>K4*(1-'Assumptions-Output Target'!$E$28)+L4*'Assumptions-Output Target'!$F$28</f>
        <v>98</v>
      </c>
      <c r="T4">
        <f>L4*(1-'Assumptions-Output Target'!$F$28)</f>
        <v>50</v>
      </c>
      <c r="U4" s="510">
        <f>SUM(R4:T4)</f>
        <v>198</v>
      </c>
      <c r="V4" s="479">
        <f>SUMPRODUCT(R4:T4,$N4:$P4)/U4</f>
        <v>118888.75560606064</v>
      </c>
      <c r="W4" s="479">
        <f>U4*V4</f>
        <v>23539973.610000007</v>
      </c>
      <c r="X4" s="352">
        <f>W4/'PPP Detail'!MM</f>
        <v>0.59152524326754208</v>
      </c>
      <c r="Y4" s="508">
        <f>X4*'Assumptions-Output Target'!$D$10/'Assumptions-Output Target'!$D$5</f>
        <v>0.99960216521091971</v>
      </c>
      <c r="Z4" s="479">
        <f>SUMPRODUCT(R4:T4,$R$1:$T$1)</f>
        <v>495000</v>
      </c>
      <c r="AA4" s="352">
        <f>Z4/'PPP Detail'!MM</f>
        <v>1.2438628873103194E-2</v>
      </c>
      <c r="AB4" s="352">
        <f>Y4-AA4</f>
        <v>0.98716353633781651</v>
      </c>
    </row>
    <row r="5" spans="1:28" x14ac:dyDescent="0.2">
      <c r="A5" t="s">
        <v>740</v>
      </c>
      <c r="B5" s="491">
        <v>19521918.050000001</v>
      </c>
      <c r="C5" s="313" t="s">
        <v>741</v>
      </c>
      <c r="D5" s="313" t="s">
        <v>742</v>
      </c>
      <c r="E5" s="489">
        <v>309</v>
      </c>
      <c r="F5" s="430">
        <v>9.3176638103973031E-2</v>
      </c>
      <c r="G5" s="491">
        <v>63177.728317152105</v>
      </c>
      <c r="H5" s="508">
        <v>0.49055736063653416</v>
      </c>
      <c r="I5" s="508">
        <f>H5*'Assumptions-Output Target'!$D$10/'Assumptions-Output Target'!$D$5</f>
        <v>0.82897933001761459</v>
      </c>
      <c r="J5" s="490">
        <v>76</v>
      </c>
      <c r="K5" s="509">
        <v>156</v>
      </c>
      <c r="L5" s="490">
        <v>77</v>
      </c>
      <c r="M5" s="510">
        <f t="shared" ref="M5:M19" si="0">SUM(J5:L5)</f>
        <v>309</v>
      </c>
      <c r="N5" s="479">
        <v>20322.160263157893</v>
      </c>
      <c r="O5" s="479">
        <v>53369.908782051294</v>
      </c>
      <c r="P5" s="479">
        <v>125347.11818181818</v>
      </c>
      <c r="Q5" s="479">
        <f t="shared" ref="Q5:Q19" si="1">SUMPRODUCT(J5:L5,$N5:$P5)/M5</f>
        <v>63177.728317152105</v>
      </c>
      <c r="R5" s="490">
        <f>J5+'Assumptions-Output Target'!$E$28*'Shoppable Detail'!K5</f>
        <v>76</v>
      </c>
      <c r="S5" s="490">
        <f>K5*(1-'Assumptions-Output Target'!$E$28)+L5*'Assumptions-Output Target'!$F$28</f>
        <v>156</v>
      </c>
      <c r="T5">
        <f>L5*(1-'Assumptions-Output Target'!$F$28)</f>
        <v>77</v>
      </c>
      <c r="U5" s="510">
        <f t="shared" ref="U5:U19" si="2">SUM(R5:T5)</f>
        <v>309</v>
      </c>
      <c r="V5" s="479">
        <f t="shared" ref="V5:V19" si="3">SUMPRODUCT(R5:T5,$N5:$P5)/U5</f>
        <v>63177.728317152105</v>
      </c>
      <c r="W5" s="479">
        <f t="shared" ref="W5:W19" si="4">U5*V5</f>
        <v>19521918.050000001</v>
      </c>
      <c r="X5" s="352">
        <f>W5/'PPP Detail'!MM</f>
        <v>0.49055736063653416</v>
      </c>
      <c r="Y5" s="508">
        <f>X5*'Assumptions-Output Target'!$D$10/'Assumptions-Output Target'!$D$5</f>
        <v>0.82897933001761459</v>
      </c>
      <c r="Z5" s="479">
        <f t="shared" ref="Z5:Z19" si="5">SUMPRODUCT(R5:T5,$R$1:$T$1)</f>
        <v>772500</v>
      </c>
      <c r="AA5" s="352">
        <f>Z5/'PPP Detail'!MM</f>
        <v>1.9411799604994378E-2</v>
      </c>
      <c r="AB5" s="352">
        <f t="shared" ref="AB5:AB19" si="6">Y5-AA5</f>
        <v>0.8095675304126202</v>
      </c>
    </row>
    <row r="6" spans="1:28" x14ac:dyDescent="0.2">
      <c r="A6" t="s">
        <v>743</v>
      </c>
      <c r="B6" s="491">
        <v>29752260.579999998</v>
      </c>
      <c r="C6" s="313" t="s">
        <v>741</v>
      </c>
      <c r="D6" s="313" t="s">
        <v>744</v>
      </c>
      <c r="E6" s="489">
        <v>291</v>
      </c>
      <c r="F6" s="430">
        <v>8.7748872777527992E-2</v>
      </c>
      <c r="G6" s="491">
        <v>102241.44529209621</v>
      </c>
      <c r="H6" s="508">
        <v>0.74763096462722822</v>
      </c>
      <c r="I6" s="508">
        <f>H6*'Assumptions-Output Target'!$D$10/'Assumptions-Output Target'!$D$5</f>
        <v>1.2634009106557991</v>
      </c>
      <c r="J6" s="490">
        <v>73</v>
      </c>
      <c r="K6" s="509">
        <v>145</v>
      </c>
      <c r="L6" s="490">
        <v>73</v>
      </c>
      <c r="M6" s="510">
        <f t="shared" si="0"/>
        <v>291</v>
      </c>
      <c r="N6" s="479">
        <v>25072.717808219179</v>
      </c>
      <c r="O6" s="479">
        <v>78714.030620689722</v>
      </c>
      <c r="P6" s="479">
        <v>226142.70876712326</v>
      </c>
      <c r="Q6" s="479">
        <f t="shared" si="1"/>
        <v>102241.44529209624</v>
      </c>
      <c r="R6" s="490">
        <f>J6+'Assumptions-Output Target'!$E$28*'Shoppable Detail'!K6</f>
        <v>73</v>
      </c>
      <c r="S6" s="490">
        <f>K6*(1-'Assumptions-Output Target'!$E$28)+L6*'Assumptions-Output Target'!$F$28</f>
        <v>145</v>
      </c>
      <c r="T6">
        <f>L6*(1-'Assumptions-Output Target'!$F$28)</f>
        <v>73</v>
      </c>
      <c r="U6" s="510">
        <f t="shared" si="2"/>
        <v>291</v>
      </c>
      <c r="V6" s="479">
        <f t="shared" si="3"/>
        <v>102241.44529209624</v>
      </c>
      <c r="W6" s="479">
        <f t="shared" si="4"/>
        <v>29752260.580000006</v>
      </c>
      <c r="X6" s="352">
        <f>W6/'PPP Detail'!MM</f>
        <v>0.74763096462722833</v>
      </c>
      <c r="Y6" s="508">
        <f>X6*'Assumptions-Output Target'!$D$10/'Assumptions-Output Target'!$D$5</f>
        <v>1.2634009106557995</v>
      </c>
      <c r="Z6" s="479">
        <f t="shared" si="5"/>
        <v>727500</v>
      </c>
      <c r="AA6" s="352">
        <f>Z6/'PPP Detail'!MM</f>
        <v>1.8281015161984996E-2</v>
      </c>
      <c r="AB6" s="352">
        <f t="shared" si="6"/>
        <v>1.2451198954938145</v>
      </c>
    </row>
    <row r="7" spans="1:28" x14ac:dyDescent="0.2">
      <c r="A7" t="s">
        <v>745</v>
      </c>
      <c r="B7" s="491">
        <v>5787027.0999999996</v>
      </c>
      <c r="C7" s="313" t="s">
        <v>741</v>
      </c>
      <c r="D7" s="313" t="s">
        <v>746</v>
      </c>
      <c r="E7" s="489">
        <v>92</v>
      </c>
      <c r="F7" s="430">
        <v>2.7741911668496821E-2</v>
      </c>
      <c r="G7" s="491">
        <v>62902.468478260867</v>
      </c>
      <c r="H7" s="508">
        <v>0.14541956035452655</v>
      </c>
      <c r="I7" s="508">
        <f>H7*'Assumptions-Output Target'!$D$10/'Assumptions-Output Target'!$D$5</f>
        <v>0.24574049721265881</v>
      </c>
      <c r="J7" s="490">
        <v>23</v>
      </c>
      <c r="K7" s="509">
        <v>46</v>
      </c>
      <c r="L7" s="490">
        <v>23</v>
      </c>
      <c r="M7" s="510">
        <f t="shared" si="0"/>
        <v>92</v>
      </c>
      <c r="N7" s="479">
        <v>18718.392173913042</v>
      </c>
      <c r="O7" s="479">
        <v>45067.172391304353</v>
      </c>
      <c r="P7" s="479">
        <v>142757.13695652175</v>
      </c>
      <c r="Q7" s="479">
        <f t="shared" si="1"/>
        <v>62902.468478260875</v>
      </c>
      <c r="R7" s="490">
        <f>J7+'Assumptions-Output Target'!$E$28*'Shoppable Detail'!K7</f>
        <v>23</v>
      </c>
      <c r="S7" s="490">
        <f>K7*(1-'Assumptions-Output Target'!$E$28)+L7*'Assumptions-Output Target'!$F$28</f>
        <v>46</v>
      </c>
      <c r="T7">
        <f>L7*(1-'Assumptions-Output Target'!$F$28)</f>
        <v>23</v>
      </c>
      <c r="U7" s="510">
        <f t="shared" si="2"/>
        <v>92</v>
      </c>
      <c r="V7" s="479">
        <f t="shared" si="3"/>
        <v>62902.468478260875</v>
      </c>
      <c r="W7" s="479">
        <f t="shared" si="4"/>
        <v>5787027.1000000006</v>
      </c>
      <c r="X7" s="352">
        <f>W7/'PPP Detail'!MM</f>
        <v>0.14541956035452658</v>
      </c>
      <c r="Y7" s="508">
        <f>X7*'Assumptions-Output Target'!$D$10/'Assumptions-Output Target'!$D$5</f>
        <v>0.24574049721265886</v>
      </c>
      <c r="Z7" s="479">
        <f t="shared" si="5"/>
        <v>230000</v>
      </c>
      <c r="AA7" s="352">
        <f>Z7/'PPP Detail'!MM</f>
        <v>5.7795649309368372E-3</v>
      </c>
      <c r="AB7" s="352">
        <f t="shared" si="6"/>
        <v>0.23996093228172202</v>
      </c>
    </row>
    <row r="8" spans="1:28" x14ac:dyDescent="0.2">
      <c r="A8" t="s">
        <v>747</v>
      </c>
      <c r="B8" s="491">
        <v>13512579.27</v>
      </c>
      <c r="C8" s="313" t="s">
        <v>741</v>
      </c>
      <c r="D8" s="313" t="s">
        <v>748</v>
      </c>
      <c r="E8" s="489">
        <v>255</v>
      </c>
      <c r="F8" s="430">
        <v>7.6893342124637928E-2</v>
      </c>
      <c r="G8" s="491">
        <v>52990.506941176471</v>
      </c>
      <c r="H8" s="508">
        <v>0.3395514316321569</v>
      </c>
      <c r="I8" s="508">
        <f>H8*'Assumptions-Output Target'!$D$10/'Assumptions-Output Target'!$D$5</f>
        <v>0.57379858277063645</v>
      </c>
      <c r="J8" s="490">
        <v>64</v>
      </c>
      <c r="K8" s="509">
        <v>127</v>
      </c>
      <c r="L8" s="490">
        <v>64</v>
      </c>
      <c r="M8" s="510">
        <f t="shared" si="0"/>
        <v>255</v>
      </c>
      <c r="N8" s="479">
        <v>12763.333437500001</v>
      </c>
      <c r="O8" s="479">
        <v>45544.300708661438</v>
      </c>
      <c r="P8" s="479">
        <v>107993.74593749999</v>
      </c>
      <c r="Q8" s="479">
        <f t="shared" si="1"/>
        <v>52990.506941176478</v>
      </c>
      <c r="R8" s="490">
        <f>J8+'Assumptions-Output Target'!$E$28*'Shoppable Detail'!K8</f>
        <v>64</v>
      </c>
      <c r="S8" s="490">
        <f>K8*(1-'Assumptions-Output Target'!$E$28)+L8*'Assumptions-Output Target'!$F$28</f>
        <v>127</v>
      </c>
      <c r="T8">
        <f>L8*(1-'Assumptions-Output Target'!$F$28)</f>
        <v>64</v>
      </c>
      <c r="U8" s="510">
        <f t="shared" si="2"/>
        <v>255</v>
      </c>
      <c r="V8" s="479">
        <f t="shared" si="3"/>
        <v>52990.506941176478</v>
      </c>
      <c r="W8" s="479">
        <f t="shared" si="4"/>
        <v>13512579.270000001</v>
      </c>
      <c r="X8" s="352">
        <f>W8/'PPP Detail'!MM</f>
        <v>0.33955143163215695</v>
      </c>
      <c r="Y8" s="508">
        <f>X8*'Assumptions-Output Target'!$D$10/'Assumptions-Output Target'!$D$5</f>
        <v>0.57379858277063656</v>
      </c>
      <c r="Z8" s="479">
        <f t="shared" si="5"/>
        <v>637500</v>
      </c>
      <c r="AA8" s="352">
        <f>Z8/'PPP Detail'!MM</f>
        <v>1.6019446275966236E-2</v>
      </c>
      <c r="AB8" s="352">
        <f t="shared" si="6"/>
        <v>0.55777913649467037</v>
      </c>
    </row>
    <row r="9" spans="1:28" x14ac:dyDescent="0.2">
      <c r="A9" t="s">
        <v>749</v>
      </c>
      <c r="B9" s="491">
        <v>30270870.609999999</v>
      </c>
      <c r="C9" s="313" t="s">
        <v>741</v>
      </c>
      <c r="D9" s="313" t="s">
        <v>750</v>
      </c>
      <c r="E9" s="489">
        <v>473</v>
      </c>
      <c r="F9" s="430">
        <v>0.14262961107824995</v>
      </c>
      <c r="G9" s="491">
        <v>63997.612283298098</v>
      </c>
      <c r="H9" s="508">
        <v>0.76066287915861996</v>
      </c>
      <c r="I9" s="508">
        <f>H9*'Assumptions-Output Target'!$D$10/'Assumptions-Output Target'!$D$5</f>
        <v>1.2854231829606364</v>
      </c>
      <c r="J9" s="490">
        <v>118</v>
      </c>
      <c r="K9" s="509">
        <v>237</v>
      </c>
      <c r="L9" s="490">
        <v>118</v>
      </c>
      <c r="M9" s="510">
        <f t="shared" si="0"/>
        <v>473</v>
      </c>
      <c r="N9" s="479">
        <v>18503.853898305082</v>
      </c>
      <c r="O9" s="479">
        <v>54697.848649788968</v>
      </c>
      <c r="P9" s="479">
        <v>128169.70949152543</v>
      </c>
      <c r="Q9" s="479">
        <f t="shared" si="1"/>
        <v>63997.612283298062</v>
      </c>
      <c r="R9" s="490">
        <f>J9+'Assumptions-Output Target'!$E$28*'Shoppable Detail'!K9</f>
        <v>118</v>
      </c>
      <c r="S9" s="490">
        <f>K9*(1-'Assumptions-Output Target'!$E$28)+L9*'Assumptions-Output Target'!$F$28</f>
        <v>237</v>
      </c>
      <c r="T9">
        <f>L9*(1-'Assumptions-Output Target'!$F$28)</f>
        <v>118</v>
      </c>
      <c r="U9" s="510">
        <f t="shared" si="2"/>
        <v>473</v>
      </c>
      <c r="V9" s="479">
        <f t="shared" si="3"/>
        <v>63997.612283298062</v>
      </c>
      <c r="W9" s="479">
        <f t="shared" si="4"/>
        <v>30270870.609999985</v>
      </c>
      <c r="X9" s="352">
        <f>W9/'PPP Detail'!MM</f>
        <v>0.76066287915861963</v>
      </c>
      <c r="Y9" s="508">
        <f>X9*'Assumptions-Output Target'!$D$10/'Assumptions-Output Target'!$D$5</f>
        <v>1.2854231829606357</v>
      </c>
      <c r="Z9" s="479">
        <f t="shared" si="5"/>
        <v>1182500</v>
      </c>
      <c r="AA9" s="352">
        <f>Z9/'PPP Detail'!MM</f>
        <v>2.9714502307968741E-2</v>
      </c>
      <c r="AB9" s="352">
        <f t="shared" si="6"/>
        <v>1.2557086806526669</v>
      </c>
    </row>
    <row r="10" spans="1:28" x14ac:dyDescent="0.2">
      <c r="A10" t="s">
        <v>751</v>
      </c>
      <c r="B10" s="491">
        <v>31359608.329999998</v>
      </c>
      <c r="C10" s="313" t="s">
        <v>741</v>
      </c>
      <c r="D10" s="313" t="s">
        <v>752</v>
      </c>
      <c r="E10" s="489">
        <v>349</v>
      </c>
      <c r="F10" s="430">
        <v>0.10523833882940641</v>
      </c>
      <c r="G10" s="491">
        <v>89855.611260744976</v>
      </c>
      <c r="H10" s="508">
        <v>0.78802127196514227</v>
      </c>
      <c r="I10" s="508">
        <f>H10*'Assumptions-Output Target'!$D$10/'Assumptions-Output Target'!$D$5</f>
        <v>1.3316553750730555</v>
      </c>
      <c r="J10" s="490">
        <v>87</v>
      </c>
      <c r="K10" s="509">
        <v>175</v>
      </c>
      <c r="L10" s="490">
        <v>87</v>
      </c>
      <c r="M10" s="510">
        <f t="shared" si="0"/>
        <v>349</v>
      </c>
      <c r="N10" s="479">
        <v>26514.805632183907</v>
      </c>
      <c r="O10" s="479">
        <v>74698.903485714254</v>
      </c>
      <c r="P10" s="479">
        <v>183684.04747126438</v>
      </c>
      <c r="Q10" s="479">
        <f t="shared" si="1"/>
        <v>89855.611260744976</v>
      </c>
      <c r="R10" s="490">
        <f>J10+'Assumptions-Output Target'!$E$28*'Shoppable Detail'!K10</f>
        <v>87</v>
      </c>
      <c r="S10" s="490">
        <f>K10*(1-'Assumptions-Output Target'!$E$28)+L10*'Assumptions-Output Target'!$F$28</f>
        <v>175</v>
      </c>
      <c r="T10">
        <f>L10*(1-'Assumptions-Output Target'!$F$28)</f>
        <v>87</v>
      </c>
      <c r="U10" s="510">
        <f t="shared" si="2"/>
        <v>349</v>
      </c>
      <c r="V10" s="479">
        <f t="shared" si="3"/>
        <v>89855.611260744976</v>
      </c>
      <c r="W10" s="479">
        <f t="shared" si="4"/>
        <v>31359608.329999998</v>
      </c>
      <c r="X10" s="352">
        <f>W10/'PPP Detail'!MM</f>
        <v>0.78802127196514227</v>
      </c>
      <c r="Y10" s="508">
        <f>X10*'Assumptions-Output Target'!$D$10/'Assumptions-Output Target'!$D$5</f>
        <v>1.3316553750730555</v>
      </c>
      <c r="Z10" s="479">
        <f t="shared" si="5"/>
        <v>872500</v>
      </c>
      <c r="AA10" s="352">
        <f>Z10/'PPP Detail'!MM</f>
        <v>2.1924653922793004E-2</v>
      </c>
      <c r="AB10" s="352">
        <f t="shared" si="6"/>
        <v>1.3097307211502625</v>
      </c>
    </row>
    <row r="11" spans="1:28" x14ac:dyDescent="0.2">
      <c r="A11" t="s">
        <v>753</v>
      </c>
      <c r="B11" s="491">
        <v>22907713.640000001</v>
      </c>
      <c r="C11" s="313" t="s">
        <v>741</v>
      </c>
      <c r="D11" s="313" t="s">
        <v>754</v>
      </c>
      <c r="E11" s="489">
        <v>1399</v>
      </c>
      <c r="F11" s="430">
        <v>0.42185798287203319</v>
      </c>
      <c r="G11" s="491">
        <v>16374.348563259471</v>
      </c>
      <c r="H11" s="508">
        <v>0.57563747131168463</v>
      </c>
      <c r="I11" s="508">
        <f>H11*'Assumptions-Output Target'!$D$10/'Assumptions-Output Target'!$D$5</f>
        <v>0.97275385834961914</v>
      </c>
      <c r="J11" s="490">
        <v>350</v>
      </c>
      <c r="K11" s="509">
        <v>699</v>
      </c>
      <c r="L11" s="490">
        <v>350</v>
      </c>
      <c r="M11" s="510">
        <f t="shared" si="0"/>
        <v>1399</v>
      </c>
      <c r="N11" s="479">
        <v>2329.957342857143</v>
      </c>
      <c r="O11" s="479">
        <v>12432.530271816868</v>
      </c>
      <c r="P11" s="479">
        <v>38291.114028571421</v>
      </c>
      <c r="Q11" s="479">
        <f t="shared" si="1"/>
        <v>16374.34856325946</v>
      </c>
      <c r="R11" s="490">
        <f>J11+'Assumptions-Output Target'!$E$28*'Shoppable Detail'!K11</f>
        <v>350</v>
      </c>
      <c r="S11" s="490">
        <f>K11*(1-'Assumptions-Output Target'!$E$28)+L11*'Assumptions-Output Target'!$F$28</f>
        <v>699</v>
      </c>
      <c r="T11">
        <f>L11*(1-'Assumptions-Output Target'!$F$28)</f>
        <v>350</v>
      </c>
      <c r="U11" s="510">
        <f t="shared" si="2"/>
        <v>1399</v>
      </c>
      <c r="V11" s="479">
        <f t="shared" si="3"/>
        <v>16374.34856325946</v>
      </c>
      <c r="W11" s="479">
        <f t="shared" si="4"/>
        <v>22907713.639999986</v>
      </c>
      <c r="X11" s="352">
        <f>W11/'PPP Detail'!MM</f>
        <v>0.57563747131168419</v>
      </c>
      <c r="Y11" s="508">
        <f>X11*'Assumptions-Output Target'!$D$10/'Assumptions-Output Target'!$D$5</f>
        <v>0.97275385834961836</v>
      </c>
      <c r="Z11" s="479">
        <f t="shared" si="5"/>
        <v>3497500</v>
      </c>
      <c r="AA11" s="352">
        <f>Z11/'PPP Detail'!MM</f>
        <v>8.7887079765006912E-2</v>
      </c>
      <c r="AB11" s="352">
        <f t="shared" si="6"/>
        <v>0.88486677858461149</v>
      </c>
    </row>
    <row r="12" spans="1:28" x14ac:dyDescent="0.2">
      <c r="A12" t="s">
        <v>755</v>
      </c>
      <c r="B12" s="491">
        <v>14093520.529999999</v>
      </c>
      <c r="C12" s="313" t="s">
        <v>741</v>
      </c>
      <c r="D12" s="313" t="s">
        <v>756</v>
      </c>
      <c r="E12" s="489">
        <v>166</v>
      </c>
      <c r="F12" s="430">
        <v>5.0056058010548611E-2</v>
      </c>
      <c r="G12" s="491">
        <v>84900.726084337351</v>
      </c>
      <c r="H12" s="508">
        <v>0.35414963916794062</v>
      </c>
      <c r="I12" s="508">
        <f>H12*'Assumptions-Output Target'!$D$10/'Assumptions-Output Target'!$D$5</f>
        <v>0.59846769034812619</v>
      </c>
      <c r="J12" s="490">
        <v>42</v>
      </c>
      <c r="K12" s="509">
        <v>82</v>
      </c>
      <c r="L12" s="490">
        <v>42</v>
      </c>
      <c r="M12" s="510">
        <f t="shared" si="0"/>
        <v>166</v>
      </c>
      <c r="N12" s="479">
        <v>16549.003333333338</v>
      </c>
      <c r="O12" s="479">
        <v>63578.169268292724</v>
      </c>
      <c r="P12" s="479">
        <v>194882.2026190476</v>
      </c>
      <c r="Q12" s="479">
        <f t="shared" si="1"/>
        <v>84900.726084337366</v>
      </c>
      <c r="R12" s="490">
        <f>J12+'Assumptions-Output Target'!$E$28*'Shoppable Detail'!K12</f>
        <v>42</v>
      </c>
      <c r="S12" s="490">
        <f>K12*(1-'Assumptions-Output Target'!$E$28)+L12*'Assumptions-Output Target'!$F$28</f>
        <v>82</v>
      </c>
      <c r="T12">
        <f>L12*(1-'Assumptions-Output Target'!$F$28)</f>
        <v>42</v>
      </c>
      <c r="U12" s="510">
        <f t="shared" si="2"/>
        <v>166</v>
      </c>
      <c r="V12" s="479">
        <f t="shared" si="3"/>
        <v>84900.726084337366</v>
      </c>
      <c r="W12" s="479">
        <f t="shared" si="4"/>
        <v>14093520.530000003</v>
      </c>
      <c r="X12" s="352">
        <f>W12/'PPP Detail'!MM</f>
        <v>0.35414963916794073</v>
      </c>
      <c r="Y12" s="508">
        <f>X12*'Assumptions-Output Target'!$D$10/'Assumptions-Output Target'!$D$5</f>
        <v>0.5984676903481263</v>
      </c>
      <c r="Z12" s="479">
        <f t="shared" si="5"/>
        <v>415000</v>
      </c>
      <c r="AA12" s="352">
        <f>Z12/'PPP Detail'!MM</f>
        <v>1.0428345418864294E-2</v>
      </c>
      <c r="AB12" s="352">
        <f t="shared" si="6"/>
        <v>0.58803934492926202</v>
      </c>
    </row>
    <row r="13" spans="1:28" x14ac:dyDescent="0.2">
      <c r="A13" t="s">
        <v>757</v>
      </c>
      <c r="B13" s="491">
        <v>17273450.920000002</v>
      </c>
      <c r="C13" s="313" t="s">
        <v>741</v>
      </c>
      <c r="D13" s="313" t="s">
        <v>758</v>
      </c>
      <c r="E13" s="489">
        <v>354</v>
      </c>
      <c r="F13" s="430">
        <v>0.1067460514200856</v>
      </c>
      <c r="G13" s="491">
        <v>48795.059096045203</v>
      </c>
      <c r="H13" s="508">
        <v>0.43405665727604636</v>
      </c>
      <c r="I13" s="508">
        <f>H13*'Assumptions-Output Target'!$D$10/'Assumptions-Output Target'!$D$5</f>
        <v>0.73350035247964529</v>
      </c>
      <c r="J13" s="490">
        <v>89</v>
      </c>
      <c r="K13" s="509">
        <v>176</v>
      </c>
      <c r="L13" s="490">
        <v>89</v>
      </c>
      <c r="M13" s="510">
        <f t="shared" si="0"/>
        <v>354</v>
      </c>
      <c r="N13" s="479">
        <v>9311.8940449438214</v>
      </c>
      <c r="O13" s="479">
        <v>37977.228011363644</v>
      </c>
      <c r="P13" s="479">
        <v>109670.78898876405</v>
      </c>
      <c r="Q13" s="479">
        <f t="shared" si="1"/>
        <v>48795.059096045203</v>
      </c>
      <c r="R13" s="490">
        <f>J13+'Assumptions-Output Target'!$E$28*'Shoppable Detail'!K13</f>
        <v>89</v>
      </c>
      <c r="S13" s="490">
        <f>K13*(1-'Assumptions-Output Target'!$E$28)+L13*'Assumptions-Output Target'!$F$28</f>
        <v>176</v>
      </c>
      <c r="T13">
        <f>L13*(1-'Assumptions-Output Target'!$F$28)</f>
        <v>89</v>
      </c>
      <c r="U13" s="510">
        <f t="shared" si="2"/>
        <v>354</v>
      </c>
      <c r="V13" s="479">
        <f t="shared" si="3"/>
        <v>48795.059096045203</v>
      </c>
      <c r="W13" s="479">
        <f t="shared" si="4"/>
        <v>17273450.920000002</v>
      </c>
      <c r="X13" s="352">
        <f>W13/'PPP Detail'!MM</f>
        <v>0.43405665727604636</v>
      </c>
      <c r="Y13" s="508">
        <f>X13*'Assumptions-Output Target'!$D$10/'Assumptions-Output Target'!$D$5</f>
        <v>0.73350035247964529</v>
      </c>
      <c r="Z13" s="479">
        <f t="shared" si="5"/>
        <v>885000</v>
      </c>
      <c r="AA13" s="352">
        <f>Z13/'PPP Detail'!MM</f>
        <v>2.2238760712517833E-2</v>
      </c>
      <c r="AB13" s="352">
        <f t="shared" si="6"/>
        <v>0.71126159176712744</v>
      </c>
    </row>
    <row r="14" spans="1:28" x14ac:dyDescent="0.2">
      <c r="A14" t="s">
        <v>759</v>
      </c>
      <c r="B14" s="491">
        <v>37373459.219999999</v>
      </c>
      <c r="C14" s="313" t="s">
        <v>741</v>
      </c>
      <c r="D14" s="313" t="s">
        <v>760</v>
      </c>
      <c r="E14" s="489">
        <v>628</v>
      </c>
      <c r="F14" s="430">
        <v>0.18936870138930437</v>
      </c>
      <c r="G14" s="491">
        <v>59511.877738853502</v>
      </c>
      <c r="H14" s="508">
        <v>0.93914058372047826</v>
      </c>
      <c r="I14" s="508">
        <f>H14*'Assumptions-Output Target'!$D$10/'Assumptions-Output Target'!$D$5</f>
        <v>1.5870277246982007</v>
      </c>
      <c r="J14" s="490">
        <v>156</v>
      </c>
      <c r="K14" s="509">
        <v>315</v>
      </c>
      <c r="L14" s="490">
        <v>157</v>
      </c>
      <c r="M14" s="510">
        <f t="shared" si="0"/>
        <v>628</v>
      </c>
      <c r="N14" s="479">
        <v>14540.61391025641</v>
      </c>
      <c r="O14" s="479">
        <v>45365.852825396862</v>
      </c>
      <c r="P14" s="479">
        <v>132578.85229299363</v>
      </c>
      <c r="Q14" s="479">
        <f t="shared" si="1"/>
        <v>59511.877738853524</v>
      </c>
      <c r="R14" s="490">
        <f>J14+'Assumptions-Output Target'!$E$28*'Shoppable Detail'!K14</f>
        <v>156</v>
      </c>
      <c r="S14" s="490">
        <f>K14*(1-'Assumptions-Output Target'!$E$28)+L14*'Assumptions-Output Target'!$F$28</f>
        <v>315</v>
      </c>
      <c r="T14">
        <f>L14*(1-'Assumptions-Output Target'!$F$28)</f>
        <v>157</v>
      </c>
      <c r="U14" s="510">
        <f t="shared" si="2"/>
        <v>628</v>
      </c>
      <c r="V14" s="479">
        <f t="shared" si="3"/>
        <v>59511.877738853524</v>
      </c>
      <c r="W14" s="479">
        <f t="shared" si="4"/>
        <v>37373459.220000014</v>
      </c>
      <c r="X14" s="352">
        <f>W14/'PPP Detail'!MM</f>
        <v>0.93914058372047871</v>
      </c>
      <c r="Y14" s="508">
        <f>X14*'Assumptions-Output Target'!$D$10/'Assumptions-Output Target'!$D$5</f>
        <v>1.5870277246982016</v>
      </c>
      <c r="Z14" s="479">
        <f t="shared" si="5"/>
        <v>1570000</v>
      </c>
      <c r="AA14" s="352">
        <f>Z14/'PPP Detail'!MM</f>
        <v>3.9451812789438413E-2</v>
      </c>
      <c r="AB14" s="352">
        <f t="shared" si="6"/>
        <v>1.5475759119087633</v>
      </c>
    </row>
    <row r="15" spans="1:28" x14ac:dyDescent="0.2">
      <c r="A15" t="s">
        <v>761</v>
      </c>
      <c r="B15" s="491">
        <v>23758075.710000001</v>
      </c>
      <c r="C15" s="313" t="s">
        <v>741</v>
      </c>
      <c r="D15" s="313" t="s">
        <v>762</v>
      </c>
      <c r="E15" s="489">
        <v>685</v>
      </c>
      <c r="F15" s="430">
        <v>0.20655662492304697</v>
      </c>
      <c r="G15" s="491">
        <v>34683.322204379561</v>
      </c>
      <c r="H15" s="508">
        <v>0.59700583130460139</v>
      </c>
      <c r="I15" s="508">
        <f>H15*'Assumptions-Output Target'!$D$10/'Assumptions-Output Target'!$D$5</f>
        <v>1.0088636595103198</v>
      </c>
      <c r="J15" s="490">
        <v>18</v>
      </c>
      <c r="K15" s="509">
        <v>34</v>
      </c>
      <c r="L15" s="490">
        <v>18</v>
      </c>
      <c r="M15" s="510">
        <f t="shared" si="0"/>
        <v>70</v>
      </c>
      <c r="N15" s="479">
        <v>8582.8082010582002</v>
      </c>
      <c r="O15" s="479">
        <v>29289.325862068948</v>
      </c>
      <c r="P15" s="479">
        <v>75827.553968253997</v>
      </c>
      <c r="Q15" s="479">
        <f t="shared" si="1"/>
        <v>35931.765690828055</v>
      </c>
      <c r="R15" s="490">
        <f>J15+'Assumptions-Output Target'!$E$28*'Shoppable Detail'!K15</f>
        <v>18</v>
      </c>
      <c r="S15" s="490">
        <f>K15*(1-'Assumptions-Output Target'!$E$28)+L15*'Assumptions-Output Target'!$F$28</f>
        <v>34</v>
      </c>
      <c r="T15">
        <f>L15*(1-'Assumptions-Output Target'!$F$28)</f>
        <v>18</v>
      </c>
      <c r="U15" s="510">
        <f t="shared" si="2"/>
        <v>70</v>
      </c>
      <c r="V15" s="479">
        <f t="shared" si="3"/>
        <v>35931.765690828055</v>
      </c>
      <c r="W15" s="479">
        <f t="shared" si="4"/>
        <v>2515223.5983579638</v>
      </c>
      <c r="X15" s="352">
        <f>W15/'PPP Detail'!MM</f>
        <v>6.3203904793628043E-2</v>
      </c>
      <c r="Y15" s="508">
        <f>X15*'Assumptions-Output Target'!$D$10/'Assumptions-Output Target'!$D$5</f>
        <v>0.10680653243553999</v>
      </c>
      <c r="Z15" s="479">
        <f t="shared" si="5"/>
        <v>175000</v>
      </c>
      <c r="AA15" s="352">
        <f>Z15/'PPP Detail'!MM</f>
        <v>4.3974950561475939E-3</v>
      </c>
      <c r="AB15" s="352">
        <f t="shared" si="6"/>
        <v>0.1024090373793924</v>
      </c>
    </row>
    <row r="16" spans="1:28" x14ac:dyDescent="0.2">
      <c r="A16" t="s">
        <v>763</v>
      </c>
      <c r="B16" s="491">
        <v>8904616.6400000006</v>
      </c>
      <c r="C16" s="313" t="s">
        <v>741</v>
      </c>
      <c r="D16" s="313" t="s">
        <v>764</v>
      </c>
      <c r="E16" s="489">
        <v>684</v>
      </c>
      <c r="F16" s="430">
        <v>0.20625508240491111</v>
      </c>
      <c r="G16" s="491">
        <v>13018.44538011696</v>
      </c>
      <c r="H16" s="508">
        <v>0.22376004372165487</v>
      </c>
      <c r="I16" s="508">
        <f>H16*'Assumptions-Output Target'!$D$10/'Assumptions-Output Target'!$D$5</f>
        <v>0.37812591556754854</v>
      </c>
      <c r="J16" s="490">
        <v>171</v>
      </c>
      <c r="K16" s="509">
        <v>342</v>
      </c>
      <c r="L16" s="490">
        <v>171</v>
      </c>
      <c r="M16" s="510">
        <f t="shared" si="0"/>
        <v>684</v>
      </c>
      <c r="N16" s="479">
        <v>3450.2484210526313</v>
      </c>
      <c r="O16" s="479">
        <v>8731.8438888888959</v>
      </c>
      <c r="P16" s="479">
        <v>31159.845321637426</v>
      </c>
      <c r="Q16" s="479">
        <f t="shared" si="1"/>
        <v>13018.445380116962</v>
      </c>
      <c r="R16" s="490">
        <f>J16+'Assumptions-Output Target'!$E$28*'Shoppable Detail'!K16</f>
        <v>171</v>
      </c>
      <c r="S16" s="490">
        <f>K16*(1-'Assumptions-Output Target'!$E$28)+L16*'Assumptions-Output Target'!$F$28</f>
        <v>342</v>
      </c>
      <c r="T16">
        <f>L16*(1-'Assumptions-Output Target'!$F$28)</f>
        <v>171</v>
      </c>
      <c r="U16" s="510">
        <f t="shared" si="2"/>
        <v>684</v>
      </c>
      <c r="V16" s="479">
        <f t="shared" si="3"/>
        <v>13018.445380116962</v>
      </c>
      <c r="W16" s="479">
        <f t="shared" si="4"/>
        <v>8904616.6400000025</v>
      </c>
      <c r="X16" s="352">
        <f>W16/'PPP Detail'!MM</f>
        <v>0.22376004372165489</v>
      </c>
      <c r="Y16" s="508">
        <f>X16*'Assumptions-Output Target'!$D$10/'Assumptions-Output Target'!$D$5</f>
        <v>0.37812591556754865</v>
      </c>
      <c r="Z16" s="479">
        <f t="shared" si="5"/>
        <v>1710000</v>
      </c>
      <c r="AA16" s="352">
        <f>Z16/'PPP Detail'!MM</f>
        <v>4.2969808834356485E-2</v>
      </c>
      <c r="AB16" s="352">
        <f t="shared" si="6"/>
        <v>0.33515610673319218</v>
      </c>
    </row>
    <row r="17" spans="1:29" x14ac:dyDescent="0.2">
      <c r="A17" t="s">
        <v>765</v>
      </c>
      <c r="B17" s="491">
        <v>16212366.33</v>
      </c>
      <c r="C17" s="313" t="s">
        <v>741</v>
      </c>
      <c r="D17" s="313" t="s">
        <v>766</v>
      </c>
      <c r="E17" s="489">
        <v>953</v>
      </c>
      <c r="F17" s="430">
        <v>0.28737001978345078</v>
      </c>
      <c r="G17" s="491">
        <v>17011.926894018889</v>
      </c>
      <c r="H17" s="508">
        <v>0.40739314734073551</v>
      </c>
      <c r="I17" s="508">
        <f>H17*'Assumptions-Output Target'!$D$10/'Assumptions-Output Target'!$D$5</f>
        <v>0.68844242373220765</v>
      </c>
      <c r="J17" s="490">
        <v>238</v>
      </c>
      <c r="K17" s="509">
        <v>477</v>
      </c>
      <c r="L17" s="490">
        <v>238</v>
      </c>
      <c r="M17" s="510">
        <f t="shared" si="0"/>
        <v>953</v>
      </c>
      <c r="N17" s="479">
        <v>5015.7095798319324</v>
      </c>
      <c r="O17" s="479">
        <v>13877.957002096426</v>
      </c>
      <c r="P17" s="479">
        <v>35289.251932773113</v>
      </c>
      <c r="Q17" s="479">
        <f t="shared" si="1"/>
        <v>17011.926894018881</v>
      </c>
      <c r="R17" s="490">
        <f>J17+'Assumptions-Output Target'!$E$28*'Shoppable Detail'!K17</f>
        <v>238</v>
      </c>
      <c r="S17" s="490">
        <f>K17*(1-'Assumptions-Output Target'!$E$28)+L17*'Assumptions-Output Target'!$F$28</f>
        <v>477</v>
      </c>
      <c r="T17">
        <f>L17*(1-'Assumptions-Output Target'!$F$28)</f>
        <v>238</v>
      </c>
      <c r="U17" s="510">
        <f t="shared" si="2"/>
        <v>953</v>
      </c>
      <c r="V17" s="479">
        <f t="shared" si="3"/>
        <v>17011.926894018881</v>
      </c>
      <c r="W17" s="479">
        <f t="shared" si="4"/>
        <v>16212366.329999994</v>
      </c>
      <c r="X17" s="352">
        <f>W17/'PPP Detail'!MM</f>
        <v>0.40739314734073534</v>
      </c>
      <c r="Y17" s="508">
        <f>X17*'Assumptions-Output Target'!$D$10/'Assumptions-Output Target'!$D$5</f>
        <v>0.68844242373220732</v>
      </c>
      <c r="Z17" s="479">
        <f t="shared" si="5"/>
        <v>2382500</v>
      </c>
      <c r="AA17" s="352">
        <f>Z17/'PPP Detail'!MM</f>
        <v>5.9868754121552244E-2</v>
      </c>
      <c r="AB17" s="352">
        <f t="shared" si="6"/>
        <v>0.62857366961065508</v>
      </c>
    </row>
    <row r="18" spans="1:29" x14ac:dyDescent="0.2">
      <c r="A18" t="s">
        <v>767</v>
      </c>
      <c r="B18" s="491">
        <v>7601080.0999999996</v>
      </c>
      <c r="C18" s="313" t="s">
        <v>741</v>
      </c>
      <c r="D18" s="313" t="s">
        <v>768</v>
      </c>
      <c r="E18" s="489">
        <v>204</v>
      </c>
      <c r="F18" s="430">
        <v>6.1514673699710337E-2</v>
      </c>
      <c r="G18" s="491">
        <v>37260.196568627449</v>
      </c>
      <c r="H18" s="508">
        <v>0.19100406949218204</v>
      </c>
      <c r="I18" s="508">
        <f>H18*'Assumptions-Output Target'!$D$10/'Assumptions-Output Target'!$D$5</f>
        <v>0.32277249973950295</v>
      </c>
      <c r="J18" s="490">
        <v>51</v>
      </c>
      <c r="K18" s="509">
        <v>102</v>
      </c>
      <c r="L18" s="490">
        <v>51</v>
      </c>
      <c r="M18" s="510">
        <f t="shared" si="0"/>
        <v>204</v>
      </c>
      <c r="N18" s="479">
        <v>9255.6754901960794</v>
      </c>
      <c r="O18" s="479">
        <v>31337.493921568614</v>
      </c>
      <c r="P18" s="479">
        <v>77110.122941176465</v>
      </c>
      <c r="Q18" s="479">
        <f t="shared" si="1"/>
        <v>37260.196568627442</v>
      </c>
      <c r="R18" s="490">
        <f>J18+'Assumptions-Output Target'!$E$28*'Shoppable Detail'!K18</f>
        <v>51</v>
      </c>
      <c r="S18" s="490">
        <f>K18*(1-'Assumptions-Output Target'!$E$28)+L18*'Assumptions-Output Target'!$F$28</f>
        <v>102</v>
      </c>
      <c r="T18">
        <f>L18*(1-'Assumptions-Output Target'!$F$28)</f>
        <v>51</v>
      </c>
      <c r="U18" s="510">
        <f t="shared" si="2"/>
        <v>204</v>
      </c>
      <c r="V18" s="479">
        <f t="shared" si="3"/>
        <v>37260.196568627442</v>
      </c>
      <c r="W18" s="479">
        <f t="shared" si="4"/>
        <v>7601080.0999999978</v>
      </c>
      <c r="X18" s="352">
        <f>W18/'PPP Detail'!MM</f>
        <v>0.19100406949218199</v>
      </c>
      <c r="Y18" s="508">
        <f>X18*'Assumptions-Output Target'!$D$10/'Assumptions-Output Target'!$D$5</f>
        <v>0.32277249973950284</v>
      </c>
      <c r="Z18" s="479">
        <f t="shared" si="5"/>
        <v>510000</v>
      </c>
      <c r="AA18" s="352">
        <f>Z18/'PPP Detail'!MM</f>
        <v>1.2815557020772987E-2</v>
      </c>
      <c r="AB18" s="352">
        <f t="shared" si="6"/>
        <v>0.30995694271872987</v>
      </c>
    </row>
    <row r="19" spans="1:29" x14ac:dyDescent="0.2">
      <c r="A19" t="s">
        <v>769</v>
      </c>
      <c r="B19" s="491">
        <v>9249592.6699999999</v>
      </c>
      <c r="C19" s="313" t="s">
        <v>741</v>
      </c>
      <c r="D19" s="313" t="s">
        <v>770</v>
      </c>
      <c r="E19" s="489">
        <v>122</v>
      </c>
      <c r="F19" s="430">
        <v>3.678818721257187E-2</v>
      </c>
      <c r="G19" s="491">
        <v>75816.333360655743</v>
      </c>
      <c r="H19" s="508">
        <v>0.23242878878688011</v>
      </c>
      <c r="I19" s="508">
        <f>H19*'Assumptions-Output Target'!$D$10/'Assumptions-Output Target'!$D$5</f>
        <v>0.39277498834252295</v>
      </c>
      <c r="J19" s="490">
        <v>31</v>
      </c>
      <c r="K19" s="509">
        <v>60</v>
      </c>
      <c r="L19" s="490">
        <v>31</v>
      </c>
      <c r="M19" s="510">
        <f t="shared" si="0"/>
        <v>122</v>
      </c>
      <c r="N19" s="479">
        <v>16717.451612903227</v>
      </c>
      <c r="O19" s="479">
        <v>52503.885666666632</v>
      </c>
      <c r="P19" s="479">
        <v>180036.08161290325</v>
      </c>
      <c r="Q19" s="479">
        <f t="shared" si="1"/>
        <v>75816.333360655728</v>
      </c>
      <c r="R19" s="490">
        <f>J19+'Assumptions-Output Target'!$E$28*'Shoppable Detail'!K19</f>
        <v>31</v>
      </c>
      <c r="S19" s="490">
        <f>K19*(1-'Assumptions-Output Target'!$E$28)+L19*'Assumptions-Output Target'!$F$28</f>
        <v>60</v>
      </c>
      <c r="T19">
        <f>L19*(1-'Assumptions-Output Target'!$F$28)</f>
        <v>31</v>
      </c>
      <c r="U19" s="510">
        <f t="shared" si="2"/>
        <v>122</v>
      </c>
      <c r="V19" s="479">
        <f t="shared" si="3"/>
        <v>75816.333360655728</v>
      </c>
      <c r="W19" s="479">
        <f t="shared" si="4"/>
        <v>9249592.6699999981</v>
      </c>
      <c r="X19" s="352">
        <f>W19/'PPP Detail'!MM</f>
        <v>0.23242878878688009</v>
      </c>
      <c r="Y19" s="508">
        <f>X19*'Assumptions-Output Target'!$D$10/'Assumptions-Output Target'!$D$5</f>
        <v>0.39277498834252289</v>
      </c>
      <c r="Z19" s="479">
        <f t="shared" si="5"/>
        <v>305000</v>
      </c>
      <c r="AA19" s="352">
        <f>Z19/'PPP Detail'!MM</f>
        <v>7.6642056692858059E-3</v>
      </c>
      <c r="AB19" s="352">
        <f t="shared" si="6"/>
        <v>0.38511078267323706</v>
      </c>
    </row>
    <row r="20" spans="1:29" ht="16" thickBot="1" x14ac:dyDescent="0.25">
      <c r="A20" s="393"/>
      <c r="B20" s="393"/>
      <c r="C20" s="393"/>
      <c r="D20" s="393"/>
      <c r="E20" s="393"/>
      <c r="F20" s="393"/>
      <c r="G20" s="511"/>
      <c r="H20" s="512"/>
      <c r="I20" s="512"/>
      <c r="M20" s="510"/>
      <c r="U20" s="510"/>
    </row>
    <row r="21" spans="1:29" ht="16" thickTop="1" x14ac:dyDescent="0.2">
      <c r="A21" s="513"/>
      <c r="B21" s="514">
        <v>311118113.31</v>
      </c>
      <c r="C21" s="513"/>
      <c r="D21" s="513"/>
      <c r="E21" s="515">
        <v>7162</v>
      </c>
      <c r="F21" s="516">
        <v>2.1596475148888503</v>
      </c>
      <c r="G21" s="514">
        <v>43440.116351577773</v>
      </c>
      <c r="H21" s="517">
        <v>7.8179449437639539</v>
      </c>
      <c r="I21" s="517">
        <f>SUM(I4:I19)</f>
        <v>13.211329156669013</v>
      </c>
      <c r="M21" s="517">
        <f>SUM(M4:M19)</f>
        <v>6547</v>
      </c>
      <c r="N21" s="517"/>
      <c r="O21" s="517"/>
      <c r="P21" s="517"/>
      <c r="Q21" s="517"/>
      <c r="R21" s="517"/>
      <c r="S21" s="517"/>
      <c r="T21" s="517"/>
      <c r="U21" s="517">
        <f>SUM(U4:U19)</f>
        <v>6547</v>
      </c>
      <c r="V21" s="517"/>
      <c r="W21" s="514">
        <f t="shared" ref="W21:AB21" si="7">SUM(W4:W19)</f>
        <v>289875261.19835806</v>
      </c>
      <c r="X21" s="517">
        <f t="shared" si="7"/>
        <v>7.2841430172529797</v>
      </c>
      <c r="Y21" s="517">
        <f t="shared" si="7"/>
        <v>12.309272029594233</v>
      </c>
      <c r="Z21" s="517">
        <f t="shared" si="7"/>
        <v>16367500</v>
      </c>
      <c r="AA21" s="517">
        <f t="shared" si="7"/>
        <v>0.41129143046569</v>
      </c>
      <c r="AB21" s="517">
        <f t="shared" si="7"/>
        <v>11.897980599128543</v>
      </c>
    </row>
    <row r="22" spans="1:29" ht="16" thickBot="1" x14ac:dyDescent="0.25">
      <c r="X22" s="518">
        <f>X21/H21-1</f>
        <v>-6.8279059311714074E-2</v>
      </c>
      <c r="Y22" s="518">
        <f>Y21/I21-1</f>
        <v>-6.8279059311713963E-2</v>
      </c>
      <c r="Z22" s="518"/>
      <c r="AA22" s="518">
        <f>AA21/AB21</f>
        <v>3.4568171215190471E-2</v>
      </c>
    </row>
    <row r="23" spans="1:29" ht="25" thickTop="1" x14ac:dyDescent="0.25">
      <c r="A23" s="519" t="s">
        <v>771</v>
      </c>
      <c r="W23" t="s">
        <v>772</v>
      </c>
      <c r="Y23" s="517">
        <f>Y21*(1+'Assumptions-Output Target'!$F$37)</f>
        <v>13.409275129539306</v>
      </c>
      <c r="Z23" s="517"/>
      <c r="AA23" s="517">
        <f>AA21*(1+'Assumptions-Output Target'!$F$37)</f>
        <v>0.44804598811990221</v>
      </c>
      <c r="AB23" s="517">
        <f>Y23-AA23</f>
        <v>12.961229141419404</v>
      </c>
      <c r="AC23" s="520"/>
    </row>
    <row r="24" spans="1:29" ht="24" x14ac:dyDescent="0.25">
      <c r="A24" s="519" t="s">
        <v>773</v>
      </c>
    </row>
  </sheetData>
  <mergeCells count="3">
    <mergeCell ref="J2:L2"/>
    <mergeCell ref="N2:P2"/>
    <mergeCell ref="R2:T2"/>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workbookViewId="0"/>
  </sheetViews>
  <sheetFormatPr baseColWidth="10" defaultColWidth="8.83203125" defaultRowHeight="15" x14ac:dyDescent="0.2"/>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tabColor rgb="FF00B0F0"/>
  </sheetPr>
  <dimension ref="B1:S118"/>
  <sheetViews>
    <sheetView showGridLines="0" workbookViewId="0">
      <pane ySplit="7" topLeftCell="A8" activePane="bottomLeft" state="frozen"/>
      <selection pane="bottomLeft" activeCell="A8" sqref="A8"/>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774</v>
      </c>
      <c r="G3"/>
      <c r="H3"/>
      <c r="I3"/>
    </row>
    <row r="4" spans="2:19" x14ac:dyDescent="0.2">
      <c r="G4"/>
      <c r="H4"/>
      <c r="I4"/>
    </row>
    <row r="5" spans="2:19" ht="16" x14ac:dyDescent="0.2">
      <c r="D5" s="438" t="s">
        <v>775</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f>'Cost Model -Asthma Override'!G8+'Cost Model  -Biploar Mood Ovrd'!G8+'Cost Model -Cardiac failure Ovr'!G8+'Cost Model -Cardiomyopathy Ovrd'!G8+'Cost Model-COPD Override'!G8+'Cost Model -CKD Override'!G8+'Cost Model -Diabetes ins Ovrd'!G8+'Cost Model - Diabetes1 Override'!G8+'Cost Model -Epilepsy Override'!G8+'Cost Model - Glaucoma Override'!G8+'Cost Model - Haemophilia Ovrd'!G8+'Cost Model -HIV Override'!G8+'Cost Model -Hyperlipidaemia Ovr'!G8+'Cost Model -Hypertension-HBP Ov'!G8+'Cost Model - Hypothyroidism Ovr'!G8+'Cost Model -Multiple scler Ovr'!G8+'Cost Model -Parkinson''s dis Ovr'!G8+'Cost Model - Rheumatoid art Ovr'!G8+'Cost Model Schizophrenia Ovrd'!G8+'Cost Model -Lupus Override'!G8+'Cost Model -Clinical depres Ovr'!G8</f>
        <v>0.86060234675967306</v>
      </c>
      <c r="H8" s="310">
        <f>12000*I8/G8</f>
        <v>11621.343812193412</v>
      </c>
      <c r="I8" s="448">
        <f>'Cost Model -Asthma Override'!I8+'Cost Model  -Biploar Mood Ovrd'!I8+'Cost Model -Cardiac failure Ovr'!I8+'Cost Model -Cardiomyopathy Ovrd'!I8+'Cost Model-COPD Override'!I8+'Cost Model -CKD Override'!I8+'Cost Model -Diabetes ins Ovrd'!I8+'Cost Model - Diabetes1 Override'!I8+'Cost Model -Epilepsy Override'!I8+'Cost Model - Glaucoma Override'!I8+'Cost Model - Haemophilia Ovrd'!I8+'Cost Model -HIV Override'!I8+'Cost Model -Hyperlipidaemia Ovr'!I8+'Cost Model -Hypertension-HBP Ov'!I8+'Cost Model - Hypothyroidism Ovr'!I8+'Cost Model -Multiple scler Ovr'!I8+'Cost Model -Parkinson''s dis Ovr'!I8+'Cost Model - Rheumatoid art Ovr'!I8+'Cost Model Schizophrenia Ovrd'!I8+'Cost Model -Lupus Override'!I8+'Cost Model -Clinical depres Ovr'!I8</f>
        <v>0.8334463131062213</v>
      </c>
      <c r="J8" s="439"/>
      <c r="K8" s="446" t="s">
        <v>1</v>
      </c>
      <c r="L8" s="446" t="s">
        <v>535</v>
      </c>
      <c r="M8" s="446" t="s">
        <v>534</v>
      </c>
      <c r="N8" s="449">
        <f>'Cost Model -Asthma Override'!N8+'Cost Model  -Biploar Mood Ovrd'!N8+'Cost Model -Cardiac failure Ovr'!N8+'Cost Model -Cardiomyopathy Ovrd'!N8+'Cost Model-COPD Override'!N8+'Cost Model -CKD Override'!N8+'Cost Model -Diabetes ins Ovrd'!N8+'Cost Model - Diabetes1 Override'!N8+'Cost Model -Epilepsy Override'!N8+'Cost Model - Glaucoma Override'!N8+'Cost Model - Haemophilia Ovrd'!N8+'Cost Model -HIV Override'!N8+'Cost Model -Hyperlipidaemia Ovr'!N8+'Cost Model -Hypertension-HBP Ov'!N8+'Cost Model - Hypothyroidism Ovr'!N8+'Cost Model -Multiple scler Ovr'!N8+'Cost Model -Parkinson''s dis Ovr'!N8+'Cost Model - Rheumatoid art Ovr'!N8+'Cost Model Schizophrenia Ovrd'!N8+'Cost Model -Lupus Override'!N8+'Cost Model -Clinical depres Ovr'!N8</f>
        <v>3.5190011866451942</v>
      </c>
      <c r="O8" s="310">
        <f>12000*P8/N8</f>
        <v>8531.9755946872319</v>
      </c>
      <c r="P8" s="388">
        <f>'Cost Model -Asthma Override'!P8+'Cost Model  -Biploar Mood Ovrd'!P8+'Cost Model -Cardiac failure Ovr'!P8+'Cost Model -Cardiomyopathy Ovrd'!P8+'Cost Model-COPD Override'!P8+'Cost Model -CKD Override'!P8+'Cost Model -Diabetes ins Ovrd'!P8+'Cost Model - Diabetes1 Override'!P8+'Cost Model -Epilepsy Override'!P8+'Cost Model - Glaucoma Override'!P8+'Cost Model - Haemophilia Ovrd'!P8+'Cost Model -HIV Override'!P8+'Cost Model -Hyperlipidaemia Ovr'!P8+'Cost Model -Hypertension-HBP Ov'!P8+'Cost Model - Hypothyroidism Ovr'!P8+'Cost Model -Multiple scler Ovr'!P8+'Cost Model -Parkinson''s dis Ovr'!P8+'Cost Model - Rheumatoid art Ovr'!P8+'Cost Model Schizophrenia Ovrd'!P8+'Cost Model -Lupus Override'!P8+'Cost Model -Clinical depres Ovr'!P8</f>
        <v>2.5020026868443503</v>
      </c>
      <c r="Q8" s="29">
        <f>'Assumptions-Output Override'!D19</f>
        <v>1000</v>
      </c>
      <c r="R8" s="388">
        <f>N8*Q8/12000</f>
        <v>0.29325009888709952</v>
      </c>
      <c r="S8" s="388">
        <f>P8-R8</f>
        <v>2.2087525879572509</v>
      </c>
    </row>
    <row r="9" spans="2:19" x14ac:dyDescent="0.2">
      <c r="D9" s="446" t="s">
        <v>1</v>
      </c>
      <c r="E9" s="446" t="s">
        <v>536</v>
      </c>
      <c r="F9" s="446" t="s">
        <v>534</v>
      </c>
      <c r="G9" s="447">
        <f>'Cost Model -Asthma Override'!G9+'Cost Model  -Biploar Mood Ovrd'!G9+'Cost Model -Cardiac failure Ovr'!G9+'Cost Model -Cardiomyopathy Ovrd'!G9+'Cost Model-COPD Override'!G9+'Cost Model -CKD Override'!G9+'Cost Model -Diabetes ins Ovrd'!G9+'Cost Model - Diabetes1 Override'!G9+'Cost Model -Epilepsy Override'!G9+'Cost Model - Glaucoma Override'!G9+'Cost Model - Haemophilia Ovrd'!G9+'Cost Model -HIV Override'!G9+'Cost Model -Hyperlipidaemia Ovr'!G9+'Cost Model -Hypertension-HBP Ov'!G9+'Cost Model - Hypothyroidism Ovr'!G9+'Cost Model -Multiple scler Ovr'!G9+'Cost Model -Parkinson''s dis Ovr'!G9+'Cost Model - Rheumatoid art Ovr'!G9+'Cost Model Schizophrenia Ovrd'!G9+'Cost Model -Lupus Override'!G9+'Cost Model -Clinical depres Ovr'!G9</f>
        <v>3.0455794331719334E-2</v>
      </c>
      <c r="H9" s="310">
        <f t="shared" ref="H9:H16" si="0">12000*I9/G9</f>
        <v>1695.8008910891085</v>
      </c>
      <c r="I9" s="448">
        <f>'Cost Model -Asthma Override'!I9+'Cost Model  -Biploar Mood Ovrd'!I9+'Cost Model -Cardiac failure Ovr'!I9+'Cost Model -Cardiomyopathy Ovrd'!I9+'Cost Model-COPD Override'!I9+'Cost Model -CKD Override'!I9+'Cost Model -Diabetes ins Ovrd'!I9+'Cost Model - Diabetes1 Override'!I9+'Cost Model -Epilepsy Override'!I9+'Cost Model - Glaucoma Override'!I9+'Cost Model - Haemophilia Ovrd'!I9+'Cost Model -HIV Override'!I9+'Cost Model -Hyperlipidaemia Ovr'!I9+'Cost Model -Hypertension-HBP Ov'!I9+'Cost Model - Hypothyroidism Ovr'!I9+'Cost Model -Multiple scler Ovr'!I9+'Cost Model -Parkinson''s dis Ovr'!I9+'Cost Model - Rheumatoid art Ovr'!I9+'Cost Model Schizophrenia Ovrd'!I9+'Cost Model -Lupus Override'!I9+'Cost Model -Clinical depres Ovr'!I9</f>
        <v>4.3039135972130224E-3</v>
      </c>
      <c r="J9" s="439"/>
      <c r="K9" s="446" t="s">
        <v>462</v>
      </c>
      <c r="L9" s="446" t="s">
        <v>0</v>
      </c>
      <c r="M9" s="446" t="s">
        <v>537</v>
      </c>
      <c r="N9" s="449">
        <f>'Cost Model -Asthma Override'!N9+'Cost Model  -Biploar Mood Ovrd'!N9+'Cost Model -Cardiac failure Ovr'!N9+'Cost Model -Cardiomyopathy Ovrd'!N9+'Cost Model-COPD Override'!N9+'Cost Model -CKD Override'!N9+'Cost Model -Diabetes ins Ovrd'!N9+'Cost Model - Diabetes1 Override'!N9+'Cost Model -Epilepsy Override'!N9+'Cost Model - Glaucoma Override'!N9+'Cost Model - Haemophilia Ovrd'!N9+'Cost Model -HIV Override'!N9+'Cost Model -Hyperlipidaemia Ovr'!N9+'Cost Model -Hypertension-HBP Ov'!N9+'Cost Model - Hypothyroidism Ovr'!N9+'Cost Model -Multiple scler Ovr'!N9+'Cost Model -Parkinson''s dis Ovr'!N9+'Cost Model - Rheumatoid art Ovr'!N9+'Cost Model Schizophrenia Ovrd'!N9+'Cost Model -Lupus Override'!N9+'Cost Model -Clinical depres Ovr'!N9</f>
        <v>3.5083644719935941E-2</v>
      </c>
      <c r="O9" s="310">
        <f>12000*P9/N9</f>
        <v>562.08584362139925</v>
      </c>
      <c r="P9" s="388">
        <f>'Cost Model -Asthma Override'!P9+'Cost Model  -Biploar Mood Ovrd'!P9+'Cost Model -Cardiac failure Ovr'!P9+'Cost Model -Cardiomyopathy Ovrd'!P9+'Cost Model-COPD Override'!P9+'Cost Model -CKD Override'!P9+'Cost Model -Diabetes ins Ovrd'!P9+'Cost Model - Diabetes1 Override'!P9+'Cost Model -Epilepsy Override'!P9+'Cost Model - Glaucoma Override'!P9+'Cost Model - Haemophilia Ovrd'!P9+'Cost Model -HIV Override'!P9+'Cost Model -Hyperlipidaemia Ovr'!P9+'Cost Model -Hypertension-HBP Ov'!P9+'Cost Model - Hypothyroidism Ovr'!P9+'Cost Model -Multiple scler Ovr'!P9+'Cost Model -Parkinson''s dis Ovr'!P9+'Cost Model - Rheumatoid art Ovr'!P9+'Cost Model Schizophrenia Ovrd'!P9+'Cost Model -Lupus Override'!P9+'Cost Model -Clinical depres Ovr'!P9</f>
        <v>1.643335003309887E-3</v>
      </c>
      <c r="Q9" s="29">
        <f>'Assumptions-Output Override'!E19</f>
        <v>250</v>
      </c>
      <c r="R9" s="388">
        <f>N9*Q9/12000</f>
        <v>7.3090926499866544E-4</v>
      </c>
      <c r="S9" s="388">
        <f>P9-R9</f>
        <v>9.1242573831122153E-4</v>
      </c>
    </row>
    <row r="10" spans="2:19" x14ac:dyDescent="0.2">
      <c r="D10" s="446" t="s">
        <v>1</v>
      </c>
      <c r="E10" s="446" t="s">
        <v>46</v>
      </c>
      <c r="F10" s="446" t="s">
        <v>534</v>
      </c>
      <c r="G10" s="447">
        <f>'Cost Model -Asthma Override'!G10+'Cost Model  -Biploar Mood Ovrd'!G10+'Cost Model -Cardiac failure Ovr'!G10+'Cost Model -Cardiomyopathy Ovrd'!G10+'Cost Model-COPD Override'!G10+'Cost Model -CKD Override'!G10+'Cost Model -Diabetes ins Ovrd'!G10+'Cost Model - Diabetes1 Override'!G10+'Cost Model -Epilepsy Override'!G10+'Cost Model - Glaucoma Override'!G10+'Cost Model - Haemophilia Ovrd'!G10+'Cost Model -HIV Override'!G10+'Cost Model -Hyperlipidaemia Ovr'!G10+'Cost Model -Hypertension-HBP Ov'!G10+'Cost Model - Hypothyroidism Ovr'!G10+'Cost Model -Multiple scler Ovr'!G10+'Cost Model -Parkinson''s dis Ovr'!G10+'Cost Model - Rheumatoid art Ovr'!G10+'Cost Model Schizophrenia Ovrd'!G10+'Cost Model -Lupus Override'!G10+'Cost Model -Clinical depres Ovr'!G10</f>
        <v>1.853280316462842</v>
      </c>
      <c r="H10" s="310">
        <f t="shared" si="0"/>
        <v>7935.5820745200126</v>
      </c>
      <c r="I10" s="448">
        <f>'Cost Model -Asthma Override'!I10+'Cost Model  -Biploar Mood Ovrd'!I10+'Cost Model -Cardiac failure Ovr'!I10+'Cost Model -Cardiomyopathy Ovrd'!I10+'Cost Model-COPD Override'!I10+'Cost Model -CKD Override'!I10+'Cost Model -Diabetes ins Ovrd'!I10+'Cost Model - Diabetes1 Override'!I10+'Cost Model -Epilepsy Override'!I10+'Cost Model - Glaucoma Override'!I10+'Cost Model - Haemophilia Ovrd'!I10+'Cost Model -HIV Override'!I10+'Cost Model -Hyperlipidaemia Ovr'!I10+'Cost Model -Hypertension-HBP Ov'!I10+'Cost Model - Hypothyroidism Ovr'!I10+'Cost Model -Multiple scler Ovr'!I10+'Cost Model -Parkinson''s dis Ovr'!I10+'Cost Model - Rheumatoid art Ovr'!I10+'Cost Model Schizophrenia Ovrd'!I10+'Cost Model -Lupus Override'!I10+'Cost Model -Clinical depres Ovr'!I10</f>
        <v>1.2255715048652753</v>
      </c>
      <c r="J10" s="439"/>
      <c r="K10" s="446" t="s">
        <v>462</v>
      </c>
      <c r="L10" s="446" t="s">
        <v>538</v>
      </c>
      <c r="M10" s="446" t="s">
        <v>539</v>
      </c>
      <c r="N10" s="449">
        <f>'Cost Model -Asthma Override'!N10+'Cost Model  -Biploar Mood Ovrd'!N10+'Cost Model -Cardiac failure Ovr'!N10+'Cost Model -Cardiomyopathy Ovrd'!N10+'Cost Model-COPD Override'!N10+'Cost Model -CKD Override'!N10+'Cost Model -Diabetes ins Ovrd'!N10+'Cost Model - Diabetes1 Override'!N10+'Cost Model -Epilepsy Override'!N10+'Cost Model - Glaucoma Override'!N10+'Cost Model - Haemophilia Ovrd'!N10+'Cost Model -HIV Override'!N10+'Cost Model -Hyperlipidaemia Ovr'!N10+'Cost Model -Hypertension-HBP Ov'!N10+'Cost Model - Hypothyroidism Ovr'!N10+'Cost Model -Multiple scler Ovr'!N10+'Cost Model -Parkinson''s dis Ovr'!N10+'Cost Model - Rheumatoid art Ovr'!N10+'Cost Model Schizophrenia Ovrd'!N10+'Cost Model -Lupus Override'!N10+'Cost Model -Clinical depres Ovr'!N10</f>
        <v>226.45106646186511</v>
      </c>
      <c r="O10" s="310">
        <f>12000*P10/N10</f>
        <v>860.21365244069932</v>
      </c>
      <c r="P10" s="388">
        <f>'Cost Model -Asthma Override'!P10+'Cost Model  -Biploar Mood Ovrd'!P10+'Cost Model -Cardiac failure Ovr'!P10+'Cost Model -Cardiomyopathy Ovrd'!P10+'Cost Model-COPD Override'!P10+'Cost Model -CKD Override'!P10+'Cost Model -Diabetes ins Ovrd'!P10+'Cost Model - Diabetes1 Override'!P10+'Cost Model -Epilepsy Override'!P10+'Cost Model - Glaucoma Override'!P10+'Cost Model - Haemophilia Ovrd'!P10+'Cost Model -HIV Override'!P10+'Cost Model -Hyperlipidaemia Ovr'!P10+'Cost Model -Hypertension-HBP Ov'!P10+'Cost Model - Hypothyroidism Ovr'!P10+'Cost Model -Multiple scler Ovr'!P10+'Cost Model -Parkinson''s dis Ovr'!P10+'Cost Model - Rheumatoid art Ovr'!P10+'Cost Model Schizophrenia Ovrd'!P10+'Cost Model -Lupus Override'!P10+'Cost Model -Clinical depres Ovr'!P10</f>
        <v>16.233024915021044</v>
      </c>
      <c r="Q10" s="29">
        <v>0</v>
      </c>
      <c r="R10" s="388">
        <f>N10*Q10/12000</f>
        <v>0</v>
      </c>
      <c r="S10" s="388">
        <f>P10-R10</f>
        <v>16.233024915021044</v>
      </c>
    </row>
    <row r="11" spans="2:19" x14ac:dyDescent="0.2">
      <c r="D11" s="446" t="s">
        <v>1</v>
      </c>
      <c r="E11" s="446" t="s">
        <v>540</v>
      </c>
      <c r="F11" s="446" t="s">
        <v>534</v>
      </c>
      <c r="G11" s="447">
        <f>'Cost Model -Asthma Override'!G11+'Cost Model  -Biploar Mood Ovrd'!G11+'Cost Model -Cardiac failure Ovr'!G11+'Cost Model -Cardiomyopathy Ovrd'!G11+'Cost Model-COPD Override'!G11+'Cost Model -CKD Override'!G11+'Cost Model -Diabetes ins Ovrd'!G11+'Cost Model - Diabetes1 Override'!G11+'Cost Model -Epilepsy Override'!G11+'Cost Model - Glaucoma Override'!G11+'Cost Model - Haemophilia Ovrd'!G11+'Cost Model -HIV Override'!G11+'Cost Model -Hyperlipidaemia Ovr'!G11+'Cost Model -Hypertension-HBP Ov'!G11+'Cost Model - Hypothyroidism Ovr'!G11+'Cost Model -Multiple scler Ovr'!G11+'Cost Model -Parkinson''s dis Ovr'!G11+'Cost Model - Rheumatoid art Ovr'!G11+'Cost Model Schizophrenia Ovrd'!G11+'Cost Model -Lupus Override'!G11+'Cost Model -Clinical depres Ovr'!G11</f>
        <v>0.65645806198171275</v>
      </c>
      <c r="H11" s="310">
        <f t="shared" si="0"/>
        <v>7169.2659118052361</v>
      </c>
      <c r="I11" s="448">
        <f>'Cost Model -Asthma Override'!I11+'Cost Model  -Biploar Mood Ovrd'!I11+'Cost Model -Cardiac failure Ovr'!I11+'Cost Model -Cardiomyopathy Ovrd'!I11+'Cost Model-COPD Override'!I11+'Cost Model -CKD Override'!I11+'Cost Model -Diabetes ins Ovrd'!I11+'Cost Model - Diabetes1 Override'!I11+'Cost Model -Epilepsy Override'!I11+'Cost Model - Glaucoma Override'!I11+'Cost Model - Haemophilia Ovrd'!I11+'Cost Model -HIV Override'!I11+'Cost Model -Hyperlipidaemia Ovr'!I11+'Cost Model -Hypertension-HBP Ov'!I11+'Cost Model - Hypothyroidism Ovr'!I11+'Cost Model -Multiple scler Ovr'!I11+'Cost Model -Parkinson''s dis Ovr'!I11+'Cost Model - Rheumatoid art Ovr'!I11+'Cost Model Schizophrenia Ovrd'!I11+'Cost Model -Lupus Override'!I11+'Cost Model -Clinical depres Ovr'!I11</f>
        <v>0.39219353385793515</v>
      </c>
      <c r="J11" s="439"/>
      <c r="K11" s="320" t="s">
        <v>463</v>
      </c>
      <c r="L11" s="450" t="s">
        <v>541</v>
      </c>
      <c r="M11" s="446" t="s">
        <v>539</v>
      </c>
      <c r="N11" s="449">
        <f>'Cost Model -Asthma Override'!N11+'Cost Model  -Biploar Mood Ovrd'!N11+'Cost Model -Cardiac failure Ovr'!N11+'Cost Model -Cardiomyopathy Ovrd'!N11+'Cost Model-COPD Override'!N11+'Cost Model -CKD Override'!N11+'Cost Model -Diabetes ins Ovrd'!N11+'Cost Model - Diabetes1 Override'!N11+'Cost Model -Epilepsy Override'!N11+'Cost Model - Glaucoma Override'!N11+'Cost Model - Haemophilia Ovrd'!N11+'Cost Model -HIV Override'!N11+'Cost Model -Hyperlipidaemia Ovr'!N11+'Cost Model -Hypertension-HBP Ov'!N11+'Cost Model - Hypothyroidism Ovr'!N11+'Cost Model -Multiple scler Ovr'!N11+'Cost Model -Parkinson''s dis Ovr'!N11+'Cost Model - Rheumatoid art Ovr'!N11+'Cost Model Schizophrenia Ovrd'!N11+'Cost Model -Lupus Override'!N11+'Cost Model -Clinical depres Ovr'!N11</f>
        <v>219.77145813689455</v>
      </c>
      <c r="O11" s="310">
        <f>12000*P11/N11</f>
        <v>74.955759720772946</v>
      </c>
      <c r="P11" s="388">
        <f>'Cost Model -Asthma Override'!P11+'Cost Model  -Biploar Mood Ovrd'!P11+'Cost Model -Cardiac failure Ovr'!P11+'Cost Model -Cardiomyopathy Ovrd'!P11+'Cost Model-COPD Override'!P11+'Cost Model -CKD Override'!P11+'Cost Model -Diabetes ins Ovrd'!P11+'Cost Model - Diabetes1 Override'!P11+'Cost Model -Epilepsy Override'!P11+'Cost Model - Glaucoma Override'!P11+'Cost Model - Haemophilia Ovrd'!P11+'Cost Model -HIV Override'!P11+'Cost Model -Hyperlipidaemia Ovr'!P11+'Cost Model -Hypertension-HBP Ov'!P11+'Cost Model - Hypothyroidism Ovr'!P11+'Cost Model -Multiple scler Ovr'!P11+'Cost Model -Parkinson''s dis Ovr'!P11+'Cost Model - Rheumatoid art Ovr'!P11+'Cost Model Schizophrenia Ovrd'!P11+'Cost Model -Lupus Override'!P11+'Cost Model -Clinical depres Ovr'!P11</f>
        <v>1.372761384132748</v>
      </c>
      <c r="Q11" s="29">
        <f>'Assumptions-Output Override'!G19</f>
        <v>30</v>
      </c>
      <c r="R11" s="388">
        <f>N11*Q11/12000</f>
        <v>0.54942864534223634</v>
      </c>
      <c r="S11" s="388">
        <f>P11-R11</f>
        <v>0.82333273879051161</v>
      </c>
    </row>
    <row r="12" spans="2:19" x14ac:dyDescent="0.2">
      <c r="D12" s="446" t="s">
        <v>1</v>
      </c>
      <c r="E12" s="446" t="s">
        <v>542</v>
      </c>
      <c r="F12" s="446" t="s">
        <v>534</v>
      </c>
      <c r="G12" s="447">
        <f>'Cost Model -Asthma Override'!G12+'Cost Model  -Biploar Mood Ovrd'!G12+'Cost Model -Cardiac failure Ovr'!G12+'Cost Model -Cardiomyopathy Ovrd'!G12+'Cost Model-COPD Override'!G12+'Cost Model -CKD Override'!G12+'Cost Model -Diabetes ins Ovrd'!G12+'Cost Model - Diabetes1 Override'!G12+'Cost Model -Epilepsy Override'!G12+'Cost Model - Glaucoma Override'!G12+'Cost Model - Haemophilia Ovrd'!G12+'Cost Model -HIV Override'!G12+'Cost Model -Hyperlipidaemia Ovr'!G12+'Cost Model -Hypertension-HBP Ov'!G12+'Cost Model - Hypothyroidism Ovr'!G12+'Cost Model -Multiple scler Ovr'!G12+'Cost Model -Parkinson''s dis Ovr'!G12+'Cost Model - Rheumatoid art Ovr'!G12+'Cost Model Schizophrenia Ovrd'!G12+'Cost Model -Lupus Override'!G12+'Cost Model -Clinical depres Ovr'!G12</f>
        <v>9.0462755440750512E-4</v>
      </c>
      <c r="H12" s="310">
        <f t="shared" si="0"/>
        <v>5249.9999999999991</v>
      </c>
      <c r="I12" s="448">
        <f>'Cost Model -Asthma Override'!I12+'Cost Model  -Biploar Mood Ovrd'!I12+'Cost Model -Cardiac failure Ovr'!I12+'Cost Model -Cardiomyopathy Ovrd'!I12+'Cost Model-COPD Override'!I12+'Cost Model -CKD Override'!I12+'Cost Model -Diabetes ins Ovrd'!I12+'Cost Model - Diabetes1 Override'!I12+'Cost Model -Epilepsy Override'!I12+'Cost Model - Glaucoma Override'!I12+'Cost Model - Haemophilia Ovrd'!I12+'Cost Model -HIV Override'!I12+'Cost Model -Hyperlipidaemia Ovr'!I12+'Cost Model -Hypertension-HBP Ov'!I12+'Cost Model - Hypothyroidism Ovr'!I12+'Cost Model -Multiple scler Ovr'!I12+'Cost Model -Parkinson''s dis Ovr'!I12+'Cost Model - Rheumatoid art Ovr'!I12+'Cost Model Schizophrenia Ovrd'!I12+'Cost Model -Lupus Override'!I12+'Cost Model -Clinical depres Ovr'!I12</f>
        <v>3.9577455505328344E-4</v>
      </c>
      <c r="J12" s="439"/>
      <c r="K12" s="320" t="s">
        <v>464</v>
      </c>
      <c r="L12" s="450" t="s">
        <v>541</v>
      </c>
      <c r="M12" s="446" t="s">
        <v>539</v>
      </c>
      <c r="N12" s="449">
        <f>'Cost Model -Asthma Override'!N12+'Cost Model  -Biploar Mood Ovrd'!N12+'Cost Model -Cardiac failure Ovr'!N12+'Cost Model -Cardiomyopathy Ovrd'!N12+'Cost Model-COPD Override'!N12+'Cost Model -CKD Override'!N12+'Cost Model -Diabetes ins Ovrd'!N12+'Cost Model - Diabetes1 Override'!N12+'Cost Model -Epilepsy Override'!N12+'Cost Model - Glaucoma Override'!N12+'Cost Model - Haemophilia Ovrd'!N12+'Cost Model -HIV Override'!N12+'Cost Model -Hyperlipidaemia Ovr'!N12+'Cost Model -Hypertension-HBP Ov'!N12+'Cost Model - Hypothyroidism Ovr'!N12+'Cost Model -Multiple scler Ovr'!N12+'Cost Model -Parkinson''s dis Ovr'!N12+'Cost Model - Rheumatoid art Ovr'!N12+'Cost Model Schizophrenia Ovrd'!N12+'Cost Model -Lupus Override'!N12+'Cost Model -Clinical depres Ovr'!N12</f>
        <v>530.90736847288565</v>
      </c>
      <c r="O12" s="310">
        <f>12000*P12/N12</f>
        <v>89.549537118468862</v>
      </c>
      <c r="P12" s="388">
        <f>'Cost Model -Asthma Override'!P12+'Cost Model  -Biploar Mood Ovrd'!P12+'Cost Model -Cardiac failure Ovr'!P12+'Cost Model -Cardiomyopathy Ovrd'!P12+'Cost Model-COPD Override'!P12+'Cost Model -CKD Override'!P12+'Cost Model -Diabetes ins Ovrd'!P12+'Cost Model - Diabetes1 Override'!P12+'Cost Model -Epilepsy Override'!P12+'Cost Model - Glaucoma Override'!P12+'Cost Model - Haemophilia Ovrd'!P12+'Cost Model -HIV Override'!P12+'Cost Model -Hyperlipidaemia Ovr'!P12+'Cost Model -Hypertension-HBP Ov'!P12+'Cost Model - Hypothyroidism Ovr'!P12+'Cost Model -Multiple scler Ovr'!P12+'Cost Model -Parkinson''s dis Ovr'!P12+'Cost Model - Rheumatoid art Ovr'!P12+'Cost Model Schizophrenia Ovrd'!P12+'Cost Model -Lupus Override'!P12+'Cost Model -Clinical depres Ovr'!P12</f>
        <v>3.961875758294275</v>
      </c>
      <c r="Q12" s="29">
        <f>'Assumptions-Output Override'!H19</f>
        <v>60</v>
      </c>
      <c r="R12" s="388">
        <f>N12*Q12/12000</f>
        <v>2.6545368423644282</v>
      </c>
      <c r="S12" s="388">
        <f>P12-R12</f>
        <v>1.3073389159298467</v>
      </c>
    </row>
    <row r="13" spans="2:19" x14ac:dyDescent="0.2">
      <c r="D13" s="446" t="s">
        <v>1</v>
      </c>
      <c r="E13" s="446" t="s">
        <v>543</v>
      </c>
      <c r="F13" s="446" t="s">
        <v>534</v>
      </c>
      <c r="G13" s="447">
        <f>'Cost Model -Asthma Override'!G13+'Cost Model  -Biploar Mood Ovrd'!G13+'Cost Model -Cardiac failure Ovr'!G13+'Cost Model -Cardiomyopathy Ovrd'!G13+'Cost Model-COPD Override'!G13+'Cost Model -CKD Override'!G13+'Cost Model -Diabetes ins Ovrd'!G13+'Cost Model - Diabetes1 Override'!G13+'Cost Model -Epilepsy Override'!G13+'Cost Model - Glaucoma Override'!G13+'Cost Model - Haemophilia Ovrd'!G13+'Cost Model -HIV Override'!G13+'Cost Model -Hyperlipidaemia Ovr'!G13+'Cost Model -Hypertension-HBP Ov'!G13+'Cost Model - Hypothyroidism Ovr'!G13+'Cost Model -Multiple scler Ovr'!G13+'Cost Model -Parkinson''s dis Ovr'!G13+'Cost Model - Rheumatoid art Ovr'!G13+'Cost Model Schizophrenia Ovrd'!G13+'Cost Model -Lupus Override'!G13+'Cost Model -Clinical depres Ovr'!G13</f>
        <v>8.1718022414811284E-2</v>
      </c>
      <c r="H13" s="310">
        <f t="shared" si="0"/>
        <v>3821.4393357933582</v>
      </c>
      <c r="I13" s="448">
        <f>'Cost Model -Asthma Override'!I13+'Cost Model  -Biploar Mood Ovrd'!I13+'Cost Model -Cardiac failure Ovr'!I13+'Cost Model -Cardiomyopathy Ovrd'!I13+'Cost Model-COPD Override'!I13+'Cost Model -CKD Override'!I13+'Cost Model -Diabetes ins Ovrd'!I13+'Cost Model - Diabetes1 Override'!I13+'Cost Model -Epilepsy Override'!I13+'Cost Model - Glaucoma Override'!I13+'Cost Model - Haemophilia Ovrd'!I13+'Cost Model -HIV Override'!I13+'Cost Model -Hyperlipidaemia Ovr'!I13+'Cost Model -Hypertension-HBP Ov'!I13+'Cost Model - Hypothyroidism Ovr'!I13+'Cost Model -Multiple scler Ovr'!I13+'Cost Model -Parkinson''s dis Ovr'!I13+'Cost Model - Rheumatoid art Ovr'!I13+'Cost Model Schizophrenia Ovrd'!I13+'Cost Model -Lupus Override'!I13+'Cost Model -Clinical depres Ovr'!I13</f>
        <v>2.6023372108266933E-2</v>
      </c>
      <c r="J13" s="439"/>
      <c r="K13" s="446" t="s">
        <v>465</v>
      </c>
      <c r="P13" s="388">
        <f>I117</f>
        <v>20.743575585205583</v>
      </c>
      <c r="R13" s="388">
        <f>L117</f>
        <v>3.257022052030508</v>
      </c>
      <c r="S13" s="388">
        <f>M117</f>
        <v>17.486553533175073</v>
      </c>
    </row>
    <row r="14" spans="2:19" x14ac:dyDescent="0.2">
      <c r="D14" s="446" t="s">
        <v>1</v>
      </c>
      <c r="E14" s="446" t="s">
        <v>544</v>
      </c>
      <c r="F14" s="446" t="s">
        <v>534</v>
      </c>
      <c r="G14" s="447">
        <f>'Cost Model -Asthma Override'!G14+'Cost Model  -Biploar Mood Ovrd'!G14+'Cost Model -Cardiac failure Ovr'!G14+'Cost Model -Cardiomyopathy Ovrd'!G14+'Cost Model-COPD Override'!G14+'Cost Model -CKD Override'!G14+'Cost Model -Diabetes ins Ovrd'!G14+'Cost Model - Diabetes1 Override'!G14+'Cost Model -Epilepsy Override'!G14+'Cost Model - Glaucoma Override'!G14+'Cost Model - Haemophilia Ovrd'!G14+'Cost Model -HIV Override'!G14+'Cost Model -Hyperlipidaemia Ovr'!G14+'Cost Model -Hypertension-HBP Ov'!G14+'Cost Model - Hypothyroidism Ovr'!G14+'Cost Model -Multiple scler Ovr'!G14+'Cost Model -Parkinson''s dis Ovr'!G14+'Cost Model - Rheumatoid art Ovr'!G14+'Cost Model Schizophrenia Ovrd'!G14+'Cost Model -Lupus Override'!G14+'Cost Model -Clinical depres Ovr'!G14</f>
        <v>2.713882663222515E-3</v>
      </c>
      <c r="H14" s="310">
        <f t="shared" si="0"/>
        <v>11147.096666666665</v>
      </c>
      <c r="I14" s="448">
        <f>'Cost Model -Asthma Override'!I14+'Cost Model  -Biploar Mood Ovrd'!I14+'Cost Model -Cardiac failure Ovr'!I14+'Cost Model -Cardiomyopathy Ovrd'!I14+'Cost Model-COPD Override'!I14+'Cost Model -CKD Override'!I14+'Cost Model -Diabetes ins Ovrd'!I14+'Cost Model - Diabetes1 Override'!I14+'Cost Model -Epilepsy Override'!I14+'Cost Model - Glaucoma Override'!I14+'Cost Model - Haemophilia Ovrd'!I14+'Cost Model -HIV Override'!I14+'Cost Model -Hyperlipidaemia Ovr'!I14+'Cost Model -Hypertension-HBP Ov'!I14+'Cost Model - Hypothyroidism Ovr'!I14+'Cost Model -Multiple scler Ovr'!I14+'Cost Model -Parkinson''s dis Ovr'!I14+'Cost Model - Rheumatoid art Ovr'!I14+'Cost Model Schizophrenia Ovrd'!I14+'Cost Model -Lupus Override'!I14+'Cost Model -Clinical depres Ovr'!I14</f>
        <v>2.5209926990776791E-3</v>
      </c>
      <c r="J14" s="439"/>
    </row>
    <row r="15" spans="2:19" x14ac:dyDescent="0.2">
      <c r="D15" s="446" t="s">
        <v>1</v>
      </c>
      <c r="E15" s="446" t="s">
        <v>545</v>
      </c>
      <c r="F15" s="446" t="s">
        <v>534</v>
      </c>
      <c r="G15" s="447">
        <f>'Cost Model -Asthma Override'!G15+'Cost Model  -Biploar Mood Ovrd'!G15+'Cost Model -Cardiac failure Ovr'!G15+'Cost Model -Cardiomyopathy Ovrd'!G15+'Cost Model-COPD Override'!G15+'Cost Model -CKD Override'!G15+'Cost Model -Diabetes ins Ovrd'!G15+'Cost Model - Diabetes1 Override'!G15+'Cost Model -Epilepsy Override'!G15+'Cost Model - Glaucoma Override'!G15+'Cost Model - Haemophilia Ovrd'!G15+'Cost Model -HIV Override'!G15+'Cost Model -Hyperlipidaemia Ovr'!G15+'Cost Model -Hypertension-HBP Ov'!G15+'Cost Model - Hypothyroidism Ovr'!G15+'Cost Model -Multiple scler Ovr'!G15+'Cost Model -Parkinson''s dis Ovr'!G15+'Cost Model - Rheumatoid art Ovr'!G15+'Cost Model Schizophrenia Ovrd'!G15+'Cost Model -Lupus Override'!G15+'Cost Model -Clinical depres Ovr'!G15</f>
        <v>2.5631114041545972E-2</v>
      </c>
      <c r="H15" s="310">
        <f t="shared" si="0"/>
        <v>1996.1761176470591</v>
      </c>
      <c r="I15" s="448">
        <f>'Cost Model -Asthma Override'!I15+'Cost Model  -Biploar Mood Ovrd'!I15+'Cost Model -Cardiac failure Ovr'!I15+'Cost Model -Cardiomyopathy Ovrd'!I15+'Cost Model-COPD Override'!I15+'Cost Model -CKD Override'!I15+'Cost Model -Diabetes ins Ovrd'!I15+'Cost Model - Diabetes1 Override'!I15+'Cost Model -Epilepsy Override'!I15+'Cost Model - Glaucoma Override'!I15+'Cost Model - Haemophilia Ovrd'!I15+'Cost Model -HIV Override'!I15+'Cost Model -Hyperlipidaemia Ovr'!I15+'Cost Model -Hypertension-HBP Ov'!I15+'Cost Model - Hypothyroidism Ovr'!I15+'Cost Model -Multiple scler Ovr'!I15+'Cost Model -Parkinson''s dis Ovr'!I15+'Cost Model - Rheumatoid art Ovr'!I15+'Cost Model Schizophrenia Ovrd'!I15+'Cost Model -Lupus Override'!I15+'Cost Model -Clinical depres Ovr'!I15</f>
        <v>4.2636848098685214E-3</v>
      </c>
      <c r="J15" s="439"/>
      <c r="K15" s="446" t="s">
        <v>403</v>
      </c>
      <c r="P15" s="388">
        <f>SUM(P8:P13)</f>
        <v>44.814883664501309</v>
      </c>
      <c r="R15" s="388">
        <f>SUM(R8:R13)</f>
        <v>6.7549685478892707</v>
      </c>
      <c r="S15" s="388">
        <f>SUM(S8:S13)</f>
        <v>38.059915116612039</v>
      </c>
    </row>
    <row r="16" spans="2:19" x14ac:dyDescent="0.2">
      <c r="D16" s="451" t="s">
        <v>1</v>
      </c>
      <c r="E16" s="451" t="s">
        <v>546</v>
      </c>
      <c r="F16" s="451" t="s">
        <v>534</v>
      </c>
      <c r="G16" s="452">
        <f>'Cost Model -Asthma Override'!G16+'Cost Model  -Biploar Mood Ovrd'!G16+'Cost Model -Cardiac failure Ovr'!G16+'Cost Model -Cardiomyopathy Ovrd'!G16+'Cost Model-COPD Override'!G16+'Cost Model -CKD Override'!G16+'Cost Model -Diabetes ins Ovrd'!G16+'Cost Model - Diabetes1 Override'!G16+'Cost Model -Epilepsy Override'!G16+'Cost Model - Glaucoma Override'!G16+'Cost Model - Haemophilia Ovrd'!G16+'Cost Model -HIV Override'!G16+'Cost Model -Hyperlipidaemia Ovr'!G16+'Cost Model -Hypertension-HBP Ov'!G16+'Cost Model - Hypothyroidism Ovr'!G16+'Cost Model -Multiple scler Ovr'!G16+'Cost Model -Parkinson''s dis Ovr'!G16+'Cost Model - Rheumatoid art Ovr'!G16+'Cost Model Schizophrenia Ovrd'!G16+'Cost Model -Lupus Override'!G16+'Cost Model -Clinical depres Ovr'!G16</f>
        <v>7.2370204352600392E-3</v>
      </c>
      <c r="H16" s="453">
        <f t="shared" si="0"/>
        <v>22026.07666666666</v>
      </c>
      <c r="I16" s="454">
        <f>'Cost Model -Asthma Override'!I16+'Cost Model  -Biploar Mood Ovrd'!I16+'Cost Model -Cardiac failure Ovr'!I16+'Cost Model -Cardiomyopathy Ovrd'!I16+'Cost Model-COPD Override'!I16+'Cost Model -CKD Override'!I16+'Cost Model -Diabetes ins Ovrd'!I16+'Cost Model - Diabetes1 Override'!I16+'Cost Model -Epilepsy Override'!I16+'Cost Model - Glaucoma Override'!I16+'Cost Model - Haemophilia Ovrd'!I16+'Cost Model -HIV Override'!I16+'Cost Model -Hyperlipidaemia Ovr'!I16+'Cost Model -Hypertension-HBP Ov'!I16+'Cost Model - Hypothyroidism Ovr'!I16+'Cost Model -Multiple scler Ovr'!I16+'Cost Model -Parkinson''s dis Ovr'!I16+'Cost Model - Rheumatoid art Ovr'!I16+'Cost Model Schizophrenia Ovrd'!I16+'Cost Model -Lupus Override'!I16+'Cost Model -Clinical depres Ovr'!I16</f>
        <v>1.3283597245439246E-2</v>
      </c>
      <c r="J16" s="439"/>
    </row>
    <row r="17" spans="4:10" ht="16" x14ac:dyDescent="0.2">
      <c r="D17" s="456" t="s">
        <v>547</v>
      </c>
      <c r="E17" s="456"/>
      <c r="F17" s="456"/>
      <c r="G17" s="457">
        <f>SUM(G8:G16)</f>
        <v>3.5190011866451947</v>
      </c>
      <c r="H17" s="458"/>
      <c r="I17" s="457">
        <f>SUM(I8:I16)</f>
        <v>2.5020026868443503</v>
      </c>
      <c r="J17" s="439"/>
    </row>
    <row r="18" spans="4:10" x14ac:dyDescent="0.2">
      <c r="D18" s="446" t="s">
        <v>462</v>
      </c>
      <c r="E18" s="446" t="s">
        <v>548</v>
      </c>
      <c r="F18" s="446" t="s">
        <v>537</v>
      </c>
      <c r="G18" s="447">
        <f>'Cost Model -Asthma Override'!G18+'Cost Model  -Biploar Mood Ovrd'!G18+'Cost Model -Cardiac failure Ovr'!G18+'Cost Model -Cardiomyopathy Ovrd'!G18+'Cost Model-COPD Override'!G18+'Cost Model -CKD Override'!G18+'Cost Model -Diabetes ins Ovrd'!G18+'Cost Model - Diabetes1 Override'!G18+'Cost Model -Epilepsy Override'!G18+'Cost Model - Glaucoma Override'!G18+'Cost Model - Haemophilia Ovrd'!G18+'Cost Model -HIV Override'!G18+'Cost Model -Hyperlipidaemia Ovr'!G18+'Cost Model -Hypertension-HBP Ov'!G18+'Cost Model - Hypothyroidism Ovr'!G18+'Cost Model -Multiple scler Ovr'!G18+'Cost Model -Parkinson''s dis Ovr'!G18+'Cost Model - Rheumatoid art Ovr'!G18+'Cost Model Schizophrenia Ovrd'!G18+'Cost Model -Lupus Override'!G18+'Cost Model -Clinical depres Ovr'!G18</f>
        <v>3.5083644719935941E-2</v>
      </c>
      <c r="H18" s="310">
        <f t="shared" ref="H18:H63" si="1">12000*I18/G18</f>
        <v>562.08584362139925</v>
      </c>
      <c r="I18" s="448">
        <f>'Cost Model -Asthma Override'!I18+'Cost Model  -Biploar Mood Ovrd'!I18+'Cost Model -Cardiac failure Ovr'!I18+'Cost Model -Cardiomyopathy Ovrd'!I18+'Cost Model-COPD Override'!I18+'Cost Model -CKD Override'!I18+'Cost Model -Diabetes ins Ovrd'!I18+'Cost Model - Diabetes1 Override'!I18+'Cost Model -Epilepsy Override'!I18+'Cost Model - Glaucoma Override'!I18+'Cost Model - Haemophilia Ovrd'!I18+'Cost Model -HIV Override'!I18+'Cost Model -Hyperlipidaemia Ovr'!I18+'Cost Model -Hypertension-HBP Ov'!I18+'Cost Model - Hypothyroidism Ovr'!I18+'Cost Model -Multiple scler Ovr'!I18+'Cost Model -Parkinson''s dis Ovr'!I18+'Cost Model - Rheumatoid art Ovr'!I18+'Cost Model Schizophrenia Ovrd'!I18+'Cost Model -Lupus Override'!I18+'Cost Model -Clinical depres Ovr'!I18</f>
        <v>1.643335003309887E-3</v>
      </c>
      <c r="J18" s="439"/>
    </row>
    <row r="19" spans="4:10" x14ac:dyDescent="0.2">
      <c r="D19" s="446" t="s">
        <v>462</v>
      </c>
      <c r="E19" s="446" t="s">
        <v>549</v>
      </c>
      <c r="F19" s="446" t="s">
        <v>537</v>
      </c>
      <c r="G19" s="447">
        <f>'Cost Model -Asthma Override'!G19+'Cost Model  -Biploar Mood Ovrd'!G19+'Cost Model -Cardiac failure Ovr'!G19+'Cost Model -Cardiomyopathy Ovrd'!G19+'Cost Model-COPD Override'!G19+'Cost Model -CKD Override'!G19+'Cost Model -Diabetes ins Ovrd'!G19+'Cost Model - Diabetes1 Override'!G19+'Cost Model -Epilepsy Override'!G19+'Cost Model - Glaucoma Override'!G19+'Cost Model - Haemophilia Ovrd'!G19+'Cost Model -HIV Override'!G19+'Cost Model -Hyperlipidaemia Ovr'!G19+'Cost Model -Hypertension-HBP Ov'!G19+'Cost Model - Hypothyroidism Ovr'!G19+'Cost Model -Multiple scler Ovr'!G19+'Cost Model -Parkinson''s dis Ovr'!G19+'Cost Model - Rheumatoid art Ovr'!G19+'Cost Model Schizophrenia Ovrd'!G19+'Cost Model -Lupus Override'!G19+'Cost Model -Clinical depres Ovr'!G19</f>
        <v>0.63959072472969636</v>
      </c>
      <c r="H19" s="310">
        <f t="shared" si="1"/>
        <v>1072.2232595936819</v>
      </c>
      <c r="I19" s="448">
        <f>'Cost Model -Asthma Override'!I19+'Cost Model  -Biploar Mood Ovrd'!I19+'Cost Model -Cardiac failure Ovr'!I19+'Cost Model -Cardiomyopathy Ovrd'!I19+'Cost Model-COPD Override'!I19+'Cost Model -CKD Override'!I19+'Cost Model -Diabetes ins Ovrd'!I19+'Cost Model - Diabetes1 Override'!I19+'Cost Model -Epilepsy Override'!I19+'Cost Model - Glaucoma Override'!I19+'Cost Model - Haemophilia Ovrd'!I19+'Cost Model -HIV Override'!I19+'Cost Model -Hyperlipidaemia Ovr'!I19+'Cost Model -Hypertension-HBP Ov'!I19+'Cost Model - Hypothyroidism Ovr'!I19+'Cost Model -Multiple scler Ovr'!I19+'Cost Model -Parkinson''s dis Ovr'!I19+'Cost Model - Rheumatoid art Ovr'!I19+'Cost Model Schizophrenia Ovrd'!I19+'Cost Model -Lupus Override'!I19+'Cost Model -Clinical depres Ovr'!I19</f>
        <v>5.7148670972963361E-2</v>
      </c>
      <c r="J19" s="439"/>
    </row>
    <row r="20" spans="4:10" x14ac:dyDescent="0.2">
      <c r="D20" s="446" t="s">
        <v>462</v>
      </c>
      <c r="E20" s="446" t="s">
        <v>550</v>
      </c>
      <c r="F20" s="446" t="s">
        <v>537</v>
      </c>
      <c r="G20" s="447">
        <f>'Cost Model -Asthma Override'!G20+'Cost Model  -Biploar Mood Ovrd'!G20+'Cost Model -Cardiac failure Ovr'!G20+'Cost Model -Cardiomyopathy Ovrd'!G20+'Cost Model-COPD Override'!G20+'Cost Model -CKD Override'!G20+'Cost Model -Diabetes ins Ovrd'!G20+'Cost Model - Diabetes1 Override'!G20+'Cost Model -Epilepsy Override'!G20+'Cost Model - Glaucoma Override'!G20+'Cost Model - Haemophilia Ovrd'!G20+'Cost Model -HIV Override'!G20+'Cost Model -Hyperlipidaemia Ovr'!G20+'Cost Model -Hypertension-HBP Ov'!G20+'Cost Model - Hypothyroidism Ovr'!G20+'Cost Model -Multiple scler Ovr'!G20+'Cost Model -Parkinson''s dis Ovr'!G20+'Cost Model - Rheumatoid art Ovr'!G20+'Cost Model Schizophrenia Ovrd'!G20+'Cost Model -Lupus Override'!G20+'Cost Model -Clinical depres Ovr'!G20</f>
        <v>18.217796123666496</v>
      </c>
      <c r="H20" s="310">
        <f t="shared" si="1"/>
        <v>507.14441045474064</v>
      </c>
      <c r="I20" s="448">
        <f>'Cost Model -Asthma Override'!I20+'Cost Model  -Biploar Mood Ovrd'!I20+'Cost Model -Cardiac failure Ovr'!I20+'Cost Model -Cardiomyopathy Ovrd'!I20+'Cost Model-COPD Override'!I20+'Cost Model -CKD Override'!I20+'Cost Model -Diabetes ins Ovrd'!I20+'Cost Model - Diabetes1 Override'!I20+'Cost Model -Epilepsy Override'!I20+'Cost Model - Glaucoma Override'!I20+'Cost Model - Haemophilia Ovrd'!I20+'Cost Model -HIV Override'!I20+'Cost Model -Hyperlipidaemia Ovr'!I20+'Cost Model -Hypertension-HBP Ov'!I20+'Cost Model - Hypothyroidism Ovr'!I20+'Cost Model -Multiple scler Ovr'!I20+'Cost Model -Parkinson''s dis Ovr'!I20+'Cost Model - Rheumatoid art Ovr'!I20+'Cost Model Schizophrenia Ovrd'!I20+'Cost Model -Lupus Override'!I20+'Cost Model -Clinical depres Ovr'!I20</f>
        <v>0.76992112291012538</v>
      </c>
      <c r="J20" s="439"/>
    </row>
    <row r="21" spans="4:10" x14ac:dyDescent="0.2">
      <c r="D21" s="446" t="s">
        <v>462</v>
      </c>
      <c r="E21" s="446" t="s">
        <v>551</v>
      </c>
      <c r="F21" s="446" t="s">
        <v>537</v>
      </c>
      <c r="G21" s="447">
        <f>'Cost Model -Asthma Override'!G21+'Cost Model  -Biploar Mood Ovrd'!G21+'Cost Model -Cardiac failure Ovr'!G21+'Cost Model -Cardiomyopathy Ovrd'!G21+'Cost Model-COPD Override'!G21+'Cost Model -CKD Override'!G21+'Cost Model -Diabetes ins Ovrd'!G21+'Cost Model - Diabetes1 Override'!G21+'Cost Model -Epilepsy Override'!G21+'Cost Model - Glaucoma Override'!G21+'Cost Model - Haemophilia Ovrd'!G21+'Cost Model -HIV Override'!G21+'Cost Model -Hyperlipidaemia Ovr'!G21+'Cost Model -Hypertension-HBP Ov'!G21+'Cost Model - Hypothyroidism Ovr'!G21+'Cost Model -Multiple scler Ovr'!G21+'Cost Model -Parkinson''s dis Ovr'!G21+'Cost Model - Rheumatoid art Ovr'!G21+'Cost Model Schizophrenia Ovrd'!G21+'Cost Model -Lupus Override'!G21+'Cost Model -Clinical depres Ovr'!G21</f>
        <v>0.89167320901368052</v>
      </c>
      <c r="H21" s="310">
        <f t="shared" si="1"/>
        <v>288.06121275906838</v>
      </c>
      <c r="I21" s="448">
        <f>'Cost Model -Asthma Override'!I21+'Cost Model  -Biploar Mood Ovrd'!I21+'Cost Model -Cardiac failure Ovr'!I21+'Cost Model -Cardiomyopathy Ovrd'!I21+'Cost Model-COPD Override'!I21+'Cost Model -CKD Override'!I21+'Cost Model -Diabetes ins Ovrd'!I21+'Cost Model - Diabetes1 Override'!I21+'Cost Model -Epilepsy Override'!I21+'Cost Model - Glaucoma Override'!I21+'Cost Model - Haemophilia Ovrd'!I21+'Cost Model -HIV Override'!I21+'Cost Model -Hyperlipidaemia Ovr'!I21+'Cost Model -Hypertension-HBP Ov'!I21+'Cost Model - Hypothyroidism Ovr'!I21+'Cost Model -Multiple scler Ovr'!I21+'Cost Model -Parkinson''s dis Ovr'!I21+'Cost Model - Rheumatoid art Ovr'!I21+'Cost Model Schizophrenia Ovrd'!I21+'Cost Model -Lupus Override'!I21+'Cost Model -Clinical depres Ovr'!I21</f>
        <v>2.1404705497770925E-2</v>
      </c>
      <c r="J21" s="439"/>
    </row>
    <row r="22" spans="4:10" x14ac:dyDescent="0.2">
      <c r="D22" s="446" t="s">
        <v>462</v>
      </c>
      <c r="E22" s="446" t="s">
        <v>552</v>
      </c>
      <c r="F22" s="446" t="s">
        <v>537</v>
      </c>
      <c r="G22" s="447">
        <f>'Cost Model -Asthma Override'!G22+'Cost Model  -Biploar Mood Ovrd'!G22+'Cost Model -Cardiac failure Ovr'!G22+'Cost Model -Cardiomyopathy Ovrd'!G22+'Cost Model-COPD Override'!G22+'Cost Model -CKD Override'!G22+'Cost Model -Diabetes ins Ovrd'!G22+'Cost Model - Diabetes1 Override'!G22+'Cost Model -Epilepsy Override'!G22+'Cost Model - Glaucoma Override'!G22+'Cost Model - Haemophilia Ovrd'!G22+'Cost Model -HIV Override'!G22+'Cost Model -Hyperlipidaemia Ovr'!G22+'Cost Model -Hypertension-HBP Ov'!G22+'Cost Model - Hypothyroidism Ovr'!G22+'Cost Model -Multiple scler Ovr'!G22+'Cost Model -Parkinson''s dis Ovr'!G22+'Cost Model - Rheumatoid art Ovr'!G22+'Cost Model Schizophrenia Ovrd'!G22+'Cost Model -Lupus Override'!G22+'Cost Model -Clinical depres Ovr'!G22</f>
        <v>0.32672546502557631</v>
      </c>
      <c r="H22" s="310">
        <f t="shared" si="1"/>
        <v>383.95011489173663</v>
      </c>
      <c r="I22" s="448">
        <f>'Cost Model -Asthma Override'!I22+'Cost Model  -Biploar Mood Ovrd'!I22+'Cost Model -Cardiac failure Ovr'!I22+'Cost Model -Cardiomyopathy Ovrd'!I22+'Cost Model-COPD Override'!I22+'Cost Model -CKD Override'!I22+'Cost Model -Diabetes ins Ovrd'!I22+'Cost Model - Diabetes1 Override'!I22+'Cost Model -Epilepsy Override'!I22+'Cost Model - Glaucoma Override'!I22+'Cost Model - Haemophilia Ovrd'!I22+'Cost Model -HIV Override'!I22+'Cost Model -Hyperlipidaemia Ovr'!I22+'Cost Model -Hypertension-HBP Ov'!I22+'Cost Model - Hypothyroidism Ovr'!I22+'Cost Model -Multiple scler Ovr'!I22+'Cost Model -Parkinson''s dis Ovr'!I22+'Cost Model - Rheumatoid art Ovr'!I22+'Cost Model Schizophrenia Ovrd'!I22+'Cost Model -Lupus Override'!I22+'Cost Model -Clinical depres Ovr'!I22</f>
        <v>1.0453856652885509E-2</v>
      </c>
      <c r="J22" s="439"/>
    </row>
    <row r="23" spans="4:10" x14ac:dyDescent="0.2">
      <c r="D23" s="446" t="s">
        <v>462</v>
      </c>
      <c r="E23" s="446" t="s">
        <v>553</v>
      </c>
      <c r="F23" s="446" t="s">
        <v>554</v>
      </c>
      <c r="G23" s="447">
        <f>'Cost Model -Asthma Override'!G23+'Cost Model  -Biploar Mood Ovrd'!G23+'Cost Model -Cardiac failure Ovr'!G23+'Cost Model -Cardiomyopathy Ovrd'!G23+'Cost Model-COPD Override'!G23+'Cost Model -CKD Override'!G23+'Cost Model -Diabetes ins Ovrd'!G23+'Cost Model - Diabetes1 Override'!G23+'Cost Model -Epilepsy Override'!G23+'Cost Model - Glaucoma Override'!G23+'Cost Model - Haemophilia Ovrd'!G23+'Cost Model -HIV Override'!G23+'Cost Model -Hyperlipidaemia Ovr'!G23+'Cost Model -Hypertension-HBP Ov'!G23+'Cost Model - Hypothyroidism Ovr'!G23+'Cost Model -Multiple scler Ovr'!G23+'Cost Model -Parkinson''s dis Ovr'!G23+'Cost Model - Rheumatoid art Ovr'!G23+'Cost Model Schizophrenia Ovrd'!G23+'Cost Model -Lupus Override'!G23+'Cost Model -Clinical depres Ovr'!G23</f>
        <v>3.6094284691292132E-2</v>
      </c>
      <c r="H23" s="310">
        <f t="shared" si="1"/>
        <v>613.72983999999985</v>
      </c>
      <c r="I23" s="448">
        <f>'Cost Model -Asthma Override'!I23+'Cost Model  -Biploar Mood Ovrd'!I23+'Cost Model -Cardiac failure Ovr'!I23+'Cost Model -Cardiomyopathy Ovrd'!I23+'Cost Model-COPD Override'!I23+'Cost Model -CKD Override'!I23+'Cost Model -Diabetes ins Ovrd'!I23+'Cost Model - Diabetes1 Override'!I23+'Cost Model -Epilepsy Override'!I23+'Cost Model - Glaucoma Override'!I23+'Cost Model - Haemophilia Ovrd'!I23+'Cost Model -HIV Override'!I23+'Cost Model -Hyperlipidaemia Ovr'!I23+'Cost Model -Hypertension-HBP Ov'!I23+'Cost Model - Hypothyroidism Ovr'!I23+'Cost Model -Multiple scler Ovr'!I23+'Cost Model -Parkinson''s dis Ovr'!I23+'Cost Model - Rheumatoid art Ovr'!I23+'Cost Model Schizophrenia Ovrd'!I23+'Cost Model -Lupus Override'!I23+'Cost Model -Clinical depres Ovr'!I23</f>
        <v>1.8460116307084306E-3</v>
      </c>
      <c r="J23" s="439"/>
    </row>
    <row r="24" spans="4:10" x14ac:dyDescent="0.2">
      <c r="D24" s="446" t="s">
        <v>462</v>
      </c>
      <c r="E24" s="446" t="s">
        <v>555</v>
      </c>
      <c r="F24" s="446" t="s">
        <v>537</v>
      </c>
      <c r="G24" s="447">
        <f>'Cost Model -Asthma Override'!G24+'Cost Model  -Biploar Mood Ovrd'!G24+'Cost Model -Cardiac failure Ovr'!G24+'Cost Model -Cardiomyopathy Ovrd'!G24+'Cost Model-COPD Override'!G24+'Cost Model -CKD Override'!G24+'Cost Model -Diabetes ins Ovrd'!G24+'Cost Model - Diabetes1 Override'!G24+'Cost Model -Epilepsy Override'!G24+'Cost Model - Glaucoma Override'!G24+'Cost Model - Haemophilia Ovrd'!G24+'Cost Model -HIV Override'!G24+'Cost Model -Hyperlipidaemia Ovr'!G24+'Cost Model -Hypertension-HBP Ov'!G24+'Cost Model - Hypothyroidism Ovr'!G24+'Cost Model -Multiple scler Ovr'!G24+'Cost Model -Parkinson''s dis Ovr'!G24+'Cost Model - Rheumatoid art Ovr'!G24+'Cost Model Schizophrenia Ovrd'!G24+'Cost Model -Lupus Override'!G24+'Cost Model -Clinical depres Ovr'!G24</f>
        <v>8.7925677507987618E-2</v>
      </c>
      <c r="H24" s="310">
        <f t="shared" si="1"/>
        <v>666.03244663382588</v>
      </c>
      <c r="I24" s="448">
        <f>'Cost Model -Asthma Override'!I24+'Cost Model  -Biploar Mood Ovrd'!I24+'Cost Model -Cardiac failure Ovr'!I24+'Cost Model -Cardiomyopathy Ovrd'!I24+'Cost Model-COPD Override'!I24+'Cost Model -CKD Override'!I24+'Cost Model -Diabetes ins Ovrd'!I24+'Cost Model - Diabetes1 Override'!I24+'Cost Model -Epilepsy Override'!I24+'Cost Model - Glaucoma Override'!I24+'Cost Model - Haemophilia Ovrd'!I24+'Cost Model -HIV Override'!I24+'Cost Model -Hyperlipidaemia Ovr'!I24+'Cost Model -Hypertension-HBP Ov'!I24+'Cost Model - Hypothyroidism Ovr'!I24+'Cost Model -Multiple scler Ovr'!I24+'Cost Model -Parkinson''s dis Ovr'!I24+'Cost Model - Rheumatoid art Ovr'!I24+'Cost Model Schizophrenia Ovrd'!I24+'Cost Model -Lupus Override'!I24+'Cost Model -Clinical depres Ovr'!I24</f>
        <v>4.8801128427151457E-3</v>
      </c>
      <c r="J24" s="439"/>
    </row>
    <row r="25" spans="4:10" x14ac:dyDescent="0.2">
      <c r="D25" s="446" t="s">
        <v>462</v>
      </c>
      <c r="E25" s="446" t="s">
        <v>556</v>
      </c>
      <c r="F25" s="446" t="s">
        <v>537</v>
      </c>
      <c r="G25" s="447">
        <f>'Cost Model -Asthma Override'!G25+'Cost Model  -Biploar Mood Ovrd'!G25+'Cost Model -Cardiac failure Ovr'!G25+'Cost Model -Cardiomyopathy Ovrd'!G25+'Cost Model-COPD Override'!G25+'Cost Model -CKD Override'!G25+'Cost Model -Diabetes ins Ovrd'!G25+'Cost Model - Diabetes1 Override'!G25+'Cost Model -Epilepsy Override'!G25+'Cost Model - Glaucoma Override'!G25+'Cost Model - Haemophilia Ovrd'!G25+'Cost Model -HIV Override'!G25+'Cost Model -Hyperlipidaemia Ovr'!G25+'Cost Model -Hypertension-HBP Ov'!G25+'Cost Model - Hypothyroidism Ovr'!G25+'Cost Model -Multiple scler Ovr'!G25+'Cost Model -Parkinson''s dis Ovr'!G25+'Cost Model - Rheumatoid art Ovr'!G25+'Cost Model Schizophrenia Ovrd'!G25+'Cost Model -Lupus Override'!G25+'Cost Model -Clinical depres Ovr'!G25</f>
        <v>4.9088227180157295E-3</v>
      </c>
      <c r="H25" s="310">
        <f t="shared" si="1"/>
        <v>780.97970588235307</v>
      </c>
      <c r="I25" s="448">
        <f>'Cost Model -Asthma Override'!I25+'Cost Model  -Biploar Mood Ovrd'!I25+'Cost Model -Cardiac failure Ovr'!I25+'Cost Model -Cardiomyopathy Ovrd'!I25+'Cost Model-COPD Override'!I25+'Cost Model -CKD Override'!I25+'Cost Model -Diabetes ins Ovrd'!I25+'Cost Model - Diabetes1 Override'!I25+'Cost Model -Epilepsy Override'!I25+'Cost Model - Glaucoma Override'!I25+'Cost Model - Haemophilia Ovrd'!I25+'Cost Model -HIV Override'!I25+'Cost Model -Hyperlipidaemia Ovr'!I25+'Cost Model -Hypertension-HBP Ov'!I25+'Cost Model - Hypothyroidism Ovr'!I25+'Cost Model -Multiple scler Ovr'!I25+'Cost Model -Parkinson''s dis Ovr'!I25+'Cost Model - Rheumatoid art Ovr'!I25+'Cost Model Schizophrenia Ovrd'!I25+'Cost Model -Lupus Override'!I25+'Cost Model -Clinical depres Ovr'!I25</f>
        <v>3.1947424354537813E-4</v>
      </c>
      <c r="J25" s="439"/>
    </row>
    <row r="26" spans="4:10" x14ac:dyDescent="0.2">
      <c r="D26" s="446" t="s">
        <v>462</v>
      </c>
      <c r="E26" s="446" t="s">
        <v>557</v>
      </c>
      <c r="F26" s="446" t="s">
        <v>537</v>
      </c>
      <c r="G26" s="447">
        <f>'Cost Model -Asthma Override'!G26+'Cost Model  -Biploar Mood Ovrd'!G26+'Cost Model -Cardiac failure Ovr'!G26+'Cost Model -Cardiomyopathy Ovrd'!G26+'Cost Model-COPD Override'!G26+'Cost Model -CKD Override'!G26+'Cost Model -Diabetes ins Ovrd'!G26+'Cost Model - Diabetes1 Override'!G26+'Cost Model -Epilepsy Override'!G26+'Cost Model - Glaucoma Override'!G26+'Cost Model - Haemophilia Ovrd'!G26+'Cost Model -HIV Override'!G26+'Cost Model -Hyperlipidaemia Ovr'!G26+'Cost Model -Hypertension-HBP Ov'!G26+'Cost Model - Hypothyroidism Ovr'!G26+'Cost Model -Multiple scler Ovr'!G26+'Cost Model -Parkinson''s dis Ovr'!G26+'Cost Model - Rheumatoid art Ovr'!G26+'Cost Model Schizophrenia Ovrd'!G26+'Cost Model -Lupus Override'!G26+'Cost Model -Clinical depres Ovr'!G26</f>
        <v>3.3206741915988757E-3</v>
      </c>
      <c r="H26" s="310">
        <f t="shared" si="1"/>
        <v>123.08695652173913</v>
      </c>
      <c r="I26" s="448">
        <f>'Cost Model -Asthma Override'!I26+'Cost Model  -Biploar Mood Ovrd'!I26+'Cost Model -Cardiac failure Ovr'!I26+'Cost Model -Cardiomyopathy Ovrd'!I26+'Cost Model-COPD Override'!I26+'Cost Model -CKD Override'!I26+'Cost Model -Diabetes ins Ovrd'!I26+'Cost Model - Diabetes1 Override'!I26+'Cost Model -Epilepsy Override'!I26+'Cost Model - Glaucoma Override'!I26+'Cost Model - Haemophilia Ovrd'!I26+'Cost Model -HIV Override'!I26+'Cost Model -Hyperlipidaemia Ovr'!I26+'Cost Model -Hypertension-HBP Ov'!I26+'Cost Model - Hypothyroidism Ovr'!I26+'Cost Model -Multiple scler Ovr'!I26+'Cost Model -Parkinson''s dis Ovr'!I26+'Cost Model - Rheumatoid art Ovr'!I26+'Cost Model Schizophrenia Ovrd'!I26+'Cost Model -Lupus Override'!I26+'Cost Model -Clinical depres Ovr'!I26</f>
        <v>3.4060973320349335E-5</v>
      </c>
      <c r="J26" s="439"/>
    </row>
    <row r="27" spans="4:10" x14ac:dyDescent="0.2">
      <c r="D27" s="446" t="s">
        <v>462</v>
      </c>
      <c r="E27" s="446" t="s">
        <v>558</v>
      </c>
      <c r="F27" s="446" t="s">
        <v>537</v>
      </c>
      <c r="G27" s="447">
        <f>'Cost Model -Asthma Override'!G27+'Cost Model  -Biploar Mood Ovrd'!G27+'Cost Model -Cardiac failure Ovr'!G27+'Cost Model -Cardiomyopathy Ovrd'!G27+'Cost Model-COPD Override'!G27+'Cost Model -CKD Override'!G27+'Cost Model -Diabetes ins Ovrd'!G27+'Cost Model - Diabetes1 Override'!G27+'Cost Model -Epilepsy Override'!G27+'Cost Model - Glaucoma Override'!G27+'Cost Model - Haemophilia Ovrd'!G27+'Cost Model -HIV Override'!G27+'Cost Model -Hyperlipidaemia Ovr'!G27+'Cost Model -Hypertension-HBP Ov'!G27+'Cost Model - Hypothyroidism Ovr'!G27+'Cost Model -Multiple scler Ovr'!G27+'Cost Model -Parkinson''s dis Ovr'!G27+'Cost Model - Rheumatoid art Ovr'!G27+'Cost Model Schizophrenia Ovrd'!G27+'Cost Model -Lupus Override'!G27+'Cost Model -Clinical depres Ovr'!G27</f>
        <v>1.443771387651685E-3</v>
      </c>
      <c r="H27" s="310">
        <f t="shared" si="1"/>
        <v>54.634999999999998</v>
      </c>
      <c r="I27" s="448">
        <f>'Cost Model -Asthma Override'!I27+'Cost Model  -Biploar Mood Ovrd'!I27+'Cost Model -Cardiac failure Ovr'!I27+'Cost Model -Cardiomyopathy Ovrd'!I27+'Cost Model-COPD Override'!I27+'Cost Model -CKD Override'!I27+'Cost Model -Diabetes ins Ovrd'!I27+'Cost Model - Diabetes1 Override'!I27+'Cost Model -Epilepsy Override'!I27+'Cost Model - Glaucoma Override'!I27+'Cost Model - Haemophilia Ovrd'!I27+'Cost Model -HIV Override'!I27+'Cost Model -Hyperlipidaemia Ovr'!I27+'Cost Model -Hypertension-HBP Ov'!I27+'Cost Model - Hypothyroidism Ovr'!I27+'Cost Model -Multiple scler Ovr'!I27+'Cost Model -Parkinson''s dis Ovr'!I27+'Cost Model - Rheumatoid art Ovr'!I27+'Cost Model Schizophrenia Ovrd'!I27+'Cost Model -Lupus Override'!I27+'Cost Model -Clinical depres Ovr'!I27</f>
        <v>6.5733708136958176E-6</v>
      </c>
      <c r="J27" s="439"/>
    </row>
    <row r="28" spans="4:10" x14ac:dyDescent="0.2">
      <c r="D28" s="446" t="s">
        <v>462</v>
      </c>
      <c r="E28" s="446" t="s">
        <v>559</v>
      </c>
      <c r="F28" s="446" t="s">
        <v>537</v>
      </c>
      <c r="G28" s="447">
        <f>'Cost Model -Asthma Override'!G28+'Cost Model  -Biploar Mood Ovrd'!G28+'Cost Model -Cardiac failure Ovr'!G28+'Cost Model -Cardiomyopathy Ovrd'!G28+'Cost Model-COPD Override'!G28+'Cost Model -CKD Override'!G28+'Cost Model -Diabetes ins Ovrd'!G28+'Cost Model - Diabetes1 Override'!G28+'Cost Model -Epilepsy Override'!G28+'Cost Model - Glaucoma Override'!G28+'Cost Model - Haemophilia Ovrd'!G28+'Cost Model -HIV Override'!G28+'Cost Model -Hyperlipidaemia Ovr'!G28+'Cost Model -Hypertension-HBP Ov'!G28+'Cost Model - Hypothyroidism Ovr'!G28+'Cost Model -Multiple scler Ovr'!G28+'Cost Model -Parkinson''s dis Ovr'!G28+'Cost Model - Rheumatoid art Ovr'!G28+'Cost Model Schizophrenia Ovrd'!G28+'Cost Model -Lupus Override'!G28+'Cost Model -Clinical depres Ovr'!G28</f>
        <v>2.6662126215763662</v>
      </c>
      <c r="H28" s="310">
        <f t="shared" si="1"/>
        <v>850.01461417663415</v>
      </c>
      <c r="I28" s="448">
        <f>'Cost Model -Asthma Override'!I28+'Cost Model  -Biploar Mood Ovrd'!I28+'Cost Model -Cardiac failure Ovr'!I28+'Cost Model -Cardiomyopathy Ovrd'!I28+'Cost Model-COPD Override'!I28+'Cost Model -CKD Override'!I28+'Cost Model -Diabetes ins Ovrd'!I28+'Cost Model - Diabetes1 Override'!I28+'Cost Model -Epilepsy Override'!I28+'Cost Model - Glaucoma Override'!I28+'Cost Model - Haemophilia Ovrd'!I28+'Cost Model -HIV Override'!I28+'Cost Model -Hyperlipidaemia Ovr'!I28+'Cost Model -Hypertension-HBP Ov'!I28+'Cost Model - Hypothyroidism Ovr'!I28+'Cost Model -Multiple scler Ovr'!I28+'Cost Model -Parkinson''s dis Ovr'!I28+'Cost Model - Rheumatoid art Ovr'!I28+'Cost Model Schizophrenia Ovrd'!I28+'Cost Model -Lupus Override'!I28+'Cost Model -Clinical depres Ovr'!I28</f>
        <v>0.18885997440350893</v>
      </c>
      <c r="J28" s="439"/>
    </row>
    <row r="29" spans="4:10" x14ac:dyDescent="0.2">
      <c r="D29" s="446" t="s">
        <v>462</v>
      </c>
      <c r="E29" s="446" t="s">
        <v>560</v>
      </c>
      <c r="F29" s="446" t="s">
        <v>537</v>
      </c>
      <c r="G29" s="447">
        <f>'Cost Model -Asthma Override'!G29+'Cost Model  -Biploar Mood Ovrd'!G29+'Cost Model -Cardiac failure Ovr'!G29+'Cost Model -Cardiomyopathy Ovrd'!G29+'Cost Model-COPD Override'!G29+'Cost Model -CKD Override'!G29+'Cost Model -Diabetes ins Ovrd'!G29+'Cost Model - Diabetes1 Override'!G29+'Cost Model -Epilepsy Override'!G29+'Cost Model - Glaucoma Override'!G29+'Cost Model - Haemophilia Ovrd'!G29+'Cost Model -HIV Override'!G29+'Cost Model -Hyperlipidaemia Ovr'!G29+'Cost Model -Hypertension-HBP Ov'!G29+'Cost Model - Hypothyroidism Ovr'!G29+'Cost Model -Multiple scler Ovr'!G29+'Cost Model -Parkinson''s dis Ovr'!G29+'Cost Model - Rheumatoid art Ovr'!G29+'Cost Model Schizophrenia Ovrd'!G29+'Cost Model -Lupus Override'!G29+'Cost Model -Clinical depres Ovr'!G29</f>
        <v>0</v>
      </c>
      <c r="H29" s="310" t="e">
        <f t="shared" si="1"/>
        <v>#DIV/0!</v>
      </c>
      <c r="I29" s="448">
        <f>'Cost Model -Asthma Override'!I29+'Cost Model  -Biploar Mood Ovrd'!I29+'Cost Model -Cardiac failure Ovr'!I29+'Cost Model -Cardiomyopathy Ovrd'!I29+'Cost Model-COPD Override'!I29+'Cost Model -CKD Override'!I29+'Cost Model -Diabetes ins Ovrd'!I29+'Cost Model - Diabetes1 Override'!I29+'Cost Model -Epilepsy Override'!I29+'Cost Model - Glaucoma Override'!I29+'Cost Model - Haemophilia Ovrd'!I29+'Cost Model -HIV Override'!I29+'Cost Model -Hyperlipidaemia Ovr'!I29+'Cost Model -Hypertension-HBP Ov'!I29+'Cost Model - Hypothyroidism Ovr'!I29+'Cost Model -Multiple scler Ovr'!I29+'Cost Model -Parkinson''s dis Ovr'!I29+'Cost Model - Rheumatoid art Ovr'!I29+'Cost Model Schizophrenia Ovrd'!I29+'Cost Model -Lupus Override'!I29+'Cost Model -Clinical depres Ovr'!I29</f>
        <v>0</v>
      </c>
      <c r="J29" s="439"/>
    </row>
    <row r="30" spans="4:10" x14ac:dyDescent="0.2">
      <c r="D30" s="446" t="s">
        <v>462</v>
      </c>
      <c r="E30" s="446" t="s">
        <v>561</v>
      </c>
      <c r="F30" s="446" t="s">
        <v>554</v>
      </c>
      <c r="G30" s="447">
        <f>'Cost Model -Asthma Override'!G30+'Cost Model  -Biploar Mood Ovrd'!G30+'Cost Model -Cardiac failure Ovr'!G30+'Cost Model -Cardiomyopathy Ovrd'!G30+'Cost Model-COPD Override'!G30+'Cost Model -CKD Override'!G30+'Cost Model -Diabetes ins Ovrd'!G30+'Cost Model - Diabetes1 Override'!G30+'Cost Model -Epilepsy Override'!G30+'Cost Model - Glaucoma Override'!G30+'Cost Model - Haemophilia Ovrd'!G30+'Cost Model -HIV Override'!G30+'Cost Model -Hyperlipidaemia Ovr'!G30+'Cost Model -Hypertension-HBP Ov'!G30+'Cost Model - Hypothyroidism Ovr'!G30+'Cost Model -Multiple scler Ovr'!G30+'Cost Model -Parkinson''s dis Ovr'!G30+'Cost Model - Rheumatoid art Ovr'!G30+'Cost Model Schizophrenia Ovrd'!G30+'Cost Model -Lupus Override'!G30+'Cost Model -Clinical depres Ovr'!G30</f>
        <v>3.3206741915988752E-3</v>
      </c>
      <c r="H30" s="310">
        <f t="shared" si="1"/>
        <v>453.63130434782607</v>
      </c>
      <c r="I30" s="448">
        <f>'Cost Model -Asthma Override'!I30+'Cost Model  -Biploar Mood Ovrd'!I30+'Cost Model -Cardiac failure Ovr'!I30+'Cost Model -Cardiomyopathy Ovrd'!I30+'Cost Model-COPD Override'!I30+'Cost Model -CKD Override'!I30+'Cost Model -Diabetes ins Ovrd'!I30+'Cost Model - Diabetes1 Override'!I30+'Cost Model -Epilepsy Override'!I30+'Cost Model - Glaucoma Override'!I30+'Cost Model - Haemophilia Ovrd'!I30+'Cost Model -HIV Override'!I30+'Cost Model -Hyperlipidaemia Ovr'!I30+'Cost Model -Hypertension-HBP Ov'!I30+'Cost Model - Hypothyroidism Ovr'!I30+'Cost Model -Multiple scler Ovr'!I30+'Cost Model -Parkinson''s dis Ovr'!I30+'Cost Model - Rheumatoid art Ovr'!I30+'Cost Model Schizophrenia Ovrd'!I30+'Cost Model -Lupus Override'!I30+'Cost Model -Clinical depres Ovr'!I30</f>
        <v>1.2553014707076339E-4</v>
      </c>
      <c r="J30" s="439"/>
    </row>
    <row r="31" spans="4:10" x14ac:dyDescent="0.2">
      <c r="D31" s="446" t="s">
        <v>462</v>
      </c>
      <c r="E31" s="446" t="s">
        <v>562</v>
      </c>
      <c r="F31" s="446" t="s">
        <v>537</v>
      </c>
      <c r="G31" s="447">
        <f>'Cost Model -Asthma Override'!G31+'Cost Model  -Biploar Mood Ovrd'!G31+'Cost Model -Cardiac failure Ovr'!G31+'Cost Model -Cardiomyopathy Ovrd'!G31+'Cost Model-COPD Override'!G31+'Cost Model -CKD Override'!G31+'Cost Model -Diabetes ins Ovrd'!G31+'Cost Model - Diabetes1 Override'!G31+'Cost Model -Epilepsy Override'!G31+'Cost Model - Glaucoma Override'!G31+'Cost Model - Haemophilia Ovrd'!G31+'Cost Model -HIV Override'!G31+'Cost Model -Hyperlipidaemia Ovr'!G31+'Cost Model -Hypertension-HBP Ov'!G31+'Cost Model - Hypothyroidism Ovr'!G31+'Cost Model -Multiple scler Ovr'!G31+'Cost Model -Parkinson''s dis Ovr'!G31+'Cost Model - Rheumatoid art Ovr'!G31+'Cost Model Schizophrenia Ovrd'!G31+'Cost Model -Lupus Override'!G31+'Cost Model -Clinical depres Ovr'!G31</f>
        <v>1.0106399713561795E-3</v>
      </c>
      <c r="H31" s="310">
        <f t="shared" si="1"/>
        <v>334.71428571428572</v>
      </c>
      <c r="I31" s="448">
        <f>'Cost Model -Asthma Override'!I31+'Cost Model  -Biploar Mood Ovrd'!I31+'Cost Model -Cardiac failure Ovr'!I31+'Cost Model -Cardiomyopathy Ovrd'!I31+'Cost Model-COPD Override'!I31+'Cost Model -CKD Override'!I31+'Cost Model -Diabetes ins Ovrd'!I31+'Cost Model - Diabetes1 Override'!I31+'Cost Model -Epilepsy Override'!I31+'Cost Model - Glaucoma Override'!I31+'Cost Model - Haemophilia Ovrd'!I31+'Cost Model -HIV Override'!I31+'Cost Model -Hyperlipidaemia Ovr'!I31+'Cost Model -Hypertension-HBP Ov'!I31+'Cost Model - Hypothyroidism Ovr'!I31+'Cost Model -Multiple scler Ovr'!I31+'Cost Model -Parkinson''s dis Ovr'!I31+'Cost Model - Rheumatoid art Ovr'!I31+'Cost Model Schizophrenia Ovrd'!I31+'Cost Model -Lupus Override'!I31+'Cost Model -Clinical depres Ovr'!I31</f>
        <v>2.8189636343899148E-5</v>
      </c>
      <c r="J31" s="439"/>
    </row>
    <row r="32" spans="4:10" x14ac:dyDescent="0.2">
      <c r="D32" s="446" t="s">
        <v>462</v>
      </c>
      <c r="E32" s="446" t="s">
        <v>563</v>
      </c>
      <c r="F32" s="446" t="s">
        <v>537</v>
      </c>
      <c r="G32" s="447">
        <f>'Cost Model -Asthma Override'!G32+'Cost Model  -Biploar Mood Ovrd'!G32+'Cost Model -Cardiac failure Ovr'!G32+'Cost Model -Cardiomyopathy Ovrd'!G32+'Cost Model-COPD Override'!G32+'Cost Model -CKD Override'!G32+'Cost Model -Diabetes ins Ovrd'!G32+'Cost Model - Diabetes1 Override'!G32+'Cost Model -Epilepsy Override'!G32+'Cost Model - Glaucoma Override'!G32+'Cost Model - Haemophilia Ovrd'!G32+'Cost Model -HIV Override'!G32+'Cost Model -Hyperlipidaemia Ovr'!G32+'Cost Model -Hypertension-HBP Ov'!G32+'Cost Model - Hypothyroidism Ovr'!G32+'Cost Model -Multiple scler Ovr'!G32+'Cost Model -Parkinson''s dis Ovr'!G32+'Cost Model - Rheumatoid art Ovr'!G32+'Cost Model Schizophrenia Ovrd'!G32+'Cost Model -Lupus Override'!G32+'Cost Model -Clinical depres Ovr'!G32</f>
        <v>2.88754277530337E-3</v>
      </c>
      <c r="H32" s="310">
        <f t="shared" si="1"/>
        <v>255.39950000000005</v>
      </c>
      <c r="I32" s="448">
        <f>'Cost Model -Asthma Override'!I32+'Cost Model  -Biploar Mood Ovrd'!I32+'Cost Model -Cardiac failure Ovr'!I32+'Cost Model -Cardiomyopathy Ovrd'!I32+'Cost Model-COPD Override'!I32+'Cost Model -CKD Override'!I32+'Cost Model -Diabetes ins Ovrd'!I32+'Cost Model - Diabetes1 Override'!I32+'Cost Model -Epilepsy Override'!I32+'Cost Model - Glaucoma Override'!I32+'Cost Model - Haemophilia Ovrd'!I32+'Cost Model -HIV Override'!I32+'Cost Model -Hyperlipidaemia Ovr'!I32+'Cost Model -Hypertension-HBP Ov'!I32+'Cost Model - Hypothyroidism Ovr'!I32+'Cost Model -Multiple scler Ovr'!I32+'Cost Model -Parkinson''s dis Ovr'!I32+'Cost Model - Rheumatoid art Ovr'!I32+'Cost Model Schizophrenia Ovrd'!I32+'Cost Model -Lupus Override'!I32+'Cost Model -Clinical depres Ovr'!I32</f>
        <v>6.1456415086757761E-5</v>
      </c>
      <c r="J32" s="439"/>
    </row>
    <row r="33" spans="4:10" x14ac:dyDescent="0.2">
      <c r="D33" s="446" t="s">
        <v>462</v>
      </c>
      <c r="E33" s="446" t="s">
        <v>564</v>
      </c>
      <c r="F33" s="446" t="s">
        <v>537</v>
      </c>
      <c r="G33" s="447">
        <f>'Cost Model -Asthma Override'!G33+'Cost Model  -Biploar Mood Ovrd'!G33+'Cost Model -Cardiac failure Ovr'!G33+'Cost Model -Cardiomyopathy Ovrd'!G33+'Cost Model-COPD Override'!G33+'Cost Model -CKD Override'!G33+'Cost Model -Diabetes ins Ovrd'!G33+'Cost Model - Diabetes1 Override'!G33+'Cost Model -Epilepsy Override'!G33+'Cost Model - Glaucoma Override'!G33+'Cost Model - Haemophilia Ovrd'!G33+'Cost Model -HIV Override'!G33+'Cost Model -Hyperlipidaemia Ovr'!G33+'Cost Model -Hypertension-HBP Ov'!G33+'Cost Model - Hypothyroidism Ovr'!G33+'Cost Model -Multiple scler Ovr'!G33+'Cost Model -Parkinson''s dis Ovr'!G33+'Cost Model - Rheumatoid art Ovr'!G33+'Cost Model Schizophrenia Ovrd'!G33+'Cost Model -Lupus Override'!G33+'Cost Model -Clinical depres Ovr'!G33</f>
        <v>8.5182511871449412E-3</v>
      </c>
      <c r="H33" s="310">
        <f t="shared" si="1"/>
        <v>137.34389830508476</v>
      </c>
      <c r="I33" s="448">
        <f>'Cost Model -Asthma Override'!I33+'Cost Model  -Biploar Mood Ovrd'!I33+'Cost Model -Cardiac failure Ovr'!I33+'Cost Model -Cardiomyopathy Ovrd'!I33+'Cost Model-COPD Override'!I33+'Cost Model -CKD Override'!I33+'Cost Model -Diabetes ins Ovrd'!I33+'Cost Model - Diabetes1 Override'!I33+'Cost Model -Epilepsy Override'!I33+'Cost Model - Glaucoma Override'!I33+'Cost Model - Haemophilia Ovrd'!I33+'Cost Model -HIV Override'!I33+'Cost Model -Hyperlipidaemia Ovr'!I33+'Cost Model -Hypertension-HBP Ov'!I33+'Cost Model - Hypothyroidism Ovr'!I33+'Cost Model -Multiple scler Ovr'!I33+'Cost Model -Parkinson''s dis Ovr'!I33+'Cost Model - Rheumatoid art Ovr'!I33+'Cost Model Schizophrenia Ovrd'!I33+'Cost Model -Lupus Override'!I33+'Cost Model -Clinical depres Ovr'!I33</f>
        <v>9.7494152065366862E-5</v>
      </c>
      <c r="J33" s="439"/>
    </row>
    <row r="34" spans="4:10" x14ac:dyDescent="0.2">
      <c r="D34" s="446" t="s">
        <v>462</v>
      </c>
      <c r="E34" s="446" t="s">
        <v>565</v>
      </c>
      <c r="F34" s="446" t="s">
        <v>537</v>
      </c>
      <c r="G34" s="447">
        <f>'Cost Model -Asthma Override'!G34+'Cost Model  -Biploar Mood Ovrd'!G34+'Cost Model -Cardiac failure Ovr'!G34+'Cost Model -Cardiomyopathy Ovrd'!G34+'Cost Model-COPD Override'!G34+'Cost Model -CKD Override'!G34+'Cost Model -Diabetes ins Ovrd'!G34+'Cost Model - Diabetes1 Override'!G34+'Cost Model -Epilepsy Override'!G34+'Cost Model - Glaucoma Override'!G34+'Cost Model - Haemophilia Ovrd'!G34+'Cost Model -HIV Override'!G34+'Cost Model -Hyperlipidaemia Ovr'!G34+'Cost Model -Hypertension-HBP Ov'!G34+'Cost Model - Hypothyroidism Ovr'!G34+'Cost Model -Multiple scler Ovr'!G34+'Cost Model -Parkinson''s dis Ovr'!G34+'Cost Model - Rheumatoid art Ovr'!G34+'Cost Model Schizophrenia Ovrd'!G34+'Cost Model -Lupus Override'!G34+'Cost Model -Clinical depres Ovr'!G34</f>
        <v>6.0638398281370768E-3</v>
      </c>
      <c r="H34" s="310">
        <f t="shared" si="1"/>
        <v>243.48428571428576</v>
      </c>
      <c r="I34" s="448">
        <f>'Cost Model -Asthma Override'!I34+'Cost Model  -Biploar Mood Ovrd'!I34+'Cost Model -Cardiac failure Ovr'!I34+'Cost Model -Cardiomyopathy Ovrd'!I34+'Cost Model-COPD Override'!I34+'Cost Model -CKD Override'!I34+'Cost Model -Diabetes ins Ovrd'!I34+'Cost Model - Diabetes1 Override'!I34+'Cost Model -Epilepsy Override'!I34+'Cost Model - Glaucoma Override'!I34+'Cost Model - Haemophilia Ovrd'!I34+'Cost Model -HIV Override'!I34+'Cost Model -Hyperlipidaemia Ovr'!I34+'Cost Model -Hypertension-HBP Ov'!I34+'Cost Model - Hypothyroidism Ovr'!I34+'Cost Model -Multiple scler Ovr'!I34+'Cost Model -Parkinson''s dis Ovr'!I34+'Cost Model - Rheumatoid art Ovr'!I34+'Cost Model Schizophrenia Ovrd'!I34+'Cost Model -Lupus Override'!I34+'Cost Model -Clinical depres Ovr'!I34</f>
        <v>1.2303747576998279E-4</v>
      </c>
      <c r="J34" s="439"/>
    </row>
    <row r="35" spans="4:10" x14ac:dyDescent="0.2">
      <c r="D35" s="446" t="s">
        <v>462</v>
      </c>
      <c r="E35" s="446" t="s">
        <v>566</v>
      </c>
      <c r="F35" s="446" t="s">
        <v>537</v>
      </c>
      <c r="G35" s="447">
        <f>'Cost Model -Asthma Override'!G35+'Cost Model  -Biploar Mood Ovrd'!G35+'Cost Model -Cardiac failure Ovr'!G35+'Cost Model -Cardiomyopathy Ovrd'!G35+'Cost Model-COPD Override'!G35+'Cost Model -CKD Override'!G35+'Cost Model -Diabetes ins Ovrd'!G35+'Cost Model - Diabetes1 Override'!G35+'Cost Model -Epilepsy Override'!G35+'Cost Model - Glaucoma Override'!G35+'Cost Model - Haemophilia Ovrd'!G35+'Cost Model -HIV Override'!G35+'Cost Model -Hyperlipidaemia Ovr'!G35+'Cost Model -Hypertension-HBP Ov'!G35+'Cost Model - Hypothyroidism Ovr'!G35+'Cost Model -Multiple scler Ovr'!G35+'Cost Model -Parkinson''s dis Ovr'!G35+'Cost Model - Rheumatoid art Ovr'!G35+'Cost Model Schizophrenia Ovrd'!G35+'Cost Model -Lupus Override'!G35+'Cost Model -Clinical depres Ovr'!G35</f>
        <v>2.5987884977730332E-3</v>
      </c>
      <c r="H35" s="310">
        <f t="shared" si="1"/>
        <v>277.53333333333336</v>
      </c>
      <c r="I35" s="448">
        <f>'Cost Model -Asthma Override'!I35+'Cost Model  -Biploar Mood Ovrd'!I35+'Cost Model -Cardiac failure Ovr'!I35+'Cost Model -Cardiomyopathy Ovrd'!I35+'Cost Model-COPD Override'!I35+'Cost Model -CKD Override'!I35+'Cost Model -Diabetes ins Ovrd'!I35+'Cost Model - Diabetes1 Override'!I35+'Cost Model -Epilepsy Override'!I35+'Cost Model - Glaucoma Override'!I35+'Cost Model - Haemophilia Ovrd'!I35+'Cost Model -HIV Override'!I35+'Cost Model -Hyperlipidaemia Ovr'!I35+'Cost Model -Hypertension-HBP Ov'!I35+'Cost Model - Hypothyroidism Ovr'!I35+'Cost Model -Multiple scler Ovr'!I35+'Cost Model -Parkinson''s dis Ovr'!I35+'Cost Model - Rheumatoid art Ovr'!I35+'Cost Model Schizophrenia Ovrd'!I35+'Cost Model -Lupus Override'!I35+'Cost Model -Clinical depres Ovr'!I35</f>
        <v>6.010420286793965E-5</v>
      </c>
      <c r="J35" s="439"/>
    </row>
    <row r="36" spans="4:10" x14ac:dyDescent="0.2">
      <c r="D36" s="446" t="s">
        <v>462</v>
      </c>
      <c r="E36" s="446" t="s">
        <v>567</v>
      </c>
      <c r="F36" s="446" t="s">
        <v>537</v>
      </c>
      <c r="G36" s="447">
        <f>'Cost Model -Asthma Override'!G36+'Cost Model  -Biploar Mood Ovrd'!G36+'Cost Model -Cardiac failure Ovr'!G36+'Cost Model -Cardiomyopathy Ovrd'!G36+'Cost Model-COPD Override'!G36+'Cost Model -CKD Override'!G36+'Cost Model -Diabetes ins Ovrd'!G36+'Cost Model - Diabetes1 Override'!G36+'Cost Model -Epilepsy Override'!G36+'Cost Model - Glaucoma Override'!G36+'Cost Model - Haemophilia Ovrd'!G36+'Cost Model -HIV Override'!G36+'Cost Model -Hyperlipidaemia Ovr'!G36+'Cost Model -Hypertension-HBP Ov'!G36+'Cost Model - Hypothyroidism Ovr'!G36+'Cost Model -Multiple scler Ovr'!G36+'Cost Model -Parkinson''s dis Ovr'!G36+'Cost Model - Rheumatoid art Ovr'!G36+'Cost Model Schizophrenia Ovrd'!G36+'Cost Model -Lupus Override'!G36+'Cost Model -Clinical depres Ovr'!G36</f>
        <v>1.0106399713561795E-3</v>
      </c>
      <c r="H36" s="310">
        <f t="shared" si="1"/>
        <v>1040.1399999999999</v>
      </c>
      <c r="I36" s="448">
        <f>'Cost Model -Asthma Override'!I36+'Cost Model  -Biploar Mood Ovrd'!I36+'Cost Model -Cardiac failure Ovr'!I36+'Cost Model -Cardiomyopathy Ovrd'!I36+'Cost Model-COPD Override'!I36+'Cost Model -CKD Override'!I36+'Cost Model -Diabetes ins Ovrd'!I36+'Cost Model - Diabetes1 Override'!I36+'Cost Model -Epilepsy Override'!I36+'Cost Model - Glaucoma Override'!I36+'Cost Model - Haemophilia Ovrd'!I36+'Cost Model -HIV Override'!I36+'Cost Model -Hyperlipidaemia Ovr'!I36+'Cost Model -Hypertension-HBP Ov'!I36+'Cost Model - Hypothyroidism Ovr'!I36+'Cost Model -Multiple scler Ovr'!I36+'Cost Model -Parkinson''s dis Ovr'!I36+'Cost Model - Rheumatoid art Ovr'!I36+'Cost Model Schizophrenia Ovrd'!I36+'Cost Model -Lupus Override'!I36+'Cost Model -Clinical depres Ovr'!I36</f>
        <v>8.7600588317201381E-5</v>
      </c>
      <c r="J36" s="439"/>
    </row>
    <row r="37" spans="4:10" x14ac:dyDescent="0.2">
      <c r="D37" s="446" t="s">
        <v>462</v>
      </c>
      <c r="E37" s="446" t="s">
        <v>568</v>
      </c>
      <c r="F37" s="446" t="s">
        <v>537</v>
      </c>
      <c r="G37" s="447">
        <f>'Cost Model -Asthma Override'!G37+'Cost Model  -Biploar Mood Ovrd'!G37+'Cost Model -Cardiac failure Ovr'!G37+'Cost Model -Cardiomyopathy Ovrd'!G37+'Cost Model-COPD Override'!G37+'Cost Model -CKD Override'!G37+'Cost Model -Diabetes ins Ovrd'!G37+'Cost Model - Diabetes1 Override'!G37+'Cost Model -Epilepsy Override'!G37+'Cost Model - Glaucoma Override'!G37+'Cost Model - Haemophilia Ovrd'!G37+'Cost Model -HIV Override'!G37+'Cost Model -Hyperlipidaemia Ovr'!G37+'Cost Model -Hypertension-HBP Ov'!G37+'Cost Model - Hypothyroidism Ovr'!G37+'Cost Model -Multiple scler Ovr'!G37+'Cost Model -Parkinson''s dis Ovr'!G37+'Cost Model - Rheumatoid art Ovr'!G37+'Cost Model Schizophrenia Ovrd'!G37+'Cost Model -Lupus Override'!G37+'Cost Model -Clinical depres Ovr'!G37</f>
        <v>1.4437713876516848E-3</v>
      </c>
      <c r="H37" s="310">
        <f t="shared" si="1"/>
        <v>87.555000000000021</v>
      </c>
      <c r="I37" s="448">
        <f>'Cost Model -Asthma Override'!I37+'Cost Model  -Biploar Mood Ovrd'!I37+'Cost Model -Cardiac failure Ovr'!I37+'Cost Model -Cardiomyopathy Ovrd'!I37+'Cost Model-COPD Override'!I37+'Cost Model -CKD Override'!I37+'Cost Model -Diabetes ins Ovrd'!I37+'Cost Model - Diabetes1 Override'!I37+'Cost Model -Epilepsy Override'!I37+'Cost Model - Glaucoma Override'!I37+'Cost Model - Haemophilia Ovrd'!I37+'Cost Model -HIV Override'!I37+'Cost Model -Hyperlipidaemia Ovr'!I37+'Cost Model -Hypertension-HBP Ov'!I37+'Cost Model - Hypothyroidism Ovr'!I37+'Cost Model -Multiple scler Ovr'!I37+'Cost Model -Parkinson''s dis Ovr'!I37+'Cost Model - Rheumatoid art Ovr'!I37+'Cost Model Schizophrenia Ovrd'!I37+'Cost Model -Lupus Override'!I37+'Cost Model -Clinical depres Ovr'!I37</f>
        <v>1.0534116987153608E-5</v>
      </c>
      <c r="J37" s="439"/>
    </row>
    <row r="38" spans="4:10" x14ac:dyDescent="0.2">
      <c r="D38" s="446" t="s">
        <v>462</v>
      </c>
      <c r="E38" s="446" t="s">
        <v>569</v>
      </c>
      <c r="F38" s="446" t="s">
        <v>537</v>
      </c>
      <c r="G38" s="447">
        <f>'Cost Model -Asthma Override'!G38+'Cost Model  -Biploar Mood Ovrd'!G38+'Cost Model -Cardiac failure Ovr'!G38+'Cost Model -Cardiomyopathy Ovrd'!G38+'Cost Model-COPD Override'!G38+'Cost Model -CKD Override'!G38+'Cost Model -Diabetes ins Ovrd'!G38+'Cost Model - Diabetes1 Override'!G38+'Cost Model -Epilepsy Override'!G38+'Cost Model - Glaucoma Override'!G38+'Cost Model - Haemophilia Ovrd'!G38+'Cost Model -HIV Override'!G38+'Cost Model -Hyperlipidaemia Ovr'!G38+'Cost Model -Hypertension-HBP Ov'!G38+'Cost Model - Hypothyroidism Ovr'!G38+'Cost Model -Multiple scler Ovr'!G38+'Cost Model -Parkinson''s dis Ovr'!G38+'Cost Model - Rheumatoid art Ovr'!G38+'Cost Model Schizophrenia Ovrd'!G38+'Cost Model -Lupus Override'!G38+'Cost Model -Clinical depres Ovr'!G38</f>
        <v>0.38707510902941678</v>
      </c>
      <c r="H38" s="310">
        <f t="shared" si="1"/>
        <v>387.7196568444632</v>
      </c>
      <c r="I38" s="448">
        <f>'Cost Model -Asthma Override'!I38+'Cost Model  -Biploar Mood Ovrd'!I38+'Cost Model -Cardiac failure Ovr'!I38+'Cost Model -Cardiomyopathy Ovrd'!I38+'Cost Model-COPD Override'!I38+'Cost Model -CKD Override'!I38+'Cost Model -Diabetes ins Ovrd'!I38+'Cost Model - Diabetes1 Override'!I38+'Cost Model -Epilepsy Override'!I38+'Cost Model - Glaucoma Override'!I38+'Cost Model - Haemophilia Ovrd'!I38+'Cost Model -HIV Override'!I38+'Cost Model -Hyperlipidaemia Ovr'!I38+'Cost Model -Hypertension-HBP Ov'!I38+'Cost Model - Hypothyroidism Ovr'!I38+'Cost Model -Multiple scler Ovr'!I38+'Cost Model -Parkinson''s dis Ovr'!I38+'Cost Model - Rheumatoid art Ovr'!I38+'Cost Model Schizophrenia Ovrd'!I38+'Cost Model -Lupus Override'!I38+'Cost Model -Clinical depres Ovr'!I38</f>
        <v>1.2506385703826554E-2</v>
      </c>
      <c r="J38" s="439"/>
    </row>
    <row r="39" spans="4:10" x14ac:dyDescent="0.2">
      <c r="D39" s="446" t="s">
        <v>462</v>
      </c>
      <c r="E39" s="446" t="s">
        <v>570</v>
      </c>
      <c r="F39" s="446" t="s">
        <v>537</v>
      </c>
      <c r="G39" s="447">
        <f>'Cost Model -Asthma Override'!G39+'Cost Model  -Biploar Mood Ovrd'!G39+'Cost Model -Cardiac failure Ovr'!G39+'Cost Model -Cardiomyopathy Ovrd'!G39+'Cost Model-COPD Override'!G39+'Cost Model -CKD Override'!G39+'Cost Model -Diabetes ins Ovrd'!G39+'Cost Model - Diabetes1 Override'!G39+'Cost Model -Epilepsy Override'!G39+'Cost Model - Glaucoma Override'!G39+'Cost Model - Haemophilia Ovrd'!G39+'Cost Model -HIV Override'!G39+'Cost Model -Hyperlipidaemia Ovr'!G39+'Cost Model -Hypertension-HBP Ov'!G39+'Cost Model - Hypothyroidism Ovr'!G39+'Cost Model -Multiple scler Ovr'!G39+'Cost Model -Parkinson''s dis Ovr'!G39+'Cost Model - Rheumatoid art Ovr'!G39+'Cost Model Schizophrenia Ovrd'!G39+'Cost Model -Lupus Override'!G39+'Cost Model -Clinical depres Ovr'!G39</f>
        <v>0</v>
      </c>
      <c r="H39" s="310" t="e">
        <f t="shared" si="1"/>
        <v>#DIV/0!</v>
      </c>
      <c r="I39" s="448">
        <f>'Cost Model -Asthma Override'!I39+'Cost Model  -Biploar Mood Ovrd'!I39+'Cost Model -Cardiac failure Ovr'!I39+'Cost Model -Cardiomyopathy Ovrd'!I39+'Cost Model-COPD Override'!I39+'Cost Model -CKD Override'!I39+'Cost Model -Diabetes ins Ovrd'!I39+'Cost Model - Diabetes1 Override'!I39+'Cost Model -Epilepsy Override'!I39+'Cost Model - Glaucoma Override'!I39+'Cost Model - Haemophilia Ovrd'!I39+'Cost Model -HIV Override'!I39+'Cost Model -Hyperlipidaemia Ovr'!I39+'Cost Model -Hypertension-HBP Ov'!I39+'Cost Model - Hypothyroidism Ovr'!I39+'Cost Model -Multiple scler Ovr'!I39+'Cost Model -Parkinson''s dis Ovr'!I39+'Cost Model - Rheumatoid art Ovr'!I39+'Cost Model Schizophrenia Ovrd'!I39+'Cost Model -Lupus Override'!I39+'Cost Model -Clinical depres Ovr'!I39</f>
        <v>0</v>
      </c>
      <c r="J39" s="439"/>
    </row>
    <row r="40" spans="4:10" x14ac:dyDescent="0.2">
      <c r="D40" s="446" t="s">
        <v>462</v>
      </c>
      <c r="E40" s="446" t="s">
        <v>571</v>
      </c>
      <c r="F40" s="446" t="s">
        <v>537</v>
      </c>
      <c r="G40" s="447">
        <f>'Cost Model -Asthma Override'!G40+'Cost Model  -Biploar Mood Ovrd'!G40+'Cost Model -Cardiac failure Ovr'!G40+'Cost Model -Cardiomyopathy Ovrd'!G40+'Cost Model-COPD Override'!G40+'Cost Model -CKD Override'!G40+'Cost Model -Diabetes ins Ovrd'!G40+'Cost Model - Diabetes1 Override'!G40+'Cost Model -Epilepsy Override'!G40+'Cost Model - Glaucoma Override'!G40+'Cost Model - Haemophilia Ovrd'!G40+'Cost Model -HIV Override'!G40+'Cost Model -Hyperlipidaemia Ovr'!G40+'Cost Model -Hypertension-HBP Ov'!G40+'Cost Model - Hypothyroidism Ovr'!G40+'Cost Model -Multiple scler Ovr'!G40+'Cost Model -Parkinson''s dis Ovr'!G40+'Cost Model - Rheumatoid art Ovr'!G40+'Cost Model Schizophrenia Ovrd'!G40+'Cost Model -Lupus Override'!G40+'Cost Model -Clinical depres Ovr'!G40</f>
        <v>0</v>
      </c>
      <c r="H40" s="310" t="e">
        <f t="shared" si="1"/>
        <v>#DIV/0!</v>
      </c>
      <c r="I40" s="448">
        <f>'Cost Model -Asthma Override'!I40+'Cost Model  -Biploar Mood Ovrd'!I40+'Cost Model -Cardiac failure Ovr'!I40+'Cost Model -Cardiomyopathy Ovrd'!I40+'Cost Model-COPD Override'!I40+'Cost Model -CKD Override'!I40+'Cost Model -Diabetes ins Ovrd'!I40+'Cost Model - Diabetes1 Override'!I40+'Cost Model -Epilepsy Override'!I40+'Cost Model - Glaucoma Override'!I40+'Cost Model - Haemophilia Ovrd'!I40+'Cost Model -HIV Override'!I40+'Cost Model -Hyperlipidaemia Ovr'!I40+'Cost Model -Hypertension-HBP Ov'!I40+'Cost Model - Hypothyroidism Ovr'!I40+'Cost Model -Multiple scler Ovr'!I40+'Cost Model -Parkinson''s dis Ovr'!I40+'Cost Model - Rheumatoid art Ovr'!I40+'Cost Model Schizophrenia Ovrd'!I40+'Cost Model -Lupus Override'!I40+'Cost Model -Clinical depres Ovr'!I40</f>
        <v>0</v>
      </c>
      <c r="J40" s="439"/>
    </row>
    <row r="41" spans="4:10" x14ac:dyDescent="0.2">
      <c r="D41" s="446" t="s">
        <v>462</v>
      </c>
      <c r="E41" s="446" t="s">
        <v>572</v>
      </c>
      <c r="F41" s="446" t="s">
        <v>537</v>
      </c>
      <c r="G41" s="447">
        <f>'Cost Model -Asthma Override'!G41+'Cost Model  -Biploar Mood Ovrd'!G41+'Cost Model -Cardiac failure Ovr'!G41+'Cost Model -Cardiomyopathy Ovrd'!G41+'Cost Model-COPD Override'!G41+'Cost Model -CKD Override'!G41+'Cost Model -Diabetes ins Ovrd'!G41+'Cost Model - Diabetes1 Override'!G41+'Cost Model -Epilepsy Override'!G41+'Cost Model - Glaucoma Override'!G41+'Cost Model - Haemophilia Ovrd'!G41+'Cost Model -HIV Override'!G41+'Cost Model -Hyperlipidaemia Ovr'!G41+'Cost Model -Hypertension-HBP Ov'!G41+'Cost Model - Hypothyroidism Ovr'!G41+'Cost Model -Multiple scler Ovr'!G41+'Cost Model -Parkinson''s dis Ovr'!G41+'Cost Model - Rheumatoid art Ovr'!G41+'Cost Model Schizophrenia Ovrd'!G41+'Cost Model -Lupus Override'!G41+'Cost Model -Clinical depres Ovr'!G41</f>
        <v>1.5592730986638199E-2</v>
      </c>
      <c r="H41" s="310">
        <f t="shared" si="1"/>
        <v>485.30000000000007</v>
      </c>
      <c r="I41" s="448">
        <f>'Cost Model -Asthma Override'!I41+'Cost Model  -Biploar Mood Ovrd'!I41+'Cost Model -Cardiac failure Ovr'!I41+'Cost Model -Cardiomyopathy Ovrd'!I41+'Cost Model-COPD Override'!I41+'Cost Model -CKD Override'!I41+'Cost Model -Diabetes ins Ovrd'!I41+'Cost Model - Diabetes1 Override'!I41+'Cost Model -Epilepsy Override'!I41+'Cost Model - Glaucoma Override'!I41+'Cost Model - Haemophilia Ovrd'!I41+'Cost Model -HIV Override'!I41+'Cost Model -Hyperlipidaemia Ovr'!I41+'Cost Model -Hypertension-HBP Ov'!I41+'Cost Model - Hypothyroidism Ovr'!I41+'Cost Model -Multiple scler Ovr'!I41+'Cost Model -Parkinson''s dis Ovr'!I41+'Cost Model - Rheumatoid art Ovr'!I41+'Cost Model Schizophrenia Ovrd'!I41+'Cost Model -Lupus Override'!I41+'Cost Model -Clinical depres Ovr'!I41</f>
        <v>6.3059602898462653E-4</v>
      </c>
      <c r="J41" s="439"/>
    </row>
    <row r="42" spans="4:10" x14ac:dyDescent="0.2">
      <c r="D42" s="446" t="s">
        <v>462</v>
      </c>
      <c r="E42" s="446" t="s">
        <v>573</v>
      </c>
      <c r="F42" s="446" t="s">
        <v>537</v>
      </c>
      <c r="G42" s="447">
        <f>'Cost Model -Asthma Override'!G42+'Cost Model  -Biploar Mood Ovrd'!G42+'Cost Model -Cardiac failure Ovr'!G42+'Cost Model -Cardiomyopathy Ovrd'!G42+'Cost Model-COPD Override'!G42+'Cost Model -CKD Override'!G42+'Cost Model -Diabetes ins Ovrd'!G42+'Cost Model - Diabetes1 Override'!G42+'Cost Model -Epilepsy Override'!G42+'Cost Model - Glaucoma Override'!G42+'Cost Model - Haemophilia Ovrd'!G42+'Cost Model -HIV Override'!G42+'Cost Model -Hyperlipidaemia Ovr'!G42+'Cost Model -Hypertension-HBP Ov'!G42+'Cost Model - Hypothyroidism Ovr'!G42+'Cost Model -Multiple scler Ovr'!G42+'Cost Model -Parkinson''s dis Ovr'!G42+'Cost Model - Rheumatoid art Ovr'!G42+'Cost Model Schizophrenia Ovrd'!G42+'Cost Model -Lupus Override'!G42+'Cost Model -Clinical depres Ovr'!G42</f>
        <v>0</v>
      </c>
      <c r="H42" s="310" t="e">
        <f t="shared" si="1"/>
        <v>#DIV/0!</v>
      </c>
      <c r="I42" s="448">
        <f>'Cost Model -Asthma Override'!I42+'Cost Model  -Biploar Mood Ovrd'!I42+'Cost Model -Cardiac failure Ovr'!I42+'Cost Model -Cardiomyopathy Ovrd'!I42+'Cost Model-COPD Override'!I42+'Cost Model -CKD Override'!I42+'Cost Model -Diabetes ins Ovrd'!I42+'Cost Model - Diabetes1 Override'!I42+'Cost Model -Epilepsy Override'!I42+'Cost Model - Glaucoma Override'!I42+'Cost Model - Haemophilia Ovrd'!I42+'Cost Model -HIV Override'!I42+'Cost Model -Hyperlipidaemia Ovr'!I42+'Cost Model -Hypertension-HBP Ov'!I42+'Cost Model - Hypothyroidism Ovr'!I42+'Cost Model -Multiple scler Ovr'!I42+'Cost Model -Parkinson''s dis Ovr'!I42+'Cost Model - Rheumatoid art Ovr'!I42+'Cost Model Schizophrenia Ovrd'!I42+'Cost Model -Lupus Override'!I42+'Cost Model -Clinical depres Ovr'!I42</f>
        <v>0</v>
      </c>
      <c r="J42" s="439"/>
    </row>
    <row r="43" spans="4:10" x14ac:dyDescent="0.2">
      <c r="D43" s="446" t="s">
        <v>462</v>
      </c>
      <c r="E43" s="446" t="s">
        <v>574</v>
      </c>
      <c r="F43" s="446" t="s">
        <v>537</v>
      </c>
      <c r="G43" s="447">
        <f>'Cost Model -Asthma Override'!G43+'Cost Model  -Biploar Mood Ovrd'!G43+'Cost Model -Cardiac failure Ovr'!G43+'Cost Model -Cardiomyopathy Ovrd'!G43+'Cost Model-COPD Override'!G43+'Cost Model -CKD Override'!G43+'Cost Model -Diabetes ins Ovrd'!G43+'Cost Model - Diabetes1 Override'!G43+'Cost Model -Epilepsy Override'!G43+'Cost Model - Glaucoma Override'!G43+'Cost Model - Haemophilia Ovrd'!G43+'Cost Model -HIV Override'!G43+'Cost Model -Hyperlipidaemia Ovr'!G43+'Cost Model -Hypertension-HBP Ov'!G43+'Cost Model - Hypothyroidism Ovr'!G43+'Cost Model -Multiple scler Ovr'!G43+'Cost Model -Parkinson''s dis Ovr'!G43+'Cost Model - Rheumatoid art Ovr'!G43+'Cost Model Schizophrenia Ovrd'!G43+'Cost Model -Lupus Override'!G43+'Cost Model -Clinical depres Ovr'!G43</f>
        <v>0.23836665610129318</v>
      </c>
      <c r="H43" s="310">
        <f t="shared" si="1"/>
        <v>793.49121744397337</v>
      </c>
      <c r="I43" s="448">
        <f>'Cost Model -Asthma Override'!I43+'Cost Model  -Biploar Mood Ovrd'!I43+'Cost Model -Cardiac failure Ovr'!I43+'Cost Model -Cardiomyopathy Ovrd'!I43+'Cost Model-COPD Override'!I43+'Cost Model -CKD Override'!I43+'Cost Model -Diabetes ins Ovrd'!I43+'Cost Model - Diabetes1 Override'!I43+'Cost Model -Epilepsy Override'!I43+'Cost Model - Glaucoma Override'!I43+'Cost Model - Haemophilia Ovrd'!I43+'Cost Model -HIV Override'!I43+'Cost Model -Hyperlipidaemia Ovr'!I43+'Cost Model -Hypertension-HBP Ov'!I43+'Cost Model - Hypothyroidism Ovr'!I43+'Cost Model -Multiple scler Ovr'!I43+'Cost Model -Parkinson''s dis Ovr'!I43+'Cost Model - Rheumatoid art Ovr'!I43+'Cost Model Schizophrenia Ovrd'!I43+'Cost Model -Lupus Override'!I43+'Cost Model -Clinical depres Ovr'!I43</f>
        <v>1.576182067898867E-2</v>
      </c>
      <c r="J43" s="439"/>
    </row>
    <row r="44" spans="4:10" x14ac:dyDescent="0.2">
      <c r="D44" s="446" t="s">
        <v>462</v>
      </c>
      <c r="E44" s="446" t="s">
        <v>575</v>
      </c>
      <c r="F44" s="446" t="s">
        <v>537</v>
      </c>
      <c r="G44" s="447">
        <f>'Cost Model -Asthma Override'!G44+'Cost Model  -Biploar Mood Ovrd'!G44+'Cost Model -Cardiac failure Ovr'!G44+'Cost Model -Cardiomyopathy Ovrd'!G44+'Cost Model-COPD Override'!G44+'Cost Model -CKD Override'!G44+'Cost Model -Diabetes ins Ovrd'!G44+'Cost Model - Diabetes1 Override'!G44+'Cost Model -Epilepsy Override'!G44+'Cost Model - Glaucoma Override'!G44+'Cost Model - Haemophilia Ovrd'!G44+'Cost Model -HIV Override'!G44+'Cost Model -Hyperlipidaemia Ovr'!G44+'Cost Model -Hypertension-HBP Ov'!G44+'Cost Model - Hypothyroidism Ovr'!G44+'Cost Model -Multiple scler Ovr'!G44+'Cost Model -Parkinson''s dis Ovr'!G44+'Cost Model - Rheumatoid art Ovr'!G44+'Cost Model Schizophrenia Ovrd'!G44+'Cost Model -Lupus Override'!G44+'Cost Model -Clinical depres Ovr'!G44</f>
        <v>0</v>
      </c>
      <c r="H44" s="310" t="e">
        <f t="shared" si="1"/>
        <v>#DIV/0!</v>
      </c>
      <c r="I44" s="448">
        <f>'Cost Model -Asthma Override'!I44+'Cost Model  -Biploar Mood Ovrd'!I44+'Cost Model -Cardiac failure Ovr'!I44+'Cost Model -Cardiomyopathy Ovrd'!I44+'Cost Model-COPD Override'!I44+'Cost Model -CKD Override'!I44+'Cost Model -Diabetes ins Ovrd'!I44+'Cost Model - Diabetes1 Override'!I44+'Cost Model -Epilepsy Override'!I44+'Cost Model - Glaucoma Override'!I44+'Cost Model - Haemophilia Ovrd'!I44+'Cost Model -HIV Override'!I44+'Cost Model -Hyperlipidaemia Ovr'!I44+'Cost Model -Hypertension-HBP Ov'!I44+'Cost Model - Hypothyroidism Ovr'!I44+'Cost Model -Multiple scler Ovr'!I44+'Cost Model -Parkinson''s dis Ovr'!I44+'Cost Model - Rheumatoid art Ovr'!I44+'Cost Model Schizophrenia Ovrd'!I44+'Cost Model -Lupus Override'!I44+'Cost Model -Clinical depres Ovr'!I44</f>
        <v>0</v>
      </c>
      <c r="J44" s="439"/>
    </row>
    <row r="45" spans="4:10" x14ac:dyDescent="0.2">
      <c r="D45" s="446" t="s">
        <v>462</v>
      </c>
      <c r="E45" s="446" t="s">
        <v>576</v>
      </c>
      <c r="F45" s="446" t="s">
        <v>537</v>
      </c>
      <c r="G45" s="447">
        <f>'Cost Model -Asthma Override'!G45+'Cost Model  -Biploar Mood Ovrd'!G45+'Cost Model -Cardiac failure Ovr'!G45+'Cost Model -Cardiomyopathy Ovrd'!G45+'Cost Model-COPD Override'!G45+'Cost Model -CKD Override'!G45+'Cost Model -Diabetes ins Ovrd'!G45+'Cost Model - Diabetes1 Override'!G45+'Cost Model -Epilepsy Override'!G45+'Cost Model - Glaucoma Override'!G45+'Cost Model - Haemophilia Ovrd'!G45+'Cost Model -HIV Override'!G45+'Cost Model -Hyperlipidaemia Ovr'!G45+'Cost Model -Hypertension-HBP Ov'!G45+'Cost Model - Hypothyroidism Ovr'!G45+'Cost Model -Multiple scler Ovr'!G45+'Cost Model -Parkinson''s dis Ovr'!G45+'Cost Model - Rheumatoid art Ovr'!G45+'Cost Model Schizophrenia Ovrd'!G45+'Cost Model -Lupus Override'!G45+'Cost Model -Clinical depres Ovr'!G45</f>
        <v>5.7750855506067398E-4</v>
      </c>
      <c r="H45" s="310">
        <f t="shared" si="1"/>
        <v>2737.9775000000004</v>
      </c>
      <c r="I45" s="448">
        <f>'Cost Model -Asthma Override'!I45+'Cost Model  -Biploar Mood Ovrd'!I45+'Cost Model -Cardiac failure Ovr'!I45+'Cost Model -Cardiomyopathy Ovrd'!I45+'Cost Model-COPD Override'!I45+'Cost Model -CKD Override'!I45+'Cost Model -Diabetes ins Ovrd'!I45+'Cost Model - Diabetes1 Override'!I45+'Cost Model -Epilepsy Override'!I45+'Cost Model - Glaucoma Override'!I45+'Cost Model - Haemophilia Ovrd'!I45+'Cost Model -HIV Override'!I45+'Cost Model -Hyperlipidaemia Ovr'!I45+'Cost Model -Hypertension-HBP Ov'!I45+'Cost Model - Hypothyroidism Ovr'!I45+'Cost Model -Multiple scler Ovr'!I45+'Cost Model -Parkinson''s dis Ovr'!I45+'Cost Model - Rheumatoid art Ovr'!I45+'Cost Model Schizophrenia Ovrd'!I45+'Cost Model -Lupus Override'!I45+'Cost Model -Clinical depres Ovr'!I45</f>
        <v>1.3176711915113639E-4</v>
      </c>
      <c r="J45" s="439"/>
    </row>
    <row r="46" spans="4:10" x14ac:dyDescent="0.2">
      <c r="D46" s="446" t="s">
        <v>462</v>
      </c>
      <c r="E46" s="446" t="s">
        <v>577</v>
      </c>
      <c r="F46" s="446" t="s">
        <v>537</v>
      </c>
      <c r="G46" s="447">
        <f>'Cost Model -Asthma Override'!G46+'Cost Model  -Biploar Mood Ovrd'!G46+'Cost Model -Cardiac failure Ovr'!G46+'Cost Model -Cardiomyopathy Ovrd'!G46+'Cost Model-COPD Override'!G46+'Cost Model -CKD Override'!G46+'Cost Model -Diabetes ins Ovrd'!G46+'Cost Model - Diabetes1 Override'!G46+'Cost Model -Epilepsy Override'!G46+'Cost Model - Glaucoma Override'!G46+'Cost Model - Haemophilia Ovrd'!G46+'Cost Model -HIV Override'!G46+'Cost Model -Hyperlipidaemia Ovr'!G46+'Cost Model -Hypertension-HBP Ov'!G46+'Cost Model - Hypothyroidism Ovr'!G46+'Cost Model -Multiple scler Ovr'!G46+'Cost Model -Parkinson''s dis Ovr'!G46+'Cost Model - Rheumatoid art Ovr'!G46+'Cost Model Schizophrenia Ovrd'!G46+'Cost Model -Lupus Override'!G46+'Cost Model -Clinical depres Ovr'!G46</f>
        <v>9.0957597422056165E-3</v>
      </c>
      <c r="H46" s="310">
        <f t="shared" si="1"/>
        <v>654.57333333333327</v>
      </c>
      <c r="I46" s="448">
        <f>'Cost Model -Asthma Override'!I46+'Cost Model  -Biploar Mood Ovrd'!I46+'Cost Model -Cardiac failure Ovr'!I46+'Cost Model -Cardiomyopathy Ovrd'!I46+'Cost Model-COPD Override'!I46+'Cost Model -CKD Override'!I46+'Cost Model -Diabetes ins Ovrd'!I46+'Cost Model - Diabetes1 Override'!I46+'Cost Model -Epilepsy Override'!I46+'Cost Model - Glaucoma Override'!I46+'Cost Model - Haemophilia Ovrd'!I46+'Cost Model -HIV Override'!I46+'Cost Model -Hyperlipidaemia Ovr'!I46+'Cost Model -Hypertension-HBP Ov'!I46+'Cost Model - Hypothyroidism Ovr'!I46+'Cost Model -Multiple scler Ovr'!I46+'Cost Model -Parkinson''s dis Ovr'!I46+'Cost Model - Rheumatoid art Ovr'!I46+'Cost Model Schizophrenia Ovrd'!I46+'Cost Model -Lupus Override'!I46+'Cost Model -Clinical depres Ovr'!I46</f>
        <v>4.9615348113788923E-4</v>
      </c>
      <c r="J46" s="439"/>
    </row>
    <row r="47" spans="4:10" x14ac:dyDescent="0.2">
      <c r="D47" s="446" t="s">
        <v>462</v>
      </c>
      <c r="E47" s="446" t="s">
        <v>578</v>
      </c>
      <c r="F47" s="446" t="s">
        <v>537</v>
      </c>
      <c r="G47" s="447">
        <f>'Cost Model -Asthma Override'!G47+'Cost Model  -Biploar Mood Ovrd'!G47+'Cost Model -Cardiac failure Ovr'!G47+'Cost Model -Cardiomyopathy Ovrd'!G47+'Cost Model-COPD Override'!G47+'Cost Model -CKD Override'!G47+'Cost Model -Diabetes ins Ovrd'!G47+'Cost Model - Diabetes1 Override'!G47+'Cost Model -Epilepsy Override'!G47+'Cost Model - Glaucoma Override'!G47+'Cost Model - Haemophilia Ovrd'!G47+'Cost Model -HIV Override'!G47+'Cost Model -Hyperlipidaemia Ovr'!G47+'Cost Model -Hypertension-HBP Ov'!G47+'Cost Model - Hypothyroidism Ovr'!G47+'Cost Model -Multiple scler Ovr'!G47+'Cost Model -Parkinson''s dis Ovr'!G47+'Cost Model - Rheumatoid art Ovr'!G47+'Cost Model Schizophrenia Ovrd'!G47+'Cost Model -Lupus Override'!G47+'Cost Model -Clinical depres Ovr'!G47</f>
        <v>0</v>
      </c>
      <c r="H47" s="310" t="e">
        <f t="shared" si="1"/>
        <v>#DIV/0!</v>
      </c>
      <c r="I47" s="448">
        <f>'Cost Model -Asthma Override'!I47+'Cost Model  -Biploar Mood Ovrd'!I47+'Cost Model -Cardiac failure Ovr'!I47+'Cost Model -Cardiomyopathy Ovrd'!I47+'Cost Model-COPD Override'!I47+'Cost Model -CKD Override'!I47+'Cost Model -Diabetes ins Ovrd'!I47+'Cost Model - Diabetes1 Override'!I47+'Cost Model -Epilepsy Override'!I47+'Cost Model - Glaucoma Override'!I47+'Cost Model - Haemophilia Ovrd'!I47+'Cost Model -HIV Override'!I47+'Cost Model -Hyperlipidaemia Ovr'!I47+'Cost Model -Hypertension-HBP Ov'!I47+'Cost Model - Hypothyroidism Ovr'!I47+'Cost Model -Multiple scler Ovr'!I47+'Cost Model -Parkinson''s dis Ovr'!I47+'Cost Model - Rheumatoid art Ovr'!I47+'Cost Model Schizophrenia Ovrd'!I47+'Cost Model -Lupus Override'!I47+'Cost Model -Clinical depres Ovr'!I47</f>
        <v>0</v>
      </c>
      <c r="J47" s="439"/>
    </row>
    <row r="48" spans="4:10" x14ac:dyDescent="0.2">
      <c r="D48" s="446" t="s">
        <v>462</v>
      </c>
      <c r="E48" s="446" t="s">
        <v>579</v>
      </c>
      <c r="F48" s="446" t="s">
        <v>537</v>
      </c>
      <c r="G48" s="447">
        <f>'Cost Model -Asthma Override'!G48+'Cost Model  -Biploar Mood Ovrd'!G48+'Cost Model -Cardiac failure Ovr'!G48+'Cost Model -Cardiomyopathy Ovrd'!G48+'Cost Model-COPD Override'!G48+'Cost Model -CKD Override'!G48+'Cost Model -Diabetes ins Ovrd'!G48+'Cost Model - Diabetes1 Override'!G48+'Cost Model -Epilepsy Override'!G48+'Cost Model - Glaucoma Override'!G48+'Cost Model - Haemophilia Ovrd'!G48+'Cost Model -HIV Override'!G48+'Cost Model -Hyperlipidaemia Ovr'!G48+'Cost Model -Hypertension-HBP Ov'!G48+'Cost Model - Hypothyroidism Ovr'!G48+'Cost Model -Multiple scler Ovr'!G48+'Cost Model -Parkinson''s dis Ovr'!G48+'Cost Model - Rheumatoid art Ovr'!G48+'Cost Model Schizophrenia Ovrd'!G48+'Cost Model -Lupus Override'!G48+'Cost Model -Clinical depres Ovr'!G48</f>
        <v>1.2993942488865166E-3</v>
      </c>
      <c r="H48" s="310">
        <f t="shared" si="1"/>
        <v>1174.0000000000002</v>
      </c>
      <c r="I48" s="448">
        <f>'Cost Model -Asthma Override'!I48+'Cost Model  -Biploar Mood Ovrd'!I48+'Cost Model -Cardiac failure Ovr'!I48+'Cost Model -Cardiomyopathy Ovrd'!I48+'Cost Model-COPD Override'!I48+'Cost Model -CKD Override'!I48+'Cost Model -Diabetes ins Ovrd'!I48+'Cost Model - Diabetes1 Override'!I48+'Cost Model -Epilepsy Override'!I48+'Cost Model - Glaucoma Override'!I48+'Cost Model - Haemophilia Ovrd'!I48+'Cost Model -HIV Override'!I48+'Cost Model -Hyperlipidaemia Ovr'!I48+'Cost Model -Hypertension-HBP Ov'!I48+'Cost Model - Hypothyroidism Ovr'!I48+'Cost Model -Multiple scler Ovr'!I48+'Cost Model -Parkinson''s dis Ovr'!I48+'Cost Model - Rheumatoid art Ovr'!I48+'Cost Model Schizophrenia Ovrd'!I48+'Cost Model -Lupus Override'!I48+'Cost Model -Clinical depres Ovr'!I48</f>
        <v>1.2712407068273088E-4</v>
      </c>
      <c r="J48" s="439"/>
    </row>
    <row r="49" spans="4:10" x14ac:dyDescent="0.2">
      <c r="D49" s="446" t="s">
        <v>462</v>
      </c>
      <c r="E49" s="446" t="s">
        <v>580</v>
      </c>
      <c r="F49" s="446" t="s">
        <v>537</v>
      </c>
      <c r="G49" s="447">
        <f>'Cost Model -Asthma Override'!G49+'Cost Model  -Biploar Mood Ovrd'!G49+'Cost Model -Cardiac failure Ovr'!G49+'Cost Model -Cardiomyopathy Ovrd'!G49+'Cost Model-COPD Override'!G49+'Cost Model -CKD Override'!G49+'Cost Model -Diabetes ins Ovrd'!G49+'Cost Model - Diabetes1 Override'!G49+'Cost Model -Epilepsy Override'!G49+'Cost Model - Glaucoma Override'!G49+'Cost Model - Haemophilia Ovrd'!G49+'Cost Model -HIV Override'!G49+'Cost Model -Hyperlipidaemia Ovr'!G49+'Cost Model -Hypertension-HBP Ov'!G49+'Cost Model - Hypothyroidism Ovr'!G49+'Cost Model -Multiple scler Ovr'!G49+'Cost Model -Parkinson''s dis Ovr'!G49+'Cost Model - Rheumatoid art Ovr'!G49+'Cost Model Schizophrenia Ovrd'!G49+'Cost Model -Lupus Override'!G49+'Cost Model -Clinical depres Ovr'!G49</f>
        <v>0</v>
      </c>
      <c r="H49" s="310" t="e">
        <f t="shared" si="1"/>
        <v>#DIV/0!</v>
      </c>
      <c r="I49" s="448">
        <f>'Cost Model -Asthma Override'!I49+'Cost Model  -Biploar Mood Ovrd'!I49+'Cost Model -Cardiac failure Ovr'!I49+'Cost Model -Cardiomyopathy Ovrd'!I49+'Cost Model-COPD Override'!I49+'Cost Model -CKD Override'!I49+'Cost Model -Diabetes ins Ovrd'!I49+'Cost Model - Diabetes1 Override'!I49+'Cost Model -Epilepsy Override'!I49+'Cost Model - Glaucoma Override'!I49+'Cost Model - Haemophilia Ovrd'!I49+'Cost Model -HIV Override'!I49+'Cost Model -Hyperlipidaemia Ovr'!I49+'Cost Model -Hypertension-HBP Ov'!I49+'Cost Model - Hypothyroidism Ovr'!I49+'Cost Model -Multiple scler Ovr'!I49+'Cost Model -Parkinson''s dis Ovr'!I49+'Cost Model - Rheumatoid art Ovr'!I49+'Cost Model Schizophrenia Ovrd'!I49+'Cost Model -Lupus Override'!I49+'Cost Model -Clinical depres Ovr'!I49</f>
        <v>0</v>
      </c>
      <c r="J49" s="439"/>
    </row>
    <row r="50" spans="4:10" x14ac:dyDescent="0.2">
      <c r="D50" s="446" t="s">
        <v>462</v>
      </c>
      <c r="E50" s="446" t="s">
        <v>581</v>
      </c>
      <c r="F50" s="446" t="s">
        <v>537</v>
      </c>
      <c r="G50" s="447">
        <f>'Cost Model -Asthma Override'!G50+'Cost Model  -Biploar Mood Ovrd'!G50+'Cost Model -Cardiac failure Ovr'!G50+'Cost Model -Cardiomyopathy Ovrd'!G50+'Cost Model-COPD Override'!G50+'Cost Model -CKD Override'!G50+'Cost Model -Diabetes ins Ovrd'!G50+'Cost Model - Diabetes1 Override'!G50+'Cost Model -Epilepsy Override'!G50+'Cost Model - Glaucoma Override'!G50+'Cost Model - Haemophilia Ovrd'!G50+'Cost Model -HIV Override'!G50+'Cost Model -Hyperlipidaemia Ovr'!G50+'Cost Model -Hypertension-HBP Ov'!G50+'Cost Model - Hypothyroidism Ovr'!G50+'Cost Model -Multiple scler Ovr'!G50+'Cost Model -Parkinson''s dis Ovr'!G50+'Cost Model - Rheumatoid art Ovr'!G50+'Cost Model Schizophrenia Ovrd'!G50+'Cost Model -Lupus Override'!G50+'Cost Model -Clinical depres Ovr'!G50</f>
        <v>0</v>
      </c>
      <c r="H50" s="310" t="e">
        <f t="shared" si="1"/>
        <v>#DIV/0!</v>
      </c>
      <c r="I50" s="448">
        <f>'Cost Model -Asthma Override'!I50+'Cost Model  -Biploar Mood Ovrd'!I50+'Cost Model -Cardiac failure Ovr'!I50+'Cost Model -Cardiomyopathy Ovrd'!I50+'Cost Model-COPD Override'!I50+'Cost Model -CKD Override'!I50+'Cost Model -Diabetes ins Ovrd'!I50+'Cost Model - Diabetes1 Override'!I50+'Cost Model -Epilepsy Override'!I50+'Cost Model - Glaucoma Override'!I50+'Cost Model - Haemophilia Ovrd'!I50+'Cost Model -HIV Override'!I50+'Cost Model -Hyperlipidaemia Ovr'!I50+'Cost Model -Hypertension-HBP Ov'!I50+'Cost Model - Hypothyroidism Ovr'!I50+'Cost Model -Multiple scler Ovr'!I50+'Cost Model -Parkinson''s dis Ovr'!I50+'Cost Model - Rheumatoid art Ovr'!I50+'Cost Model Schizophrenia Ovrd'!I50+'Cost Model -Lupus Override'!I50+'Cost Model -Clinical depres Ovr'!I50</f>
        <v>0</v>
      </c>
      <c r="J50" s="439"/>
    </row>
    <row r="51" spans="4:10" x14ac:dyDescent="0.2">
      <c r="D51" s="446" t="s">
        <v>462</v>
      </c>
      <c r="E51" s="446" t="s">
        <v>582</v>
      </c>
      <c r="F51" s="446" t="s">
        <v>537</v>
      </c>
      <c r="G51" s="447">
        <f>'Cost Model -Asthma Override'!G51+'Cost Model  -Biploar Mood Ovrd'!G51+'Cost Model -Cardiac failure Ovr'!G51+'Cost Model -Cardiomyopathy Ovrd'!G51+'Cost Model-COPD Override'!G51+'Cost Model -CKD Override'!G51+'Cost Model -Diabetes ins Ovrd'!G51+'Cost Model - Diabetes1 Override'!G51+'Cost Model -Epilepsy Override'!G51+'Cost Model - Glaucoma Override'!G51+'Cost Model - Haemophilia Ovrd'!G51+'Cost Model -HIV Override'!G51+'Cost Model -Hyperlipidaemia Ovr'!G51+'Cost Model -Hypertension-HBP Ov'!G51+'Cost Model - Hypothyroidism Ovr'!G51+'Cost Model -Multiple scler Ovr'!G51+'Cost Model -Parkinson''s dis Ovr'!G51+'Cost Model - Rheumatoid art Ovr'!G51+'Cost Model Schizophrenia Ovrd'!G51+'Cost Model -Lupus Override'!G51+'Cost Model -Clinical depres Ovr'!G51</f>
        <v>0</v>
      </c>
      <c r="H51" s="310" t="e">
        <f t="shared" si="1"/>
        <v>#DIV/0!</v>
      </c>
      <c r="I51" s="448">
        <f>'Cost Model -Asthma Override'!I51+'Cost Model  -Biploar Mood Ovrd'!I51+'Cost Model -Cardiac failure Ovr'!I51+'Cost Model -Cardiomyopathy Ovrd'!I51+'Cost Model-COPD Override'!I51+'Cost Model -CKD Override'!I51+'Cost Model -Diabetes ins Ovrd'!I51+'Cost Model - Diabetes1 Override'!I51+'Cost Model -Epilepsy Override'!I51+'Cost Model - Glaucoma Override'!I51+'Cost Model - Haemophilia Ovrd'!I51+'Cost Model -HIV Override'!I51+'Cost Model -Hyperlipidaemia Ovr'!I51+'Cost Model -Hypertension-HBP Ov'!I51+'Cost Model - Hypothyroidism Ovr'!I51+'Cost Model -Multiple scler Ovr'!I51+'Cost Model -Parkinson''s dis Ovr'!I51+'Cost Model - Rheumatoid art Ovr'!I51+'Cost Model Schizophrenia Ovrd'!I51+'Cost Model -Lupus Override'!I51+'Cost Model -Clinical depres Ovr'!I51</f>
        <v>0</v>
      </c>
      <c r="J51" s="439"/>
    </row>
    <row r="52" spans="4:10" x14ac:dyDescent="0.2">
      <c r="D52" s="446" t="s">
        <v>462</v>
      </c>
      <c r="E52" s="446" t="s">
        <v>583</v>
      </c>
      <c r="F52" s="446" t="s">
        <v>537</v>
      </c>
      <c r="G52" s="447">
        <f>'Cost Model -Asthma Override'!G52+'Cost Model  -Biploar Mood Ovrd'!G52+'Cost Model -Cardiac failure Ovr'!G52+'Cost Model -Cardiomyopathy Ovrd'!G52+'Cost Model-COPD Override'!G52+'Cost Model -CKD Override'!G52+'Cost Model -Diabetes ins Ovrd'!G52+'Cost Model - Diabetes1 Override'!G52+'Cost Model -Epilepsy Override'!G52+'Cost Model - Glaucoma Override'!G52+'Cost Model - Haemophilia Ovrd'!G52+'Cost Model -HIV Override'!G52+'Cost Model -Hyperlipidaemia Ovr'!G52+'Cost Model -Hypertension-HBP Ov'!G52+'Cost Model - Hypothyroidism Ovr'!G52+'Cost Model -Multiple scler Ovr'!G52+'Cost Model -Parkinson''s dis Ovr'!G52+'Cost Model - Rheumatoid art Ovr'!G52+'Cost Model Schizophrenia Ovrd'!G52+'Cost Model -Lupus Override'!G52+'Cost Model -Clinical depres Ovr'!G52</f>
        <v>82.597690901128942</v>
      </c>
      <c r="H52" s="310">
        <f t="shared" si="1"/>
        <v>895.89923111627127</v>
      </c>
      <c r="I52" s="448">
        <f>'Cost Model -Asthma Override'!I52+'Cost Model  -Biploar Mood Ovrd'!I52+'Cost Model -Cardiac failure Ovr'!I52+'Cost Model -Cardiomyopathy Ovrd'!I52+'Cost Model-COPD Override'!I52+'Cost Model -CKD Override'!I52+'Cost Model -Diabetes ins Ovrd'!I52+'Cost Model - Diabetes1 Override'!I52+'Cost Model -Epilepsy Override'!I52+'Cost Model - Glaucoma Override'!I52+'Cost Model - Haemophilia Ovrd'!I52+'Cost Model -HIV Override'!I52+'Cost Model -Hyperlipidaemia Ovr'!I52+'Cost Model -Hypertension-HBP Ov'!I52+'Cost Model - Hypothyroidism Ovr'!I52+'Cost Model -Multiple scler Ovr'!I52+'Cost Model -Parkinson''s dis Ovr'!I52+'Cost Model - Rheumatoid art Ovr'!I52+'Cost Model Schizophrenia Ovrd'!I52+'Cost Model -Lupus Override'!I52+'Cost Model -Clinical depres Ovr'!I52</f>
        <v>6.1666006475250708</v>
      </c>
      <c r="J52" s="439"/>
    </row>
    <row r="53" spans="4:10" x14ac:dyDescent="0.2">
      <c r="D53" s="446" t="s">
        <v>462</v>
      </c>
      <c r="E53" s="446" t="s">
        <v>584</v>
      </c>
      <c r="F53" s="446" t="s">
        <v>554</v>
      </c>
      <c r="G53" s="447">
        <f>'Cost Model -Asthma Override'!G53+'Cost Model  -Biploar Mood Ovrd'!G53+'Cost Model -Cardiac failure Ovr'!G53+'Cost Model -Cardiomyopathy Ovrd'!G53+'Cost Model-COPD Override'!G53+'Cost Model -CKD Override'!G53+'Cost Model -Diabetes ins Ovrd'!G53+'Cost Model - Diabetes1 Override'!G53+'Cost Model -Epilepsy Override'!G53+'Cost Model - Glaucoma Override'!G53+'Cost Model - Haemophilia Ovrd'!G53+'Cost Model -HIV Override'!G53+'Cost Model -Hyperlipidaemia Ovr'!G53+'Cost Model -Hypertension-HBP Ov'!G53+'Cost Model - Hypothyroidism Ovr'!G53+'Cost Model -Multiple scler Ovr'!G53+'Cost Model -Parkinson''s dis Ovr'!G53+'Cost Model - Rheumatoid art Ovr'!G53+'Cost Model Schizophrenia Ovrd'!G53+'Cost Model -Lupus Override'!G53+'Cost Model -Clinical depres Ovr'!G53</f>
        <v>4.5648603974733639</v>
      </c>
      <c r="H53" s="310">
        <f t="shared" si="1"/>
        <v>895.89923111627138</v>
      </c>
      <c r="I53" s="448">
        <f>'Cost Model -Asthma Override'!I53+'Cost Model  -Biploar Mood Ovrd'!I53+'Cost Model -Cardiac failure Ovr'!I53+'Cost Model -Cardiomyopathy Ovrd'!I53+'Cost Model-COPD Override'!I53+'Cost Model -CKD Override'!I53+'Cost Model -Diabetes ins Ovrd'!I53+'Cost Model - Diabetes1 Override'!I53+'Cost Model -Epilepsy Override'!I53+'Cost Model - Glaucoma Override'!I53+'Cost Model - Haemophilia Ovrd'!I53+'Cost Model -HIV Override'!I53+'Cost Model -Hyperlipidaemia Ovr'!I53+'Cost Model -Hypertension-HBP Ov'!I53+'Cost Model - Hypothyroidism Ovr'!I53+'Cost Model -Multiple scler Ovr'!I53+'Cost Model -Parkinson''s dis Ovr'!I53+'Cost Model - Rheumatoid art Ovr'!I53+'Cost Model Schizophrenia Ovrd'!I53+'Cost Model -Lupus Override'!I53+'Cost Model -Clinical depres Ovr'!I53</f>
        <v>0.34080457668745867</v>
      </c>
      <c r="J53" s="439"/>
    </row>
    <row r="54" spans="4:10" x14ac:dyDescent="0.2">
      <c r="D54" s="446" t="s">
        <v>462</v>
      </c>
      <c r="E54" s="446" t="s">
        <v>585</v>
      </c>
      <c r="F54" s="446" t="s">
        <v>554</v>
      </c>
      <c r="G54" s="447">
        <f>'Cost Model -Asthma Override'!G54+'Cost Model  -Biploar Mood Ovrd'!G54+'Cost Model -Cardiac failure Ovr'!G54+'Cost Model -Cardiomyopathy Ovrd'!G54+'Cost Model-COPD Override'!G54+'Cost Model -CKD Override'!G54+'Cost Model -Diabetes ins Ovrd'!G54+'Cost Model - Diabetes1 Override'!G54+'Cost Model -Epilepsy Override'!G54+'Cost Model - Glaucoma Override'!G54+'Cost Model - Haemophilia Ovrd'!G54+'Cost Model -HIV Override'!G54+'Cost Model -Hyperlipidaemia Ovr'!G54+'Cost Model -Hypertension-HBP Ov'!G54+'Cost Model - Hypothyroidism Ovr'!G54+'Cost Model -Multiple scler Ovr'!G54+'Cost Model -Parkinson''s dis Ovr'!G54+'Cost Model - Rheumatoid art Ovr'!G54+'Cost Model Schizophrenia Ovrd'!G54+'Cost Model -Lupus Override'!G54+'Cost Model -Clinical depres Ovr'!G54</f>
        <v>20.212983602378966</v>
      </c>
      <c r="H54" s="310">
        <f t="shared" si="1"/>
        <v>895.89923111627127</v>
      </c>
      <c r="I54" s="448">
        <f>'Cost Model -Asthma Override'!I54+'Cost Model  -Biploar Mood Ovrd'!I54+'Cost Model -Cardiac failure Ovr'!I54+'Cost Model -Cardiomyopathy Ovrd'!I54+'Cost Model-COPD Override'!I54+'Cost Model -CKD Override'!I54+'Cost Model -Diabetes ins Ovrd'!I54+'Cost Model - Diabetes1 Override'!I54+'Cost Model -Epilepsy Override'!I54+'Cost Model - Glaucoma Override'!I54+'Cost Model - Haemophilia Ovrd'!I54+'Cost Model -HIV Override'!I54+'Cost Model -Hyperlipidaemia Ovr'!I54+'Cost Model -Hypertension-HBP Ov'!I54+'Cost Model - Hypothyroidism Ovr'!I54+'Cost Model -Multiple scler Ovr'!I54+'Cost Model -Parkinson''s dis Ovr'!I54+'Cost Model - Rheumatoid art Ovr'!I54+'Cost Model Schizophrenia Ovrd'!I54+'Cost Model -Lupus Override'!I54+'Cost Model -Clinical depres Ovr'!I54</f>
        <v>1.5090663723280928</v>
      </c>
      <c r="J54" s="439"/>
    </row>
    <row r="55" spans="4:10" x14ac:dyDescent="0.2">
      <c r="D55" s="446" t="s">
        <v>462</v>
      </c>
      <c r="E55" s="446" t="s">
        <v>586</v>
      </c>
      <c r="F55" s="446" t="s">
        <v>537</v>
      </c>
      <c r="G55" s="447">
        <f>'Cost Model -Asthma Override'!G55+'Cost Model  -Biploar Mood Ovrd'!G55+'Cost Model -Cardiac failure Ovr'!G55+'Cost Model -Cardiomyopathy Ovrd'!G55+'Cost Model-COPD Override'!G55+'Cost Model -CKD Override'!G55+'Cost Model -Diabetes ins Ovrd'!G55+'Cost Model - Diabetes1 Override'!G55+'Cost Model -Epilepsy Override'!G55+'Cost Model - Glaucoma Override'!G55+'Cost Model - Haemophilia Ovrd'!G55+'Cost Model -HIV Override'!G55+'Cost Model -Hyperlipidaemia Ovr'!G55+'Cost Model -Hypertension-HBP Ov'!G55+'Cost Model - Hypothyroidism Ovr'!G55+'Cost Model -Multiple scler Ovr'!G55+'Cost Model -Parkinson''s dis Ovr'!G55+'Cost Model - Rheumatoid art Ovr'!G55+'Cost Model Schizophrenia Ovrd'!G55+'Cost Model -Lupus Override'!G55+'Cost Model -Clinical depres Ovr'!G55</f>
        <v>11.049166218888443</v>
      </c>
      <c r="H55" s="310">
        <f t="shared" si="1"/>
        <v>895.89923111627138</v>
      </c>
      <c r="I55" s="448">
        <f>'Cost Model -Asthma Override'!I55+'Cost Model  -Biploar Mood Ovrd'!I55+'Cost Model -Cardiac failure Ovr'!I55+'Cost Model -Cardiomyopathy Ovrd'!I55+'Cost Model-COPD Override'!I55+'Cost Model -CKD Override'!I55+'Cost Model -Diabetes ins Ovrd'!I55+'Cost Model - Diabetes1 Override'!I55+'Cost Model -Epilepsy Override'!I55+'Cost Model - Glaucoma Override'!I55+'Cost Model - Haemophilia Ovrd'!I55+'Cost Model -HIV Override'!I55+'Cost Model -Hyperlipidaemia Ovr'!I55+'Cost Model -Hypertension-HBP Ov'!I55+'Cost Model - Hypothyroidism Ovr'!I55+'Cost Model -Multiple scler Ovr'!I55+'Cost Model -Parkinson''s dis Ovr'!I55+'Cost Model - Rheumatoid art Ovr'!I55+'Cost Model Schizophrenia Ovrd'!I55+'Cost Model -Lupus Override'!I55+'Cost Model -Clinical depres Ovr'!I55</f>
        <v>0.82491162666483631</v>
      </c>
      <c r="J55" s="439"/>
    </row>
    <row r="56" spans="4:10" x14ac:dyDescent="0.2">
      <c r="D56" s="446" t="s">
        <v>462</v>
      </c>
      <c r="E56" s="446" t="s">
        <v>5</v>
      </c>
      <c r="F56" s="446" t="s">
        <v>537</v>
      </c>
      <c r="G56" s="447">
        <f>'Cost Model -Asthma Override'!G56+'Cost Model  -Biploar Mood Ovrd'!G56+'Cost Model -Cardiac failure Ovr'!G56+'Cost Model -Cardiomyopathy Ovrd'!G56+'Cost Model-COPD Override'!G56+'Cost Model -CKD Override'!G56+'Cost Model -Diabetes ins Ovrd'!G56+'Cost Model - Diabetes1 Override'!G56+'Cost Model -Epilepsy Override'!G56+'Cost Model - Glaucoma Override'!G56+'Cost Model - Haemophilia Ovrd'!G56+'Cost Model -HIV Override'!G56+'Cost Model -Hyperlipidaemia Ovr'!G56+'Cost Model -Hypertension-HBP Ov'!G56+'Cost Model - Hypothyroidism Ovr'!G56+'Cost Model -Multiple scler Ovr'!G56+'Cost Model -Parkinson''s dis Ovr'!G56+'Cost Model - Rheumatoid art Ovr'!G56+'Cost Model Schizophrenia Ovrd'!G56+'Cost Model -Lupus Override'!G56+'Cost Model -Clinical depres Ovr'!G56</f>
        <v>9.4747755679947403</v>
      </c>
      <c r="H56" s="310">
        <f t="shared" si="1"/>
        <v>895.89923111627127</v>
      </c>
      <c r="I56" s="448">
        <f>'Cost Model -Asthma Override'!I56+'Cost Model  -Biploar Mood Ovrd'!I56+'Cost Model -Cardiac failure Ovr'!I56+'Cost Model -Cardiomyopathy Ovrd'!I56+'Cost Model-COPD Override'!I56+'Cost Model -CKD Override'!I56+'Cost Model -Diabetes ins Ovrd'!I56+'Cost Model - Diabetes1 Override'!I56+'Cost Model -Epilepsy Override'!I56+'Cost Model - Glaucoma Override'!I56+'Cost Model - Haemophilia Ovrd'!I56+'Cost Model -HIV Override'!I56+'Cost Model -Hyperlipidaemia Ovr'!I56+'Cost Model -Hypertension-HBP Ov'!I56+'Cost Model - Hypothyroidism Ovr'!I56+'Cost Model -Multiple scler Ovr'!I56+'Cost Model -Parkinson''s dis Ovr'!I56+'Cost Model - Rheumatoid art Ovr'!I56+'Cost Model Schizophrenia Ovrd'!I56+'Cost Model -Lupus Override'!I56+'Cost Model -Clinical depres Ovr'!I56</f>
        <v>0.70737034553047673</v>
      </c>
      <c r="J56" s="439"/>
    </row>
    <row r="57" spans="4:10" x14ac:dyDescent="0.2">
      <c r="D57" s="446" t="s">
        <v>462</v>
      </c>
      <c r="E57" s="446" t="s">
        <v>587</v>
      </c>
      <c r="F57" s="446" t="s">
        <v>537</v>
      </c>
      <c r="G57" s="447">
        <f>'Cost Model -Asthma Override'!G57+'Cost Model  -Biploar Mood Ovrd'!G57+'Cost Model -Cardiac failure Ovr'!G57+'Cost Model -Cardiomyopathy Ovrd'!G57+'Cost Model-COPD Override'!G57+'Cost Model -CKD Override'!G57+'Cost Model -Diabetes ins Ovrd'!G57+'Cost Model - Diabetes1 Override'!G57+'Cost Model -Epilepsy Override'!G57+'Cost Model - Glaucoma Override'!G57+'Cost Model - Haemophilia Ovrd'!G57+'Cost Model -HIV Override'!G57+'Cost Model -Hyperlipidaemia Ovr'!G57+'Cost Model -Hypertension-HBP Ov'!G57+'Cost Model - Hypothyroidism Ovr'!G57+'Cost Model -Multiple scler Ovr'!G57+'Cost Model -Parkinson''s dis Ovr'!G57+'Cost Model - Rheumatoid art Ovr'!G57+'Cost Model Schizophrenia Ovrd'!G57+'Cost Model -Lupus Override'!G57+'Cost Model -Clinical depres Ovr'!G57</f>
        <v>25.021880598232968</v>
      </c>
      <c r="H57" s="310">
        <f t="shared" si="1"/>
        <v>895.89923111627115</v>
      </c>
      <c r="I57" s="448">
        <f>'Cost Model -Asthma Override'!I57+'Cost Model  -Biploar Mood Ovrd'!I57+'Cost Model -Cardiac failure Ovr'!I57+'Cost Model -Cardiomyopathy Ovrd'!I57+'Cost Model-COPD Override'!I57+'Cost Model -CKD Override'!I57+'Cost Model -Diabetes ins Ovrd'!I57+'Cost Model - Diabetes1 Override'!I57+'Cost Model -Epilepsy Override'!I57+'Cost Model - Glaucoma Override'!I57+'Cost Model - Haemophilia Ovrd'!I57+'Cost Model -HIV Override'!I57+'Cost Model -Hyperlipidaemia Ovr'!I57+'Cost Model -Hypertension-HBP Ov'!I57+'Cost Model - Hypothyroidism Ovr'!I57+'Cost Model -Multiple scler Ovr'!I57+'Cost Model -Parkinson''s dis Ovr'!I57+'Cost Model - Rheumatoid art Ovr'!I57+'Cost Model Schizophrenia Ovrd'!I57+'Cost Model -Lupus Override'!I57+'Cost Model -Clinical depres Ovr'!I57</f>
        <v>1.8680902990866717</v>
      </c>
      <c r="J57" s="439"/>
    </row>
    <row r="58" spans="4:10" x14ac:dyDescent="0.2">
      <c r="D58" s="446" t="s">
        <v>462</v>
      </c>
      <c r="E58" s="446" t="s">
        <v>588</v>
      </c>
      <c r="F58" s="446" t="s">
        <v>537</v>
      </c>
      <c r="G58" s="447">
        <f>'Cost Model -Asthma Override'!G58+'Cost Model  -Biploar Mood Ovrd'!G58+'Cost Model -Cardiac failure Ovr'!G58+'Cost Model -Cardiomyopathy Ovrd'!G58+'Cost Model-COPD Override'!G58+'Cost Model -CKD Override'!G58+'Cost Model -Diabetes ins Ovrd'!G58+'Cost Model - Diabetes1 Override'!G58+'Cost Model -Epilepsy Override'!G58+'Cost Model - Glaucoma Override'!G58+'Cost Model - Haemophilia Ovrd'!G58+'Cost Model -HIV Override'!G58+'Cost Model -Hyperlipidaemia Ovr'!G58+'Cost Model -Hypertension-HBP Ov'!G58+'Cost Model - Hypothyroidism Ovr'!G58+'Cost Model -Multiple scler Ovr'!G58+'Cost Model -Parkinson''s dis Ovr'!G58+'Cost Model - Rheumatoid art Ovr'!G58+'Cost Model Schizophrenia Ovrd'!G58+'Cost Model -Lupus Override'!G58+'Cost Model -Clinical depres Ovr'!G58</f>
        <v>16.902798100304381</v>
      </c>
      <c r="H58" s="310">
        <f t="shared" si="1"/>
        <v>895.89923111627127</v>
      </c>
      <c r="I58" s="448">
        <f>'Cost Model -Asthma Override'!I58+'Cost Model  -Biploar Mood Ovrd'!I58+'Cost Model -Cardiac failure Ovr'!I58+'Cost Model -Cardiomyopathy Ovrd'!I58+'Cost Model-COPD Override'!I58+'Cost Model -CKD Override'!I58+'Cost Model -Diabetes ins Ovrd'!I58+'Cost Model - Diabetes1 Override'!I58+'Cost Model -Epilepsy Override'!I58+'Cost Model - Glaucoma Override'!I58+'Cost Model - Haemophilia Ovrd'!I58+'Cost Model -HIV Override'!I58+'Cost Model -Hyperlipidaemia Ovr'!I58+'Cost Model -Hypertension-HBP Ov'!I58+'Cost Model - Hypothyroidism Ovr'!I58+'Cost Model -Multiple scler Ovr'!I58+'Cost Model -Parkinson''s dis Ovr'!I58+'Cost Model - Rheumatoid art Ovr'!I58+'Cost Model Schizophrenia Ovrd'!I58+'Cost Model -Lupus Override'!I58+'Cost Model -Clinical depres Ovr'!I58</f>
        <v>1.2619336518146889</v>
      </c>
      <c r="J58" s="439"/>
    </row>
    <row r="59" spans="4:10" x14ac:dyDescent="0.2">
      <c r="D59" s="446" t="s">
        <v>462</v>
      </c>
      <c r="E59" s="446" t="s">
        <v>589</v>
      </c>
      <c r="F59" s="446" t="s">
        <v>537</v>
      </c>
      <c r="G59" s="447">
        <f>'Cost Model -Asthma Override'!G59+'Cost Model  -Biploar Mood Ovrd'!G59+'Cost Model -Cardiac failure Ovr'!G59+'Cost Model -Cardiomyopathy Ovrd'!G59+'Cost Model-COPD Override'!G59+'Cost Model -CKD Override'!G59+'Cost Model -Diabetes ins Ovrd'!G59+'Cost Model - Diabetes1 Override'!G59+'Cost Model -Epilepsy Override'!G59+'Cost Model - Glaucoma Override'!G59+'Cost Model - Haemophilia Ovrd'!G59+'Cost Model -HIV Override'!G59+'Cost Model -Hyperlipidaemia Ovr'!G59+'Cost Model -Hypertension-HBP Ov'!G59+'Cost Model - Hypothyroidism Ovr'!G59+'Cost Model -Multiple scler Ovr'!G59+'Cost Model -Parkinson''s dis Ovr'!G59+'Cost Model - Rheumatoid art Ovr'!G59+'Cost Model Schizophrenia Ovrd'!G59+'Cost Model -Lupus Override'!G59+'Cost Model -Clinical depres Ovr'!G59</f>
        <v>6.5336986578236775</v>
      </c>
      <c r="H59" s="310">
        <f t="shared" si="1"/>
        <v>895.89923111627093</v>
      </c>
      <c r="I59" s="448">
        <f>'Cost Model -Asthma Override'!I59+'Cost Model  -Biploar Mood Ovrd'!I59+'Cost Model -Cardiac failure Ovr'!I59+'Cost Model -Cardiomyopathy Ovrd'!I59+'Cost Model-COPD Override'!I59+'Cost Model -CKD Override'!I59+'Cost Model -Diabetes ins Ovrd'!I59+'Cost Model - Diabetes1 Override'!I59+'Cost Model -Epilepsy Override'!I59+'Cost Model - Glaucoma Override'!I59+'Cost Model - Haemophilia Ovrd'!I59+'Cost Model -HIV Override'!I59+'Cost Model -Hyperlipidaemia Ovr'!I59+'Cost Model -Hypertension-HBP Ov'!I59+'Cost Model - Hypothyroidism Ovr'!I59+'Cost Model -Multiple scler Ovr'!I59+'Cost Model -Parkinson''s dis Ovr'!I59+'Cost Model - Rheumatoid art Ovr'!I59+'Cost Model Schizophrenia Ovrd'!I59+'Cost Model -Lupus Override'!I59+'Cost Model -Clinical depres Ovr'!I59</f>
        <v>0.48779463365747039</v>
      </c>
      <c r="J59" s="439"/>
    </row>
    <row r="60" spans="4:10" x14ac:dyDescent="0.2">
      <c r="D60" s="446" t="s">
        <v>462</v>
      </c>
      <c r="E60" s="446" t="s">
        <v>590</v>
      </c>
      <c r="F60" s="446" t="s">
        <v>537</v>
      </c>
      <c r="G60" s="447">
        <f>'Cost Model -Asthma Override'!G60+'Cost Model  -Biploar Mood Ovrd'!G60+'Cost Model -Cardiac failure Ovr'!G60+'Cost Model -Cardiomyopathy Ovrd'!G60+'Cost Model-COPD Override'!G60+'Cost Model -CKD Override'!G60+'Cost Model -Diabetes ins Ovrd'!G60+'Cost Model - Diabetes1 Override'!G60+'Cost Model -Epilepsy Override'!G60+'Cost Model - Glaucoma Override'!G60+'Cost Model - Haemophilia Ovrd'!G60+'Cost Model -HIV Override'!G60+'Cost Model -Hyperlipidaemia Ovr'!G60+'Cost Model -Hypertension-HBP Ov'!G60+'Cost Model - Hypothyroidism Ovr'!G60+'Cost Model -Multiple scler Ovr'!G60+'Cost Model -Parkinson''s dis Ovr'!G60+'Cost Model - Rheumatoid art Ovr'!G60+'Cost Model Schizophrenia Ovrd'!G60+'Cost Model -Lupus Override'!G60+'Cost Model -Clinical depres Ovr'!G60</f>
        <v>6.2362953493070794</v>
      </c>
      <c r="H60" s="310">
        <f t="shared" si="1"/>
        <v>895.89923111627138</v>
      </c>
      <c r="I60" s="448">
        <f>'Cost Model -Asthma Override'!I60+'Cost Model  -Biploar Mood Ovrd'!I60+'Cost Model -Cardiac failure Ovr'!I60+'Cost Model -Cardiomyopathy Ovrd'!I60+'Cost Model-COPD Override'!I60+'Cost Model -CKD Override'!I60+'Cost Model -Diabetes ins Ovrd'!I60+'Cost Model - Diabetes1 Override'!I60+'Cost Model -Epilepsy Override'!I60+'Cost Model - Glaucoma Override'!I60+'Cost Model - Haemophilia Ovrd'!I60+'Cost Model -HIV Override'!I60+'Cost Model -Hyperlipidaemia Ovr'!I60+'Cost Model -Hypertension-HBP Ov'!I60+'Cost Model - Hypothyroidism Ovr'!I60+'Cost Model -Multiple scler Ovr'!I60+'Cost Model -Parkinson''s dis Ovr'!I60+'Cost Model - Rheumatoid art Ovr'!I60+'Cost Model Schizophrenia Ovrd'!I60+'Cost Model -Lupus Override'!I60+'Cost Model -Clinical depres Ovr'!I60</f>
        <v>0.46559101737151598</v>
      </c>
      <c r="J60" s="439"/>
    </row>
    <row r="61" spans="4:10" x14ac:dyDescent="0.2">
      <c r="D61" s="446" t="s">
        <v>462</v>
      </c>
      <c r="E61" s="446" t="s">
        <v>591</v>
      </c>
      <c r="F61" s="446" t="s">
        <v>537</v>
      </c>
      <c r="G61" s="447">
        <f>'Cost Model -Asthma Override'!G61+'Cost Model  -Biploar Mood Ovrd'!G61+'Cost Model -Cardiac failure Ovr'!G61+'Cost Model -Cardiomyopathy Ovrd'!G61+'Cost Model-COPD Override'!G61+'Cost Model -CKD Override'!G61+'Cost Model -Diabetes ins Ovrd'!G61+'Cost Model - Diabetes1 Override'!G61+'Cost Model -Epilepsy Override'!G61+'Cost Model - Glaucoma Override'!G61+'Cost Model - Haemophilia Ovrd'!G61+'Cost Model -HIV Override'!G61+'Cost Model -Hyperlipidaemia Ovr'!G61+'Cost Model -Hypertension-HBP Ov'!G61+'Cost Model - Hypothyroidism Ovr'!G61+'Cost Model -Multiple scler Ovr'!G61+'Cost Model -Parkinson''s dis Ovr'!G61+'Cost Model - Rheumatoid art Ovr'!G61+'Cost Model Schizophrenia Ovrd'!G61+'Cost Model -Lupus Override'!G61+'Cost Model -Clinical depres Ovr'!G61</f>
        <v>10.340004305649018</v>
      </c>
      <c r="H61" s="310">
        <f t="shared" si="1"/>
        <v>895.89923111627104</v>
      </c>
      <c r="I61" s="448">
        <f>'Cost Model -Asthma Override'!I61+'Cost Model  -Biploar Mood Ovrd'!I61+'Cost Model -Cardiac failure Ovr'!I61+'Cost Model -Cardiomyopathy Ovrd'!I61+'Cost Model-COPD Override'!I61+'Cost Model -CKD Override'!I61+'Cost Model -Diabetes ins Ovrd'!I61+'Cost Model - Diabetes1 Override'!I61+'Cost Model -Epilepsy Override'!I61+'Cost Model - Glaucoma Override'!I61+'Cost Model - Haemophilia Ovrd'!I61+'Cost Model -HIV Override'!I61+'Cost Model -Hyperlipidaemia Ovr'!I61+'Cost Model -Hypertension-HBP Ov'!I61+'Cost Model - Hypothyroidism Ovr'!I61+'Cost Model -Multiple scler Ovr'!I61+'Cost Model -Parkinson''s dis Ovr'!I61+'Cost Model - Rheumatoid art Ovr'!I61+'Cost Model Schizophrenia Ovrd'!I61+'Cost Model -Lupus Override'!I61+'Cost Model -Clinical depres Ovr'!I61</f>
        <v>0.77196682559749052</v>
      </c>
      <c r="J61" s="439"/>
    </row>
    <row r="62" spans="4:10" x14ac:dyDescent="0.2">
      <c r="D62" s="446" t="s">
        <v>462</v>
      </c>
      <c r="E62" s="446" t="s">
        <v>592</v>
      </c>
      <c r="F62" s="446" t="s">
        <v>537</v>
      </c>
      <c r="G62" s="447">
        <f>'Cost Model -Asthma Override'!G62+'Cost Model  -Biploar Mood Ovrd'!G62+'Cost Model -Cardiac failure Ovr'!G62+'Cost Model -Cardiomyopathy Ovrd'!G62+'Cost Model-COPD Override'!G62+'Cost Model -CKD Override'!G62+'Cost Model -Diabetes ins Ovrd'!G62+'Cost Model - Diabetes1 Override'!G62+'Cost Model -Epilepsy Override'!G62+'Cost Model - Glaucoma Override'!G62+'Cost Model - Haemophilia Ovrd'!G62+'Cost Model -HIV Override'!G62+'Cost Model -Hyperlipidaemia Ovr'!G62+'Cost Model -Hypertension-HBP Ov'!G62+'Cost Model - Hypothyroidism Ovr'!G62+'Cost Model -Multiple scler Ovr'!G62+'Cost Model -Parkinson''s dis Ovr'!G62+'Cost Model - Rheumatoid art Ovr'!G62+'Cost Model Schizophrenia Ovrd'!G62+'Cost Model -Lupus Override'!G62+'Cost Model -Clinical depres Ovr'!G62</f>
        <v>9.9623600817013074</v>
      </c>
      <c r="H62" s="310">
        <f t="shared" si="1"/>
        <v>895.89923111627115</v>
      </c>
      <c r="I62" s="448">
        <f>'Cost Model -Asthma Override'!I62+'Cost Model  -Biploar Mood Ovrd'!I62+'Cost Model -Cardiac failure Ovr'!I62+'Cost Model -Cardiomyopathy Ovrd'!I62+'Cost Model-COPD Override'!I62+'Cost Model -CKD Override'!I62+'Cost Model -Diabetes ins Ovrd'!I62+'Cost Model - Diabetes1 Override'!I62+'Cost Model -Epilepsy Override'!I62+'Cost Model - Glaucoma Override'!I62+'Cost Model - Haemophilia Ovrd'!I62+'Cost Model -HIV Override'!I62+'Cost Model -Hyperlipidaemia Ovr'!I62+'Cost Model -Hypertension-HBP Ov'!I62+'Cost Model - Hypothyroidism Ovr'!I62+'Cost Model -Multiple scler Ovr'!I62+'Cost Model -Parkinson''s dis Ovr'!I62+'Cost Model - Rheumatoid art Ovr'!I62+'Cost Model Schizophrenia Ovrd'!I62+'Cost Model -Lupus Override'!I62+'Cost Model -Clinical depres Ovr'!I62</f>
        <v>0.74377256144163617</v>
      </c>
      <c r="J62" s="439"/>
    </row>
    <row r="63" spans="4:10" x14ac:dyDescent="0.2">
      <c r="D63" s="446" t="s">
        <v>462</v>
      </c>
      <c r="E63" s="446" t="s">
        <v>593</v>
      </c>
      <c r="F63" s="446" t="s">
        <v>537</v>
      </c>
      <c r="G63" s="447">
        <f>'Cost Model -Asthma Override'!G63+'Cost Model  -Biploar Mood Ovrd'!G63+'Cost Model -Cardiac failure Ovr'!G63+'Cost Model -Cardiomyopathy Ovrd'!G63+'Cost Model-COPD Override'!G63+'Cost Model -CKD Override'!G63+'Cost Model -Diabetes ins Ovrd'!G63+'Cost Model - Diabetes1 Override'!G63+'Cost Model -Epilepsy Override'!G63+'Cost Model - Glaucoma Override'!G63+'Cost Model - Haemophilia Ovrd'!G63+'Cost Model -HIV Override'!G63+'Cost Model -Hyperlipidaemia Ovr'!G63+'Cost Model -Hypertension-HBP Ov'!G63+'Cost Model - Hypothyroidism Ovr'!G63+'Cost Model -Multiple scler Ovr'!G63+'Cost Model -Parkinson''s dis Ovr'!G63+'Cost Model - Rheumatoid art Ovr'!G63+'Cost Model Schizophrenia Ovrd'!G63+'Cost Model -Lupus Override'!G63+'Cost Model -Clinical depres Ovr'!G63</f>
        <v>0</v>
      </c>
      <c r="H63" s="310" t="e">
        <f t="shared" si="1"/>
        <v>#DIV/0!</v>
      </c>
      <c r="I63" s="448">
        <f>'Cost Model -Asthma Override'!I63+'Cost Model  -Biploar Mood Ovrd'!I63+'Cost Model -Cardiac failure Ovr'!I63+'Cost Model -Cardiomyopathy Ovrd'!I63+'Cost Model-COPD Override'!I63+'Cost Model -CKD Override'!I63+'Cost Model -Diabetes ins Ovrd'!I63+'Cost Model - Diabetes1 Override'!I63+'Cost Model -Epilepsy Override'!I63+'Cost Model - Glaucoma Override'!I63+'Cost Model - Haemophilia Ovrd'!I63+'Cost Model -HIV Override'!I63+'Cost Model -Hyperlipidaemia Ovr'!I63+'Cost Model -Hypertension-HBP Ov'!I63+'Cost Model - Hypothyroidism Ovr'!I63+'Cost Model -Multiple scler Ovr'!I63+'Cost Model -Parkinson''s dis Ovr'!I63+'Cost Model - Rheumatoid art Ovr'!I63+'Cost Model Schizophrenia Ovrd'!I63+'Cost Model -Lupus Override'!I63+'Cost Model -Clinical depres Ovr'!I63</f>
        <v>0</v>
      </c>
      <c r="J63" s="439"/>
    </row>
    <row r="64" spans="4:10" ht="16" x14ac:dyDescent="0.2">
      <c r="D64" s="460" t="s">
        <v>594</v>
      </c>
      <c r="E64" s="461"/>
      <c r="F64" s="460"/>
      <c r="G64" s="462">
        <f>SUM(G18:G63)</f>
        <v>226.48615010658503</v>
      </c>
      <c r="H64" s="463"/>
      <c r="I64" s="462">
        <f>SUM(I18:I63)</f>
        <v>16.234668250024356</v>
      </c>
      <c r="J64" s="439"/>
    </row>
    <row r="65" spans="4:10" x14ac:dyDescent="0.2">
      <c r="D65" s="446" t="s">
        <v>595</v>
      </c>
      <c r="E65" s="446" t="s">
        <v>596</v>
      </c>
      <c r="F65" s="446" t="s">
        <v>554</v>
      </c>
      <c r="G65" s="447">
        <f>'Cost Model -Asthma Override'!G65+'Cost Model  -Biploar Mood Ovrd'!G65+'Cost Model -Cardiac failure Ovr'!G65+'Cost Model -Cardiomyopathy Ovrd'!G65+'Cost Model-COPD Override'!G65+'Cost Model -CKD Override'!G65+'Cost Model -Diabetes ins Ovrd'!G65+'Cost Model - Diabetes1 Override'!G65+'Cost Model -Epilepsy Override'!G65+'Cost Model - Glaucoma Override'!G65+'Cost Model - Haemophilia Ovrd'!G65+'Cost Model -HIV Override'!G65+'Cost Model -Hyperlipidaemia Ovr'!G65+'Cost Model -Hypertension-HBP Ov'!G65+'Cost Model - Hypothyroidism Ovr'!G65+'Cost Model -Multiple scler Ovr'!G65+'Cost Model -Parkinson''s dis Ovr'!G65+'Cost Model - Rheumatoid art Ovr'!G65+'Cost Model Schizophrenia Ovrd'!G65+'Cost Model -Lupus Override'!G65+'Cost Model -Clinical depres Ovr'!G65</f>
        <v>7.4277706580516227</v>
      </c>
      <c r="H65" s="310">
        <f t="shared" ref="H65:H107" si="2">12000*I65/G65</f>
        <v>91.010350457752821</v>
      </c>
      <c r="I65" s="448">
        <f>'Cost Model -Asthma Override'!I65+'Cost Model  -Biploar Mood Ovrd'!I65+'Cost Model -Cardiac failure Ovr'!I65+'Cost Model -Cardiomyopathy Ovrd'!I65+'Cost Model-COPD Override'!I65+'Cost Model -CKD Override'!I65+'Cost Model -Diabetes ins Ovrd'!I65+'Cost Model - Diabetes1 Override'!I65+'Cost Model -Epilepsy Override'!I65+'Cost Model - Glaucoma Override'!I65+'Cost Model - Haemophilia Ovrd'!I65+'Cost Model -HIV Override'!I65+'Cost Model -Hyperlipidaemia Ovr'!I65+'Cost Model -Hypertension-HBP Ov'!I65+'Cost Model - Hypothyroidism Ovr'!I65+'Cost Model -Multiple scler Ovr'!I65+'Cost Model -Parkinson''s dis Ovr'!I65+'Cost Model - Rheumatoid art Ovr'!I65+'Cost Model Schizophrenia Ovrd'!I65+'Cost Model -Lupus Override'!I65+'Cost Model -Clinical depres Ovr'!I65</f>
        <v>5.6333667559090958E-2</v>
      </c>
      <c r="J65" s="439"/>
    </row>
    <row r="66" spans="4:10" x14ac:dyDescent="0.2">
      <c r="D66" s="446" t="s">
        <v>595</v>
      </c>
      <c r="E66" s="446" t="s">
        <v>563</v>
      </c>
      <c r="F66" s="446" t="s">
        <v>554</v>
      </c>
      <c r="G66" s="447">
        <f>'Cost Model -Asthma Override'!G66+'Cost Model  -Biploar Mood Ovrd'!G66+'Cost Model -Cardiac failure Ovr'!G66+'Cost Model -Cardiomyopathy Ovrd'!G66+'Cost Model-COPD Override'!G66+'Cost Model -CKD Override'!G66+'Cost Model -Diabetes ins Ovrd'!G66+'Cost Model - Diabetes1 Override'!G66+'Cost Model -Epilepsy Override'!G66+'Cost Model - Glaucoma Override'!G66+'Cost Model - Haemophilia Ovrd'!G66+'Cost Model -HIV Override'!G66+'Cost Model -Hyperlipidaemia Ovr'!G66+'Cost Model -Hypertension-HBP Ov'!G66+'Cost Model - Hypothyroidism Ovr'!G66+'Cost Model -Multiple scler Ovr'!G66+'Cost Model -Parkinson''s dis Ovr'!G66+'Cost Model - Rheumatoid art Ovr'!G66+'Cost Model Schizophrenia Ovrd'!G66+'Cost Model -Lupus Override'!G66+'Cost Model -Clinical depres Ovr'!G66</f>
        <v>1.1529958301786354</v>
      </c>
      <c r="H66" s="310">
        <f t="shared" si="2"/>
        <v>303.28331580265473</v>
      </c>
      <c r="I66" s="448">
        <f>'Cost Model -Asthma Override'!I66+'Cost Model  -Biploar Mood Ovrd'!I66+'Cost Model -Cardiac failure Ovr'!I66+'Cost Model -Cardiomyopathy Ovrd'!I66+'Cost Model-COPD Override'!I66+'Cost Model -CKD Override'!I66+'Cost Model -Diabetes ins Ovrd'!I66+'Cost Model - Diabetes1 Override'!I66+'Cost Model -Epilepsy Override'!I66+'Cost Model - Glaucoma Override'!I66+'Cost Model - Haemophilia Ovrd'!I66+'Cost Model -HIV Override'!I66+'Cost Model -Hyperlipidaemia Ovr'!I66+'Cost Model -Hypertension-HBP Ov'!I66+'Cost Model - Hypothyroidism Ovr'!I66+'Cost Model -Multiple scler Ovr'!I66+'Cost Model -Parkinson''s dis Ovr'!I66+'Cost Model - Rheumatoid art Ovr'!I66+'Cost Model Schizophrenia Ovrd'!I66+'Cost Model -Lupus Override'!I66+'Cost Model -Clinical depres Ovr'!I66</f>
        <v>2.9140366540267592E-2</v>
      </c>
      <c r="J66" s="439"/>
    </row>
    <row r="67" spans="4:10" x14ac:dyDescent="0.2">
      <c r="D67" s="446" t="s">
        <v>595</v>
      </c>
      <c r="E67" s="446" t="s">
        <v>564</v>
      </c>
      <c r="F67" s="446" t="s">
        <v>554</v>
      </c>
      <c r="G67" s="447">
        <f>'Cost Model -Asthma Override'!G67+'Cost Model  -Biploar Mood Ovrd'!G67+'Cost Model -Cardiac failure Ovr'!G67+'Cost Model -Cardiomyopathy Ovrd'!G67+'Cost Model-COPD Override'!G67+'Cost Model -CKD Override'!G67+'Cost Model -Diabetes ins Ovrd'!G67+'Cost Model - Diabetes1 Override'!G67+'Cost Model -Epilepsy Override'!G67+'Cost Model - Glaucoma Override'!G67+'Cost Model - Haemophilia Ovrd'!G67+'Cost Model -HIV Override'!G67+'Cost Model -Hyperlipidaemia Ovr'!G67+'Cost Model -Hypertension-HBP Ov'!G67+'Cost Model - Hypothyroidism Ovr'!G67+'Cost Model -Multiple scler Ovr'!G67+'Cost Model -Parkinson''s dis Ovr'!G67+'Cost Model - Rheumatoid art Ovr'!G67+'Cost Model Schizophrenia Ovrd'!G67+'Cost Model -Lupus Override'!G67+'Cost Model -Clinical depres Ovr'!G67</f>
        <v>16.354897902179523</v>
      </c>
      <c r="H67" s="310">
        <f t="shared" si="2"/>
        <v>129.00505248104301</v>
      </c>
      <c r="I67" s="448">
        <f>'Cost Model -Asthma Override'!I67+'Cost Model  -Biploar Mood Ovrd'!I67+'Cost Model -Cardiac failure Ovr'!I67+'Cost Model -Cardiomyopathy Ovrd'!I67+'Cost Model-COPD Override'!I67+'Cost Model -CKD Override'!I67+'Cost Model -Diabetes ins Ovrd'!I67+'Cost Model - Diabetes1 Override'!I67+'Cost Model -Epilepsy Override'!I67+'Cost Model - Glaucoma Override'!I67+'Cost Model - Haemophilia Ovrd'!I67+'Cost Model -HIV Override'!I67+'Cost Model -Hyperlipidaemia Ovr'!I67+'Cost Model -Hypertension-HBP Ov'!I67+'Cost Model - Hypothyroidism Ovr'!I67+'Cost Model -Multiple scler Ovr'!I67+'Cost Model -Parkinson''s dis Ovr'!I67+'Cost Model - Rheumatoid art Ovr'!I67+'Cost Model Schizophrenia Ovrd'!I67+'Cost Model -Lupus Override'!I67+'Cost Model -Clinical depres Ovr'!I67</f>
        <v>0.17582203851606415</v>
      </c>
      <c r="J67" s="439"/>
    </row>
    <row r="68" spans="4:10" x14ac:dyDescent="0.2">
      <c r="D68" s="446" t="s">
        <v>595</v>
      </c>
      <c r="E68" s="446" t="s">
        <v>597</v>
      </c>
      <c r="F68" s="446" t="s">
        <v>554</v>
      </c>
      <c r="G68" s="447">
        <f>'Cost Model -Asthma Override'!G68+'Cost Model  -Biploar Mood Ovrd'!G68+'Cost Model -Cardiac failure Ovr'!G68+'Cost Model -Cardiomyopathy Ovrd'!G68+'Cost Model-COPD Override'!G68+'Cost Model -CKD Override'!G68+'Cost Model -Diabetes ins Ovrd'!G68+'Cost Model - Diabetes1 Override'!G68+'Cost Model -Epilepsy Override'!G68+'Cost Model - Glaucoma Override'!G68+'Cost Model - Haemophilia Ovrd'!G68+'Cost Model -HIV Override'!G68+'Cost Model -Hyperlipidaemia Ovr'!G68+'Cost Model -Hypertension-HBP Ov'!G68+'Cost Model - Hypothyroidism Ovr'!G68+'Cost Model -Multiple scler Ovr'!G68+'Cost Model -Parkinson''s dis Ovr'!G68+'Cost Model - Rheumatoid art Ovr'!G68+'Cost Model Schizophrenia Ovrd'!G68+'Cost Model -Lupus Override'!G68+'Cost Model -Clinical depres Ovr'!G68</f>
        <v>0.33914189895938085</v>
      </c>
      <c r="H68" s="310">
        <f t="shared" si="2"/>
        <v>42.651724137931026</v>
      </c>
      <c r="I68" s="448">
        <f>'Cost Model -Asthma Override'!I68+'Cost Model  -Biploar Mood Ovrd'!I68+'Cost Model -Cardiac failure Ovr'!I68+'Cost Model -Cardiomyopathy Ovrd'!I68+'Cost Model-COPD Override'!I68+'Cost Model -CKD Override'!I68+'Cost Model -Diabetes ins Ovrd'!I68+'Cost Model - Diabetes1 Override'!I68+'Cost Model -Epilepsy Override'!I68+'Cost Model - Glaucoma Override'!I68+'Cost Model - Haemophilia Ovrd'!I68+'Cost Model -HIV Override'!I68+'Cost Model -Hyperlipidaemia Ovr'!I68+'Cost Model -Hypertension-HBP Ov'!I68+'Cost Model - Hypothyroidism Ovr'!I68+'Cost Model -Multiple scler Ovr'!I68+'Cost Model -Parkinson''s dis Ovr'!I68+'Cost Model - Rheumatoid art Ovr'!I68+'Cost Model Schizophrenia Ovrd'!I68+'Cost Model -Lupus Override'!I68+'Cost Model -Clinical depres Ovr'!I68</f>
        <v>1.2054155598357991E-3</v>
      </c>
      <c r="J68" s="439"/>
    </row>
    <row r="69" spans="4:10" x14ac:dyDescent="0.2">
      <c r="D69" s="446" t="s">
        <v>595</v>
      </c>
      <c r="E69" s="446" t="s">
        <v>572</v>
      </c>
      <c r="F69" s="446" t="s">
        <v>554</v>
      </c>
      <c r="G69" s="447">
        <f>'Cost Model -Asthma Override'!G69+'Cost Model  -Biploar Mood Ovrd'!G69+'Cost Model -Cardiac failure Ovr'!G69+'Cost Model -Cardiomyopathy Ovrd'!G69+'Cost Model-COPD Override'!G69+'Cost Model -CKD Override'!G69+'Cost Model -Diabetes ins Ovrd'!G69+'Cost Model - Diabetes1 Override'!G69+'Cost Model -Epilepsy Override'!G69+'Cost Model - Glaucoma Override'!G69+'Cost Model - Haemophilia Ovrd'!G69+'Cost Model -HIV Override'!G69+'Cost Model -Hyperlipidaemia Ovr'!G69+'Cost Model -Hypertension-HBP Ov'!G69+'Cost Model - Hypothyroidism Ovr'!G69+'Cost Model -Multiple scler Ovr'!G69+'Cost Model -Parkinson''s dis Ovr'!G69+'Cost Model - Rheumatoid art Ovr'!G69+'Cost Model Schizophrenia Ovrd'!G69+'Cost Model -Lupus Override'!G69+'Cost Model -Clinical depres Ovr'!G69</f>
        <v>0.33582122476778192</v>
      </c>
      <c r="H69" s="310">
        <f t="shared" si="2"/>
        <v>259.75892949269132</v>
      </c>
      <c r="I69" s="448">
        <f>'Cost Model -Asthma Override'!I69+'Cost Model  -Biploar Mood Ovrd'!I69+'Cost Model -Cardiac failure Ovr'!I69+'Cost Model -Cardiomyopathy Ovrd'!I69+'Cost Model-COPD Override'!I69+'Cost Model -CKD Override'!I69+'Cost Model -Diabetes ins Ovrd'!I69+'Cost Model - Diabetes1 Override'!I69+'Cost Model -Epilepsy Override'!I69+'Cost Model - Glaucoma Override'!I69+'Cost Model - Haemophilia Ovrd'!I69+'Cost Model -HIV Override'!I69+'Cost Model -Hyperlipidaemia Ovr'!I69+'Cost Model -Hypertension-HBP Ov'!I69+'Cost Model - Hypothyroidism Ovr'!I69+'Cost Model -Multiple scler Ovr'!I69+'Cost Model -Parkinson''s dis Ovr'!I69+'Cost Model - Rheumatoid art Ovr'!I69+'Cost Model Schizophrenia Ovrd'!I69+'Cost Model -Lupus Override'!I69+'Cost Model -Clinical depres Ovr'!I69</f>
        <v>7.2693801538836261E-3</v>
      </c>
      <c r="J69" s="439"/>
    </row>
    <row r="70" spans="4:10" x14ac:dyDescent="0.2">
      <c r="D70" s="446" t="s">
        <v>595</v>
      </c>
      <c r="E70" s="446" t="s">
        <v>567</v>
      </c>
      <c r="F70" s="446" t="s">
        <v>554</v>
      </c>
      <c r="G70" s="447">
        <f>'Cost Model -Asthma Override'!G70+'Cost Model  -Biploar Mood Ovrd'!G70+'Cost Model -Cardiac failure Ovr'!G70+'Cost Model -Cardiomyopathy Ovrd'!G70+'Cost Model-COPD Override'!G70+'Cost Model -CKD Override'!G70+'Cost Model -Diabetes ins Ovrd'!G70+'Cost Model - Diabetes1 Override'!G70+'Cost Model -Epilepsy Override'!G70+'Cost Model - Glaucoma Override'!G70+'Cost Model - Haemophilia Ovrd'!G70+'Cost Model -HIV Override'!G70+'Cost Model -Hyperlipidaemia Ovr'!G70+'Cost Model -Hypertension-HBP Ov'!G70+'Cost Model - Hypothyroidism Ovr'!G70+'Cost Model -Multiple scler Ovr'!G70+'Cost Model -Parkinson''s dis Ovr'!G70+'Cost Model - Rheumatoid art Ovr'!G70+'Cost Model Schizophrenia Ovrd'!G70+'Cost Model -Lupus Override'!G70+'Cost Model -Clinical depres Ovr'!G70</f>
        <v>0.18769028039471902</v>
      </c>
      <c r="H70" s="310">
        <f t="shared" si="2"/>
        <v>76.419830769230785</v>
      </c>
      <c r="I70" s="448">
        <f>'Cost Model -Asthma Override'!I70+'Cost Model  -Biploar Mood Ovrd'!I70+'Cost Model -Cardiac failure Ovr'!I70+'Cost Model -Cardiomyopathy Ovrd'!I70+'Cost Model-COPD Override'!I70+'Cost Model -CKD Override'!I70+'Cost Model -Diabetes ins Ovrd'!I70+'Cost Model - Diabetes1 Override'!I70+'Cost Model -Epilepsy Override'!I70+'Cost Model - Glaucoma Override'!I70+'Cost Model - Haemophilia Ovrd'!I70+'Cost Model -HIV Override'!I70+'Cost Model -Hyperlipidaemia Ovr'!I70+'Cost Model -Hypertension-HBP Ov'!I70+'Cost Model - Hypothyroidism Ovr'!I70+'Cost Model -Multiple scler Ovr'!I70+'Cost Model -Parkinson''s dis Ovr'!I70+'Cost Model - Rheumatoid art Ovr'!I70+'Cost Model Schizophrenia Ovrd'!I70+'Cost Model -Lupus Override'!I70+'Cost Model -Clinical depres Ovr'!I70</f>
        <v>1.1952716220661585E-3</v>
      </c>
      <c r="J70" s="439"/>
    </row>
    <row r="71" spans="4:10" x14ac:dyDescent="0.2">
      <c r="D71" s="446" t="s">
        <v>595</v>
      </c>
      <c r="E71" s="446" t="s">
        <v>568</v>
      </c>
      <c r="F71" s="446" t="s">
        <v>554</v>
      </c>
      <c r="G71" s="447">
        <f>'Cost Model -Asthma Override'!G71+'Cost Model  -Biploar Mood Ovrd'!G71+'Cost Model -Cardiac failure Ovr'!G71+'Cost Model -Cardiomyopathy Ovrd'!G71+'Cost Model-COPD Override'!G71+'Cost Model -CKD Override'!G71+'Cost Model -Diabetes ins Ovrd'!G71+'Cost Model - Diabetes1 Override'!G71+'Cost Model -Epilepsy Override'!G71+'Cost Model - Glaucoma Override'!G71+'Cost Model - Haemophilia Ovrd'!G71+'Cost Model -HIV Override'!G71+'Cost Model -Hyperlipidaemia Ovr'!G71+'Cost Model -Hypertension-HBP Ov'!G71+'Cost Model - Hypothyroidism Ovr'!G71+'Cost Model -Multiple scler Ovr'!G71+'Cost Model -Parkinson''s dis Ovr'!G71+'Cost Model - Rheumatoid art Ovr'!G71+'Cost Model Schizophrenia Ovrd'!G71+'Cost Model -Lupus Override'!G71+'Cost Model -Clinical depres Ovr'!G71</f>
        <v>0.88618687774060434</v>
      </c>
      <c r="H71" s="310">
        <f t="shared" si="2"/>
        <v>77.920242750081442</v>
      </c>
      <c r="I71" s="448">
        <f>'Cost Model -Asthma Override'!I71+'Cost Model  -Biploar Mood Ovrd'!I71+'Cost Model -Cardiac failure Ovr'!I71+'Cost Model -Cardiomyopathy Ovrd'!I71+'Cost Model-COPD Override'!I71+'Cost Model -CKD Override'!I71+'Cost Model -Diabetes ins Ovrd'!I71+'Cost Model - Diabetes1 Override'!I71+'Cost Model -Epilepsy Override'!I71+'Cost Model - Glaucoma Override'!I71+'Cost Model - Haemophilia Ovrd'!I71+'Cost Model -HIV Override'!I71+'Cost Model -Hyperlipidaemia Ovr'!I71+'Cost Model -Hypertension-HBP Ov'!I71+'Cost Model - Hypothyroidism Ovr'!I71+'Cost Model -Multiple scler Ovr'!I71+'Cost Model -Parkinson''s dis Ovr'!I71+'Cost Model - Rheumatoid art Ovr'!I71+'Cost Model Schizophrenia Ovrd'!I71+'Cost Model -Lupus Override'!I71+'Cost Model -Clinical depres Ovr'!I71</f>
        <v>5.7543247196237199E-3</v>
      </c>
      <c r="J71" s="439"/>
    </row>
    <row r="72" spans="4:10" x14ac:dyDescent="0.2">
      <c r="D72" s="446" t="s">
        <v>595</v>
      </c>
      <c r="E72" s="446" t="s">
        <v>548</v>
      </c>
      <c r="F72" s="446" t="s">
        <v>554</v>
      </c>
      <c r="G72" s="447">
        <f>'Cost Model -Asthma Override'!G72+'Cost Model  -Biploar Mood Ovrd'!G72+'Cost Model -Cardiac failure Ovr'!G72+'Cost Model -Cardiomyopathy Ovrd'!G72+'Cost Model-COPD Override'!G72+'Cost Model -CKD Override'!G72+'Cost Model -Diabetes ins Ovrd'!G72+'Cost Model - Diabetes1 Override'!G72+'Cost Model -Epilepsy Override'!G72+'Cost Model - Glaucoma Override'!G72+'Cost Model - Haemophilia Ovrd'!G72+'Cost Model -HIV Override'!G72+'Cost Model -Hyperlipidaemia Ovr'!G72+'Cost Model -Hypertension-HBP Ov'!G72+'Cost Model - Hypothyroidism Ovr'!G72+'Cost Model -Multiple scler Ovr'!G72+'Cost Model -Parkinson''s dis Ovr'!G72+'Cost Model - Rheumatoid art Ovr'!G72+'Cost Model Schizophrenia Ovrd'!G72+'Cost Model -Lupus Override'!G72+'Cost Model -Clinical depres Ovr'!G72</f>
        <v>6.7178682667432907</v>
      </c>
      <c r="H72" s="310">
        <f t="shared" si="2"/>
        <v>220.26936514076959</v>
      </c>
      <c r="I72" s="448">
        <f>'Cost Model -Asthma Override'!I72+'Cost Model  -Biploar Mood Ovrd'!I72+'Cost Model -Cardiac failure Ovr'!I72+'Cost Model -Cardiomyopathy Ovrd'!I72+'Cost Model-COPD Override'!I72+'Cost Model -CKD Override'!I72+'Cost Model -Diabetes ins Ovrd'!I72+'Cost Model - Diabetes1 Override'!I72+'Cost Model -Epilepsy Override'!I72+'Cost Model - Glaucoma Override'!I72+'Cost Model - Haemophilia Ovrd'!I72+'Cost Model -HIV Override'!I72+'Cost Model -Hyperlipidaemia Ovr'!I72+'Cost Model -Hypertension-HBP Ov'!I72+'Cost Model - Hypothyroidism Ovr'!I72+'Cost Model -Multiple scler Ovr'!I72+'Cost Model -Parkinson''s dis Ovr'!I72+'Cost Model - Rheumatoid art Ovr'!I72+'Cost Model Schizophrenia Ovrd'!I72+'Cost Model -Lupus Override'!I72+'Cost Model -Clinical depres Ovr'!I72</f>
        <v>0.12331171485123892</v>
      </c>
      <c r="J72" s="439"/>
    </row>
    <row r="73" spans="4:10" x14ac:dyDescent="0.2">
      <c r="D73" s="446" t="s">
        <v>595</v>
      </c>
      <c r="E73" s="446" t="s">
        <v>598</v>
      </c>
      <c r="F73" s="446" t="s">
        <v>554</v>
      </c>
      <c r="G73" s="447">
        <f>'Cost Model -Asthma Override'!G73+'Cost Model  -Biploar Mood Ovrd'!G73+'Cost Model -Cardiac failure Ovr'!G73+'Cost Model -Cardiomyopathy Ovrd'!G73+'Cost Model-COPD Override'!G73+'Cost Model -CKD Override'!G73+'Cost Model -Diabetes ins Ovrd'!G73+'Cost Model - Diabetes1 Override'!G73+'Cost Model -Epilepsy Override'!G73+'Cost Model - Glaucoma Override'!G73+'Cost Model - Haemophilia Ovrd'!G73+'Cost Model -HIV Override'!G73+'Cost Model -Hyperlipidaemia Ovr'!G73+'Cost Model -Hypertension-HBP Ov'!G73+'Cost Model - Hypothyroidism Ovr'!G73+'Cost Model -Multiple scler Ovr'!G73+'Cost Model -Parkinson''s dis Ovr'!G73+'Cost Model - Rheumatoid art Ovr'!G73+'Cost Model Schizophrenia Ovrd'!G73+'Cost Model -Lupus Override'!G73+'Cost Model -Clinical depres Ovr'!G73</f>
        <v>17.180157627361226</v>
      </c>
      <c r="H73" s="310">
        <f t="shared" si="2"/>
        <v>71.012095298122048</v>
      </c>
      <c r="I73" s="448">
        <f>'Cost Model -Asthma Override'!I73+'Cost Model  -Biploar Mood Ovrd'!I73+'Cost Model -Cardiac failure Ovr'!I73+'Cost Model -Cardiomyopathy Ovrd'!I73+'Cost Model-COPD Override'!I73+'Cost Model -CKD Override'!I73+'Cost Model -Diabetes ins Ovrd'!I73+'Cost Model - Diabetes1 Override'!I73+'Cost Model -Epilepsy Override'!I73+'Cost Model - Glaucoma Override'!I73+'Cost Model - Haemophilia Ovrd'!I73+'Cost Model -HIV Override'!I73+'Cost Model -Hyperlipidaemia Ovr'!I73+'Cost Model -Hypertension-HBP Ov'!I73+'Cost Model - Hypothyroidism Ovr'!I73+'Cost Model -Multiple scler Ovr'!I73+'Cost Model -Parkinson''s dis Ovr'!I73+'Cost Model - Rheumatoid art Ovr'!I73+'Cost Model Schizophrenia Ovrd'!I73+'Cost Model -Lupus Override'!I73+'Cost Model -Clinical depres Ovr'!I73</f>
        <v>0.10166658255591116</v>
      </c>
      <c r="J73" s="439"/>
    </row>
    <row r="74" spans="4:10" x14ac:dyDescent="0.2">
      <c r="D74" s="446" t="s">
        <v>595</v>
      </c>
      <c r="E74" s="446" t="s">
        <v>549</v>
      </c>
      <c r="F74" s="446" t="s">
        <v>554</v>
      </c>
      <c r="G74" s="447">
        <f>'Cost Model -Asthma Override'!G74+'Cost Model  -Biploar Mood Ovrd'!G74+'Cost Model -Cardiac failure Ovr'!G74+'Cost Model -Cardiomyopathy Ovrd'!G74+'Cost Model-COPD Override'!G74+'Cost Model -CKD Override'!G74+'Cost Model -Diabetes ins Ovrd'!G74+'Cost Model - Diabetes1 Override'!G74+'Cost Model -Epilepsy Override'!G74+'Cost Model - Glaucoma Override'!G74+'Cost Model - Haemophilia Ovrd'!G74+'Cost Model -HIV Override'!G74+'Cost Model -Hyperlipidaemia Ovr'!G74+'Cost Model -Hypertension-HBP Ov'!G74+'Cost Model - Hypothyroidism Ovr'!G74+'Cost Model -Multiple scler Ovr'!G74+'Cost Model -Parkinson''s dis Ovr'!G74+'Cost Model - Rheumatoid art Ovr'!G74+'Cost Model Schizophrenia Ovrd'!G74+'Cost Model -Lupus Override'!G74+'Cost Model -Clinical depres Ovr'!G74</f>
        <v>110.29547138826284</v>
      </c>
      <c r="H74" s="310">
        <f t="shared" si="2"/>
        <v>71.228535028928377</v>
      </c>
      <c r="I74" s="448">
        <f>'Cost Model -Asthma Override'!I74+'Cost Model  -Biploar Mood Ovrd'!I74+'Cost Model -Cardiac failure Ovr'!I74+'Cost Model -Cardiomyopathy Ovrd'!I74+'Cost Model-COPD Override'!I74+'Cost Model -CKD Override'!I74+'Cost Model -Diabetes ins Ovrd'!I74+'Cost Model - Diabetes1 Override'!I74+'Cost Model -Epilepsy Override'!I74+'Cost Model - Glaucoma Override'!I74+'Cost Model - Haemophilia Ovrd'!I74+'Cost Model -HIV Override'!I74+'Cost Model -Hyperlipidaemia Ovr'!I74+'Cost Model -Hypertension-HBP Ov'!I74+'Cost Model - Hypothyroidism Ovr'!I74+'Cost Model -Multiple scler Ovr'!I74+'Cost Model -Parkinson''s dis Ovr'!I74+'Cost Model - Rheumatoid art Ovr'!I74+'Cost Model Schizophrenia Ovrd'!I74+'Cost Model -Lupus Override'!I74+'Cost Model -Clinical depres Ovr'!I74</f>
        <v>0.65468207060925399</v>
      </c>
      <c r="J74" s="439"/>
    </row>
    <row r="75" spans="4:10" x14ac:dyDescent="0.2">
      <c r="D75" s="446" t="s">
        <v>595</v>
      </c>
      <c r="E75" s="446" t="s">
        <v>571</v>
      </c>
      <c r="F75" s="446" t="s">
        <v>554</v>
      </c>
      <c r="G75" s="447">
        <f>'Cost Model -Asthma Override'!G75+'Cost Model  -Biploar Mood Ovrd'!G75+'Cost Model -Cardiac failure Ovr'!G75+'Cost Model -Cardiomyopathy Ovrd'!G75+'Cost Model-COPD Override'!G75+'Cost Model -CKD Override'!G75+'Cost Model -Diabetes ins Ovrd'!G75+'Cost Model - Diabetes1 Override'!G75+'Cost Model -Epilepsy Override'!G75+'Cost Model - Glaucoma Override'!G75+'Cost Model - Haemophilia Ovrd'!G75+'Cost Model -HIV Override'!G75+'Cost Model -Hyperlipidaemia Ovr'!G75+'Cost Model -Hypertension-HBP Ov'!G75+'Cost Model - Hypothyroidism Ovr'!G75+'Cost Model -Multiple scler Ovr'!G75+'Cost Model -Parkinson''s dis Ovr'!G75+'Cost Model - Rheumatoid art Ovr'!G75+'Cost Model Schizophrenia Ovrd'!G75+'Cost Model -Lupus Override'!G75+'Cost Model -Clinical depres Ovr'!G75</f>
        <v>0.88228869499394469</v>
      </c>
      <c r="H75" s="310">
        <f t="shared" si="2"/>
        <v>120.71854851906399</v>
      </c>
      <c r="I75" s="448">
        <f>'Cost Model -Asthma Override'!I75+'Cost Model  -Biploar Mood Ovrd'!I75+'Cost Model -Cardiac failure Ovr'!I75+'Cost Model -Cardiomyopathy Ovrd'!I75+'Cost Model-COPD Override'!I75+'Cost Model -CKD Override'!I75+'Cost Model -Diabetes ins Ovrd'!I75+'Cost Model - Diabetes1 Override'!I75+'Cost Model -Epilepsy Override'!I75+'Cost Model - Glaucoma Override'!I75+'Cost Model - Haemophilia Ovrd'!I75+'Cost Model -HIV Override'!I75+'Cost Model -Hyperlipidaemia Ovr'!I75+'Cost Model -Hypertension-HBP Ov'!I75+'Cost Model - Hypothyroidism Ovr'!I75+'Cost Model -Multiple scler Ovr'!I75+'Cost Model -Parkinson''s dis Ovr'!I75+'Cost Model - Rheumatoid art Ovr'!I75+'Cost Model Schizophrenia Ovrd'!I75+'Cost Model -Lupus Override'!I75+'Cost Model -Clinical depres Ovr'!I75</f>
        <v>8.8757175528706798E-3</v>
      </c>
      <c r="J75" s="439"/>
    </row>
    <row r="76" spans="4:10" x14ac:dyDescent="0.2">
      <c r="D76" s="446" t="s">
        <v>595</v>
      </c>
      <c r="E76" s="446" t="s">
        <v>561</v>
      </c>
      <c r="F76" s="446" t="s">
        <v>554</v>
      </c>
      <c r="G76" s="447">
        <f>'Cost Model -Asthma Override'!G76+'Cost Model  -Biploar Mood Ovrd'!G76+'Cost Model -Cardiac failure Ovr'!G76+'Cost Model -Cardiomyopathy Ovrd'!G76+'Cost Model-COPD Override'!G76+'Cost Model -CKD Override'!G76+'Cost Model -Diabetes ins Ovrd'!G76+'Cost Model - Diabetes1 Override'!G76+'Cost Model -Epilepsy Override'!G76+'Cost Model - Glaucoma Override'!G76+'Cost Model - Haemophilia Ovrd'!G76+'Cost Model -HIV Override'!G76+'Cost Model -Hyperlipidaemia Ovr'!G76+'Cost Model -Hypertension-HBP Ov'!G76+'Cost Model - Hypothyroidism Ovr'!G76+'Cost Model -Multiple scler Ovr'!G76+'Cost Model -Parkinson''s dis Ovr'!G76+'Cost Model - Rheumatoid art Ovr'!G76+'Cost Model Schizophrenia Ovrd'!G76+'Cost Model -Lupus Override'!G76+'Cost Model -Clinical depres Ovr'!G76</f>
        <v>1.1417344133549525</v>
      </c>
      <c r="H76" s="310">
        <f t="shared" si="2"/>
        <v>169.48887708649482</v>
      </c>
      <c r="I76" s="448">
        <f>'Cost Model -Asthma Override'!I76+'Cost Model  -Biploar Mood Ovrd'!I76+'Cost Model -Cardiac failure Ovr'!I76+'Cost Model -Cardiomyopathy Ovrd'!I76+'Cost Model-COPD Override'!I76+'Cost Model -CKD Override'!I76+'Cost Model -Diabetes ins Ovrd'!I76+'Cost Model - Diabetes1 Override'!I76+'Cost Model -Epilepsy Override'!I76+'Cost Model - Glaucoma Override'!I76+'Cost Model - Haemophilia Ovrd'!I76+'Cost Model -HIV Override'!I76+'Cost Model -Hyperlipidaemia Ovr'!I76+'Cost Model -Hypertension-HBP Ov'!I76+'Cost Model - Hypothyroidism Ovr'!I76+'Cost Model -Multiple scler Ovr'!I76+'Cost Model -Parkinson''s dis Ovr'!I76+'Cost Model - Rheumatoid art Ovr'!I76+'Cost Model Schizophrenia Ovrd'!I76+'Cost Model -Lupus Override'!I76+'Cost Model -Clinical depres Ovr'!I76</f>
        <v>1.6125940304211567E-2</v>
      </c>
      <c r="J76" s="439"/>
    </row>
    <row r="77" spans="4:10" x14ac:dyDescent="0.2">
      <c r="D77" s="446" t="s">
        <v>595</v>
      </c>
      <c r="E77" s="446" t="s">
        <v>599</v>
      </c>
      <c r="F77" s="446" t="s">
        <v>554</v>
      </c>
      <c r="G77" s="447">
        <f>'Cost Model -Asthma Override'!G77+'Cost Model  -Biploar Mood Ovrd'!G77+'Cost Model -Cardiac failure Ovr'!G77+'Cost Model -Cardiomyopathy Ovrd'!G77+'Cost Model-COPD Override'!G77+'Cost Model -CKD Override'!G77+'Cost Model -Diabetes ins Ovrd'!G77+'Cost Model - Diabetes1 Override'!G77+'Cost Model -Epilepsy Override'!G77+'Cost Model - Glaucoma Override'!G77+'Cost Model - Haemophilia Ovrd'!G77+'Cost Model -HIV Override'!G77+'Cost Model -Hyperlipidaemia Ovr'!G77+'Cost Model -Hypertension-HBP Ov'!G77+'Cost Model - Hypothyroidism Ovr'!G77+'Cost Model -Multiple scler Ovr'!G77+'Cost Model -Parkinson''s dis Ovr'!G77+'Cost Model - Rheumatoid art Ovr'!G77+'Cost Model Schizophrenia Ovrd'!G77+'Cost Model -Lupus Override'!G77+'Cost Model -Clinical depres Ovr'!G77</f>
        <v>175.38631625201262</v>
      </c>
      <c r="H77" s="310">
        <f t="shared" si="2"/>
        <v>66.875459717363285</v>
      </c>
      <c r="I77" s="448">
        <f>'Cost Model -Asthma Override'!I77+'Cost Model  -Biploar Mood Ovrd'!I77+'Cost Model -Cardiac failure Ovr'!I77+'Cost Model -Cardiomyopathy Ovrd'!I77+'Cost Model-COPD Override'!I77+'Cost Model -CKD Override'!I77+'Cost Model -Diabetes ins Ovrd'!I77+'Cost Model - Diabetes1 Override'!I77+'Cost Model -Epilepsy Override'!I77+'Cost Model - Glaucoma Override'!I77+'Cost Model - Haemophilia Ovrd'!I77+'Cost Model -HIV Override'!I77+'Cost Model -Hyperlipidaemia Ovr'!I77+'Cost Model -Hypertension-HBP Ov'!I77+'Cost Model - Hypothyroidism Ovr'!I77+'Cost Model -Multiple scler Ovr'!I77+'Cost Model -Parkinson''s dis Ovr'!I77+'Cost Model - Rheumatoid art Ovr'!I77+'Cost Model Schizophrenia Ovrd'!I77+'Cost Model -Lupus Override'!I77+'Cost Model -Clinical depres Ovr'!I77</f>
        <v>0.97742004395735071</v>
      </c>
      <c r="J77" s="439"/>
    </row>
    <row r="78" spans="4:10" x14ac:dyDescent="0.2">
      <c r="D78" s="446" t="s">
        <v>595</v>
      </c>
      <c r="E78" s="446" t="s">
        <v>600</v>
      </c>
      <c r="F78" s="446" t="s">
        <v>554</v>
      </c>
      <c r="G78" s="447">
        <f>'Cost Model -Asthma Override'!G78+'Cost Model  -Biploar Mood Ovrd'!G78+'Cost Model -Cardiac failure Ovr'!G78+'Cost Model -Cardiomyopathy Ovrd'!G78+'Cost Model-COPD Override'!G78+'Cost Model -CKD Override'!G78+'Cost Model -Diabetes ins Ovrd'!G78+'Cost Model - Diabetes1 Override'!G78+'Cost Model -Epilepsy Override'!G78+'Cost Model - Glaucoma Override'!G78+'Cost Model - Haemophilia Ovrd'!G78+'Cost Model -HIV Override'!G78+'Cost Model -Hyperlipidaemia Ovr'!G78+'Cost Model -Hypertension-HBP Ov'!G78+'Cost Model - Hypothyroidism Ovr'!G78+'Cost Model -Multiple scler Ovr'!G78+'Cost Model -Parkinson''s dis Ovr'!G78+'Cost Model - Rheumatoid art Ovr'!G78+'Cost Model Schizophrenia Ovrd'!G78+'Cost Model -Lupus Override'!G78+'Cost Model -Clinical depres Ovr'!G78</f>
        <v>0.61129280553172338</v>
      </c>
      <c r="H78" s="310">
        <f t="shared" si="2"/>
        <v>150.07619744922061</v>
      </c>
      <c r="I78" s="448">
        <f>'Cost Model -Asthma Override'!I78+'Cost Model  -Biploar Mood Ovrd'!I78+'Cost Model -Cardiac failure Ovr'!I78+'Cost Model -Cardiomyopathy Ovrd'!I78+'Cost Model-COPD Override'!I78+'Cost Model -CKD Override'!I78+'Cost Model -Diabetes ins Ovrd'!I78+'Cost Model - Diabetes1 Override'!I78+'Cost Model -Epilepsy Override'!I78+'Cost Model - Glaucoma Override'!I78+'Cost Model - Haemophilia Ovrd'!I78+'Cost Model -HIV Override'!I78+'Cost Model -Hyperlipidaemia Ovr'!I78+'Cost Model -Hypertension-HBP Ov'!I78+'Cost Model - Hypothyroidism Ovr'!I78+'Cost Model -Multiple scler Ovr'!I78+'Cost Model -Parkinson''s dis Ovr'!I78+'Cost Model - Rheumatoid art Ovr'!I78+'Cost Model Schizophrenia Ovrd'!I78+'Cost Model -Lupus Override'!I78+'Cost Model -Clinical depres Ovr'!I78</f>
        <v>7.6450416485222446E-3</v>
      </c>
      <c r="J78" s="439"/>
    </row>
    <row r="79" spans="4:10" x14ac:dyDescent="0.2">
      <c r="D79" s="446" t="s">
        <v>595</v>
      </c>
      <c r="E79" s="446" t="s">
        <v>555</v>
      </c>
      <c r="F79" s="446" t="s">
        <v>554</v>
      </c>
      <c r="G79" s="447">
        <f>'Cost Model -Asthma Override'!G79+'Cost Model  -Biploar Mood Ovrd'!G79+'Cost Model -Cardiac failure Ovr'!G79+'Cost Model -Cardiomyopathy Ovrd'!G79+'Cost Model-COPD Override'!G79+'Cost Model -CKD Override'!G79+'Cost Model -Diabetes ins Ovrd'!G79+'Cost Model - Diabetes1 Override'!G79+'Cost Model -Epilepsy Override'!G79+'Cost Model - Glaucoma Override'!G79+'Cost Model - Haemophilia Ovrd'!G79+'Cost Model -HIV Override'!G79+'Cost Model -Hyperlipidaemia Ovr'!G79+'Cost Model -Hypertension-HBP Ov'!G79+'Cost Model - Hypothyroidism Ovr'!G79+'Cost Model -Multiple scler Ovr'!G79+'Cost Model -Parkinson''s dis Ovr'!G79+'Cost Model - Rheumatoid art Ovr'!G79+'Cost Model Schizophrenia Ovrd'!G79+'Cost Model -Lupus Override'!G79+'Cost Model -Clinical depres Ovr'!G79</f>
        <v>87.523442799387851</v>
      </c>
      <c r="H79" s="310">
        <f t="shared" si="2"/>
        <v>77.206030972560697</v>
      </c>
      <c r="I79" s="448">
        <f>'Cost Model -Asthma Override'!I79+'Cost Model  -Biploar Mood Ovrd'!I79+'Cost Model -Cardiac failure Ovr'!I79+'Cost Model -Cardiomyopathy Ovrd'!I79+'Cost Model-COPD Override'!I79+'Cost Model -CKD Override'!I79+'Cost Model -Diabetes ins Ovrd'!I79+'Cost Model - Diabetes1 Override'!I79+'Cost Model -Epilepsy Override'!I79+'Cost Model - Glaucoma Override'!I79+'Cost Model - Haemophilia Ovrd'!I79+'Cost Model -HIV Override'!I79+'Cost Model -Hyperlipidaemia Ovr'!I79+'Cost Model -Hypertension-HBP Ov'!I79+'Cost Model - Hypothyroidism Ovr'!I79+'Cost Model -Multiple scler Ovr'!I79+'Cost Model -Parkinson''s dis Ovr'!I79+'Cost Model - Rheumatoid art Ovr'!I79+'Cost Model Schizophrenia Ovrd'!I79+'Cost Model -Lupus Override'!I79+'Cost Model -Clinical depres Ovr'!I79</f>
        <v>0.56311146963289027</v>
      </c>
      <c r="J79" s="439"/>
    </row>
    <row r="80" spans="4:10" x14ac:dyDescent="0.2">
      <c r="D80" s="446" t="s">
        <v>595</v>
      </c>
      <c r="E80" s="446" t="s">
        <v>552</v>
      </c>
      <c r="F80" s="446" t="s">
        <v>554</v>
      </c>
      <c r="G80" s="447">
        <f>'Cost Model -Asthma Override'!G80+'Cost Model  -Biploar Mood Ovrd'!G80+'Cost Model -Cardiac failure Ovr'!G80+'Cost Model -Cardiomyopathy Ovrd'!G80+'Cost Model-COPD Override'!G80+'Cost Model -CKD Override'!G80+'Cost Model -Diabetes ins Ovrd'!G80+'Cost Model - Diabetes1 Override'!G80+'Cost Model -Epilepsy Override'!G80+'Cost Model - Glaucoma Override'!G80+'Cost Model - Haemophilia Ovrd'!G80+'Cost Model -HIV Override'!G80+'Cost Model -Hyperlipidaemia Ovr'!G80+'Cost Model -Hypertension-HBP Ov'!G80+'Cost Model - Hypothyroidism Ovr'!G80+'Cost Model -Multiple scler Ovr'!G80+'Cost Model -Parkinson''s dis Ovr'!G80+'Cost Model - Rheumatoid art Ovr'!G80+'Cost Model Schizophrenia Ovrd'!G80+'Cost Model -Lupus Override'!G80+'Cost Model -Clinical depres Ovr'!G80</f>
        <v>13.116951811093092</v>
      </c>
      <c r="H80" s="310">
        <f t="shared" si="2"/>
        <v>94.217999713820788</v>
      </c>
      <c r="I80" s="448">
        <f>'Cost Model -Asthma Override'!I80+'Cost Model  -Biploar Mood Ovrd'!I80+'Cost Model -Cardiac failure Ovr'!I80+'Cost Model -Cardiomyopathy Ovrd'!I80+'Cost Model-COPD Override'!I80+'Cost Model -CKD Override'!I80+'Cost Model -Diabetes ins Ovrd'!I80+'Cost Model - Diabetes1 Override'!I80+'Cost Model -Epilepsy Override'!I80+'Cost Model - Glaucoma Override'!I80+'Cost Model - Haemophilia Ovrd'!I80+'Cost Model -HIV Override'!I80+'Cost Model -Hyperlipidaemia Ovr'!I80+'Cost Model -Hypertension-HBP Ov'!I80+'Cost Model - Hypothyroidism Ovr'!I80+'Cost Model -Multiple scler Ovr'!I80+'Cost Model -Parkinson''s dis Ovr'!I80+'Cost Model - Rheumatoid art Ovr'!I80+'Cost Model Schizophrenia Ovrd'!I80+'Cost Model -Lupus Override'!I80+'Cost Model -Clinical depres Ovr'!I80</f>
        <v>0.10298774683198084</v>
      </c>
      <c r="J80" s="439"/>
    </row>
    <row r="81" spans="4:10" x14ac:dyDescent="0.2">
      <c r="D81" s="446" t="s">
        <v>595</v>
      </c>
      <c r="E81" s="446" t="s">
        <v>581</v>
      </c>
      <c r="F81" s="446" t="s">
        <v>554</v>
      </c>
      <c r="G81" s="447">
        <f>'Cost Model -Asthma Override'!G81+'Cost Model  -Biploar Mood Ovrd'!G81+'Cost Model -Cardiac failure Ovr'!G81+'Cost Model -Cardiomyopathy Ovrd'!G81+'Cost Model-COPD Override'!G81+'Cost Model -CKD Override'!G81+'Cost Model -Diabetes ins Ovrd'!G81+'Cost Model - Diabetes1 Override'!G81+'Cost Model -Epilepsy Override'!G81+'Cost Model - Glaucoma Override'!G81+'Cost Model - Haemophilia Ovrd'!G81+'Cost Model -HIV Override'!G81+'Cost Model -Hyperlipidaemia Ovr'!G81+'Cost Model -Hypertension-HBP Ov'!G81+'Cost Model - Hypothyroidism Ovr'!G81+'Cost Model -Multiple scler Ovr'!G81+'Cost Model -Parkinson''s dis Ovr'!G81+'Cost Model - Rheumatoid art Ovr'!G81+'Cost Model Schizophrenia Ovrd'!G81+'Cost Model -Lupus Override'!G81+'Cost Model -Clinical depres Ovr'!G81</f>
        <v>4.2445435025571889</v>
      </c>
      <c r="H81" s="310">
        <f t="shared" si="2"/>
        <v>291.19157420320454</v>
      </c>
      <c r="I81" s="448">
        <f>'Cost Model -Asthma Override'!I81+'Cost Model  -Biploar Mood Ovrd'!I81+'Cost Model -Cardiac failure Ovr'!I81+'Cost Model -Cardiomyopathy Ovrd'!I81+'Cost Model-COPD Override'!I81+'Cost Model -CKD Override'!I81+'Cost Model -Diabetes ins Ovrd'!I81+'Cost Model - Diabetes1 Override'!I81+'Cost Model -Epilepsy Override'!I81+'Cost Model - Glaucoma Override'!I81+'Cost Model - Haemophilia Ovrd'!I81+'Cost Model -HIV Override'!I81+'Cost Model -Hyperlipidaemia Ovr'!I81+'Cost Model -Hypertension-HBP Ov'!I81+'Cost Model - Hypothyroidism Ovr'!I81+'Cost Model -Multiple scler Ovr'!I81+'Cost Model -Parkinson''s dis Ovr'!I81+'Cost Model - Rheumatoid art Ovr'!I81+'Cost Model Schizophrenia Ovrd'!I81+'Cost Model -Lupus Override'!I81+'Cost Model -Clinical depres Ovr'!I81</f>
        <v>0.10299794202363428</v>
      </c>
      <c r="J81" s="439"/>
    </row>
    <row r="82" spans="4:10" x14ac:dyDescent="0.2">
      <c r="D82" s="446" t="s">
        <v>595</v>
      </c>
      <c r="E82" s="446" t="s">
        <v>574</v>
      </c>
      <c r="F82" s="446" t="s">
        <v>554</v>
      </c>
      <c r="G82" s="447">
        <f>'Cost Model -Asthma Override'!G82+'Cost Model  -Biploar Mood Ovrd'!G82+'Cost Model -Cardiac failure Ovr'!G82+'Cost Model -Cardiomyopathy Ovrd'!G82+'Cost Model-COPD Override'!G82+'Cost Model -CKD Override'!G82+'Cost Model -Diabetes ins Ovrd'!G82+'Cost Model - Diabetes1 Override'!G82+'Cost Model -Epilepsy Override'!G82+'Cost Model - Glaucoma Override'!G82+'Cost Model - Haemophilia Ovrd'!G82+'Cost Model -HIV Override'!G82+'Cost Model -Hyperlipidaemia Ovr'!G82+'Cost Model -Hypertension-HBP Ov'!G82+'Cost Model - Hypothyroidism Ovr'!G82+'Cost Model -Multiple scler Ovr'!G82+'Cost Model -Parkinson''s dis Ovr'!G82+'Cost Model - Rheumatoid art Ovr'!G82+'Cost Model Schizophrenia Ovrd'!G82+'Cost Model -Lupus Override'!G82+'Cost Model -Clinical depres Ovr'!G82</f>
        <v>5.7505414370166621</v>
      </c>
      <c r="H82" s="310">
        <f t="shared" si="2"/>
        <v>180.05872859653732</v>
      </c>
      <c r="I82" s="448">
        <f>'Cost Model -Asthma Override'!I82+'Cost Model  -Biploar Mood Ovrd'!I82+'Cost Model -Cardiac failure Ovr'!I82+'Cost Model -Cardiomyopathy Ovrd'!I82+'Cost Model-COPD Override'!I82+'Cost Model -CKD Override'!I82+'Cost Model -Diabetes ins Ovrd'!I82+'Cost Model - Diabetes1 Override'!I82+'Cost Model -Epilepsy Override'!I82+'Cost Model - Glaucoma Override'!I82+'Cost Model - Haemophilia Ovrd'!I82+'Cost Model -HIV Override'!I82+'Cost Model -Hyperlipidaemia Ovr'!I82+'Cost Model -Hypertension-HBP Ov'!I82+'Cost Model - Hypothyroidism Ovr'!I82+'Cost Model -Multiple scler Ovr'!I82+'Cost Model -Parkinson''s dis Ovr'!I82+'Cost Model - Rheumatoid art Ovr'!I82+'Cost Model Schizophrenia Ovrd'!I82+'Cost Model -Lupus Override'!I82+'Cost Model -Clinical depres Ovr'!I82</f>
        <v>8.6286264990910411E-2</v>
      </c>
      <c r="J82" s="439"/>
    </row>
    <row r="83" spans="4:10" x14ac:dyDescent="0.2">
      <c r="D83" s="446" t="s">
        <v>595</v>
      </c>
      <c r="E83" s="446" t="s">
        <v>601</v>
      </c>
      <c r="F83" s="446" t="s">
        <v>554</v>
      </c>
      <c r="G83" s="447">
        <f>'Cost Model -Asthma Override'!G83+'Cost Model  -Biploar Mood Ovrd'!G83+'Cost Model -Cardiac failure Ovr'!G83+'Cost Model -Cardiomyopathy Ovrd'!G83+'Cost Model-COPD Override'!G83+'Cost Model -CKD Override'!G83+'Cost Model -Diabetes ins Ovrd'!G83+'Cost Model - Diabetes1 Override'!G83+'Cost Model -Epilepsy Override'!G83+'Cost Model - Glaucoma Override'!G83+'Cost Model - Haemophilia Ovrd'!G83+'Cost Model -HIV Override'!G83+'Cost Model -Hyperlipidaemia Ovr'!G83+'Cost Model -Hypertension-HBP Ov'!G83+'Cost Model - Hypothyroidism Ovr'!G83+'Cost Model -Multiple scler Ovr'!G83+'Cost Model -Parkinson''s dis Ovr'!G83+'Cost Model - Rheumatoid art Ovr'!G83+'Cost Model Schizophrenia Ovrd'!G83+'Cost Model -Lupus Override'!G83+'Cost Model -Clinical depres Ovr'!G83</f>
        <v>0.12632999641952244</v>
      </c>
      <c r="H83" s="310">
        <f t="shared" si="2"/>
        <v>313.03563428571425</v>
      </c>
      <c r="I83" s="448">
        <f>'Cost Model -Asthma Override'!I83+'Cost Model  -Biploar Mood Ovrd'!I83+'Cost Model -Cardiac failure Ovr'!I83+'Cost Model -Cardiomyopathy Ovrd'!I83+'Cost Model-COPD Override'!I83+'Cost Model -CKD Override'!I83+'Cost Model -Diabetes ins Ovrd'!I83+'Cost Model - Diabetes1 Override'!I83+'Cost Model -Epilepsy Override'!I83+'Cost Model - Glaucoma Override'!I83+'Cost Model - Haemophilia Ovrd'!I83+'Cost Model -HIV Override'!I83+'Cost Model -Hyperlipidaemia Ovr'!I83+'Cost Model -Hypertension-HBP Ov'!I83+'Cost Model - Hypothyroidism Ovr'!I83+'Cost Model -Multiple scler Ovr'!I83+'Cost Model -Parkinson''s dis Ovr'!I83+'Cost Model - Rheumatoid art Ovr'!I83+'Cost Model Schizophrenia Ovrd'!I83+'Cost Model -Lupus Override'!I83+'Cost Model -Clinical depres Ovr'!I83</f>
        <v>3.2954825465414347E-3</v>
      </c>
      <c r="J83" s="439"/>
    </row>
    <row r="84" spans="4:10" x14ac:dyDescent="0.2">
      <c r="D84" s="446" t="s">
        <v>595</v>
      </c>
      <c r="E84" s="446" t="s">
        <v>559</v>
      </c>
      <c r="F84" s="446" t="s">
        <v>554</v>
      </c>
      <c r="G84" s="447">
        <f>'Cost Model -Asthma Override'!G84+'Cost Model  -Biploar Mood Ovrd'!G84+'Cost Model -Cardiac failure Ovr'!G84+'Cost Model -Cardiomyopathy Ovrd'!G84+'Cost Model-COPD Override'!G84+'Cost Model -CKD Override'!G84+'Cost Model -Diabetes ins Ovrd'!G84+'Cost Model - Diabetes1 Override'!G84+'Cost Model -Epilepsy Override'!G84+'Cost Model - Glaucoma Override'!G84+'Cost Model - Haemophilia Ovrd'!G84+'Cost Model -HIV Override'!G84+'Cost Model -Hyperlipidaemia Ovr'!G84+'Cost Model -Hypertension-HBP Ov'!G84+'Cost Model - Hypothyroidism Ovr'!G84+'Cost Model -Multiple scler Ovr'!G84+'Cost Model -Parkinson''s dis Ovr'!G84+'Cost Model - Rheumatoid art Ovr'!G84+'Cost Model Schizophrenia Ovrd'!G84+'Cost Model -Lupus Override'!G84+'Cost Model -Clinical depres Ovr'!G84</f>
        <v>11.104767628122936</v>
      </c>
      <c r="H84" s="310">
        <f t="shared" si="2"/>
        <v>79.038714945069259</v>
      </c>
      <c r="I84" s="448">
        <f>'Cost Model -Asthma Override'!I84+'Cost Model  -Biploar Mood Ovrd'!I84+'Cost Model -Cardiac failure Ovr'!I84+'Cost Model -Cardiomyopathy Ovrd'!I84+'Cost Model-COPD Override'!I84+'Cost Model -CKD Override'!I84+'Cost Model -Diabetes ins Ovrd'!I84+'Cost Model - Diabetes1 Override'!I84+'Cost Model -Epilepsy Override'!I84+'Cost Model - Glaucoma Override'!I84+'Cost Model - Haemophilia Ovrd'!I84+'Cost Model -HIV Override'!I84+'Cost Model -Hyperlipidaemia Ovr'!I84+'Cost Model -Hypertension-HBP Ov'!I84+'Cost Model - Hypothyroidism Ovr'!I84+'Cost Model -Multiple scler Ovr'!I84+'Cost Model -Parkinson''s dis Ovr'!I84+'Cost Model - Rheumatoid art Ovr'!I84+'Cost Model Schizophrenia Ovrd'!I84+'Cost Model -Lupus Override'!I84+'Cost Model -Clinical depres Ovr'!I84</f>
        <v>7.3142213590870128E-2</v>
      </c>
      <c r="J84" s="439"/>
    </row>
    <row r="85" spans="4:10" x14ac:dyDescent="0.2">
      <c r="D85" s="446" t="s">
        <v>595</v>
      </c>
      <c r="E85" s="446" t="s">
        <v>573</v>
      </c>
      <c r="F85" s="446" t="s">
        <v>554</v>
      </c>
      <c r="G85" s="447">
        <f>'Cost Model -Asthma Override'!G85+'Cost Model  -Biploar Mood Ovrd'!G85+'Cost Model -Cardiac failure Ovr'!G85+'Cost Model -Cardiomyopathy Ovrd'!G85+'Cost Model-COPD Override'!G85+'Cost Model -CKD Override'!G85+'Cost Model -Diabetes ins Ovrd'!G85+'Cost Model - Diabetes1 Override'!G85+'Cost Model -Epilepsy Override'!G85+'Cost Model - Glaucoma Override'!G85+'Cost Model - Haemophilia Ovrd'!G85+'Cost Model -HIV Override'!G85+'Cost Model -Hyperlipidaemia Ovr'!G85+'Cost Model -Hypertension-HBP Ov'!G85+'Cost Model - Hypothyroidism Ovr'!G85+'Cost Model -Multiple scler Ovr'!G85+'Cost Model -Parkinson''s dis Ovr'!G85+'Cost Model - Rheumatoid art Ovr'!G85+'Cost Model Schizophrenia Ovrd'!G85+'Cost Model -Lupus Override'!G85+'Cost Model -Clinical depres Ovr'!G85</f>
        <v>1.9368193165347358</v>
      </c>
      <c r="H85" s="310">
        <f t="shared" si="2"/>
        <v>71.934998881848671</v>
      </c>
      <c r="I85" s="448">
        <f>'Cost Model -Asthma Override'!I85+'Cost Model  -Biploar Mood Ovrd'!I85+'Cost Model -Cardiac failure Ovr'!I85+'Cost Model -Cardiomyopathy Ovrd'!I85+'Cost Model-COPD Override'!I85+'Cost Model -CKD Override'!I85+'Cost Model -Diabetes ins Ovrd'!I85+'Cost Model - Diabetes1 Override'!I85+'Cost Model -Epilepsy Override'!I85+'Cost Model - Glaucoma Override'!I85+'Cost Model - Haemophilia Ovrd'!I85+'Cost Model -HIV Override'!I85+'Cost Model -Hyperlipidaemia Ovr'!I85+'Cost Model -Hypertension-HBP Ov'!I85+'Cost Model - Hypothyroidism Ovr'!I85+'Cost Model -Multiple scler Ovr'!I85+'Cost Model -Parkinson''s dis Ovr'!I85+'Cost Model - Rheumatoid art Ovr'!I85+'Cost Model Schizophrenia Ovrd'!I85+'Cost Model -Lupus Override'!I85+'Cost Model -Clinical depres Ovr'!I85</f>
        <v>1.161042461410576E-2</v>
      </c>
      <c r="J85" s="439"/>
    </row>
    <row r="86" spans="4:10" x14ac:dyDescent="0.2">
      <c r="D86" s="446" t="s">
        <v>595</v>
      </c>
      <c r="E86" s="446" t="s">
        <v>562</v>
      </c>
      <c r="F86" s="446" t="s">
        <v>554</v>
      </c>
      <c r="G86" s="447">
        <f>'Cost Model -Asthma Override'!G86+'Cost Model  -Biploar Mood Ovrd'!G86+'Cost Model -Cardiac failure Ovr'!G86+'Cost Model -Cardiomyopathy Ovrd'!G86+'Cost Model-COPD Override'!G86+'Cost Model -CKD Override'!G86+'Cost Model -Diabetes ins Ovrd'!G86+'Cost Model - Diabetes1 Override'!G86+'Cost Model -Epilepsy Override'!G86+'Cost Model - Glaucoma Override'!G86+'Cost Model - Haemophilia Ovrd'!G86+'Cost Model -HIV Override'!G86+'Cost Model -Hyperlipidaemia Ovr'!G86+'Cost Model -Hypertension-HBP Ov'!G86+'Cost Model - Hypothyroidism Ovr'!G86+'Cost Model -Multiple scler Ovr'!G86+'Cost Model -Parkinson''s dis Ovr'!G86+'Cost Model - Rheumatoid art Ovr'!G86+'Cost Model Schizophrenia Ovrd'!G86+'Cost Model -Lupus Override'!G86+'Cost Model -Clinical depres Ovr'!G86</f>
        <v>1.4257242453060393</v>
      </c>
      <c r="H86" s="310">
        <f t="shared" si="2"/>
        <v>318.54332354430375</v>
      </c>
      <c r="I86" s="448">
        <f>'Cost Model -Asthma Override'!I86+'Cost Model  -Biploar Mood Ovrd'!I86+'Cost Model -Cardiac failure Ovr'!I86+'Cost Model -Cardiomyopathy Ovrd'!I86+'Cost Model-COPD Override'!I86+'Cost Model -CKD Override'!I86+'Cost Model -Diabetes ins Ovrd'!I86+'Cost Model - Diabetes1 Override'!I86+'Cost Model -Epilepsy Override'!I86+'Cost Model - Glaucoma Override'!I86+'Cost Model - Haemophilia Ovrd'!I86+'Cost Model -HIV Override'!I86+'Cost Model -Hyperlipidaemia Ovr'!I86+'Cost Model -Hypertension-HBP Ov'!I86+'Cost Model - Hypothyroidism Ovr'!I86+'Cost Model -Multiple scler Ovr'!I86+'Cost Model -Parkinson''s dis Ovr'!I86+'Cost Model - Rheumatoid art Ovr'!I86+'Cost Model Schizophrenia Ovrd'!I86+'Cost Model -Lupus Override'!I86+'Cost Model -Clinical depres Ovr'!I86</f>
        <v>3.7846244963123325E-2</v>
      </c>
      <c r="J86" s="439"/>
    </row>
    <row r="87" spans="4:10" x14ac:dyDescent="0.2">
      <c r="D87" s="446" t="s">
        <v>595</v>
      </c>
      <c r="E87" s="446" t="s">
        <v>550</v>
      </c>
      <c r="F87" s="446" t="s">
        <v>554</v>
      </c>
      <c r="G87" s="447">
        <f>'Cost Model -Asthma Override'!G87+'Cost Model  -Biploar Mood Ovrd'!G87+'Cost Model -Cardiac failure Ovr'!G87+'Cost Model -Cardiomyopathy Ovrd'!G87+'Cost Model-COPD Override'!G87+'Cost Model -CKD Override'!G87+'Cost Model -Diabetes ins Ovrd'!G87+'Cost Model - Diabetes1 Override'!G87+'Cost Model -Epilepsy Override'!G87+'Cost Model - Glaucoma Override'!G87+'Cost Model - Haemophilia Ovrd'!G87+'Cost Model -HIV Override'!G87+'Cost Model -Hyperlipidaemia Ovr'!G87+'Cost Model -Hypertension-HBP Ov'!G87+'Cost Model - Hypothyroidism Ovr'!G87+'Cost Model -Multiple scler Ovr'!G87+'Cost Model -Parkinson''s dis Ovr'!G87+'Cost Model - Rheumatoid art Ovr'!G87+'Cost Model Schizophrenia Ovrd'!G87+'Cost Model -Lupus Override'!G87+'Cost Model -Clinical depres Ovr'!G87</f>
        <v>99.807771651222239</v>
      </c>
      <c r="H87" s="310">
        <f t="shared" si="2"/>
        <v>157.67936691648592</v>
      </c>
      <c r="I87" s="448">
        <f>'Cost Model -Asthma Override'!I87+'Cost Model  -Biploar Mood Ovrd'!I87+'Cost Model -Cardiac failure Ovr'!I87+'Cost Model -Cardiomyopathy Ovrd'!I87+'Cost Model-COPD Override'!I87+'Cost Model -CKD Override'!I87+'Cost Model -Diabetes ins Ovrd'!I87+'Cost Model - Diabetes1 Override'!I87+'Cost Model -Epilepsy Override'!I87+'Cost Model - Glaucoma Override'!I87+'Cost Model - Haemophilia Ovrd'!I87+'Cost Model -HIV Override'!I87+'Cost Model -Hyperlipidaemia Ovr'!I87+'Cost Model -Hypertension-HBP Ov'!I87+'Cost Model - Hypothyroidism Ovr'!I87+'Cost Model -Multiple scler Ovr'!I87+'Cost Model -Parkinson''s dis Ovr'!I87+'Cost Model - Rheumatoid art Ovr'!I87+'Cost Model Schizophrenia Ovrd'!I87+'Cost Model -Lupus Override'!I87+'Cost Model -Clinical depres Ovr'!I87</f>
        <v>1.3114688539424928</v>
      </c>
      <c r="J87" s="439"/>
    </row>
    <row r="88" spans="4:10" x14ac:dyDescent="0.2">
      <c r="D88" s="446" t="s">
        <v>595</v>
      </c>
      <c r="E88" s="446" t="s">
        <v>579</v>
      </c>
      <c r="F88" s="446" t="s">
        <v>554</v>
      </c>
      <c r="G88" s="447">
        <f>'Cost Model -Asthma Override'!G88+'Cost Model  -Biploar Mood Ovrd'!G88+'Cost Model -Cardiac failure Ovr'!G88+'Cost Model -Cardiomyopathy Ovrd'!G88+'Cost Model-COPD Override'!G88+'Cost Model -CKD Override'!G88+'Cost Model -Diabetes ins Ovrd'!G88+'Cost Model - Diabetes1 Override'!G88+'Cost Model -Epilepsy Override'!G88+'Cost Model - Glaucoma Override'!G88+'Cost Model - Haemophilia Ovrd'!G88+'Cost Model -HIV Override'!G88+'Cost Model -Hyperlipidaemia Ovr'!G88+'Cost Model -Hypertension-HBP Ov'!G88+'Cost Model - Hypothyroidism Ovr'!G88+'Cost Model -Multiple scler Ovr'!G88+'Cost Model -Parkinson''s dis Ovr'!G88+'Cost Model - Rheumatoid art Ovr'!G88+'Cost Model Schizophrenia Ovrd'!G88+'Cost Model -Lupus Override'!G88+'Cost Model -Clinical depres Ovr'!G88</f>
        <v>13.547773193168352</v>
      </c>
      <c r="H88" s="310">
        <f t="shared" si="2"/>
        <v>101.48838057887919</v>
      </c>
      <c r="I88" s="448">
        <f>'Cost Model -Asthma Override'!I88+'Cost Model  -Biploar Mood Ovrd'!I88+'Cost Model -Cardiac failure Ovr'!I88+'Cost Model -Cardiomyopathy Ovrd'!I88+'Cost Model-COPD Override'!I88+'Cost Model -CKD Override'!I88+'Cost Model -Diabetes ins Ovrd'!I88+'Cost Model - Diabetes1 Override'!I88+'Cost Model -Epilepsy Override'!I88+'Cost Model - Glaucoma Override'!I88+'Cost Model - Haemophilia Ovrd'!I88+'Cost Model -HIV Override'!I88+'Cost Model -Hyperlipidaemia Ovr'!I88+'Cost Model -Hypertension-HBP Ov'!I88+'Cost Model - Hypothyroidism Ovr'!I88+'Cost Model -Multiple scler Ovr'!I88+'Cost Model -Parkinson''s dis Ovr'!I88+'Cost Model - Rheumatoid art Ovr'!I88+'Cost Model Schizophrenia Ovrd'!I88+'Cost Model -Lupus Override'!I88+'Cost Model -Clinical depres Ovr'!I88</f>
        <v>0.11457846348538392</v>
      </c>
      <c r="J88" s="439"/>
    </row>
    <row r="89" spans="4:10" x14ac:dyDescent="0.2">
      <c r="D89" s="446" t="s">
        <v>595</v>
      </c>
      <c r="E89" s="446" t="s">
        <v>556</v>
      </c>
      <c r="F89" s="446" t="s">
        <v>554</v>
      </c>
      <c r="G89" s="447">
        <f>'Cost Model -Asthma Override'!G89+'Cost Model  -Biploar Mood Ovrd'!G89+'Cost Model -Cardiac failure Ovr'!G89+'Cost Model -Cardiomyopathy Ovrd'!G89+'Cost Model-COPD Override'!G89+'Cost Model -CKD Override'!G89+'Cost Model -Diabetes ins Ovrd'!G89+'Cost Model - Diabetes1 Override'!G89+'Cost Model -Epilepsy Override'!G89+'Cost Model - Glaucoma Override'!G89+'Cost Model - Haemophilia Ovrd'!G89+'Cost Model -HIV Override'!G89+'Cost Model -Hyperlipidaemia Ovr'!G89+'Cost Model -Hypertension-HBP Ov'!G89+'Cost Model - Hypothyroidism Ovr'!G89+'Cost Model -Multiple scler Ovr'!G89+'Cost Model -Parkinson''s dis Ovr'!G89+'Cost Model - Rheumatoid art Ovr'!G89+'Cost Model Schizophrenia Ovrd'!G89+'Cost Model -Lupus Override'!G89+'Cost Model -Clinical depres Ovr'!G89</f>
        <v>0.87319293525173913</v>
      </c>
      <c r="H89" s="310">
        <f t="shared" si="2"/>
        <v>104.01165839947092</v>
      </c>
      <c r="I89" s="448">
        <f>'Cost Model -Asthma Override'!I89+'Cost Model  -Biploar Mood Ovrd'!I89+'Cost Model -Cardiac failure Ovr'!I89+'Cost Model -Cardiomyopathy Ovrd'!I89+'Cost Model-COPD Override'!I89+'Cost Model -CKD Override'!I89+'Cost Model -Diabetes ins Ovrd'!I89+'Cost Model - Diabetes1 Override'!I89+'Cost Model -Epilepsy Override'!I89+'Cost Model - Glaucoma Override'!I89+'Cost Model - Haemophilia Ovrd'!I89+'Cost Model -HIV Override'!I89+'Cost Model -Hyperlipidaemia Ovr'!I89+'Cost Model -Hypertension-HBP Ov'!I89+'Cost Model - Hypothyroidism Ovr'!I89+'Cost Model -Multiple scler Ovr'!I89+'Cost Model -Parkinson''s dis Ovr'!I89+'Cost Model - Rheumatoid art Ovr'!I89+'Cost Model Schizophrenia Ovrd'!I89+'Cost Model -Lupus Override'!I89+'Cost Model -Clinical depres Ovr'!I89</f>
        <v>7.5685204415196008E-3</v>
      </c>
      <c r="J89" s="439"/>
    </row>
    <row r="90" spans="4:10" x14ac:dyDescent="0.2">
      <c r="D90" s="446" t="s">
        <v>595</v>
      </c>
      <c r="E90" s="446" t="s">
        <v>602</v>
      </c>
      <c r="F90" s="446" t="s">
        <v>554</v>
      </c>
      <c r="G90" s="447">
        <f>'Cost Model -Asthma Override'!G90+'Cost Model  -Biploar Mood Ovrd'!G90+'Cost Model -Cardiac failure Ovr'!G90+'Cost Model -Cardiomyopathy Ovrd'!G90+'Cost Model-COPD Override'!G90+'Cost Model -CKD Override'!G90+'Cost Model -Diabetes ins Ovrd'!G90+'Cost Model - Diabetes1 Override'!G90+'Cost Model -Epilepsy Override'!G90+'Cost Model - Glaucoma Override'!G90+'Cost Model - Haemophilia Ovrd'!G90+'Cost Model -HIV Override'!G90+'Cost Model -Hyperlipidaemia Ovr'!G90+'Cost Model -Hypertension-HBP Ov'!G90+'Cost Model - Hypothyroidism Ovr'!G90+'Cost Model -Multiple scler Ovr'!G90+'Cost Model -Parkinson''s dis Ovr'!G90+'Cost Model - Rheumatoid art Ovr'!G90+'Cost Model Schizophrenia Ovrd'!G90+'Cost Model -Lupus Override'!G90+'Cost Model -Clinical depres Ovr'!G90</f>
        <v>0.45377734713892459</v>
      </c>
      <c r="H90" s="310">
        <f t="shared" si="2"/>
        <v>127.2287973273942</v>
      </c>
      <c r="I90" s="448">
        <f>'Cost Model -Asthma Override'!I90+'Cost Model  -Biploar Mood Ovrd'!I90+'Cost Model -Cardiac failure Ovr'!I90+'Cost Model -Cardiomyopathy Ovrd'!I90+'Cost Model-COPD Override'!I90+'Cost Model -CKD Override'!I90+'Cost Model -Diabetes ins Ovrd'!I90+'Cost Model - Diabetes1 Override'!I90+'Cost Model -Epilepsy Override'!I90+'Cost Model - Glaucoma Override'!I90+'Cost Model - Haemophilia Ovrd'!I90+'Cost Model -HIV Override'!I90+'Cost Model -Hyperlipidaemia Ovr'!I90+'Cost Model -Hypertension-HBP Ov'!I90+'Cost Model - Hypothyroidism Ovr'!I90+'Cost Model -Multiple scler Ovr'!I90+'Cost Model -Parkinson''s dis Ovr'!I90+'Cost Model - Rheumatoid art Ovr'!I90+'Cost Model Schizophrenia Ovrd'!I90+'Cost Model -Lupus Override'!I90+'Cost Model -Clinical depres Ovr'!I90</f>
        <v>4.8111288442417369E-3</v>
      </c>
      <c r="J90" s="439"/>
    </row>
    <row r="91" spans="4:10" x14ac:dyDescent="0.2">
      <c r="D91" s="446" t="s">
        <v>595</v>
      </c>
      <c r="E91" s="446" t="s">
        <v>577</v>
      </c>
      <c r="F91" s="446" t="s">
        <v>554</v>
      </c>
      <c r="G91" s="447">
        <f>'Cost Model -Asthma Override'!G91+'Cost Model  -Biploar Mood Ovrd'!G91+'Cost Model -Cardiac failure Ovr'!G91+'Cost Model -Cardiomyopathy Ovrd'!G91+'Cost Model-COPD Override'!G91+'Cost Model -CKD Override'!G91+'Cost Model -Diabetes ins Ovrd'!G91+'Cost Model - Diabetes1 Override'!G91+'Cost Model -Epilepsy Override'!G91+'Cost Model - Glaucoma Override'!G91+'Cost Model - Haemophilia Ovrd'!G91+'Cost Model -HIV Override'!G91+'Cost Model -Hyperlipidaemia Ovr'!G91+'Cost Model -Hypertension-HBP Ov'!G91+'Cost Model - Hypothyroidism Ovr'!G91+'Cost Model -Multiple scler Ovr'!G91+'Cost Model -Parkinson''s dis Ovr'!G91+'Cost Model - Rheumatoid art Ovr'!G91+'Cost Model Schizophrenia Ovrd'!G91+'Cost Model -Lupus Override'!G91+'Cost Model -Clinical depres Ovr'!G91</f>
        <v>47.853947020853873</v>
      </c>
      <c r="H91" s="310">
        <f t="shared" si="2"/>
        <v>37.591551330362662</v>
      </c>
      <c r="I91" s="448">
        <f>'Cost Model -Asthma Override'!I91+'Cost Model  -Biploar Mood Ovrd'!I91+'Cost Model -Cardiac failure Ovr'!I91+'Cost Model -Cardiomyopathy Ovrd'!I91+'Cost Model-COPD Override'!I91+'Cost Model -CKD Override'!I91+'Cost Model -Diabetes ins Ovrd'!I91+'Cost Model - Diabetes1 Override'!I91+'Cost Model -Epilepsy Override'!I91+'Cost Model - Glaucoma Override'!I91+'Cost Model - Haemophilia Ovrd'!I91+'Cost Model -HIV Override'!I91+'Cost Model -Hyperlipidaemia Ovr'!I91+'Cost Model -Hypertension-HBP Ov'!I91+'Cost Model - Hypothyroidism Ovr'!I91+'Cost Model -Multiple scler Ovr'!I91+'Cost Model -Parkinson''s dis Ovr'!I91+'Cost Model - Rheumatoid art Ovr'!I91+'Cost Model Schizophrenia Ovrd'!I91+'Cost Model -Lupus Override'!I91+'Cost Model -Clinical depres Ovr'!I91</f>
        <v>0.14990867548290698</v>
      </c>
      <c r="J91" s="439"/>
    </row>
    <row r="92" spans="4:10" x14ac:dyDescent="0.2">
      <c r="D92" s="446" t="s">
        <v>595</v>
      </c>
      <c r="E92" s="446" t="s">
        <v>576</v>
      </c>
      <c r="F92" s="446" t="s">
        <v>554</v>
      </c>
      <c r="G92" s="447">
        <f>'Cost Model -Asthma Override'!G92+'Cost Model  -Biploar Mood Ovrd'!G92+'Cost Model -Cardiac failure Ovr'!G92+'Cost Model -Cardiomyopathy Ovrd'!G92+'Cost Model-COPD Override'!G92+'Cost Model -CKD Override'!G92+'Cost Model -Diabetes ins Ovrd'!G92+'Cost Model - Diabetes1 Override'!G92+'Cost Model -Epilepsy Override'!G92+'Cost Model - Glaucoma Override'!G92+'Cost Model - Haemophilia Ovrd'!G92+'Cost Model -HIV Override'!G92+'Cost Model -Hyperlipidaemia Ovr'!G92+'Cost Model -Hypertension-HBP Ov'!G92+'Cost Model - Hypothyroidism Ovr'!G92+'Cost Model -Multiple scler Ovr'!G92+'Cost Model -Parkinson''s dis Ovr'!G92+'Cost Model - Rheumatoid art Ovr'!G92+'Cost Model Schizophrenia Ovrd'!G92+'Cost Model -Lupus Override'!G92+'Cost Model -Clinical depres Ovr'!G92</f>
        <v>10.847776321120937</v>
      </c>
      <c r="H92" s="310">
        <f t="shared" si="2"/>
        <v>90.516944167165363</v>
      </c>
      <c r="I92" s="448">
        <f>'Cost Model -Asthma Override'!I92+'Cost Model  -Biploar Mood Ovrd'!I92+'Cost Model -Cardiac failure Ovr'!I92+'Cost Model -Cardiomyopathy Ovrd'!I92+'Cost Model-COPD Override'!I92+'Cost Model -CKD Override'!I92+'Cost Model -Diabetes ins Ovrd'!I92+'Cost Model - Diabetes1 Override'!I92+'Cost Model -Epilepsy Override'!I92+'Cost Model - Glaucoma Override'!I92+'Cost Model - Haemophilia Ovrd'!I92+'Cost Model -HIV Override'!I92+'Cost Model -Hyperlipidaemia Ovr'!I92+'Cost Model -Hypertension-HBP Ov'!I92+'Cost Model - Hypothyroidism Ovr'!I92+'Cost Model -Multiple scler Ovr'!I92+'Cost Model -Parkinson''s dis Ovr'!I92+'Cost Model - Rheumatoid art Ovr'!I92+'Cost Model Schizophrenia Ovrd'!I92+'Cost Model -Lupus Override'!I92+'Cost Model -Clinical depres Ovr'!I92</f>
        <v>8.1825630299733526E-2</v>
      </c>
      <c r="J92" s="439"/>
    </row>
    <row r="93" spans="4:10" x14ac:dyDescent="0.2">
      <c r="D93" s="446" t="s">
        <v>595</v>
      </c>
      <c r="E93" s="446" t="s">
        <v>603</v>
      </c>
      <c r="F93" s="446" t="s">
        <v>554</v>
      </c>
      <c r="G93" s="447">
        <f>'Cost Model -Asthma Override'!G93+'Cost Model  -Biploar Mood Ovrd'!G93+'Cost Model -Cardiac failure Ovr'!G93+'Cost Model -Cardiomyopathy Ovrd'!G93+'Cost Model-COPD Override'!G93+'Cost Model -CKD Override'!G93+'Cost Model -Diabetes ins Ovrd'!G93+'Cost Model - Diabetes1 Override'!G93+'Cost Model -Epilepsy Override'!G93+'Cost Model - Glaucoma Override'!G93+'Cost Model - Haemophilia Ovrd'!G93+'Cost Model -HIV Override'!G93+'Cost Model -Hyperlipidaemia Ovr'!G93+'Cost Model -Hypertension-HBP Ov'!G93+'Cost Model - Hypothyroidism Ovr'!G93+'Cost Model -Multiple scler Ovr'!G93+'Cost Model -Parkinson''s dis Ovr'!G93+'Cost Model - Rheumatoid art Ovr'!G93+'Cost Model Schizophrenia Ovrd'!G93+'Cost Model -Lupus Override'!G93+'Cost Model -Clinical depres Ovr'!G93</f>
        <v>5.4141427036938188E-2</v>
      </c>
      <c r="H93" s="310">
        <f t="shared" si="2"/>
        <v>121.95469333333334</v>
      </c>
      <c r="I93" s="448">
        <f>'Cost Model -Asthma Override'!I93+'Cost Model  -Biploar Mood Ovrd'!I93+'Cost Model -Cardiac failure Ovr'!I93+'Cost Model -Cardiomyopathy Ovrd'!I93+'Cost Model-COPD Override'!I93+'Cost Model -CKD Override'!I93+'Cost Model -Diabetes ins Ovrd'!I93+'Cost Model - Diabetes1 Override'!I93+'Cost Model -Epilepsy Override'!I93+'Cost Model - Glaucoma Override'!I93+'Cost Model - Haemophilia Ovrd'!I93+'Cost Model -HIV Override'!I93+'Cost Model -Hyperlipidaemia Ovr'!I93+'Cost Model -Hypertension-HBP Ov'!I93+'Cost Model - Hypothyroidism Ovr'!I93+'Cost Model -Multiple scler Ovr'!I93+'Cost Model -Parkinson''s dis Ovr'!I93+'Cost Model - Rheumatoid art Ovr'!I93+'Cost Model Schizophrenia Ovrd'!I93+'Cost Model -Lupus Override'!I93+'Cost Model -Clinical depres Ovr'!I93</f>
        <v>5.5023342757656987E-4</v>
      </c>
      <c r="J93" s="439"/>
    </row>
    <row r="94" spans="4:10" x14ac:dyDescent="0.2">
      <c r="D94" s="446" t="s">
        <v>595</v>
      </c>
      <c r="E94" s="446" t="s">
        <v>557</v>
      </c>
      <c r="F94" s="446" t="s">
        <v>554</v>
      </c>
      <c r="G94" s="447">
        <f>'Cost Model -Asthma Override'!G94+'Cost Model  -Biploar Mood Ovrd'!G94+'Cost Model -Cardiac failure Ovr'!G94+'Cost Model -Cardiomyopathy Ovrd'!G94+'Cost Model-COPD Override'!G94+'Cost Model -CKD Override'!G94+'Cost Model -Diabetes ins Ovrd'!G94+'Cost Model - Diabetes1 Override'!G94+'Cost Model -Epilepsy Override'!G94+'Cost Model - Glaucoma Override'!G94+'Cost Model - Haemophilia Ovrd'!G94+'Cost Model -HIV Override'!G94+'Cost Model -Hyperlipidaemia Ovr'!G94+'Cost Model -Hypertension-HBP Ov'!G94+'Cost Model - Hypothyroidism Ovr'!G94+'Cost Model -Multiple scler Ovr'!G94+'Cost Model -Parkinson''s dis Ovr'!G94+'Cost Model - Rheumatoid art Ovr'!G94+'Cost Model Schizophrenia Ovrd'!G94+'Cost Model -Lupus Override'!G94+'Cost Model -Clinical depres Ovr'!G94</f>
        <v>0.52437776799509195</v>
      </c>
      <c r="H94" s="310">
        <f t="shared" si="2"/>
        <v>76.067387114537411</v>
      </c>
      <c r="I94" s="448">
        <f>'Cost Model -Asthma Override'!I94+'Cost Model  -Biploar Mood Ovrd'!I94+'Cost Model -Cardiac failure Ovr'!I94+'Cost Model -Cardiomyopathy Ovrd'!I94+'Cost Model-COPD Override'!I94+'Cost Model -CKD Override'!I94+'Cost Model -Diabetes ins Ovrd'!I94+'Cost Model - Diabetes1 Override'!I94+'Cost Model -Epilepsy Override'!I94+'Cost Model - Glaucoma Override'!I94+'Cost Model - Haemophilia Ovrd'!I94+'Cost Model -HIV Override'!I94+'Cost Model -Hyperlipidaemia Ovr'!I94+'Cost Model -Hypertension-HBP Ov'!I94+'Cost Model - Hypothyroidism Ovr'!I94+'Cost Model -Multiple scler Ovr'!I94+'Cost Model -Parkinson''s dis Ovr'!I94+'Cost Model - Rheumatoid art Ovr'!I94+'Cost Model Schizophrenia Ovrd'!I94+'Cost Model -Lupus Override'!I94+'Cost Model -Clinical depres Ovr'!I94</f>
        <v>3.3240038893616458E-3</v>
      </c>
      <c r="J94" s="439"/>
    </row>
    <row r="95" spans="4:10" x14ac:dyDescent="0.2">
      <c r="D95" s="446" t="s">
        <v>595</v>
      </c>
      <c r="E95" s="446" t="s">
        <v>582</v>
      </c>
      <c r="F95" s="446" t="s">
        <v>554</v>
      </c>
      <c r="G95" s="447">
        <f>'Cost Model -Asthma Override'!G95+'Cost Model  -Biploar Mood Ovrd'!G95+'Cost Model -Cardiac failure Ovr'!G95+'Cost Model -Cardiomyopathy Ovrd'!G95+'Cost Model-COPD Override'!G95+'Cost Model -CKD Override'!G95+'Cost Model -Diabetes ins Ovrd'!G95+'Cost Model - Diabetes1 Override'!G95+'Cost Model -Epilepsy Override'!G95+'Cost Model - Glaucoma Override'!G95+'Cost Model - Haemophilia Ovrd'!G95+'Cost Model -HIV Override'!G95+'Cost Model -Hyperlipidaemia Ovr'!G95+'Cost Model -Hypertension-HBP Ov'!G95+'Cost Model - Hypothyroidism Ovr'!G95+'Cost Model -Multiple scler Ovr'!G95+'Cost Model -Parkinson''s dis Ovr'!G95+'Cost Model - Rheumatoid art Ovr'!G95+'Cost Model Schizophrenia Ovrd'!G95+'Cost Model -Lupus Override'!G95+'Cost Model -Clinical depres Ovr'!G95</f>
        <v>1.567213841295904</v>
      </c>
      <c r="H95" s="310">
        <f t="shared" si="2"/>
        <v>85.810648549055841</v>
      </c>
      <c r="I95" s="448">
        <f>'Cost Model -Asthma Override'!I95+'Cost Model  -Biploar Mood Ovrd'!I95+'Cost Model -Cardiac failure Ovr'!I95+'Cost Model -Cardiomyopathy Ovrd'!I95+'Cost Model-COPD Override'!I95+'Cost Model -CKD Override'!I95+'Cost Model -Diabetes ins Ovrd'!I95+'Cost Model - Diabetes1 Override'!I95+'Cost Model -Epilepsy Override'!I95+'Cost Model - Glaucoma Override'!I95+'Cost Model - Haemophilia Ovrd'!I95+'Cost Model -HIV Override'!I95+'Cost Model -Hyperlipidaemia Ovr'!I95+'Cost Model -Hypertension-HBP Ov'!I95+'Cost Model - Hypothyroidism Ovr'!I95+'Cost Model -Multiple scler Ovr'!I95+'Cost Model -Parkinson''s dis Ovr'!I95+'Cost Model - Rheumatoid art Ovr'!I95+'Cost Model Schizophrenia Ovrd'!I95+'Cost Model -Lupus Override'!I95+'Cost Model -Clinical depres Ovr'!I95</f>
        <v>1.1206969678054882E-2</v>
      </c>
      <c r="J95" s="439"/>
    </row>
    <row r="96" spans="4:10" x14ac:dyDescent="0.2">
      <c r="D96" s="446" t="s">
        <v>595</v>
      </c>
      <c r="E96" s="446" t="s">
        <v>565</v>
      </c>
      <c r="F96" s="446" t="s">
        <v>554</v>
      </c>
      <c r="G96" s="447">
        <f>'Cost Model -Asthma Override'!G96+'Cost Model  -Biploar Mood Ovrd'!G96+'Cost Model -Cardiac failure Ovr'!G96+'Cost Model -Cardiomyopathy Ovrd'!G96+'Cost Model-COPD Override'!G96+'Cost Model -CKD Override'!G96+'Cost Model -Diabetes ins Ovrd'!G96+'Cost Model - Diabetes1 Override'!G96+'Cost Model -Epilepsy Override'!G96+'Cost Model - Glaucoma Override'!G96+'Cost Model - Haemophilia Ovrd'!G96+'Cost Model -HIV Override'!G96+'Cost Model -Hyperlipidaemia Ovr'!G96+'Cost Model -Hypertension-HBP Ov'!G96+'Cost Model - Hypothyroidism Ovr'!G96+'Cost Model -Multiple scler Ovr'!G96+'Cost Model -Parkinson''s dis Ovr'!G96+'Cost Model - Rheumatoid art Ovr'!G96+'Cost Model Schizophrenia Ovrd'!G96+'Cost Model -Lupus Override'!G96+'Cost Model -Clinical depres Ovr'!G96</f>
        <v>1.7105803400897166</v>
      </c>
      <c r="H96" s="310">
        <f t="shared" si="2"/>
        <v>63.227608879135708</v>
      </c>
      <c r="I96" s="448">
        <f>'Cost Model -Asthma Override'!I96+'Cost Model  -Biploar Mood Ovrd'!I96+'Cost Model -Cardiac failure Ovr'!I96+'Cost Model -Cardiomyopathy Ovrd'!I96+'Cost Model-COPD Override'!I96+'Cost Model -CKD Override'!I96+'Cost Model -Diabetes ins Ovrd'!I96+'Cost Model - Diabetes1 Override'!I96+'Cost Model -Epilepsy Override'!I96+'Cost Model - Glaucoma Override'!I96+'Cost Model - Haemophilia Ovrd'!I96+'Cost Model -HIV Override'!I96+'Cost Model -Hyperlipidaemia Ovr'!I96+'Cost Model -Hypertension-HBP Ov'!I96+'Cost Model - Hypothyroidism Ovr'!I96+'Cost Model -Multiple scler Ovr'!I96+'Cost Model -Parkinson''s dis Ovr'!I96+'Cost Model - Rheumatoid art Ovr'!I96+'Cost Model Schizophrenia Ovrd'!I96+'Cost Model -Lupus Override'!I96+'Cost Model -Clinical depres Ovr'!I96</f>
        <v>9.0129920582942957E-3</v>
      </c>
      <c r="J96" s="439"/>
    </row>
    <row r="97" spans="4:13" x14ac:dyDescent="0.2">
      <c r="D97" s="446" t="s">
        <v>595</v>
      </c>
      <c r="E97" s="446" t="s">
        <v>604</v>
      </c>
      <c r="F97" s="446" t="s">
        <v>554</v>
      </c>
      <c r="G97" s="447">
        <f>'Cost Model -Asthma Override'!G97+'Cost Model  -Biploar Mood Ovrd'!G97+'Cost Model -Cardiac failure Ovr'!G97+'Cost Model -Cardiomyopathy Ovrd'!G97+'Cost Model-COPD Override'!G97+'Cost Model -CKD Override'!G97+'Cost Model -Diabetes ins Ovrd'!G97+'Cost Model - Diabetes1 Override'!G97+'Cost Model -Epilepsy Override'!G97+'Cost Model - Glaucoma Override'!G97+'Cost Model - Haemophilia Ovrd'!G97+'Cost Model -HIV Override'!G97+'Cost Model -Hyperlipidaemia Ovr'!G97+'Cost Model -Hypertension-HBP Ov'!G97+'Cost Model - Hypothyroidism Ovr'!G97+'Cost Model -Multiple scler Ovr'!G97+'Cost Model -Parkinson''s dis Ovr'!G97+'Cost Model - Rheumatoid art Ovr'!G97+'Cost Model Schizophrenia Ovrd'!G97+'Cost Model -Lupus Override'!G97+'Cost Model -Clinical depres Ovr'!G97</f>
        <v>5.8881328502598675</v>
      </c>
      <c r="H97" s="310">
        <f t="shared" si="2"/>
        <v>94.828782580977361</v>
      </c>
      <c r="I97" s="448">
        <f>'Cost Model -Asthma Override'!I97+'Cost Model  -Biploar Mood Ovrd'!I97+'Cost Model -Cardiac failure Ovr'!I97+'Cost Model -Cardiomyopathy Ovrd'!I97+'Cost Model-COPD Override'!I97+'Cost Model -CKD Override'!I97+'Cost Model -Diabetes ins Ovrd'!I97+'Cost Model - Diabetes1 Override'!I97+'Cost Model -Epilepsy Override'!I97+'Cost Model - Glaucoma Override'!I97+'Cost Model - Haemophilia Ovrd'!I97+'Cost Model -HIV Override'!I97+'Cost Model -Hyperlipidaemia Ovr'!I97+'Cost Model -Hypertension-HBP Ov'!I97+'Cost Model - Hypothyroidism Ovr'!I97+'Cost Model -Multiple scler Ovr'!I97+'Cost Model -Parkinson''s dis Ovr'!I97+'Cost Model - Rheumatoid art Ovr'!I97+'Cost Model Schizophrenia Ovrd'!I97+'Cost Model -Lupus Override'!I97+'Cost Model -Clinical depres Ovr'!I97</f>
        <v>4.6530372488766965E-2</v>
      </c>
      <c r="J97" s="439"/>
    </row>
    <row r="98" spans="4:13" x14ac:dyDescent="0.2">
      <c r="D98" s="446" t="s">
        <v>595</v>
      </c>
      <c r="E98" s="446" t="s">
        <v>569</v>
      </c>
      <c r="F98" s="446" t="s">
        <v>554</v>
      </c>
      <c r="G98" s="447">
        <f>'Cost Model -Asthma Override'!G98+'Cost Model  -Biploar Mood Ovrd'!G98+'Cost Model -Cardiac failure Ovr'!G98+'Cost Model -Cardiomyopathy Ovrd'!G98+'Cost Model-COPD Override'!G98+'Cost Model -CKD Override'!G98+'Cost Model -Diabetes ins Ovrd'!G98+'Cost Model - Diabetes1 Override'!G98+'Cost Model -Epilepsy Override'!G98+'Cost Model - Glaucoma Override'!G98+'Cost Model - Haemophilia Ovrd'!G98+'Cost Model -HIV Override'!G98+'Cost Model -Hyperlipidaemia Ovr'!G98+'Cost Model -Hypertension-HBP Ov'!G98+'Cost Model - Hypothyroidism Ovr'!G98+'Cost Model -Multiple scler Ovr'!G98+'Cost Model -Parkinson''s dis Ovr'!G98+'Cost Model - Rheumatoid art Ovr'!G98+'Cost Model Schizophrenia Ovrd'!G98+'Cost Model -Lupus Override'!G98+'Cost Model -Clinical depres Ovr'!G98</f>
        <v>10.701089148135527</v>
      </c>
      <c r="H98" s="310">
        <f t="shared" si="2"/>
        <v>91.679505524899923</v>
      </c>
      <c r="I98" s="448">
        <f>'Cost Model -Asthma Override'!I98+'Cost Model  -Biploar Mood Ovrd'!I98+'Cost Model -Cardiac failure Ovr'!I98+'Cost Model -Cardiomyopathy Ovrd'!I98+'Cost Model-COPD Override'!I98+'Cost Model -CKD Override'!I98+'Cost Model -Diabetes ins Ovrd'!I98+'Cost Model - Diabetes1 Override'!I98+'Cost Model -Epilepsy Override'!I98+'Cost Model - Glaucoma Override'!I98+'Cost Model - Haemophilia Ovrd'!I98+'Cost Model -HIV Override'!I98+'Cost Model -Hyperlipidaemia Ovr'!I98+'Cost Model -Hypertension-HBP Ov'!I98+'Cost Model - Hypothyroidism Ovr'!I98+'Cost Model -Multiple scler Ovr'!I98+'Cost Model -Parkinson''s dis Ovr'!I98+'Cost Model - Rheumatoid art Ovr'!I98+'Cost Model Schizophrenia Ovrd'!I98+'Cost Model -Lupus Override'!I98+'Cost Model -Clinical depres Ovr'!I98</f>
        <v>8.175588013991146E-2</v>
      </c>
      <c r="J98" s="439"/>
    </row>
    <row r="99" spans="4:13" x14ac:dyDescent="0.2">
      <c r="D99" s="446" t="s">
        <v>595</v>
      </c>
      <c r="E99" s="446" t="s">
        <v>553</v>
      </c>
      <c r="F99" s="446" t="s">
        <v>554</v>
      </c>
      <c r="G99" s="447">
        <f>'Cost Model -Asthma Override'!G99+'Cost Model  -Biploar Mood Ovrd'!G99+'Cost Model -Cardiac failure Ovr'!G99+'Cost Model -Cardiomyopathy Ovrd'!G99+'Cost Model-COPD Override'!G99+'Cost Model -CKD Override'!G99+'Cost Model -Diabetes ins Ovrd'!G99+'Cost Model - Diabetes1 Override'!G99+'Cost Model -Epilepsy Override'!G99+'Cost Model - Glaucoma Override'!G99+'Cost Model - Haemophilia Ovrd'!G99+'Cost Model -HIV Override'!G99+'Cost Model -Hyperlipidaemia Ovr'!G99+'Cost Model -Hypertension-HBP Ov'!G99+'Cost Model - Hypothyroidism Ovr'!G99+'Cost Model -Multiple scler Ovr'!G99+'Cost Model -Parkinson''s dis Ovr'!G99+'Cost Model - Rheumatoid art Ovr'!G99+'Cost Model Schizophrenia Ovrd'!G99+'Cost Model -Lupus Override'!G99+'Cost Model -Clinical depres Ovr'!G99</f>
        <v>8.3354697294682385</v>
      </c>
      <c r="H99" s="310">
        <f t="shared" si="2"/>
        <v>93.363886444729289</v>
      </c>
      <c r="I99" s="448">
        <f>'Cost Model -Asthma Override'!I99+'Cost Model  -Biploar Mood Ovrd'!I99+'Cost Model -Cardiac failure Ovr'!I99+'Cost Model -Cardiomyopathy Ovrd'!I99+'Cost Model-COPD Override'!I99+'Cost Model -CKD Override'!I99+'Cost Model -Diabetes ins Ovrd'!I99+'Cost Model - Diabetes1 Override'!I99+'Cost Model -Epilepsy Override'!I99+'Cost Model - Glaucoma Override'!I99+'Cost Model - Haemophilia Ovrd'!I99+'Cost Model -HIV Override'!I99+'Cost Model -Hyperlipidaemia Ovr'!I99+'Cost Model -Hypertension-HBP Ov'!I99+'Cost Model - Hypothyroidism Ovr'!I99+'Cost Model -Multiple scler Ovr'!I99+'Cost Model -Parkinson''s dis Ovr'!I99+'Cost Model - Rheumatoid art Ovr'!I99+'Cost Model Schizophrenia Ovrd'!I99+'Cost Model -Lupus Override'!I99+'Cost Model -Clinical depres Ovr'!I99</f>
        <v>6.4852654107129246E-2</v>
      </c>
      <c r="J99" s="439"/>
    </row>
    <row r="100" spans="4:13" x14ac:dyDescent="0.2">
      <c r="D100" s="446" t="s">
        <v>595</v>
      </c>
      <c r="E100" s="446" t="s">
        <v>570</v>
      </c>
      <c r="F100" s="446" t="s">
        <v>554</v>
      </c>
      <c r="G100" s="447">
        <f>'Cost Model -Asthma Override'!G100+'Cost Model  -Biploar Mood Ovrd'!G100+'Cost Model -Cardiac failure Ovr'!G100+'Cost Model -Cardiomyopathy Ovrd'!G100+'Cost Model-COPD Override'!G100+'Cost Model -CKD Override'!G100+'Cost Model -Diabetes ins Ovrd'!G100+'Cost Model - Diabetes1 Override'!G100+'Cost Model -Epilepsy Override'!G100+'Cost Model - Glaucoma Override'!G100+'Cost Model - Haemophilia Ovrd'!G100+'Cost Model -HIV Override'!G100+'Cost Model -Hyperlipidaemia Ovr'!G100+'Cost Model -Hypertension-HBP Ov'!G100+'Cost Model - Hypothyroidism Ovr'!G100+'Cost Model -Multiple scler Ovr'!G100+'Cost Model -Parkinson''s dis Ovr'!G100+'Cost Model - Rheumatoid art Ovr'!G100+'Cost Model Schizophrenia Ovrd'!G100+'Cost Model -Lupus Override'!G100+'Cost Model -Clinical depres Ovr'!G100</f>
        <v>9.3027965591948671</v>
      </c>
      <c r="H100" s="310">
        <f t="shared" si="2"/>
        <v>273.6640759536906</v>
      </c>
      <c r="I100" s="448">
        <f>'Cost Model -Asthma Override'!I100+'Cost Model  -Biploar Mood Ovrd'!I100+'Cost Model -Cardiac failure Ovr'!I100+'Cost Model -Cardiomyopathy Ovrd'!I100+'Cost Model-COPD Override'!I100+'Cost Model -CKD Override'!I100+'Cost Model -Diabetes ins Ovrd'!I100+'Cost Model - Diabetes1 Override'!I100+'Cost Model -Epilepsy Override'!I100+'Cost Model - Glaucoma Override'!I100+'Cost Model - Haemophilia Ovrd'!I100+'Cost Model -HIV Override'!I100+'Cost Model -Hyperlipidaemia Ovr'!I100+'Cost Model -Hypertension-HBP Ov'!I100+'Cost Model - Hypothyroidism Ovr'!I100+'Cost Model -Multiple scler Ovr'!I100+'Cost Model -Parkinson''s dis Ovr'!I100+'Cost Model - Rheumatoid art Ovr'!I100+'Cost Model Schizophrenia Ovrd'!I100+'Cost Model -Lupus Override'!I100+'Cost Model -Clinical depres Ovr'!I100</f>
        <v>0.2121534353464363</v>
      </c>
      <c r="J100" s="439"/>
    </row>
    <row r="101" spans="4:13" x14ac:dyDescent="0.2">
      <c r="D101" s="446" t="s">
        <v>595</v>
      </c>
      <c r="E101" s="446" t="s">
        <v>551</v>
      </c>
      <c r="F101" s="446" t="s">
        <v>554</v>
      </c>
      <c r="G101" s="447">
        <f>'Cost Model -Asthma Override'!G101+'Cost Model  -Biploar Mood Ovrd'!G101+'Cost Model -Cardiac failure Ovr'!G101+'Cost Model -Cardiomyopathy Ovrd'!G101+'Cost Model-COPD Override'!G101+'Cost Model -CKD Override'!G101+'Cost Model -Diabetes ins Ovrd'!G101+'Cost Model - Diabetes1 Override'!G101+'Cost Model -Epilepsy Override'!G101+'Cost Model - Glaucoma Override'!G101+'Cost Model - Haemophilia Ovrd'!G101+'Cost Model -HIV Override'!G101+'Cost Model -Hyperlipidaemia Ovr'!G101+'Cost Model -Hypertension-HBP Ov'!G101+'Cost Model - Hypothyroidism Ovr'!G101+'Cost Model -Multiple scler Ovr'!G101+'Cost Model -Parkinson''s dis Ovr'!G101+'Cost Model - Rheumatoid art Ovr'!G101+'Cost Model Schizophrenia Ovrd'!G101+'Cost Model -Lupus Override'!G101+'Cost Model -Clinical depres Ovr'!G101</f>
        <v>0.11564608815089995</v>
      </c>
      <c r="H101" s="310">
        <f t="shared" si="2"/>
        <v>95.111098626716611</v>
      </c>
      <c r="I101" s="448">
        <f>'Cost Model -Asthma Override'!I101+'Cost Model  -Biploar Mood Ovrd'!I101+'Cost Model -Cardiac failure Ovr'!I101+'Cost Model -Cardiomyopathy Ovrd'!I101+'Cost Model-COPD Override'!I101+'Cost Model -CKD Override'!I101+'Cost Model -Diabetes ins Ovrd'!I101+'Cost Model - Diabetes1 Override'!I101+'Cost Model -Epilepsy Override'!I101+'Cost Model - Glaucoma Override'!I101+'Cost Model - Haemophilia Ovrd'!I101+'Cost Model -HIV Override'!I101+'Cost Model -Hyperlipidaemia Ovr'!I101+'Cost Model -Hypertension-HBP Ov'!I101+'Cost Model - Hypothyroidism Ovr'!I101+'Cost Model -Multiple scler Ovr'!I101+'Cost Model -Parkinson''s dis Ovr'!I101+'Cost Model - Rheumatoid art Ovr'!I101+'Cost Model Schizophrenia Ovrd'!I101+'Cost Model -Lupus Override'!I101+'Cost Model -Clinical depres Ovr'!I101</f>
        <v>9.1660220799285078E-4</v>
      </c>
      <c r="J101" s="439"/>
    </row>
    <row r="102" spans="4:13" x14ac:dyDescent="0.2">
      <c r="D102" s="446" t="s">
        <v>595</v>
      </c>
      <c r="E102" s="446" t="s">
        <v>578</v>
      </c>
      <c r="F102" s="446" t="s">
        <v>554</v>
      </c>
      <c r="G102" s="447">
        <f>'Cost Model -Asthma Override'!G102+'Cost Model  -Biploar Mood Ovrd'!G102+'Cost Model -Cardiac failure Ovr'!G102+'Cost Model -Cardiomyopathy Ovrd'!G102+'Cost Model-COPD Override'!G102+'Cost Model -CKD Override'!G102+'Cost Model -Diabetes ins Ovrd'!G102+'Cost Model - Diabetes1 Override'!G102+'Cost Model -Epilepsy Override'!G102+'Cost Model - Glaucoma Override'!G102+'Cost Model - Haemophilia Ovrd'!G102+'Cost Model -HIV Override'!G102+'Cost Model -Hyperlipidaemia Ovr'!G102+'Cost Model -Hypertension-HBP Ov'!G102+'Cost Model - Hypothyroidism Ovr'!G102+'Cost Model -Multiple scler Ovr'!G102+'Cost Model -Parkinson''s dis Ovr'!G102+'Cost Model - Rheumatoid art Ovr'!G102+'Cost Model Schizophrenia Ovrd'!G102+'Cost Model -Lupus Override'!G102+'Cost Model -Clinical depres Ovr'!G102</f>
        <v>0.8344998620626739</v>
      </c>
      <c r="H102" s="310">
        <f t="shared" si="2"/>
        <v>89.819181660899645</v>
      </c>
      <c r="I102" s="448">
        <f>'Cost Model -Asthma Override'!I102+'Cost Model  -Biploar Mood Ovrd'!I102+'Cost Model -Cardiac failure Ovr'!I102+'Cost Model -Cardiomyopathy Ovrd'!I102+'Cost Model-COPD Override'!I102+'Cost Model -CKD Override'!I102+'Cost Model -Diabetes ins Ovrd'!I102+'Cost Model - Diabetes1 Override'!I102+'Cost Model -Epilepsy Override'!I102+'Cost Model - Glaucoma Override'!I102+'Cost Model - Haemophilia Ovrd'!I102+'Cost Model -HIV Override'!I102+'Cost Model -Hyperlipidaemia Ovr'!I102+'Cost Model -Hypertension-HBP Ov'!I102+'Cost Model - Hypothyroidism Ovr'!I102+'Cost Model -Multiple scler Ovr'!I102+'Cost Model -Parkinson''s dis Ovr'!I102+'Cost Model - Rheumatoid art Ovr'!I102+'Cost Model Schizophrenia Ovrd'!I102+'Cost Model -Lupus Override'!I102+'Cost Model -Clinical depres Ovr'!I102</f>
        <v>6.2461745588835837E-3</v>
      </c>
      <c r="J102" s="439"/>
    </row>
    <row r="103" spans="4:13" x14ac:dyDescent="0.2">
      <c r="D103" s="446" t="s">
        <v>595</v>
      </c>
      <c r="E103" s="446" t="s">
        <v>560</v>
      </c>
      <c r="F103" s="446" t="s">
        <v>554</v>
      </c>
      <c r="G103" s="447">
        <f>'Cost Model -Asthma Override'!G103+'Cost Model  -Biploar Mood Ovrd'!G103+'Cost Model -Cardiac failure Ovr'!G103+'Cost Model -Cardiomyopathy Ovrd'!G103+'Cost Model-COPD Override'!G103+'Cost Model -CKD Override'!G103+'Cost Model -Diabetes ins Ovrd'!G103+'Cost Model - Diabetes1 Override'!G103+'Cost Model -Epilepsy Override'!G103+'Cost Model - Glaucoma Override'!G103+'Cost Model - Haemophilia Ovrd'!G103+'Cost Model -HIV Override'!G103+'Cost Model -Hyperlipidaemia Ovr'!G103+'Cost Model -Hypertension-HBP Ov'!G103+'Cost Model - Hypothyroidism Ovr'!G103+'Cost Model -Multiple scler Ovr'!G103+'Cost Model -Parkinson''s dis Ovr'!G103+'Cost Model - Rheumatoid art Ovr'!G103+'Cost Model Schizophrenia Ovrd'!G103+'Cost Model -Lupus Override'!G103+'Cost Model -Clinical depres Ovr'!G103</f>
        <v>7.7026647302605067</v>
      </c>
      <c r="H103" s="310">
        <f t="shared" si="2"/>
        <v>67.551059211635945</v>
      </c>
      <c r="I103" s="448">
        <f>'Cost Model -Asthma Override'!I103+'Cost Model  -Biploar Mood Ovrd'!I103+'Cost Model -Cardiac failure Ovr'!I103+'Cost Model -Cardiomyopathy Ovrd'!I103+'Cost Model-COPD Override'!I103+'Cost Model -CKD Override'!I103+'Cost Model -Diabetes ins Ovrd'!I103+'Cost Model - Diabetes1 Override'!I103+'Cost Model -Epilepsy Override'!I103+'Cost Model - Glaucoma Override'!I103+'Cost Model - Haemophilia Ovrd'!I103+'Cost Model -HIV Override'!I103+'Cost Model -Hyperlipidaemia Ovr'!I103+'Cost Model -Hypertension-HBP Ov'!I103+'Cost Model - Hypothyroidism Ovr'!I103+'Cost Model -Multiple scler Ovr'!I103+'Cost Model -Parkinson''s dis Ovr'!I103+'Cost Model - Rheumatoid art Ovr'!I103+'Cost Model Schizophrenia Ovrd'!I103+'Cost Model -Lupus Override'!I103+'Cost Model -Clinical depres Ovr'!I103</f>
        <v>4.3360263440100605E-2</v>
      </c>
      <c r="J103" s="439"/>
    </row>
    <row r="104" spans="4:13" x14ac:dyDescent="0.2">
      <c r="D104" s="446" t="s">
        <v>595</v>
      </c>
      <c r="E104" s="446" t="s">
        <v>575</v>
      </c>
      <c r="F104" s="446" t="s">
        <v>554</v>
      </c>
      <c r="G104" s="447">
        <f>'Cost Model -Asthma Override'!G104+'Cost Model  -Biploar Mood Ovrd'!G104+'Cost Model -Cardiac failure Ovr'!G104+'Cost Model -Cardiomyopathy Ovrd'!G104+'Cost Model-COPD Override'!G104+'Cost Model -CKD Override'!G104+'Cost Model -Diabetes ins Ovrd'!G104+'Cost Model - Diabetes1 Override'!G104+'Cost Model -Epilepsy Override'!G104+'Cost Model - Glaucoma Override'!G104+'Cost Model - Haemophilia Ovrd'!G104+'Cost Model -HIV Override'!G104+'Cost Model -Hyperlipidaemia Ovr'!G104+'Cost Model -Hypertension-HBP Ov'!G104+'Cost Model - Hypothyroidism Ovr'!G104+'Cost Model -Multiple scler Ovr'!G104+'Cost Model -Parkinson''s dis Ovr'!G104+'Cost Model - Rheumatoid art Ovr'!G104+'Cost Model Schizophrenia Ovrd'!G104+'Cost Model -Lupus Override'!G104+'Cost Model -Clinical depres Ovr'!G104</f>
        <v>0.39082891463731112</v>
      </c>
      <c r="H104" s="310">
        <f t="shared" si="2"/>
        <v>120.79907646841525</v>
      </c>
      <c r="I104" s="448">
        <f>'Cost Model -Asthma Override'!I104+'Cost Model  -Biploar Mood Ovrd'!I104+'Cost Model -Cardiac failure Ovr'!I104+'Cost Model -Cardiomyopathy Ovrd'!I104+'Cost Model-COPD Override'!I104+'Cost Model -CKD Override'!I104+'Cost Model -Diabetes ins Ovrd'!I104+'Cost Model - Diabetes1 Override'!I104+'Cost Model -Epilepsy Override'!I104+'Cost Model - Glaucoma Override'!I104+'Cost Model - Haemophilia Ovrd'!I104+'Cost Model -HIV Override'!I104+'Cost Model -Hyperlipidaemia Ovr'!I104+'Cost Model -Hypertension-HBP Ov'!I104+'Cost Model - Hypothyroidism Ovr'!I104+'Cost Model -Multiple scler Ovr'!I104+'Cost Model -Parkinson''s dis Ovr'!I104+'Cost Model - Rheumatoid art Ovr'!I104+'Cost Model Schizophrenia Ovrd'!I104+'Cost Model -Lupus Override'!I104+'Cost Model -Clinical depres Ovr'!I104</f>
        <v>3.9343143287783565E-3</v>
      </c>
      <c r="J104" s="439"/>
    </row>
    <row r="105" spans="4:13" x14ac:dyDescent="0.2">
      <c r="D105" s="446" t="s">
        <v>595</v>
      </c>
      <c r="E105" s="446" t="s">
        <v>566</v>
      </c>
      <c r="F105" s="446" t="s">
        <v>554</v>
      </c>
      <c r="G105" s="447">
        <f>'Cost Model -Asthma Override'!G105+'Cost Model  -Biploar Mood Ovrd'!G105+'Cost Model -Cardiac failure Ovr'!G105+'Cost Model -Cardiomyopathy Ovrd'!G105+'Cost Model-COPD Override'!G105+'Cost Model -CKD Override'!G105+'Cost Model -Diabetes ins Ovrd'!G105+'Cost Model - Diabetes1 Override'!G105+'Cost Model -Epilepsy Override'!G105+'Cost Model - Glaucoma Override'!G105+'Cost Model - Haemophilia Ovrd'!G105+'Cost Model -HIV Override'!G105+'Cost Model -Hyperlipidaemia Ovr'!G105+'Cost Model -Hypertension-HBP Ov'!G105+'Cost Model - Hypothyroidism Ovr'!G105+'Cost Model -Multiple scler Ovr'!G105+'Cost Model -Parkinson''s dis Ovr'!G105+'Cost Model - Rheumatoid art Ovr'!G105+'Cost Model Schizophrenia Ovrd'!G105+'Cost Model -Lupus Override'!G105+'Cost Model -Clinical depres Ovr'!G105</f>
        <v>0.70513794572908295</v>
      </c>
      <c r="H105" s="310">
        <f t="shared" si="2"/>
        <v>376.23460278460249</v>
      </c>
      <c r="I105" s="448">
        <f>'Cost Model -Asthma Override'!I105+'Cost Model  -Biploar Mood Ovrd'!I105+'Cost Model -Cardiac failure Ovr'!I105+'Cost Model -Cardiomyopathy Ovrd'!I105+'Cost Model-COPD Override'!I105+'Cost Model -CKD Override'!I105+'Cost Model -Diabetes ins Ovrd'!I105+'Cost Model - Diabetes1 Override'!I105+'Cost Model -Epilepsy Override'!I105+'Cost Model - Glaucoma Override'!I105+'Cost Model - Haemophilia Ovrd'!I105+'Cost Model -HIV Override'!I105+'Cost Model -Hyperlipidaemia Ovr'!I105+'Cost Model -Hypertension-HBP Ov'!I105+'Cost Model - Hypothyroidism Ovr'!I105+'Cost Model -Multiple scler Ovr'!I105+'Cost Model -Parkinson''s dis Ovr'!I105+'Cost Model - Rheumatoid art Ovr'!I105+'Cost Model Schizophrenia Ovrd'!I105+'Cost Model -Lupus Override'!I105+'Cost Model -Clinical depres Ovr'!I105</f>
        <v>2.2108107909977675E-2</v>
      </c>
      <c r="J105" s="439"/>
    </row>
    <row r="106" spans="4:13" x14ac:dyDescent="0.2">
      <c r="D106" s="446" t="s">
        <v>595</v>
      </c>
      <c r="E106" s="446" t="s">
        <v>580</v>
      </c>
      <c r="F106" s="446" t="s">
        <v>554</v>
      </c>
      <c r="G106" s="447">
        <f>'Cost Model -Asthma Override'!G106+'Cost Model  -Biploar Mood Ovrd'!G106+'Cost Model -Cardiac failure Ovr'!G106+'Cost Model -Cardiomyopathy Ovrd'!G106+'Cost Model-COPD Override'!G106+'Cost Model -CKD Override'!G106+'Cost Model -Diabetes ins Ovrd'!G106+'Cost Model - Diabetes1 Override'!G106+'Cost Model -Epilepsy Override'!G106+'Cost Model - Glaucoma Override'!G106+'Cost Model - Haemophilia Ovrd'!G106+'Cost Model -HIV Override'!G106+'Cost Model -Hyperlipidaemia Ovr'!G106+'Cost Model -Hypertension-HBP Ov'!G106+'Cost Model - Hypothyroidism Ovr'!G106+'Cost Model -Multiple scler Ovr'!G106+'Cost Model -Parkinson''s dis Ovr'!G106+'Cost Model - Rheumatoid art Ovr'!G106+'Cost Model Schizophrenia Ovrd'!G106+'Cost Model -Lupus Override'!G106+'Cost Model -Clinical depres Ovr'!G106</f>
        <v>3.436175902611012E-2</v>
      </c>
      <c r="H106" s="310">
        <f t="shared" si="2"/>
        <v>182.63621848739487</v>
      </c>
      <c r="I106" s="448">
        <f>'Cost Model -Asthma Override'!I106+'Cost Model  -Biploar Mood Ovrd'!I106+'Cost Model -Cardiac failure Ovr'!I106+'Cost Model -Cardiomyopathy Ovrd'!I106+'Cost Model-COPD Override'!I106+'Cost Model -CKD Override'!I106+'Cost Model -Diabetes ins Ovrd'!I106+'Cost Model - Diabetes1 Override'!I106+'Cost Model -Epilepsy Override'!I106+'Cost Model - Glaucoma Override'!I106+'Cost Model - Haemophilia Ovrd'!I106+'Cost Model -HIV Override'!I106+'Cost Model -Hyperlipidaemia Ovr'!I106+'Cost Model -Hypertension-HBP Ov'!I106+'Cost Model - Hypothyroidism Ovr'!I106+'Cost Model -Multiple scler Ovr'!I106+'Cost Model -Parkinson''s dis Ovr'!I106+'Cost Model - Rheumatoid art Ovr'!I106+'Cost Model Schizophrenia Ovrd'!I106+'Cost Model -Lupus Override'!I106+'Cost Model -Clinical depres Ovr'!I106</f>
        <v>5.2297514409198841E-4</v>
      </c>
      <c r="J106" s="439"/>
    </row>
    <row r="107" spans="4:13" x14ac:dyDescent="0.2">
      <c r="D107" s="451" t="s">
        <v>595</v>
      </c>
      <c r="E107" s="451" t="s">
        <v>558</v>
      </c>
      <c r="F107" s="451" t="s">
        <v>554</v>
      </c>
      <c r="G107" s="452">
        <f>'Cost Model -Asthma Override'!G107+'Cost Model  -Biploar Mood Ovrd'!G107+'Cost Model -Cardiac failure Ovr'!G107+'Cost Model -Cardiomyopathy Ovrd'!G107+'Cost Model-COPD Override'!G107+'Cost Model -CKD Override'!G107+'Cost Model -Diabetes ins Ovrd'!G107+'Cost Model - Diabetes1 Override'!G107+'Cost Model -Epilepsy Override'!G107+'Cost Model - Glaucoma Override'!G107+'Cost Model - Haemophilia Ovrd'!G107+'Cost Model -HIV Override'!G107+'Cost Model -Hyperlipidaemia Ovr'!G107+'Cost Model -Hypertension-HBP Ov'!G107+'Cost Model - Hypothyroidism Ovr'!G107+'Cost Model -Multiple scler Ovr'!G107+'Cost Model -Parkinson''s dis Ovr'!G107+'Cost Model - Rheumatoid art Ovr'!G107+'Cost Model Schizophrenia Ovrd'!G107+'Cost Model -Lupus Override'!G107+'Cost Model -Clinical depres Ovr'!G107</f>
        <v>65.28633150963779</v>
      </c>
      <c r="H107" s="310">
        <f t="shared" si="2"/>
        <v>1.8887002452492645</v>
      </c>
      <c r="I107" s="454">
        <f>'Cost Model -Asthma Override'!I107+'Cost Model  -Biploar Mood Ovrd'!I107+'Cost Model -Cardiac failure Ovr'!I107+'Cost Model -Cardiomyopathy Ovrd'!I107+'Cost Model-COPD Override'!I107+'Cost Model -CKD Override'!I107+'Cost Model -Diabetes ins Ovrd'!I107+'Cost Model - Diabetes1 Override'!I107+'Cost Model -Epilepsy Override'!I107+'Cost Model - Glaucoma Override'!I107+'Cost Model - Haemophilia Ovrd'!I107+'Cost Model -HIV Override'!I107+'Cost Model -Hyperlipidaemia Ovr'!I107+'Cost Model -Hypertension-HBP Ov'!I107+'Cost Model - Hypothyroidism Ovr'!I107+'Cost Model -Multiple scler Ovr'!I107+'Cost Model -Parkinson''s dis Ovr'!I107+'Cost Model - Rheumatoid art Ovr'!I107+'Cost Model Schizophrenia Ovrd'!I107+'Cost Model -Lupus Override'!I107+'Cost Model -Clinical depres Ovr'!I107</f>
        <v>1.0275525861139808E-2</v>
      </c>
      <c r="J107" s="439"/>
    </row>
    <row r="108" spans="4:13" ht="16" x14ac:dyDescent="0.2">
      <c r="D108" s="461" t="s">
        <v>605</v>
      </c>
      <c r="E108" s="460"/>
      <c r="F108" s="460"/>
      <c r="G108" s="465">
        <f>SUM(G65:G107)</f>
        <v>750.66626579870763</v>
      </c>
      <c r="H108" s="466"/>
      <c r="I108" s="465">
        <f>SUM(I65:I107)</f>
        <v>5.334637142427022</v>
      </c>
      <c r="J108" s="439"/>
      <c r="K108" s="313" t="s">
        <v>311</v>
      </c>
      <c r="L108" s="313" t="s">
        <v>606</v>
      </c>
      <c r="M108" s="313" t="s">
        <v>528</v>
      </c>
    </row>
    <row r="109" spans="4:13" x14ac:dyDescent="0.2">
      <c r="D109" s="446" t="s">
        <v>607</v>
      </c>
      <c r="E109" s="446" t="s">
        <v>608</v>
      </c>
      <c r="F109" s="468" t="s">
        <v>609</v>
      </c>
      <c r="G109" s="469">
        <f>'Cost Model -Asthma Override'!G109+'Cost Model  -Biploar Mood Ovrd'!G109+'Cost Model -Cardiac failure Ovr'!G109+'Cost Model -Cardiomyopathy Ovrd'!G109+'Cost Model-COPD Override'!G109+'Cost Model -CKD Override'!G109+'Cost Model -Diabetes ins Ovrd'!G109+'Cost Model - Diabetes1 Override'!G109+'Cost Model -Epilepsy Override'!G109+'Cost Model - Glaucoma Override'!G109+'Cost Model - Haemophilia Ovrd'!G109+'Cost Model -HIV Override'!G109+'Cost Model -Hyperlipidaemia Ovr'!G109+'Cost Model -Hypertension-HBP Ov'!G109+'Cost Model - Hypothyroidism Ovr'!G109+'Cost Model -Multiple scler Ovr'!G109+'Cost Model -Parkinson''s dis Ovr'!G109+'Cost Model - Rheumatoid art Ovr'!G109+'Cost Model Schizophrenia Ovrd'!G109+'Cost Model -Lupus Override'!G109+'Cost Model -Clinical depres Ovr'!G109</f>
        <v>716.69871854229928</v>
      </c>
      <c r="H109" s="310">
        <f t="shared" ref="H109:H116" si="3">12000*I109/G109</f>
        <v>40.226745933169973</v>
      </c>
      <c r="I109" s="470">
        <f>'Cost Model -Asthma Override'!I109+'Cost Model  -Biploar Mood Ovrd'!I109+'Cost Model -Cardiac failure Ovr'!I109+'Cost Model -Cardiomyopathy Ovrd'!I109+'Cost Model-COPD Override'!I109+'Cost Model -CKD Override'!I109+'Cost Model -Diabetes ins Ovrd'!I109+'Cost Model - Diabetes1 Override'!I109+'Cost Model -Epilepsy Override'!I109+'Cost Model - Glaucoma Override'!I109+'Cost Model - Haemophilia Ovrd'!I109+'Cost Model -HIV Override'!I109+'Cost Model -Hyperlipidaemia Ovr'!I109+'Cost Model -Hypertension-HBP Ov'!I109+'Cost Model - Hypothyroidism Ovr'!I109+'Cost Model -Multiple scler Ovr'!I109+'Cost Model -Parkinson''s dis Ovr'!I109+'Cost Model - Rheumatoid art Ovr'!I109+'Cost Model Schizophrenia Ovrd'!I109+'Cost Model -Lupus Override'!I109+'Cost Model -Clinical depres Ovr'!I109</f>
        <v>2.4025381051191306</v>
      </c>
      <c r="J109" s="439"/>
      <c r="K109">
        <f>'Assumptions-Output Override'!$J$19</f>
        <v>10</v>
      </c>
      <c r="L109" s="470">
        <f>G109*K109/12000</f>
        <v>0.59724893211858276</v>
      </c>
      <c r="M109" s="388">
        <f>I109-L109</f>
        <v>1.8052891730005478</v>
      </c>
    </row>
    <row r="110" spans="4:13" x14ac:dyDescent="0.2">
      <c r="D110" s="446" t="s">
        <v>607</v>
      </c>
      <c r="E110" s="446" t="s">
        <v>610</v>
      </c>
      <c r="F110" s="468" t="s">
        <v>609</v>
      </c>
      <c r="G110" s="469">
        <f>'Cost Model -Asthma Override'!G110+'Cost Model  -Biploar Mood Ovrd'!G110+'Cost Model -Cardiac failure Ovr'!G110+'Cost Model -Cardiomyopathy Ovrd'!G110+'Cost Model-COPD Override'!G110+'Cost Model -CKD Override'!G110+'Cost Model -Diabetes ins Ovrd'!G110+'Cost Model - Diabetes1 Override'!G110+'Cost Model -Epilepsy Override'!G110+'Cost Model - Glaucoma Override'!G110+'Cost Model - Haemophilia Ovrd'!G110+'Cost Model -HIV Override'!G110+'Cost Model -Hyperlipidaemia Ovr'!G110+'Cost Model -Hypertension-HBP Ov'!G110+'Cost Model - Hypothyroidism Ovr'!G110+'Cost Model -Multiple scler Ovr'!G110+'Cost Model -Parkinson''s dis Ovr'!G110+'Cost Model - Rheumatoid art Ovr'!G110+'Cost Model Schizophrenia Ovrd'!G110+'Cost Model -Lupus Override'!G110+'Cost Model -Clinical depres Ovr'!G110</f>
        <v>125.55959066909845</v>
      </c>
      <c r="H110" s="310">
        <f t="shared" si="3"/>
        <v>264.18246403533146</v>
      </c>
      <c r="I110" s="470">
        <f>'Cost Model -Asthma Override'!I110+'Cost Model  -Biploar Mood Ovrd'!I110+'Cost Model -Cardiac failure Ovr'!I110+'Cost Model -Cardiomyopathy Ovrd'!I110+'Cost Model-COPD Override'!I110+'Cost Model -CKD Override'!I110+'Cost Model -Diabetes ins Ovrd'!I110+'Cost Model - Diabetes1 Override'!I110+'Cost Model -Epilepsy Override'!I110+'Cost Model - Glaucoma Override'!I110+'Cost Model - Haemophilia Ovrd'!I110+'Cost Model -HIV Override'!I110+'Cost Model -Hyperlipidaemia Ovr'!I110+'Cost Model -Hypertension-HBP Ov'!I110+'Cost Model - Hypothyroidism Ovr'!I110+'Cost Model -Multiple scler Ovr'!I110+'Cost Model -Parkinson''s dis Ovr'!I110+'Cost Model - Rheumatoid art Ovr'!I110+'Cost Model Schizophrenia Ovrd'!I110+'Cost Model -Lupus Override'!I110+'Cost Model -Clinical depres Ovr'!I110</f>
        <v>2.7642201705191707</v>
      </c>
      <c r="J110" s="439"/>
      <c r="K110">
        <f>'Assumptions-Output Override'!$K$19</f>
        <v>50</v>
      </c>
      <c r="L110" s="470">
        <f t="shared" ref="L110:L116" si="4">G110*K110/12000</f>
        <v>0.52316496112124355</v>
      </c>
      <c r="M110" s="388">
        <f t="shared" ref="M110:M116" si="5">I110-L110</f>
        <v>2.2410552093979272</v>
      </c>
    </row>
    <row r="111" spans="4:13" x14ac:dyDescent="0.2">
      <c r="D111" s="446" t="s">
        <v>607</v>
      </c>
      <c r="E111" s="446" t="s">
        <v>611</v>
      </c>
      <c r="F111" s="468" t="s">
        <v>609</v>
      </c>
      <c r="G111" s="469">
        <f>'Cost Model -Asthma Override'!G111+'Cost Model  -Biploar Mood Ovrd'!G111+'Cost Model -Cardiac failure Ovr'!G111+'Cost Model -Cardiomyopathy Ovrd'!G111+'Cost Model-COPD Override'!G111+'Cost Model -CKD Override'!G111+'Cost Model -Diabetes ins Ovrd'!G111+'Cost Model - Diabetes1 Override'!G111+'Cost Model -Epilepsy Override'!G111+'Cost Model - Glaucoma Override'!G111+'Cost Model - Haemophilia Ovrd'!G111+'Cost Model -HIV Override'!G111+'Cost Model -Hyperlipidaemia Ovr'!G111+'Cost Model -Hypertension-HBP Ov'!G111+'Cost Model - Hypothyroidism Ovr'!G111+'Cost Model -Multiple scler Ovr'!G111+'Cost Model -Parkinson''s dis Ovr'!G111+'Cost Model - Rheumatoid art Ovr'!G111+'Cost Model Schizophrenia Ovrd'!G111+'Cost Model -Lupus Override'!G111+'Cost Model -Clinical depres Ovr'!G111</f>
        <v>53.648937114137091</v>
      </c>
      <c r="H111" s="310">
        <f t="shared" si="3"/>
        <v>309.8416344090549</v>
      </c>
      <c r="I111" s="470">
        <f>'Cost Model -Asthma Override'!I111+'Cost Model  -Biploar Mood Ovrd'!I111+'Cost Model -Cardiac failure Ovr'!I111+'Cost Model -Cardiomyopathy Ovrd'!I111+'Cost Model-COPD Override'!I111+'Cost Model -CKD Override'!I111+'Cost Model -Diabetes ins Ovrd'!I111+'Cost Model - Diabetes1 Override'!I111+'Cost Model -Epilepsy Override'!I111+'Cost Model - Glaucoma Override'!I111+'Cost Model - Haemophilia Ovrd'!I111+'Cost Model -HIV Override'!I111+'Cost Model -Hyperlipidaemia Ovr'!I111+'Cost Model -Hypertension-HBP Ov'!I111+'Cost Model - Hypothyroidism Ovr'!I111+'Cost Model -Multiple scler Ovr'!I111+'Cost Model -Parkinson''s dis Ovr'!I111+'Cost Model - Rheumatoid art Ovr'!I111+'Cost Model Schizophrenia Ovrd'!I111+'Cost Model -Lupus Override'!I111+'Cost Model -Clinical depres Ovr'!I111</f>
        <v>1.3852228633127368</v>
      </c>
      <c r="J111" s="439"/>
      <c r="K111">
        <f>'Assumptions-Output Override'!$L$19</f>
        <v>80</v>
      </c>
      <c r="L111" s="470">
        <f t="shared" si="4"/>
        <v>0.35765958076091398</v>
      </c>
      <c r="M111" s="388">
        <f t="shared" si="5"/>
        <v>1.0275632825518228</v>
      </c>
    </row>
    <row r="112" spans="4:13" x14ac:dyDescent="0.2">
      <c r="D112" s="446" t="s">
        <v>607</v>
      </c>
      <c r="E112" s="446" t="s">
        <v>612</v>
      </c>
      <c r="F112" s="468" t="s">
        <v>609</v>
      </c>
      <c r="G112" s="469">
        <f>'Cost Model -Asthma Override'!G112+'Cost Model  -Biploar Mood Ovrd'!G112+'Cost Model -Cardiac failure Ovr'!G112+'Cost Model -Cardiomyopathy Ovrd'!G112+'Cost Model-COPD Override'!G112+'Cost Model -CKD Override'!G112+'Cost Model -Diabetes ins Ovrd'!G112+'Cost Model - Diabetes1 Override'!G112+'Cost Model -Epilepsy Override'!G112+'Cost Model - Glaucoma Override'!G112+'Cost Model - Haemophilia Ovrd'!G112+'Cost Model -HIV Override'!G112+'Cost Model -Hyperlipidaemia Ovr'!G112+'Cost Model -Hypertension-HBP Ov'!G112+'Cost Model - Hypothyroidism Ovr'!G112+'Cost Model -Multiple scler Ovr'!G112+'Cost Model -Parkinson''s dis Ovr'!G112+'Cost Model - Rheumatoid art Ovr'!G112+'Cost Model Schizophrenia Ovrd'!G112+'Cost Model -Lupus Override'!G112+'Cost Model -Clinical depres Ovr'!G112</f>
        <v>48.135835255059625</v>
      </c>
      <c r="H112" s="310">
        <f t="shared" si="3"/>
        <v>1783.0210349402325</v>
      </c>
      <c r="I112" s="470">
        <f>'Cost Model -Asthma Override'!I112+'Cost Model  -Biploar Mood Ovrd'!I112+'Cost Model -Cardiac failure Ovr'!I112+'Cost Model -Cardiomyopathy Ovrd'!I112+'Cost Model-COPD Override'!I112+'Cost Model -CKD Override'!I112+'Cost Model -Diabetes ins Ovrd'!I112+'Cost Model - Diabetes1 Override'!I112+'Cost Model -Epilepsy Override'!I112+'Cost Model - Glaucoma Override'!I112+'Cost Model - Haemophilia Ovrd'!I112+'Cost Model -HIV Override'!I112+'Cost Model -Hyperlipidaemia Ovr'!I112+'Cost Model -Hypertension-HBP Ov'!I112+'Cost Model - Hypothyroidism Ovr'!I112+'Cost Model -Multiple scler Ovr'!I112+'Cost Model -Parkinson''s dis Ovr'!I112+'Cost Model - Rheumatoid art Ovr'!I112+'Cost Model Schizophrenia Ovrd'!I112+'Cost Model -Lupus Override'!I112+'Cost Model -Clinical depres Ovr'!I112</f>
        <v>7.1522672328490788</v>
      </c>
      <c r="J112" s="439"/>
      <c r="K112">
        <f>'Assumptions-Output Override'!$M$19</f>
        <v>200</v>
      </c>
      <c r="L112" s="470">
        <f t="shared" si="4"/>
        <v>0.80226392091766052</v>
      </c>
      <c r="M112" s="388">
        <f t="shared" si="5"/>
        <v>6.3500033119314185</v>
      </c>
    </row>
    <row r="113" spans="4:13" x14ac:dyDescent="0.2">
      <c r="D113" s="446" t="s">
        <v>607</v>
      </c>
      <c r="E113" s="446" t="s">
        <v>613</v>
      </c>
      <c r="F113" s="468" t="s">
        <v>609</v>
      </c>
      <c r="G113" s="469">
        <f>'Cost Model -Asthma Override'!G113+'Cost Model  -Biploar Mood Ovrd'!G113+'Cost Model -Cardiac failure Ovr'!G113+'Cost Model -Cardiomyopathy Ovrd'!G113+'Cost Model-COPD Override'!G113+'Cost Model -CKD Override'!G113+'Cost Model -Diabetes ins Ovrd'!G113+'Cost Model - Diabetes1 Override'!G113+'Cost Model -Epilepsy Override'!G113+'Cost Model - Glaucoma Override'!G113+'Cost Model - Haemophilia Ovrd'!G113+'Cost Model -HIV Override'!G113+'Cost Model -Hyperlipidaemia Ovr'!G113+'Cost Model -Hypertension-HBP Ov'!G113+'Cost Model - Hypothyroidism Ovr'!G113+'Cost Model -Multiple scler Ovr'!G113+'Cost Model -Parkinson''s dis Ovr'!G113+'Cost Model - Rheumatoid art Ovr'!G113+'Cost Model Schizophrenia Ovrd'!G113+'Cost Model -Lupus Override'!G113+'Cost Model -Clinical depres Ovr'!G113</f>
        <v>109.44304770229249</v>
      </c>
      <c r="H113" s="310">
        <f t="shared" si="3"/>
        <v>87.262498132978052</v>
      </c>
      <c r="I113" s="470">
        <f>'Cost Model -Asthma Override'!I113+'Cost Model  -Biploar Mood Ovrd'!I113+'Cost Model -Cardiac failure Ovr'!I113+'Cost Model -Cardiomyopathy Ovrd'!I113+'Cost Model-COPD Override'!I113+'Cost Model -CKD Override'!I113+'Cost Model -Diabetes ins Ovrd'!I113+'Cost Model - Diabetes1 Override'!I113+'Cost Model -Epilepsy Override'!I113+'Cost Model - Glaucoma Override'!I113+'Cost Model - Haemophilia Ovrd'!I113+'Cost Model -HIV Override'!I113+'Cost Model -Hyperlipidaemia Ovr'!I113+'Cost Model -Hypertension-HBP Ov'!I113+'Cost Model - Hypothyroidism Ovr'!I113+'Cost Model -Multiple scler Ovr'!I113+'Cost Model -Parkinson''s dis Ovr'!I113+'Cost Model - Rheumatoid art Ovr'!I113+'Cost Model Schizophrenia Ovrd'!I113+'Cost Model -Lupus Override'!I113+'Cost Model -Clinical depres Ovr'!I113</f>
        <v>0.79585614548239392</v>
      </c>
      <c r="J113" s="439"/>
      <c r="K113">
        <f>2*K109</f>
        <v>20</v>
      </c>
      <c r="L113" s="470">
        <f t="shared" si="4"/>
        <v>0.18240507950382082</v>
      </c>
      <c r="M113" s="388">
        <f t="shared" si="5"/>
        <v>0.61345106597857313</v>
      </c>
    </row>
    <row r="114" spans="4:13" x14ac:dyDescent="0.2">
      <c r="D114" s="446" t="s">
        <v>607</v>
      </c>
      <c r="E114" s="446" t="s">
        <v>614</v>
      </c>
      <c r="F114" s="468" t="s">
        <v>609</v>
      </c>
      <c r="G114" s="469">
        <f>'Cost Model -Asthma Override'!G114+'Cost Model  -Biploar Mood Ovrd'!G114+'Cost Model -Cardiac failure Ovr'!G114+'Cost Model -Cardiomyopathy Ovrd'!G114+'Cost Model-COPD Override'!G114+'Cost Model -CKD Override'!G114+'Cost Model -Diabetes ins Ovrd'!G114+'Cost Model - Diabetes1 Override'!G114+'Cost Model -Epilepsy Override'!G114+'Cost Model - Glaucoma Override'!G114+'Cost Model - Haemophilia Ovrd'!G114+'Cost Model -HIV Override'!G114+'Cost Model -Hyperlipidaemia Ovr'!G114+'Cost Model -Hypertension-HBP Ov'!G114+'Cost Model - Hypothyroidism Ovr'!G114+'Cost Model -Multiple scler Ovr'!G114+'Cost Model -Parkinson''s dis Ovr'!G114+'Cost Model - Rheumatoid art Ovr'!G114+'Cost Model Schizophrenia Ovrd'!G114+'Cost Model -Lupus Override'!G114+'Cost Model -Clinical depres Ovr'!G114</f>
        <v>27.500979196506286</v>
      </c>
      <c r="H114" s="310">
        <f t="shared" si="3"/>
        <v>574.4618979892814</v>
      </c>
      <c r="I114" s="470">
        <f>'Cost Model -Asthma Override'!I114+'Cost Model  -Biploar Mood Ovrd'!I114+'Cost Model -Cardiac failure Ovr'!I114+'Cost Model -Cardiomyopathy Ovrd'!I114+'Cost Model-COPD Override'!I114+'Cost Model -CKD Override'!I114+'Cost Model -Diabetes ins Ovrd'!I114+'Cost Model - Diabetes1 Override'!I114+'Cost Model -Epilepsy Override'!I114+'Cost Model - Glaucoma Override'!I114+'Cost Model - Haemophilia Ovrd'!I114+'Cost Model -HIV Override'!I114+'Cost Model -Hyperlipidaemia Ovr'!I114+'Cost Model -Hypertension-HBP Ov'!I114+'Cost Model - Hypothyroidism Ovr'!I114+'Cost Model -Multiple scler Ovr'!I114+'Cost Model -Parkinson''s dis Ovr'!I114+'Cost Model - Rheumatoid art Ovr'!I114+'Cost Model Schizophrenia Ovrd'!I114+'Cost Model -Lupus Override'!I114+'Cost Model -Clinical depres Ovr'!I114</f>
        <v>1.3165220588157287</v>
      </c>
      <c r="J114" s="439"/>
      <c r="K114">
        <f>2*K110</f>
        <v>100</v>
      </c>
      <c r="L114" s="470">
        <f t="shared" si="4"/>
        <v>0.2291748266375524</v>
      </c>
      <c r="M114" s="388">
        <f t="shared" si="5"/>
        <v>1.0873472321781763</v>
      </c>
    </row>
    <row r="115" spans="4:13" x14ac:dyDescent="0.2">
      <c r="D115" s="446" t="s">
        <v>607</v>
      </c>
      <c r="E115" s="446" t="s">
        <v>615</v>
      </c>
      <c r="F115" s="468" t="s">
        <v>609</v>
      </c>
      <c r="G115" s="469">
        <f>'Cost Model -Asthma Override'!G115+'Cost Model  -Biploar Mood Ovrd'!G115+'Cost Model -Cardiac failure Ovr'!G115+'Cost Model -Cardiomyopathy Ovrd'!G115+'Cost Model-COPD Override'!G115+'Cost Model -CKD Override'!G115+'Cost Model -Diabetes ins Ovrd'!G115+'Cost Model - Diabetes1 Override'!G115+'Cost Model -Epilepsy Override'!G115+'Cost Model - Glaucoma Override'!G115+'Cost Model - Haemophilia Ovrd'!G115+'Cost Model -HIV Override'!G115+'Cost Model -Hyperlipidaemia Ovr'!G115+'Cost Model -Hypertension-HBP Ov'!G115+'Cost Model - Hypothyroidism Ovr'!G115+'Cost Model -Multiple scler Ovr'!G115+'Cost Model -Parkinson''s dis Ovr'!G115+'Cost Model - Rheumatoid art Ovr'!G115+'Cost Model Schizophrenia Ovrd'!G115+'Cost Model -Lupus Override'!G115+'Cost Model -Clinical depres Ovr'!G115</f>
        <v>7.7107437312514353</v>
      </c>
      <c r="H115" s="310">
        <f t="shared" si="3"/>
        <v>676.20335877131322</v>
      </c>
      <c r="I115" s="470">
        <f>'Cost Model -Asthma Override'!I115+'Cost Model  -Biploar Mood Ovrd'!I115+'Cost Model -Cardiac failure Ovr'!I115+'Cost Model -Cardiomyopathy Ovrd'!I115+'Cost Model-COPD Override'!I115+'Cost Model -CKD Override'!I115+'Cost Model -Diabetes ins Ovrd'!I115+'Cost Model - Diabetes1 Override'!I115+'Cost Model -Epilepsy Override'!I115+'Cost Model - Glaucoma Override'!I115+'Cost Model - Haemophilia Ovrd'!I115+'Cost Model -HIV Override'!I115+'Cost Model -Hyperlipidaemia Ovr'!I115+'Cost Model -Hypertension-HBP Ov'!I115+'Cost Model - Hypothyroidism Ovr'!I115+'Cost Model -Multiple scler Ovr'!I115+'Cost Model -Parkinson''s dis Ovr'!I115+'Cost Model - Rheumatoid art Ovr'!I115+'Cost Model Schizophrenia Ovrd'!I115+'Cost Model -Lupus Override'!I115+'Cost Model -Clinical depres Ovr'!I115</f>
        <v>0.43450256747475569</v>
      </c>
      <c r="J115" s="439"/>
      <c r="K115">
        <f>2*K111</f>
        <v>160</v>
      </c>
      <c r="L115" s="470">
        <f t="shared" si="4"/>
        <v>0.1028099164166858</v>
      </c>
      <c r="M115" s="388">
        <f t="shared" si="5"/>
        <v>0.33169265105806989</v>
      </c>
    </row>
    <row r="116" spans="4:13" x14ac:dyDescent="0.2">
      <c r="D116" s="446" t="s">
        <v>607</v>
      </c>
      <c r="E116" s="446" t="s">
        <v>616</v>
      </c>
      <c r="F116" s="468" t="s">
        <v>609</v>
      </c>
      <c r="G116" s="447">
        <f>'Cost Model -Asthma Override'!G116+'Cost Model  -Biploar Mood Ovrd'!G116+'Cost Model -Cardiac failure Ovr'!G116+'Cost Model -Cardiomyopathy Ovrd'!G116+'Cost Model-COPD Override'!G116+'Cost Model -CKD Override'!G116+'Cost Model -Diabetes ins Ovrd'!G116+'Cost Model - Diabetes1 Override'!G116+'Cost Model -Epilepsy Override'!G116+'Cost Model - Glaucoma Override'!G116+'Cost Model - Haemophilia Ovrd'!G116+'Cost Model -HIV Override'!G116+'Cost Model -Hyperlipidaemia Ovr'!G116+'Cost Model -Hypertension-HBP Ov'!G116+'Cost Model - Hypothyroidism Ovr'!G116+'Cost Model -Multiple scler Ovr'!G116+'Cost Model -Parkinson''s dis Ovr'!G116+'Cost Model - Rheumatoid art Ovr'!G116+'Cost Model Schizophrenia Ovrd'!G116+'Cost Model -Lupus Override'!G116+'Cost Model -Clinical depres Ovr'!G116</f>
        <v>13.868845036621462</v>
      </c>
      <c r="H116" s="310">
        <f t="shared" si="3"/>
        <v>3887.0833985988284</v>
      </c>
      <c r="I116" s="448">
        <f>'Cost Model -Asthma Override'!I116+'Cost Model  -Biploar Mood Ovrd'!I116+'Cost Model -Cardiac failure Ovr'!I116+'Cost Model -Cardiomyopathy Ovrd'!I116+'Cost Model-COPD Override'!I116+'Cost Model -CKD Override'!I116+'Cost Model -Diabetes ins Ovrd'!I116+'Cost Model - Diabetes1 Override'!I116+'Cost Model -Epilepsy Override'!I116+'Cost Model - Glaucoma Override'!I116+'Cost Model - Haemophilia Ovrd'!I116+'Cost Model -HIV Override'!I116+'Cost Model -Hyperlipidaemia Ovr'!I116+'Cost Model -Hypertension-HBP Ov'!I116+'Cost Model - Hypothyroidism Ovr'!I116+'Cost Model -Multiple scler Ovr'!I116+'Cost Model -Parkinson''s dis Ovr'!I116+'Cost Model - Rheumatoid art Ovr'!I116+'Cost Model Schizophrenia Ovrd'!I116+'Cost Model -Lupus Override'!I116+'Cost Model -Clinical depres Ovr'!I116</f>
        <v>4.4924464416325867</v>
      </c>
      <c r="J116" s="439"/>
      <c r="K116">
        <f>2*K112</f>
        <v>400</v>
      </c>
      <c r="L116" s="470">
        <f t="shared" si="4"/>
        <v>0.46229483455404874</v>
      </c>
      <c r="M116" s="388">
        <f t="shared" si="5"/>
        <v>4.0301516070785377</v>
      </c>
    </row>
    <row r="117" spans="4:13" x14ac:dyDescent="0.2">
      <c r="D117" s="460" t="s">
        <v>617</v>
      </c>
      <c r="E117" s="460"/>
      <c r="F117" s="460"/>
      <c r="G117" s="471">
        <f>SUM(G109:G116)</f>
        <v>1102.5666972472661</v>
      </c>
      <c r="H117" s="472"/>
      <c r="I117" s="471">
        <f>SUM(I109:I116)</f>
        <v>20.743575585205583</v>
      </c>
      <c r="J117" s="439"/>
      <c r="K117">
        <f>SUMPRODUCT(G109:G116,K109:K116)/G117</f>
        <v>35.448435656496983</v>
      </c>
      <c r="L117" s="470">
        <f>SUM(L109:L116)</f>
        <v>3.257022052030508</v>
      </c>
      <c r="M117" s="388">
        <f>SUM(M109:M116)</f>
        <v>17.486553533175073</v>
      </c>
    </row>
    <row r="118" spans="4:13" ht="16" x14ac:dyDescent="0.2">
      <c r="D118" s="461" t="s">
        <v>618</v>
      </c>
      <c r="E118" s="461"/>
      <c r="F118" s="461"/>
      <c r="G118" s="474"/>
      <c r="H118" s="474"/>
      <c r="I118" s="473">
        <f>I17+I64+I108+I117</f>
        <v>44.814883664501309</v>
      </c>
      <c r="J118" s="439"/>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776</v>
      </c>
      <c r="G3"/>
      <c r="H3"/>
      <c r="I3"/>
    </row>
    <row r="4" spans="2:19" x14ac:dyDescent="0.2">
      <c r="G4"/>
      <c r="H4"/>
      <c r="I4"/>
    </row>
    <row r="5" spans="2:19" ht="16" x14ac:dyDescent="0.2">
      <c r="D5" s="438" t="s">
        <v>775</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4.2215952539016902E-2</v>
      </c>
      <c r="H8" s="310">
        <v>745.24735714285714</v>
      </c>
      <c r="I8" s="448">
        <v>2.6217772549142196E-3</v>
      </c>
      <c r="J8" s="439"/>
      <c r="K8" s="446" t="s">
        <v>1</v>
      </c>
      <c r="L8" s="446" t="s">
        <v>535</v>
      </c>
      <c r="M8" s="446" t="s">
        <v>534</v>
      </c>
      <c r="N8" s="449">
        <v>0.70500640740158238</v>
      </c>
      <c r="O8" s="310">
        <v>6430.6510564585087</v>
      </c>
      <c r="P8" s="388">
        <v>0.37780418321391701</v>
      </c>
      <c r="Q8" s="29">
        <f>'Assumptions-Output Target'!D17</f>
        <v>1018.5185313926721</v>
      </c>
      <c r="R8" s="388">
        <f>N8*Q8/12000</f>
        <v>5.9838507557423627E-2</v>
      </c>
      <c r="S8" s="388">
        <f>P8-R8</f>
        <v>0.31796567565649336</v>
      </c>
    </row>
    <row r="9" spans="2:19" x14ac:dyDescent="0.2">
      <c r="D9" s="446" t="s">
        <v>1</v>
      </c>
      <c r="E9" s="446" t="s">
        <v>536</v>
      </c>
      <c r="F9" s="446" t="s">
        <v>534</v>
      </c>
      <c r="G9" s="447">
        <v>8.1416479896675442E-3</v>
      </c>
      <c r="H9" s="310">
        <v>937.22222222222229</v>
      </c>
      <c r="I9" s="448">
        <v>6.3587778511894205E-4</v>
      </c>
      <c r="J9" s="439"/>
      <c r="K9" s="446" t="s">
        <v>462</v>
      </c>
      <c r="L9" s="446" t="s">
        <v>0</v>
      </c>
      <c r="M9" s="446" t="s">
        <v>537</v>
      </c>
      <c r="N9" s="449">
        <v>1.732525665182022E-3</v>
      </c>
      <c r="O9" s="310">
        <v>64.300833333333344</v>
      </c>
      <c r="P9" s="388">
        <v>9.28357033688264E-6</v>
      </c>
      <c r="Q9" s="29">
        <f>'Assumptions-Output Target'!E17</f>
        <v>254.62963284816803</v>
      </c>
      <c r="R9" s="388">
        <f>N9*Q9/12000</f>
        <v>3.6762697835443861E-5</v>
      </c>
      <c r="S9" s="388">
        <f>P9-R9</f>
        <v>-2.7479127498561221E-5</v>
      </c>
    </row>
    <row r="10" spans="2:19" x14ac:dyDescent="0.2">
      <c r="D10" s="446" t="s">
        <v>1</v>
      </c>
      <c r="E10" s="446" t="s">
        <v>46</v>
      </c>
      <c r="F10" s="446" t="s">
        <v>534</v>
      </c>
      <c r="G10" s="447">
        <v>0.52347781148380956</v>
      </c>
      <c r="H10" s="310">
        <v>8042.9743260368668</v>
      </c>
      <c r="I10" s="448">
        <v>0.35085988316785394</v>
      </c>
      <c r="J10" s="439"/>
      <c r="K10" s="446" t="s">
        <v>462</v>
      </c>
      <c r="L10" s="446" t="s">
        <v>538</v>
      </c>
      <c r="M10" s="446" t="s">
        <v>539</v>
      </c>
      <c r="N10" s="449">
        <v>21.083537951016318</v>
      </c>
      <c r="O10" s="310">
        <v>556.71137546137732</v>
      </c>
      <c r="P10" s="388">
        <v>0.97812045102520351</v>
      </c>
      <c r="Q10" s="29">
        <v>0</v>
      </c>
      <c r="R10" s="388">
        <f>N10*Q10/12000</f>
        <v>0</v>
      </c>
      <c r="S10" s="388">
        <f>P10-R10</f>
        <v>0.97812045102520351</v>
      </c>
    </row>
    <row r="11" spans="2:19" x14ac:dyDescent="0.2">
      <c r="D11" s="446" t="s">
        <v>1</v>
      </c>
      <c r="E11" s="446" t="s">
        <v>540</v>
      </c>
      <c r="F11" s="446" t="s">
        <v>534</v>
      </c>
      <c r="G11" s="447">
        <v>0.1145861568916173</v>
      </c>
      <c r="H11" s="310">
        <v>2245.311078947369</v>
      </c>
      <c r="I11" s="448">
        <v>2.1440130630229145E-2</v>
      </c>
      <c r="J11" s="439"/>
      <c r="K11" s="320" t="s">
        <v>463</v>
      </c>
      <c r="L11" s="450" t="s">
        <v>541</v>
      </c>
      <c r="M11" s="446" t="s">
        <v>539</v>
      </c>
      <c r="N11" s="449">
        <v>22.427255981503748</v>
      </c>
      <c r="O11" s="310">
        <v>88.213677850879549</v>
      </c>
      <c r="P11" s="388">
        <v>0.16486589451929859</v>
      </c>
      <c r="Q11" s="29">
        <f>'Assumptions-Output Target'!G17</f>
        <v>30.555555941780163</v>
      </c>
      <c r="R11" s="388">
        <f>N11*Q11/12000</f>
        <v>5.7106439563621804E-2</v>
      </c>
      <c r="S11" s="388">
        <f>P11-R11</f>
        <v>0.10775945495567679</v>
      </c>
    </row>
    <row r="12" spans="2:19" x14ac:dyDescent="0.2">
      <c r="D12" s="446" t="s">
        <v>1</v>
      </c>
      <c r="E12" s="446" t="s">
        <v>542</v>
      </c>
      <c r="F12" s="446" t="s">
        <v>534</v>
      </c>
      <c r="G12" s="447">
        <v>3.0154251813583504E-4</v>
      </c>
      <c r="H12" s="310">
        <v>229.99999999999997</v>
      </c>
      <c r="I12" s="448">
        <v>5.7795649309368372E-6</v>
      </c>
      <c r="J12" s="439"/>
      <c r="K12" s="320" t="s">
        <v>464</v>
      </c>
      <c r="L12" s="450" t="s">
        <v>541</v>
      </c>
      <c r="M12" s="446" t="s">
        <v>539</v>
      </c>
      <c r="N12" s="449">
        <v>30.896852072884826</v>
      </c>
      <c r="O12" s="310">
        <v>115.57698323839588</v>
      </c>
      <c r="P12" s="388">
        <v>0.2975804128455839</v>
      </c>
      <c r="Q12" s="29">
        <f>'Assumptions-Output Target'!H17</f>
        <v>55.000000695204292</v>
      </c>
      <c r="R12" s="388">
        <f>N12*Q12/12000</f>
        <v>0.14161057379069081</v>
      </c>
      <c r="S12" s="388">
        <f>P12-R12</f>
        <v>0.15596983905489309</v>
      </c>
    </row>
    <row r="13" spans="2:19" x14ac:dyDescent="0.2">
      <c r="D13" s="446" t="s">
        <v>1</v>
      </c>
      <c r="E13" s="446" t="s">
        <v>543</v>
      </c>
      <c r="F13" s="446" t="s">
        <v>534</v>
      </c>
      <c r="G13" s="447">
        <v>8.4431905078033807E-3</v>
      </c>
      <c r="H13" s="310">
        <v>713.08571428571429</v>
      </c>
      <c r="I13" s="448">
        <v>5.0172654450894474E-4</v>
      </c>
      <c r="J13" s="439"/>
      <c r="K13" s="446" t="s">
        <v>465</v>
      </c>
      <c r="P13" s="388">
        <f>I117</f>
        <v>2.3307467010885081</v>
      </c>
      <c r="R13" s="388">
        <f>L117</f>
        <v>0.56769749331097608</v>
      </c>
      <c r="S13" s="388">
        <f>M117</f>
        <v>1.7630492077775317</v>
      </c>
    </row>
    <row r="14" spans="2:19" x14ac:dyDescent="0.2">
      <c r="D14" s="446" t="s">
        <v>1</v>
      </c>
      <c r="E14" s="446" t="s">
        <v>544</v>
      </c>
      <c r="F14" s="446" t="s">
        <v>534</v>
      </c>
      <c r="G14" s="447">
        <v>6.0308503627167008E-4</v>
      </c>
      <c r="H14" s="310">
        <v>2294</v>
      </c>
      <c r="I14" s="448">
        <v>1.1528975610060091E-4</v>
      </c>
      <c r="J14" s="439"/>
    </row>
    <row r="15" spans="2:19" x14ac:dyDescent="0.2">
      <c r="D15" s="446" t="s">
        <v>1</v>
      </c>
      <c r="E15" s="446" t="s">
        <v>545</v>
      </c>
      <c r="F15" s="446" t="s">
        <v>534</v>
      </c>
      <c r="G15" s="447">
        <v>7.2370204352600392E-3</v>
      </c>
      <c r="H15" s="310">
        <v>2692.354166666667</v>
      </c>
      <c r="I15" s="448">
        <v>1.6237185102603486E-3</v>
      </c>
      <c r="J15" s="439"/>
      <c r="K15" s="446" t="s">
        <v>403</v>
      </c>
      <c r="P15" s="388">
        <f>SUM(P8:P13)</f>
        <v>4.1491269262628485</v>
      </c>
      <c r="R15" s="388">
        <f>SUM(R8:R13)</f>
        <v>0.82628977692054772</v>
      </c>
      <c r="S15" s="388">
        <f>SUM(S8:S13)</f>
        <v>3.3228371493423001</v>
      </c>
    </row>
    <row r="16" spans="2:19" x14ac:dyDescent="0.2">
      <c r="D16" s="451" t="s">
        <v>1</v>
      </c>
      <c r="E16" s="451" t="s">
        <v>546</v>
      </c>
      <c r="F16" s="451" t="s">
        <v>534</v>
      </c>
      <c r="G16" s="452">
        <v>0</v>
      </c>
      <c r="H16" s="453" t="s">
        <v>446</v>
      </c>
      <c r="I16" s="454">
        <v>0</v>
      </c>
      <c r="J16" s="439"/>
    </row>
    <row r="17" spans="4:12" ht="16" x14ac:dyDescent="0.2">
      <c r="D17" s="456" t="s">
        <v>547</v>
      </c>
      <c r="E17" s="456"/>
      <c r="F17" s="456"/>
      <c r="G17" s="457">
        <v>0.70500640740158238</v>
      </c>
      <c r="H17" s="458"/>
      <c r="I17" s="459">
        <v>0.37780418321391701</v>
      </c>
      <c r="J17" s="439"/>
    </row>
    <row r="18" spans="4:12" x14ac:dyDescent="0.2">
      <c r="D18" s="446" t="s">
        <v>462</v>
      </c>
      <c r="E18" s="446" t="s">
        <v>548</v>
      </c>
      <c r="F18" s="446" t="s">
        <v>537</v>
      </c>
      <c r="G18" s="447">
        <v>1.732525665182022E-3</v>
      </c>
      <c r="H18" s="310">
        <v>64.300833333333344</v>
      </c>
      <c r="I18" s="448">
        <v>9.28357033688264E-6</v>
      </c>
      <c r="J18" s="439"/>
    </row>
    <row r="19" spans="4:12" x14ac:dyDescent="0.2">
      <c r="D19" s="446" t="s">
        <v>462</v>
      </c>
      <c r="E19" s="446" t="s">
        <v>549</v>
      </c>
      <c r="F19" s="446" t="s">
        <v>537</v>
      </c>
      <c r="G19" s="447">
        <v>6.2515301085317956E-2</v>
      </c>
      <c r="H19" s="310">
        <v>389.6795612009239</v>
      </c>
      <c r="I19" s="448">
        <v>2.0300779246058618E-3</v>
      </c>
      <c r="J19" s="439"/>
      <c r="L19" s="352"/>
    </row>
    <row r="20" spans="4:12" x14ac:dyDescent="0.2">
      <c r="D20" s="446" t="s">
        <v>462</v>
      </c>
      <c r="E20" s="446" t="s">
        <v>550</v>
      </c>
      <c r="F20" s="446" t="s">
        <v>537</v>
      </c>
      <c r="G20" s="447">
        <v>1.6015756003220138</v>
      </c>
      <c r="H20" s="310">
        <v>247.79786712341121</v>
      </c>
      <c r="I20" s="448">
        <v>3.307225148305766E-2</v>
      </c>
      <c r="J20" s="439"/>
    </row>
    <row r="21" spans="4:12" x14ac:dyDescent="0.2">
      <c r="D21" s="446" t="s">
        <v>462</v>
      </c>
      <c r="E21" s="446" t="s">
        <v>551</v>
      </c>
      <c r="F21" s="446" t="s">
        <v>537</v>
      </c>
      <c r="G21" s="447">
        <v>7.9118672043312327E-2</v>
      </c>
      <c r="H21" s="310">
        <v>269.12102189781029</v>
      </c>
      <c r="I21" s="448">
        <v>1.7743748226244939E-3</v>
      </c>
      <c r="J21" s="439"/>
    </row>
    <row r="22" spans="4:12" x14ac:dyDescent="0.2">
      <c r="D22" s="446" t="s">
        <v>462</v>
      </c>
      <c r="E22" s="446" t="s">
        <v>552</v>
      </c>
      <c r="F22" s="446" t="s">
        <v>537</v>
      </c>
      <c r="G22" s="447">
        <v>1.443771387651685E-3</v>
      </c>
      <c r="H22" s="310">
        <v>44.7</v>
      </c>
      <c r="I22" s="448">
        <v>5.3780484190025271E-6</v>
      </c>
      <c r="J22" s="439"/>
    </row>
    <row r="23" spans="4:12" x14ac:dyDescent="0.2">
      <c r="D23" s="446" t="s">
        <v>462</v>
      </c>
      <c r="E23" s="446" t="s">
        <v>553</v>
      </c>
      <c r="F23" s="446" t="s">
        <v>554</v>
      </c>
      <c r="G23" s="447">
        <v>7.5076112157887618E-3</v>
      </c>
      <c r="H23" s="310">
        <v>955.21519230769252</v>
      </c>
      <c r="I23" s="448">
        <v>5.9761535760508759E-4</v>
      </c>
      <c r="J23" s="439"/>
    </row>
    <row r="24" spans="4:12" x14ac:dyDescent="0.2">
      <c r="D24" s="446" t="s">
        <v>462</v>
      </c>
      <c r="E24" s="446" t="s">
        <v>555</v>
      </c>
      <c r="F24" s="446" t="s">
        <v>537</v>
      </c>
      <c r="G24" s="447">
        <v>1.4148959598986512E-2</v>
      </c>
      <c r="H24" s="310">
        <v>1248.1781632653065</v>
      </c>
      <c r="I24" s="448">
        <v>1.4717018670315008E-3</v>
      </c>
      <c r="J24" s="439"/>
    </row>
    <row r="25" spans="4:12" x14ac:dyDescent="0.2">
      <c r="D25" s="446" t="s">
        <v>462</v>
      </c>
      <c r="E25" s="446" t="s">
        <v>556</v>
      </c>
      <c r="F25" s="446" t="s">
        <v>537</v>
      </c>
      <c r="G25" s="447">
        <v>1.4437713876516849E-4</v>
      </c>
      <c r="H25" s="310">
        <v>895.23</v>
      </c>
      <c r="I25" s="448">
        <v>1.0770895494728484E-5</v>
      </c>
      <c r="J25" s="439"/>
    </row>
    <row r="26" spans="4:12" x14ac:dyDescent="0.2">
      <c r="D26" s="446" t="s">
        <v>462</v>
      </c>
      <c r="E26" s="446" t="s">
        <v>557</v>
      </c>
      <c r="F26" s="446" t="s">
        <v>537</v>
      </c>
      <c r="G26" s="447">
        <v>0</v>
      </c>
      <c r="H26" s="310" t="s">
        <v>446</v>
      </c>
      <c r="I26" s="448">
        <v>0</v>
      </c>
      <c r="J26" s="439"/>
    </row>
    <row r="27" spans="4:12" x14ac:dyDescent="0.2">
      <c r="D27" s="446" t="s">
        <v>462</v>
      </c>
      <c r="E27" s="446" t="s">
        <v>558</v>
      </c>
      <c r="F27" s="446" t="s">
        <v>537</v>
      </c>
      <c r="G27" s="447">
        <v>0</v>
      </c>
      <c r="H27" s="310" t="s">
        <v>446</v>
      </c>
      <c r="I27" s="448">
        <v>0</v>
      </c>
      <c r="J27" s="439"/>
    </row>
    <row r="28" spans="4:12" x14ac:dyDescent="0.2">
      <c r="D28" s="446" t="s">
        <v>462</v>
      </c>
      <c r="E28" s="446" t="s">
        <v>559</v>
      </c>
      <c r="F28" s="446" t="s">
        <v>537</v>
      </c>
      <c r="G28" s="447">
        <v>4.3313141629550551E-4</v>
      </c>
      <c r="H28" s="310">
        <v>43</v>
      </c>
      <c r="I28" s="448">
        <v>1.5520542417255615E-6</v>
      </c>
      <c r="J28" s="439"/>
    </row>
    <row r="29" spans="4:12" x14ac:dyDescent="0.2">
      <c r="D29" s="446" t="s">
        <v>462</v>
      </c>
      <c r="E29" s="446" t="s">
        <v>560</v>
      </c>
      <c r="F29" s="446" t="s">
        <v>537</v>
      </c>
      <c r="G29" s="447">
        <v>0</v>
      </c>
      <c r="H29" s="310" t="s">
        <v>446</v>
      </c>
      <c r="I29" s="448">
        <v>0</v>
      </c>
      <c r="J29" s="439"/>
    </row>
    <row r="30" spans="4:12" x14ac:dyDescent="0.2">
      <c r="D30" s="446" t="s">
        <v>462</v>
      </c>
      <c r="E30" s="446" t="s">
        <v>561</v>
      </c>
      <c r="F30" s="446" t="s">
        <v>554</v>
      </c>
      <c r="G30" s="447">
        <v>4.3313141629550551E-4</v>
      </c>
      <c r="H30" s="310">
        <v>-0.26666666666666666</v>
      </c>
      <c r="I30" s="448">
        <v>-9.6251425843445673E-9</v>
      </c>
      <c r="J30" s="439"/>
    </row>
    <row r="31" spans="4:12" x14ac:dyDescent="0.2">
      <c r="D31" s="446" t="s">
        <v>462</v>
      </c>
      <c r="E31" s="446" t="s">
        <v>562</v>
      </c>
      <c r="F31" s="446" t="s">
        <v>537</v>
      </c>
      <c r="G31" s="447">
        <v>0</v>
      </c>
      <c r="H31" s="310" t="s">
        <v>446</v>
      </c>
      <c r="I31" s="448">
        <v>0</v>
      </c>
      <c r="J31" s="439"/>
    </row>
    <row r="32" spans="4:12" x14ac:dyDescent="0.2">
      <c r="D32" s="446" t="s">
        <v>462</v>
      </c>
      <c r="E32" s="446" t="s">
        <v>563</v>
      </c>
      <c r="F32" s="446" t="s">
        <v>537</v>
      </c>
      <c r="G32" s="447">
        <v>0</v>
      </c>
      <c r="H32" s="310" t="s">
        <v>446</v>
      </c>
      <c r="I32" s="448">
        <v>0</v>
      </c>
      <c r="J32" s="439"/>
    </row>
    <row r="33" spans="4:10" x14ac:dyDescent="0.2">
      <c r="D33" s="446" t="s">
        <v>462</v>
      </c>
      <c r="E33" s="446" t="s">
        <v>564</v>
      </c>
      <c r="F33" s="446" t="s">
        <v>537</v>
      </c>
      <c r="G33" s="447">
        <v>2.8875427753033699E-4</v>
      </c>
      <c r="H33" s="310">
        <v>32.010000000000005</v>
      </c>
      <c r="I33" s="448">
        <v>7.7025203531217392E-7</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7.8633736658976172</v>
      </c>
      <c r="H52" s="310">
        <v>583.44964017699942</v>
      </c>
      <c r="I52" s="448">
        <v>0.38232354466210478</v>
      </c>
      <c r="J52" s="439"/>
    </row>
    <row r="53" spans="4:10" x14ac:dyDescent="0.2">
      <c r="D53" s="446" t="s">
        <v>462</v>
      </c>
      <c r="E53" s="446" t="s">
        <v>584</v>
      </c>
      <c r="F53" s="446" t="s">
        <v>554</v>
      </c>
      <c r="G53" s="447">
        <v>0.43457877146902624</v>
      </c>
      <c r="H53" s="310">
        <v>583.44964017699931</v>
      </c>
      <c r="I53" s="448">
        <v>2.112956898684715E-2</v>
      </c>
      <c r="J53" s="439"/>
    </row>
    <row r="54" spans="4:10" x14ac:dyDescent="0.2">
      <c r="D54" s="446" t="s">
        <v>462</v>
      </c>
      <c r="E54" s="446" t="s">
        <v>585</v>
      </c>
      <c r="F54" s="446" t="s">
        <v>554</v>
      </c>
      <c r="G54" s="447">
        <v>1.9242940236479991</v>
      </c>
      <c r="H54" s="310">
        <v>583.44964017699931</v>
      </c>
      <c r="I54" s="448">
        <v>9.3560721307681269E-2</v>
      </c>
      <c r="J54" s="439"/>
    </row>
    <row r="55" spans="4:10" x14ac:dyDescent="0.2">
      <c r="D55" s="446" t="s">
        <v>462</v>
      </c>
      <c r="E55" s="446" t="s">
        <v>586</v>
      </c>
      <c r="F55" s="446" t="s">
        <v>537</v>
      </c>
      <c r="G55" s="447">
        <v>1.0518904551428014</v>
      </c>
      <c r="H55" s="310">
        <v>583.44964017699931</v>
      </c>
      <c r="I55" s="448">
        <v>5.1143758963223963E-2</v>
      </c>
      <c r="J55" s="439"/>
    </row>
    <row r="56" spans="4:10" x14ac:dyDescent="0.2">
      <c r="D56" s="446" t="s">
        <v>462</v>
      </c>
      <c r="E56" s="446" t="s">
        <v>5</v>
      </c>
      <c r="F56" s="446" t="s">
        <v>537</v>
      </c>
      <c r="G56" s="447">
        <v>0.90200706434811118</v>
      </c>
      <c r="H56" s="310">
        <v>583.44964017699931</v>
      </c>
      <c r="I56" s="448">
        <v>4.3856308094251416E-2</v>
      </c>
      <c r="J56" s="439"/>
    </row>
    <row r="57" spans="4:10" x14ac:dyDescent="0.2">
      <c r="D57" s="446" t="s">
        <v>462</v>
      </c>
      <c r="E57" s="446" t="s">
        <v>587</v>
      </c>
      <c r="F57" s="446" t="s">
        <v>537</v>
      </c>
      <c r="G57" s="447">
        <v>2.3821052964168326</v>
      </c>
      <c r="H57" s="310">
        <v>583.44964017699931</v>
      </c>
      <c r="I57" s="448">
        <v>0.11581987317151043</v>
      </c>
      <c r="J57" s="439"/>
    </row>
    <row r="58" spans="4:10" x14ac:dyDescent="0.2">
      <c r="D58" s="446" t="s">
        <v>462</v>
      </c>
      <c r="E58" s="446" t="s">
        <v>588</v>
      </c>
      <c r="F58" s="446" t="s">
        <v>537</v>
      </c>
      <c r="G58" s="447">
        <v>1.6091614185803</v>
      </c>
      <c r="H58" s="310">
        <v>583.44964017699931</v>
      </c>
      <c r="I58" s="448">
        <v>7.8238720888115482E-2</v>
      </c>
      <c r="J58" s="439"/>
    </row>
    <row r="59" spans="4:10" x14ac:dyDescent="0.2">
      <c r="D59" s="446" t="s">
        <v>462</v>
      </c>
      <c r="E59" s="446" t="s">
        <v>589</v>
      </c>
      <c r="F59" s="446" t="s">
        <v>537</v>
      </c>
      <c r="G59" s="447">
        <v>0.62201392564763691</v>
      </c>
      <c r="H59" s="310">
        <v>583.44964017699931</v>
      </c>
      <c r="I59" s="448">
        <v>3.0242816758683049E-2</v>
      </c>
      <c r="J59" s="439"/>
    </row>
    <row r="60" spans="4:10" x14ac:dyDescent="0.2">
      <c r="D60" s="446" t="s">
        <v>462</v>
      </c>
      <c r="E60" s="446" t="s">
        <v>590</v>
      </c>
      <c r="F60" s="446" t="s">
        <v>537</v>
      </c>
      <c r="G60" s="447">
        <v>0.59370086605932981</v>
      </c>
      <c r="H60" s="310">
        <v>583.44964017699942</v>
      </c>
      <c r="I60" s="448">
        <v>2.8866213056257407E-2</v>
      </c>
      <c r="J60" s="439"/>
    </row>
    <row r="61" spans="4:10" x14ac:dyDescent="0.2">
      <c r="D61" s="446" t="s">
        <v>462</v>
      </c>
      <c r="E61" s="446" t="s">
        <v>591</v>
      </c>
      <c r="F61" s="446" t="s">
        <v>537</v>
      </c>
      <c r="G61" s="447">
        <v>0.98437761001860125</v>
      </c>
      <c r="H61" s="310">
        <v>583.44964017699931</v>
      </c>
      <c r="I61" s="448">
        <v>4.7861230196970618E-2</v>
      </c>
      <c r="J61" s="439"/>
    </row>
    <row r="62" spans="4:10" x14ac:dyDescent="0.2">
      <c r="D62" s="446" t="s">
        <v>462</v>
      </c>
      <c r="E62" s="446" t="s">
        <v>592</v>
      </c>
      <c r="F62" s="446" t="s">
        <v>537</v>
      </c>
      <c r="G62" s="447">
        <v>0.94842554388610623</v>
      </c>
      <c r="H62" s="310">
        <v>583.44964017699942</v>
      </c>
      <c r="I62" s="448">
        <v>4.6113211859585307E-2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21.085270476681501</v>
      </c>
      <c r="H64" s="463"/>
      <c r="I64" s="464">
        <v>0.97812973459554042</v>
      </c>
      <c r="J64" s="439"/>
    </row>
    <row r="65" spans="4:10" x14ac:dyDescent="0.2">
      <c r="D65" s="446" t="s">
        <v>595</v>
      </c>
      <c r="E65" s="446" t="s">
        <v>596</v>
      </c>
      <c r="F65" s="446" t="s">
        <v>554</v>
      </c>
      <c r="G65" s="447">
        <v>7.1764100594614648</v>
      </c>
      <c r="H65" s="310">
        <v>88.633180501348093</v>
      </c>
      <c r="I65" s="448">
        <v>5.3005670679328189E-2</v>
      </c>
      <c r="J65" s="439"/>
    </row>
    <row r="66" spans="4:10" x14ac:dyDescent="0.2">
      <c r="D66" s="446" t="s">
        <v>595</v>
      </c>
      <c r="E66" s="446" t="s">
        <v>563</v>
      </c>
      <c r="F66" s="446" t="s">
        <v>554</v>
      </c>
      <c r="G66" s="447">
        <v>6.5980352415682009E-2</v>
      </c>
      <c r="H66" s="310">
        <v>225.94919037199122</v>
      </c>
      <c r="I66" s="448">
        <v>1.2423506007318338E-3</v>
      </c>
      <c r="J66" s="439"/>
    </row>
    <row r="67" spans="4:10" x14ac:dyDescent="0.2">
      <c r="D67" s="446" t="s">
        <v>595</v>
      </c>
      <c r="E67" s="446" t="s">
        <v>564</v>
      </c>
      <c r="F67" s="446" t="s">
        <v>554</v>
      </c>
      <c r="G67" s="447">
        <v>0.62544176513070993</v>
      </c>
      <c r="H67" s="310">
        <v>123.37514081255772</v>
      </c>
      <c r="I67" s="448">
        <v>6.4303304869213328E-3</v>
      </c>
      <c r="J67" s="439"/>
    </row>
    <row r="68" spans="4:10" x14ac:dyDescent="0.2">
      <c r="D68" s="446" t="s">
        <v>595</v>
      </c>
      <c r="E68" s="446" t="s">
        <v>597</v>
      </c>
      <c r="F68" s="446" t="s">
        <v>554</v>
      </c>
      <c r="G68" s="447">
        <v>1.4437713876516848E-2</v>
      </c>
      <c r="H68" s="310">
        <v>59.392900000000004</v>
      </c>
      <c r="I68" s="448">
        <v>7.1458141374714797E-5</v>
      </c>
      <c r="J68" s="439"/>
    </row>
    <row r="69" spans="4:10" x14ac:dyDescent="0.2">
      <c r="D69" s="446" t="s">
        <v>595</v>
      </c>
      <c r="E69" s="446" t="s">
        <v>572</v>
      </c>
      <c r="F69" s="446" t="s">
        <v>554</v>
      </c>
      <c r="G69" s="447">
        <v>1.4726468154047186E-2</v>
      </c>
      <c r="H69" s="310">
        <v>108.83676470588235</v>
      </c>
      <c r="I69" s="448">
        <v>1.3356509578589193E-4</v>
      </c>
      <c r="J69" s="439"/>
    </row>
    <row r="70" spans="4:10" x14ac:dyDescent="0.2">
      <c r="D70" s="446" t="s">
        <v>595</v>
      </c>
      <c r="E70" s="446" t="s">
        <v>567</v>
      </c>
      <c r="F70" s="446" t="s">
        <v>554</v>
      </c>
      <c r="G70" s="447">
        <v>2.1656570814775275E-2</v>
      </c>
      <c r="H70" s="310">
        <v>77.207266666666669</v>
      </c>
      <c r="I70" s="448">
        <v>1.3933705316515878E-4</v>
      </c>
      <c r="J70" s="439"/>
    </row>
    <row r="71" spans="4:10" x14ac:dyDescent="0.2">
      <c r="D71" s="446" t="s">
        <v>595</v>
      </c>
      <c r="E71" s="446" t="s">
        <v>568</v>
      </c>
      <c r="F71" s="446" t="s">
        <v>554</v>
      </c>
      <c r="G71" s="447">
        <v>1.1983302517508987E-2</v>
      </c>
      <c r="H71" s="310">
        <v>121.46325301204817</v>
      </c>
      <c r="I71" s="448">
        <v>1.2129424213367565E-4</v>
      </c>
      <c r="J71" s="439"/>
    </row>
    <row r="72" spans="4:10" x14ac:dyDescent="0.2">
      <c r="D72" s="446" t="s">
        <v>595</v>
      </c>
      <c r="E72" s="446" t="s">
        <v>548</v>
      </c>
      <c r="F72" s="446" t="s">
        <v>554</v>
      </c>
      <c r="G72" s="447">
        <v>1.7313706480719007</v>
      </c>
      <c r="H72" s="310">
        <v>213.72652184789939</v>
      </c>
      <c r="I72" s="448">
        <v>3.0836652220162568E-2</v>
      </c>
      <c r="J72" s="439"/>
    </row>
    <row r="73" spans="4:10" x14ac:dyDescent="0.2">
      <c r="D73" s="446" t="s">
        <v>595</v>
      </c>
      <c r="E73" s="446" t="s">
        <v>598</v>
      </c>
      <c r="F73" s="446" t="s">
        <v>554</v>
      </c>
      <c r="G73" s="447">
        <v>2.122343939847977E-2</v>
      </c>
      <c r="H73" s="310">
        <v>136.7048299319728</v>
      </c>
      <c r="I73" s="448">
        <v>2.4177888946172568E-4</v>
      </c>
      <c r="J73" s="439"/>
    </row>
    <row r="74" spans="4:10" x14ac:dyDescent="0.2">
      <c r="D74" s="446" t="s">
        <v>595</v>
      </c>
      <c r="E74" s="446" t="s">
        <v>549</v>
      </c>
      <c r="F74" s="446" t="s">
        <v>554</v>
      </c>
      <c r="G74" s="447">
        <v>7.7306738951809493</v>
      </c>
      <c r="H74" s="310">
        <v>83.473464562516753</v>
      </c>
      <c r="I74" s="448">
        <v>5.3775511119480028E-2</v>
      </c>
      <c r="J74" s="439"/>
    </row>
    <row r="75" spans="4:10" x14ac:dyDescent="0.2">
      <c r="D75" s="446" t="s">
        <v>595</v>
      </c>
      <c r="E75" s="446" t="s">
        <v>571</v>
      </c>
      <c r="F75" s="446" t="s">
        <v>554</v>
      </c>
      <c r="G75" s="447">
        <v>4.4035027323376393E-2</v>
      </c>
      <c r="H75" s="310">
        <v>162.83708196721309</v>
      </c>
      <c r="I75" s="448">
        <v>5.9754461280709249E-4</v>
      </c>
      <c r="J75" s="439"/>
    </row>
    <row r="76" spans="4:10" x14ac:dyDescent="0.2">
      <c r="D76" s="446" t="s">
        <v>595</v>
      </c>
      <c r="E76" s="446" t="s">
        <v>561</v>
      </c>
      <c r="F76" s="446" t="s">
        <v>554</v>
      </c>
      <c r="G76" s="447">
        <v>6.0494021142605603E-2</v>
      </c>
      <c r="H76" s="310">
        <v>134.27658711217182</v>
      </c>
      <c r="I76" s="448">
        <v>6.7691089164338713E-4</v>
      </c>
      <c r="J76" s="439"/>
    </row>
    <row r="77" spans="4:10" x14ac:dyDescent="0.2">
      <c r="D77" s="446" t="s">
        <v>595</v>
      </c>
      <c r="E77" s="446" t="s">
        <v>599</v>
      </c>
      <c r="F77" s="446" t="s">
        <v>554</v>
      </c>
      <c r="G77" s="447">
        <v>5.3087473923952455</v>
      </c>
      <c r="H77" s="310">
        <v>130.36103345118195</v>
      </c>
      <c r="I77" s="448">
        <v>5.7671149700325962E-2</v>
      </c>
      <c r="J77" s="439"/>
    </row>
    <row r="78" spans="4:10" x14ac:dyDescent="0.2">
      <c r="D78" s="446" t="s">
        <v>595</v>
      </c>
      <c r="E78" s="446" t="s">
        <v>600</v>
      </c>
      <c r="F78" s="446" t="s">
        <v>554</v>
      </c>
      <c r="G78" s="447">
        <v>2.800916492044269E-2</v>
      </c>
      <c r="H78" s="310">
        <v>133.6061855670103</v>
      </c>
      <c r="I78" s="448">
        <v>3.1184980716147178E-4</v>
      </c>
      <c r="J78" s="439"/>
    </row>
    <row r="79" spans="4:10" x14ac:dyDescent="0.2">
      <c r="D79" s="446" t="s">
        <v>595</v>
      </c>
      <c r="E79" s="446" t="s">
        <v>555</v>
      </c>
      <c r="F79" s="446" t="s">
        <v>554</v>
      </c>
      <c r="G79" s="447">
        <v>5.5860958759631352</v>
      </c>
      <c r="H79" s="310">
        <v>97.900069008296498</v>
      </c>
      <c r="I79" s="448">
        <v>4.5573264311979285E-2</v>
      </c>
      <c r="J79" s="439"/>
    </row>
    <row r="80" spans="4:10" x14ac:dyDescent="0.2">
      <c r="D80" s="446" t="s">
        <v>595</v>
      </c>
      <c r="E80" s="446" t="s">
        <v>552</v>
      </c>
      <c r="F80" s="446" t="s">
        <v>554</v>
      </c>
      <c r="G80" s="447">
        <v>1.6892125235524715E-2</v>
      </c>
      <c r="H80" s="310">
        <v>133.95376068376069</v>
      </c>
      <c r="I80" s="448">
        <v>1.8856364176996602E-4</v>
      </c>
      <c r="J80" s="439"/>
    </row>
    <row r="81" spans="4:10" x14ac:dyDescent="0.2">
      <c r="D81" s="446" t="s">
        <v>595</v>
      </c>
      <c r="E81" s="446" t="s">
        <v>581</v>
      </c>
      <c r="F81" s="446" t="s">
        <v>554</v>
      </c>
      <c r="G81" s="447">
        <v>4.0281221715482013E-2</v>
      </c>
      <c r="H81" s="310">
        <v>146.41960573476663</v>
      </c>
      <c r="I81" s="448">
        <v>4.9149671684129976E-4</v>
      </c>
      <c r="J81" s="439"/>
    </row>
    <row r="82" spans="4:10" x14ac:dyDescent="0.2">
      <c r="D82" s="446" t="s">
        <v>595</v>
      </c>
      <c r="E82" s="446" t="s">
        <v>574</v>
      </c>
      <c r="F82" s="446" t="s">
        <v>554</v>
      </c>
      <c r="G82" s="447">
        <v>1.7180879513055053E-2</v>
      </c>
      <c r="H82" s="310">
        <v>117.87731092436972</v>
      </c>
      <c r="I82" s="448">
        <v>1.6876965635954371E-4</v>
      </c>
      <c r="J82" s="439"/>
    </row>
    <row r="83" spans="4:10" x14ac:dyDescent="0.2">
      <c r="D83" s="446" t="s">
        <v>595</v>
      </c>
      <c r="E83" s="446" t="s">
        <v>601</v>
      </c>
      <c r="F83" s="446" t="s">
        <v>554</v>
      </c>
      <c r="G83" s="447">
        <v>3.0319199140685384E-3</v>
      </c>
      <c r="H83" s="310">
        <v>438.61714285714282</v>
      </c>
      <c r="I83" s="448">
        <v>1.1082100417336803E-4</v>
      </c>
      <c r="J83" s="439"/>
    </row>
    <row r="84" spans="4:10" x14ac:dyDescent="0.2">
      <c r="D84" s="446" t="s">
        <v>595</v>
      </c>
      <c r="E84" s="446" t="s">
        <v>559</v>
      </c>
      <c r="F84" s="446" t="s">
        <v>554</v>
      </c>
      <c r="G84" s="447">
        <v>1.0220457653186277</v>
      </c>
      <c r="H84" s="310">
        <v>85.476296087017971</v>
      </c>
      <c r="I84" s="448">
        <v>7.280057204238158E-3</v>
      </c>
      <c r="J84" s="439"/>
    </row>
    <row r="85" spans="4:10" x14ac:dyDescent="0.2">
      <c r="D85" s="446" t="s">
        <v>595</v>
      </c>
      <c r="E85" s="446" t="s">
        <v>573</v>
      </c>
      <c r="F85" s="446" t="s">
        <v>554</v>
      </c>
      <c r="G85" s="447">
        <v>6.4247826750500003E-2</v>
      </c>
      <c r="H85" s="310">
        <v>107.68321348314603</v>
      </c>
      <c r="I85" s="448">
        <v>5.7653437031685603E-4</v>
      </c>
      <c r="J85" s="439"/>
    </row>
    <row r="86" spans="4:10" x14ac:dyDescent="0.2">
      <c r="D86" s="446" t="s">
        <v>595</v>
      </c>
      <c r="E86" s="446" t="s">
        <v>562</v>
      </c>
      <c r="F86" s="446" t="s">
        <v>554</v>
      </c>
      <c r="G86" s="447">
        <v>3.3639873332284263E-2</v>
      </c>
      <c r="H86" s="310">
        <v>172.24866952789699</v>
      </c>
      <c r="I86" s="448">
        <v>4.8286861871441224E-4</v>
      </c>
      <c r="J86" s="439"/>
    </row>
    <row r="87" spans="4:10" x14ac:dyDescent="0.2">
      <c r="D87" s="446" t="s">
        <v>595</v>
      </c>
      <c r="E87" s="446" t="s">
        <v>550</v>
      </c>
      <c r="F87" s="446" t="s">
        <v>554</v>
      </c>
      <c r="G87" s="447">
        <v>5.5670380936461319</v>
      </c>
      <c r="H87" s="310">
        <v>200.66730594673047</v>
      </c>
      <c r="I87" s="448">
        <v>9.3093544696232627E-2</v>
      </c>
      <c r="J87" s="439"/>
    </row>
    <row r="88" spans="4:10" x14ac:dyDescent="0.2">
      <c r="D88" s="446" t="s">
        <v>595</v>
      </c>
      <c r="E88" s="446" t="s">
        <v>579</v>
      </c>
      <c r="F88" s="446" t="s">
        <v>554</v>
      </c>
      <c r="G88" s="447">
        <v>5.919462689371908E-3</v>
      </c>
      <c r="H88" s="310">
        <v>93.975609756097583</v>
      </c>
      <c r="I88" s="448">
        <v>4.6357092971849522E-5</v>
      </c>
      <c r="J88" s="439"/>
    </row>
    <row r="89" spans="4:10" x14ac:dyDescent="0.2">
      <c r="D89" s="446" t="s">
        <v>595</v>
      </c>
      <c r="E89" s="446" t="s">
        <v>556</v>
      </c>
      <c r="F89" s="446" t="s">
        <v>554</v>
      </c>
      <c r="G89" s="447">
        <v>4.3457518768315717E-2</v>
      </c>
      <c r="H89" s="310">
        <v>54.149468438538207</v>
      </c>
      <c r="I89" s="448">
        <v>1.9610012841350782E-4</v>
      </c>
      <c r="J89" s="439"/>
    </row>
    <row r="90" spans="4:10" x14ac:dyDescent="0.2">
      <c r="D90" s="446" t="s">
        <v>595</v>
      </c>
      <c r="E90" s="446" t="s">
        <v>602</v>
      </c>
      <c r="F90" s="446" t="s">
        <v>554</v>
      </c>
      <c r="G90" s="447">
        <v>0.14755343581800223</v>
      </c>
      <c r="H90" s="310">
        <v>119.842446183953</v>
      </c>
      <c r="I90" s="448">
        <v>1.4735970576063582E-3</v>
      </c>
      <c r="J90" s="439"/>
    </row>
    <row r="91" spans="4:10" x14ac:dyDescent="0.2">
      <c r="D91" s="446" t="s">
        <v>595</v>
      </c>
      <c r="E91" s="446" t="s">
        <v>577</v>
      </c>
      <c r="F91" s="446" t="s">
        <v>554</v>
      </c>
      <c r="G91" s="447">
        <v>0.81876275393727049</v>
      </c>
      <c r="H91" s="310">
        <v>69.33913066478577</v>
      </c>
      <c r="I91" s="448">
        <v>4.7310247982263525E-3</v>
      </c>
      <c r="J91" s="439"/>
    </row>
    <row r="92" spans="4:10" x14ac:dyDescent="0.2">
      <c r="D92" s="446" t="s">
        <v>595</v>
      </c>
      <c r="E92" s="446" t="s">
        <v>576</v>
      </c>
      <c r="F92" s="446" t="s">
        <v>554</v>
      </c>
      <c r="G92" s="447">
        <v>8.0884404450410354</v>
      </c>
      <c r="H92" s="310">
        <v>86.400431251449746</v>
      </c>
      <c r="I92" s="448">
        <v>5.8237061883601129E-2</v>
      </c>
      <c r="J92" s="439"/>
    </row>
    <row r="93" spans="4:10" x14ac:dyDescent="0.2">
      <c r="D93" s="446" t="s">
        <v>595</v>
      </c>
      <c r="E93" s="446" t="s">
        <v>603</v>
      </c>
      <c r="F93" s="446" t="s">
        <v>554</v>
      </c>
      <c r="G93" s="447">
        <v>2.1656570814775275E-3</v>
      </c>
      <c r="H93" s="310">
        <v>127.22399999999999</v>
      </c>
      <c r="I93" s="448">
        <v>2.2960296377824745E-5</v>
      </c>
      <c r="J93" s="439"/>
    </row>
    <row r="94" spans="4:10" x14ac:dyDescent="0.2">
      <c r="D94" s="446" t="s">
        <v>595</v>
      </c>
      <c r="E94" s="446" t="s">
        <v>557</v>
      </c>
      <c r="F94" s="446" t="s">
        <v>554</v>
      </c>
      <c r="G94" s="447">
        <v>2.0068422288358423E-2</v>
      </c>
      <c r="H94" s="310">
        <v>88.087697841726623</v>
      </c>
      <c r="I94" s="448">
        <v>1.4731509322475739E-4</v>
      </c>
      <c r="J94" s="439"/>
    </row>
    <row r="95" spans="4:10" x14ac:dyDescent="0.2">
      <c r="D95" s="446" t="s">
        <v>595</v>
      </c>
      <c r="E95" s="446" t="s">
        <v>582</v>
      </c>
      <c r="F95" s="446" t="s">
        <v>554</v>
      </c>
      <c r="G95" s="447">
        <v>1.155017110121348E-2</v>
      </c>
      <c r="H95" s="310">
        <v>21.268000000000004</v>
      </c>
      <c r="I95" s="448">
        <v>2.0470753248384028E-5</v>
      </c>
      <c r="J95" s="439"/>
    </row>
    <row r="96" spans="4:10" x14ac:dyDescent="0.2">
      <c r="D96" s="446" t="s">
        <v>595</v>
      </c>
      <c r="E96" s="446" t="s">
        <v>565</v>
      </c>
      <c r="F96" s="446" t="s">
        <v>554</v>
      </c>
      <c r="G96" s="447">
        <v>5.3563918481877519E-2</v>
      </c>
      <c r="H96" s="310">
        <v>74.213557951482471</v>
      </c>
      <c r="I96" s="448">
        <v>3.312640806969417E-4</v>
      </c>
      <c r="J96" s="439"/>
    </row>
    <row r="97" spans="4:13" x14ac:dyDescent="0.2">
      <c r="D97" s="446" t="s">
        <v>595</v>
      </c>
      <c r="E97" s="446" t="s">
        <v>604</v>
      </c>
      <c r="F97" s="446" t="s">
        <v>554</v>
      </c>
      <c r="G97" s="447">
        <v>4.0081981263986082</v>
      </c>
      <c r="H97" s="310">
        <v>95.215095454217959</v>
      </c>
      <c r="I97" s="448">
        <v>3.1803413933705088E-2</v>
      </c>
      <c r="J97" s="439"/>
    </row>
    <row r="98" spans="4:13" x14ac:dyDescent="0.2">
      <c r="D98" s="446" t="s">
        <v>595</v>
      </c>
      <c r="E98" s="446" t="s">
        <v>569</v>
      </c>
      <c r="F98" s="446" t="s">
        <v>554</v>
      </c>
      <c r="G98" s="447">
        <v>3.1618593389571903E-2</v>
      </c>
      <c r="H98" s="310">
        <v>107.30488584474885</v>
      </c>
      <c r="I98" s="448">
        <v>2.8273579618662867E-4</v>
      </c>
      <c r="J98" s="439"/>
    </row>
    <row r="99" spans="4:13" x14ac:dyDescent="0.2">
      <c r="D99" s="446" t="s">
        <v>595</v>
      </c>
      <c r="E99" s="446" t="s">
        <v>553</v>
      </c>
      <c r="F99" s="446" t="s">
        <v>554</v>
      </c>
      <c r="G99" s="447">
        <v>1.6547063873875965</v>
      </c>
      <c r="H99" s="310">
        <v>54.668505366023894</v>
      </c>
      <c r="I99" s="448">
        <v>7.5383604181744031E-3</v>
      </c>
      <c r="J99" s="439"/>
    </row>
    <row r="100" spans="4:13" x14ac:dyDescent="0.2">
      <c r="D100" s="446" t="s">
        <v>595</v>
      </c>
      <c r="E100" s="446" t="s">
        <v>570</v>
      </c>
      <c r="F100" s="446" t="s">
        <v>554</v>
      </c>
      <c r="G100" s="447">
        <v>4.9810112873983139E-2</v>
      </c>
      <c r="H100" s="310">
        <v>105.98246376811593</v>
      </c>
      <c r="I100" s="448">
        <v>4.3991654024605692E-4</v>
      </c>
      <c r="J100" s="439"/>
    </row>
    <row r="101" spans="4:13" x14ac:dyDescent="0.2">
      <c r="D101" s="446" t="s">
        <v>595</v>
      </c>
      <c r="E101" s="446" t="s">
        <v>551</v>
      </c>
      <c r="F101" s="446" t="s">
        <v>554</v>
      </c>
      <c r="G101" s="447">
        <v>3.1762970528337073E-3</v>
      </c>
      <c r="H101" s="310">
        <v>100.95454545454544</v>
      </c>
      <c r="I101" s="448">
        <v>2.6721802099786605E-5</v>
      </c>
      <c r="J101" s="439"/>
    </row>
    <row r="102" spans="4:13" x14ac:dyDescent="0.2">
      <c r="D102" s="446" t="s">
        <v>595</v>
      </c>
      <c r="E102" s="446" t="s">
        <v>578</v>
      </c>
      <c r="F102" s="446" t="s">
        <v>554</v>
      </c>
      <c r="G102" s="447">
        <v>8.0851197708494364E-3</v>
      </c>
      <c r="H102" s="310">
        <v>73.661428571428559</v>
      </c>
      <c r="I102" s="448">
        <v>4.9630122707655889E-5</v>
      </c>
      <c r="J102" s="439"/>
    </row>
    <row r="103" spans="4:13" x14ac:dyDescent="0.2">
      <c r="D103" s="446" t="s">
        <v>595</v>
      </c>
      <c r="E103" s="446" t="s">
        <v>560</v>
      </c>
      <c r="F103" s="446" t="s">
        <v>554</v>
      </c>
      <c r="G103" s="447">
        <v>3.6094284691292121E-3</v>
      </c>
      <c r="H103" s="310">
        <v>88.8</v>
      </c>
      <c r="I103" s="448">
        <v>2.6709770671556172E-5</v>
      </c>
      <c r="J103" s="439"/>
    </row>
    <row r="104" spans="4:13" x14ac:dyDescent="0.2">
      <c r="D104" s="446" t="s">
        <v>595</v>
      </c>
      <c r="E104" s="446" t="s">
        <v>575</v>
      </c>
      <c r="F104" s="446" t="s">
        <v>554</v>
      </c>
      <c r="G104" s="447">
        <v>2.4544113590078648E-3</v>
      </c>
      <c r="H104" s="310">
        <v>111.15058823529409</v>
      </c>
      <c r="I104" s="448">
        <v>2.2734105527092648E-5</v>
      </c>
      <c r="J104" s="439"/>
    </row>
    <row r="105" spans="4:13" x14ac:dyDescent="0.2">
      <c r="D105" s="446" t="s">
        <v>595</v>
      </c>
      <c r="E105" s="446" t="s">
        <v>566</v>
      </c>
      <c r="F105" s="446" t="s">
        <v>554</v>
      </c>
      <c r="G105" s="447">
        <v>3.075233055698089E-2</v>
      </c>
      <c r="H105" s="310">
        <v>464.82732394366207</v>
      </c>
      <c r="I105" s="448">
        <v>1.1912102931526944E-3</v>
      </c>
      <c r="J105" s="439"/>
    </row>
    <row r="106" spans="4:13" x14ac:dyDescent="0.2">
      <c r="D106" s="446" t="s">
        <v>595</v>
      </c>
      <c r="E106" s="446" t="s">
        <v>580</v>
      </c>
      <c r="F106" s="446" t="s">
        <v>554</v>
      </c>
      <c r="G106" s="447">
        <v>2.5699130700199996E-2</v>
      </c>
      <c r="H106" s="310">
        <v>84.059494382022464</v>
      </c>
      <c r="I106" s="448">
        <v>1.8002132772636023E-4</v>
      </c>
      <c r="J106" s="439"/>
    </row>
    <row r="107" spans="4:13" x14ac:dyDescent="0.2">
      <c r="D107" s="451" t="s">
        <v>595</v>
      </c>
      <c r="E107" s="451" t="s">
        <v>558</v>
      </c>
      <c r="F107" s="451" t="s">
        <v>554</v>
      </c>
      <c r="G107" s="452">
        <v>3.1088729290303725</v>
      </c>
      <c r="H107" s="310">
        <v>9.4852830539172466</v>
      </c>
      <c r="I107" s="454">
        <v>2.4573783092094888E-3</v>
      </c>
      <c r="J107" s="439"/>
    </row>
    <row r="108" spans="4:13" ht="16" x14ac:dyDescent="0.2">
      <c r="D108" s="461" t="s">
        <v>605</v>
      </c>
      <c r="E108" s="460"/>
      <c r="F108" s="460"/>
      <c r="G108" s="465">
        <v>53.324108054388574</v>
      </c>
      <c r="H108" s="466"/>
      <c r="I108" s="467">
        <v>0.46244630736488246</v>
      </c>
      <c r="J108" s="439"/>
      <c r="K108" s="313" t="s">
        <v>311</v>
      </c>
      <c r="L108" s="313" t="s">
        <v>606</v>
      </c>
      <c r="M108" s="313" t="s">
        <v>528</v>
      </c>
    </row>
    <row r="109" spans="4:13" x14ac:dyDescent="0.2">
      <c r="D109" s="446" t="s">
        <v>607</v>
      </c>
      <c r="E109" s="446" t="s">
        <v>608</v>
      </c>
      <c r="F109" s="468" t="s">
        <v>609</v>
      </c>
      <c r="G109" s="469">
        <v>152.50693780230736</v>
      </c>
      <c r="H109" s="310">
        <v>43.952896983251385</v>
      </c>
      <c r="I109" s="470">
        <v>0.55859347720466179</v>
      </c>
      <c r="J109" s="439"/>
      <c r="K109">
        <f>'Assumptions-Output Target'!$J$17</f>
        <v>10.185185313926722</v>
      </c>
      <c r="L109" s="470">
        <f>G109*K109/12000</f>
        <v>0.12944261859799974</v>
      </c>
      <c r="M109" s="388">
        <f>I109-L109</f>
        <v>0.42915085860666202</v>
      </c>
    </row>
    <row r="110" spans="4:13" x14ac:dyDescent="0.2">
      <c r="D110" s="446" t="s">
        <v>607</v>
      </c>
      <c r="E110" s="446" t="s">
        <v>610</v>
      </c>
      <c r="F110" s="468" t="s">
        <v>609</v>
      </c>
      <c r="G110" s="469">
        <v>36.730291049089786</v>
      </c>
      <c r="H110" s="310">
        <v>188.24025718298054</v>
      </c>
      <c r="I110" s="470">
        <v>0.57617661945719911</v>
      </c>
      <c r="J110" s="439"/>
      <c r="K110">
        <f>'Assumptions-Output Target'!$K$17</f>
        <v>50.92592656963361</v>
      </c>
      <c r="L110" s="470">
        <f t="shared" ref="L110:L116" si="0">G110*K110/12000</f>
        <v>0.15587700873726809</v>
      </c>
      <c r="M110" s="388">
        <f t="shared" ref="M110:M116" si="1">I110-L110</f>
        <v>0.42029961071993105</v>
      </c>
    </row>
    <row r="111" spans="4:13" x14ac:dyDescent="0.2">
      <c r="D111" s="446" t="s">
        <v>607</v>
      </c>
      <c r="E111" s="446" t="s">
        <v>611</v>
      </c>
      <c r="F111" s="468" t="s">
        <v>609</v>
      </c>
      <c r="G111" s="469">
        <v>18.812936163976609</v>
      </c>
      <c r="H111" s="310">
        <v>250.49057927508707</v>
      </c>
      <c r="I111" s="470">
        <v>0.39270527313164461</v>
      </c>
      <c r="J111" s="439"/>
      <c r="K111">
        <f>'Assumptions-Output Target'!$L$17</f>
        <v>81.481482511413773</v>
      </c>
      <c r="L111" s="470">
        <f t="shared" si="0"/>
        <v>0.12774216075278363</v>
      </c>
      <c r="M111" s="388">
        <f t="shared" si="1"/>
        <v>0.26496311237886094</v>
      </c>
    </row>
    <row r="112" spans="4:13" x14ac:dyDescent="0.2">
      <c r="D112" s="446" t="s">
        <v>607</v>
      </c>
      <c r="E112" s="446" t="s">
        <v>612</v>
      </c>
      <c r="F112" s="468" t="s">
        <v>609</v>
      </c>
      <c r="G112" s="469">
        <v>3.1185527225608056</v>
      </c>
      <c r="H112" s="310">
        <v>1243.5502025719888</v>
      </c>
      <c r="I112" s="470">
        <v>0.32317307248932642</v>
      </c>
      <c r="J112" s="439"/>
      <c r="K112">
        <f>'Assumptions-Output Target'!$M$17</f>
        <v>203.70370627853444</v>
      </c>
      <c r="L112" s="470">
        <f t="shared" si="0"/>
        <v>5.2938395650887524E-2</v>
      </c>
      <c r="M112" s="388">
        <f t="shared" si="1"/>
        <v>0.27023467683843888</v>
      </c>
    </row>
    <row r="113" spans="4:13" x14ac:dyDescent="0.2">
      <c r="D113" s="446" t="s">
        <v>607</v>
      </c>
      <c r="E113" s="446" t="s">
        <v>613</v>
      </c>
      <c r="F113" s="468" t="s">
        <v>609</v>
      </c>
      <c r="G113" s="469">
        <v>10.670082004236521</v>
      </c>
      <c r="H113" s="310">
        <v>82.996594561379212</v>
      </c>
      <c r="I113" s="470">
        <v>7.3798372503523918E-2</v>
      </c>
      <c r="J113" s="439"/>
      <c r="K113">
        <f>2*K109</f>
        <v>20.370370627853443</v>
      </c>
      <c r="L113" s="470">
        <f t="shared" si="0"/>
        <v>1.8112793754657269E-2</v>
      </c>
      <c r="M113" s="388">
        <f t="shared" si="1"/>
        <v>5.5685578748866649E-2</v>
      </c>
    </row>
    <row r="114" spans="4:13" x14ac:dyDescent="0.2">
      <c r="D114" s="446" t="s">
        <v>607</v>
      </c>
      <c r="E114" s="446" t="s">
        <v>614</v>
      </c>
      <c r="F114" s="468" t="s">
        <v>609</v>
      </c>
      <c r="G114" s="469">
        <v>5.2426182203096277</v>
      </c>
      <c r="H114" s="310">
        <v>442.09668540007789</v>
      </c>
      <c r="I114" s="470">
        <v>0.19314534483474513</v>
      </c>
      <c r="J114" s="439"/>
      <c r="K114">
        <f>2*K110</f>
        <v>101.85185313926722</v>
      </c>
      <c r="L114" s="470">
        <f t="shared" si="0"/>
        <v>4.4497531753351895E-2</v>
      </c>
      <c r="M114" s="388">
        <f t="shared" si="1"/>
        <v>0.14864781308139324</v>
      </c>
    </row>
    <row r="115" spans="4:13" x14ac:dyDescent="0.2">
      <c r="D115" s="446" t="s">
        <v>607</v>
      </c>
      <c r="E115" s="446" t="s">
        <v>615</v>
      </c>
      <c r="F115" s="468" t="s">
        <v>609</v>
      </c>
      <c r="G115" s="469">
        <v>1.9524878049295316</v>
      </c>
      <c r="H115" s="310">
        <v>553.64551776524195</v>
      </c>
      <c r="I115" s="470">
        <v>9.0082176807544281E-2</v>
      </c>
      <c r="J115" s="439"/>
      <c r="K115">
        <f>2*K111</f>
        <v>162.96296502282755</v>
      </c>
      <c r="L115" s="470">
        <f t="shared" si="0"/>
        <v>2.6515266821852384E-2</v>
      </c>
      <c r="M115" s="388">
        <f t="shared" si="1"/>
        <v>6.3566909985691894E-2</v>
      </c>
    </row>
    <row r="116" spans="4:13" x14ac:dyDescent="0.2">
      <c r="D116" s="446" t="s">
        <v>607</v>
      </c>
      <c r="E116" s="446" t="s">
        <v>616</v>
      </c>
      <c r="F116" s="468" t="s">
        <v>609</v>
      </c>
      <c r="G116" s="447">
        <v>0.37029421227080533</v>
      </c>
      <c r="H116" s="310">
        <v>3988.3647299307027</v>
      </c>
      <c r="I116" s="448">
        <v>0.12307236465986274</v>
      </c>
      <c r="J116" s="439"/>
      <c r="K116">
        <f>2*K112</f>
        <v>407.40741255706888</v>
      </c>
      <c r="L116" s="470">
        <f t="shared" si="0"/>
        <v>1.2571717242175569E-2</v>
      </c>
      <c r="M116" s="388">
        <f t="shared" si="1"/>
        <v>0.11050064741768717</v>
      </c>
    </row>
    <row r="117" spans="4:13" x14ac:dyDescent="0.2">
      <c r="D117" s="460" t="s">
        <v>617</v>
      </c>
      <c r="E117" s="460"/>
      <c r="F117" s="460"/>
      <c r="G117" s="471">
        <v>229.40419997968104</v>
      </c>
      <c r="H117" s="472"/>
      <c r="I117" s="473">
        <v>2.3307467010885081</v>
      </c>
      <c r="J117" s="439"/>
      <c r="L117" s="470">
        <f>SUM(L109:L116)</f>
        <v>0.56769749331097608</v>
      </c>
      <c r="M117" s="388">
        <f>SUM(M109:M116)</f>
        <v>1.7630492077775317</v>
      </c>
    </row>
    <row r="118" spans="4:13" ht="16" x14ac:dyDescent="0.2">
      <c r="D118" s="461" t="s">
        <v>618</v>
      </c>
      <c r="E118" s="461"/>
      <c r="F118" s="461"/>
      <c r="G118" s="474"/>
      <c r="H118" s="474"/>
      <c r="I118" s="473">
        <v>4.1491269262628476</v>
      </c>
      <c r="J118" s="439"/>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776</v>
      </c>
      <c r="G3"/>
      <c r="H3"/>
      <c r="I3"/>
    </row>
    <row r="4" spans="2:19" x14ac:dyDescent="0.2">
      <c r="G4"/>
      <c r="H4"/>
      <c r="I4"/>
    </row>
    <row r="5" spans="2:19" ht="16" x14ac:dyDescent="0.2">
      <c r="D5" s="438" t="s">
        <v>775</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4.2215952539016902E-2</v>
      </c>
      <c r="H8" s="310">
        <v>745.24735714285714</v>
      </c>
      <c r="I8" s="448">
        <v>2.6217772549142196E-3</v>
      </c>
      <c r="J8" s="439"/>
      <c r="K8" s="446" t="s">
        <v>1</v>
      </c>
      <c r="L8" s="446" t="s">
        <v>535</v>
      </c>
      <c r="M8" s="446" t="s">
        <v>534</v>
      </c>
      <c r="N8" s="449">
        <v>0.70500640740158238</v>
      </c>
      <c r="O8" s="310">
        <v>6430.6510564585087</v>
      </c>
      <c r="P8" s="388">
        <v>0.37780418321391701</v>
      </c>
      <c r="Q8" s="29">
        <f>'Assumptions-Output Override'!D19</f>
        <v>1000</v>
      </c>
      <c r="R8" s="388">
        <f>N8*Q8/12000</f>
        <v>5.8750533950131863E-2</v>
      </c>
      <c r="S8" s="388">
        <f>P8-R8</f>
        <v>0.31905364926378516</v>
      </c>
    </row>
    <row r="9" spans="2:19" x14ac:dyDescent="0.2">
      <c r="D9" s="446" t="s">
        <v>1</v>
      </c>
      <c r="E9" s="446" t="s">
        <v>536</v>
      </c>
      <c r="F9" s="446" t="s">
        <v>534</v>
      </c>
      <c r="G9" s="447">
        <v>8.1416479896675442E-3</v>
      </c>
      <c r="H9" s="310">
        <v>937.22222222222229</v>
      </c>
      <c r="I9" s="448">
        <v>6.3587778511894205E-4</v>
      </c>
      <c r="J9" s="439"/>
      <c r="K9" s="446" t="s">
        <v>462</v>
      </c>
      <c r="L9" s="446" t="s">
        <v>0</v>
      </c>
      <c r="M9" s="446" t="s">
        <v>537</v>
      </c>
      <c r="N9" s="449">
        <v>1.732525665182022E-3</v>
      </c>
      <c r="O9" s="310">
        <v>64.300833333333344</v>
      </c>
      <c r="P9" s="388">
        <v>9.28357033688264E-6</v>
      </c>
      <c r="Q9" s="29">
        <f>'Assumptions-Output Override'!E19</f>
        <v>250</v>
      </c>
      <c r="R9" s="388">
        <f>N9*Q9/12000</f>
        <v>3.6094284691292124E-5</v>
      </c>
      <c r="S9" s="388">
        <f>P9-R9</f>
        <v>-2.6810714354409484E-5</v>
      </c>
    </row>
    <row r="10" spans="2:19" x14ac:dyDescent="0.2">
      <c r="D10" s="446" t="s">
        <v>1</v>
      </c>
      <c r="E10" s="446" t="s">
        <v>46</v>
      </c>
      <c r="F10" s="446" t="s">
        <v>534</v>
      </c>
      <c r="G10" s="447">
        <v>0.52347781148380956</v>
      </c>
      <c r="H10" s="310">
        <v>8042.9743260368668</v>
      </c>
      <c r="I10" s="448">
        <v>0.35085988316785394</v>
      </c>
      <c r="J10" s="439"/>
      <c r="K10" s="446" t="s">
        <v>462</v>
      </c>
      <c r="L10" s="446" t="s">
        <v>538</v>
      </c>
      <c r="M10" s="446" t="s">
        <v>539</v>
      </c>
      <c r="N10" s="449">
        <v>21.083537951016318</v>
      </c>
      <c r="O10" s="310">
        <v>556.71137546137732</v>
      </c>
      <c r="P10" s="388">
        <v>0.97812045102520351</v>
      </c>
      <c r="Q10" s="29">
        <v>0</v>
      </c>
      <c r="R10" s="388">
        <f>N10*Q10/12000</f>
        <v>0</v>
      </c>
      <c r="S10" s="388">
        <f>P10-R10</f>
        <v>0.97812045102520351</v>
      </c>
    </row>
    <row r="11" spans="2:19" x14ac:dyDescent="0.2">
      <c r="D11" s="446" t="s">
        <v>1</v>
      </c>
      <c r="E11" s="446" t="s">
        <v>540</v>
      </c>
      <c r="F11" s="446" t="s">
        <v>534</v>
      </c>
      <c r="G11" s="447">
        <v>0.1145861568916173</v>
      </c>
      <c r="H11" s="310">
        <v>2245.311078947369</v>
      </c>
      <c r="I11" s="448">
        <v>2.1440130630229145E-2</v>
      </c>
      <c r="J11" s="439"/>
      <c r="K11" s="320" t="s">
        <v>463</v>
      </c>
      <c r="L11" s="450" t="s">
        <v>541</v>
      </c>
      <c r="M11" s="446" t="s">
        <v>539</v>
      </c>
      <c r="N11" s="449">
        <v>22.427255981503748</v>
      </c>
      <c r="O11" s="310">
        <v>88.213677850879549</v>
      </c>
      <c r="P11" s="388">
        <v>0.16486589451929859</v>
      </c>
      <c r="Q11" s="29">
        <f>'Assumptions-Output Override'!G19</f>
        <v>30</v>
      </c>
      <c r="R11" s="388">
        <f>N11*Q11/12000</f>
        <v>5.6068139953759366E-2</v>
      </c>
      <c r="S11" s="388">
        <f>P11-R11</f>
        <v>0.10879775456553922</v>
      </c>
    </row>
    <row r="12" spans="2:19" x14ac:dyDescent="0.2">
      <c r="D12" s="446" t="s">
        <v>1</v>
      </c>
      <c r="E12" s="446" t="s">
        <v>542</v>
      </c>
      <c r="F12" s="446" t="s">
        <v>534</v>
      </c>
      <c r="G12" s="447">
        <v>3.0154251813583504E-4</v>
      </c>
      <c r="H12" s="310">
        <v>229.99999999999997</v>
      </c>
      <c r="I12" s="448">
        <v>5.7795649309368372E-6</v>
      </c>
      <c r="J12" s="439"/>
      <c r="K12" s="320" t="s">
        <v>464</v>
      </c>
      <c r="L12" s="450" t="s">
        <v>541</v>
      </c>
      <c r="M12" s="446" t="s">
        <v>539</v>
      </c>
      <c r="N12" s="449">
        <v>30.896852072884826</v>
      </c>
      <c r="O12" s="310">
        <v>115.57698323839588</v>
      </c>
      <c r="P12" s="388">
        <v>0.2975804128455839</v>
      </c>
      <c r="Q12" s="29">
        <f>'Assumptions-Output Override'!H19</f>
        <v>60</v>
      </c>
      <c r="R12" s="388">
        <f>N12*Q12/12000</f>
        <v>0.15448426036442414</v>
      </c>
      <c r="S12" s="388">
        <f>P12-R12</f>
        <v>0.14309615248115976</v>
      </c>
    </row>
    <row r="13" spans="2:19" x14ac:dyDescent="0.2">
      <c r="D13" s="446" t="s">
        <v>1</v>
      </c>
      <c r="E13" s="446" t="s">
        <v>543</v>
      </c>
      <c r="F13" s="446" t="s">
        <v>534</v>
      </c>
      <c r="G13" s="447">
        <v>8.4431905078033807E-3</v>
      </c>
      <c r="H13" s="310">
        <v>713.08571428571429</v>
      </c>
      <c r="I13" s="448">
        <v>5.0172654450894474E-4</v>
      </c>
      <c r="J13" s="439"/>
      <c r="K13" s="446" t="s">
        <v>465</v>
      </c>
      <c r="P13" s="388">
        <f>I117</f>
        <v>2.3307467010885081</v>
      </c>
      <c r="R13" s="388">
        <f>L117</f>
        <v>0.55737571366004945</v>
      </c>
      <c r="S13" s="388">
        <f>M117</f>
        <v>1.7733709874284587</v>
      </c>
    </row>
    <row r="14" spans="2:19" x14ac:dyDescent="0.2">
      <c r="D14" s="446" t="s">
        <v>1</v>
      </c>
      <c r="E14" s="446" t="s">
        <v>544</v>
      </c>
      <c r="F14" s="446" t="s">
        <v>534</v>
      </c>
      <c r="G14" s="447">
        <v>6.0308503627167008E-4</v>
      </c>
      <c r="H14" s="310">
        <v>2294</v>
      </c>
      <c r="I14" s="448">
        <v>1.1528975610060091E-4</v>
      </c>
      <c r="J14" s="439"/>
    </row>
    <row r="15" spans="2:19" x14ac:dyDescent="0.2">
      <c r="D15" s="446" t="s">
        <v>1</v>
      </c>
      <c r="E15" s="446" t="s">
        <v>545</v>
      </c>
      <c r="F15" s="446" t="s">
        <v>534</v>
      </c>
      <c r="G15" s="447">
        <v>7.2370204352600392E-3</v>
      </c>
      <c r="H15" s="310">
        <v>2692.354166666667</v>
      </c>
      <c r="I15" s="448">
        <v>1.6237185102603486E-3</v>
      </c>
      <c r="J15" s="439"/>
      <c r="K15" s="446" t="s">
        <v>403</v>
      </c>
      <c r="P15" s="388">
        <f>SUM(P8:P13)</f>
        <v>4.1491269262628485</v>
      </c>
      <c r="R15" s="388">
        <f>SUM(R8:R13)</f>
        <v>0.82671474221305608</v>
      </c>
      <c r="S15" s="388">
        <f>SUM(S8:S13)</f>
        <v>3.3224121840497922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0.70500640740158238</v>
      </c>
      <c r="H17" s="458"/>
      <c r="I17" s="459">
        <v>0.37780418321391701</v>
      </c>
      <c r="J17" s="439"/>
    </row>
    <row r="18" spans="4:10" x14ac:dyDescent="0.2">
      <c r="D18" s="446" t="s">
        <v>462</v>
      </c>
      <c r="E18" s="446" t="s">
        <v>548</v>
      </c>
      <c r="F18" s="446" t="s">
        <v>537</v>
      </c>
      <c r="G18" s="447">
        <v>1.732525665182022E-3</v>
      </c>
      <c r="H18" s="310">
        <v>64.300833333333344</v>
      </c>
      <c r="I18" s="448">
        <v>9.28357033688264E-6</v>
      </c>
      <c r="J18" s="439"/>
    </row>
    <row r="19" spans="4:10" x14ac:dyDescent="0.2">
      <c r="D19" s="446" t="s">
        <v>462</v>
      </c>
      <c r="E19" s="446" t="s">
        <v>549</v>
      </c>
      <c r="F19" s="446" t="s">
        <v>537</v>
      </c>
      <c r="G19" s="447">
        <v>6.2515301085317956E-2</v>
      </c>
      <c r="H19" s="310">
        <v>389.6795612009239</v>
      </c>
      <c r="I19" s="448">
        <v>2.0300779246058618E-3</v>
      </c>
      <c r="J19" s="439"/>
    </row>
    <row r="20" spans="4:10" x14ac:dyDescent="0.2">
      <c r="D20" s="446" t="s">
        <v>462</v>
      </c>
      <c r="E20" s="446" t="s">
        <v>550</v>
      </c>
      <c r="F20" s="446" t="s">
        <v>537</v>
      </c>
      <c r="G20" s="447">
        <v>1.6015756003220138</v>
      </c>
      <c r="H20" s="310">
        <v>247.79786712341121</v>
      </c>
      <c r="I20" s="448">
        <v>3.307225148305766E-2</v>
      </c>
      <c r="J20" s="439"/>
    </row>
    <row r="21" spans="4:10" x14ac:dyDescent="0.2">
      <c r="D21" s="446" t="s">
        <v>462</v>
      </c>
      <c r="E21" s="446" t="s">
        <v>551</v>
      </c>
      <c r="F21" s="446" t="s">
        <v>537</v>
      </c>
      <c r="G21" s="447">
        <v>7.9118672043312327E-2</v>
      </c>
      <c r="H21" s="310">
        <v>269.12102189781029</v>
      </c>
      <c r="I21" s="448">
        <v>1.7743748226244939E-3</v>
      </c>
      <c r="J21" s="439"/>
    </row>
    <row r="22" spans="4:10" x14ac:dyDescent="0.2">
      <c r="D22" s="446" t="s">
        <v>462</v>
      </c>
      <c r="E22" s="446" t="s">
        <v>552</v>
      </c>
      <c r="F22" s="446" t="s">
        <v>537</v>
      </c>
      <c r="G22" s="447">
        <v>1.443771387651685E-3</v>
      </c>
      <c r="H22" s="310">
        <v>44.7</v>
      </c>
      <c r="I22" s="448">
        <v>5.3780484190025271E-6</v>
      </c>
      <c r="J22" s="439"/>
    </row>
    <row r="23" spans="4:10" x14ac:dyDescent="0.2">
      <c r="D23" s="446" t="s">
        <v>462</v>
      </c>
      <c r="E23" s="446" t="s">
        <v>553</v>
      </c>
      <c r="F23" s="446" t="s">
        <v>554</v>
      </c>
      <c r="G23" s="447">
        <v>7.5076112157887618E-3</v>
      </c>
      <c r="H23" s="310">
        <v>955.21519230769252</v>
      </c>
      <c r="I23" s="448">
        <v>5.9761535760508759E-4</v>
      </c>
      <c r="J23" s="439"/>
    </row>
    <row r="24" spans="4:10" x14ac:dyDescent="0.2">
      <c r="D24" s="446" t="s">
        <v>462</v>
      </c>
      <c r="E24" s="446" t="s">
        <v>555</v>
      </c>
      <c r="F24" s="446" t="s">
        <v>537</v>
      </c>
      <c r="G24" s="447">
        <v>1.4148959598986512E-2</v>
      </c>
      <c r="H24" s="310">
        <v>1248.1781632653065</v>
      </c>
      <c r="I24" s="448">
        <v>1.4717018670315008E-3</v>
      </c>
      <c r="J24" s="439"/>
    </row>
    <row r="25" spans="4:10" x14ac:dyDescent="0.2">
      <c r="D25" s="446" t="s">
        <v>462</v>
      </c>
      <c r="E25" s="446" t="s">
        <v>556</v>
      </c>
      <c r="F25" s="446" t="s">
        <v>537</v>
      </c>
      <c r="G25" s="447">
        <v>1.4437713876516849E-4</v>
      </c>
      <c r="H25" s="310">
        <v>895.23</v>
      </c>
      <c r="I25" s="448">
        <v>1.0770895494728484E-5</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4.3313141629550551E-4</v>
      </c>
      <c r="H28" s="310">
        <v>43</v>
      </c>
      <c r="I28" s="448">
        <v>1.5520542417255615E-6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4.3313141629550551E-4</v>
      </c>
      <c r="H30" s="310">
        <v>-0.26666666666666666</v>
      </c>
      <c r="I30" s="448">
        <v>-9.6251425843445673E-9</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2.8875427753033699E-4</v>
      </c>
      <c r="H33" s="310">
        <v>32.010000000000005</v>
      </c>
      <c r="I33" s="448">
        <v>7.7025203531217392E-7</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7.8633736658976172</v>
      </c>
      <c r="H52" s="310">
        <v>583.44964017699942</v>
      </c>
      <c r="I52" s="448">
        <v>0.38232354466210478</v>
      </c>
      <c r="J52" s="439"/>
    </row>
    <row r="53" spans="4:10" x14ac:dyDescent="0.2">
      <c r="D53" s="446" t="s">
        <v>462</v>
      </c>
      <c r="E53" s="446" t="s">
        <v>584</v>
      </c>
      <c r="F53" s="446" t="s">
        <v>554</v>
      </c>
      <c r="G53" s="447">
        <v>0.43457877146902624</v>
      </c>
      <c r="H53" s="310">
        <v>583.44964017699931</v>
      </c>
      <c r="I53" s="448">
        <v>2.112956898684715E-2</v>
      </c>
      <c r="J53" s="439"/>
    </row>
    <row r="54" spans="4:10" x14ac:dyDescent="0.2">
      <c r="D54" s="446" t="s">
        <v>462</v>
      </c>
      <c r="E54" s="446" t="s">
        <v>585</v>
      </c>
      <c r="F54" s="446" t="s">
        <v>554</v>
      </c>
      <c r="G54" s="447">
        <v>1.9242940236479991</v>
      </c>
      <c r="H54" s="310">
        <v>583.44964017699931</v>
      </c>
      <c r="I54" s="448">
        <v>9.3560721307681269E-2</v>
      </c>
      <c r="J54" s="439"/>
    </row>
    <row r="55" spans="4:10" x14ac:dyDescent="0.2">
      <c r="D55" s="446" t="s">
        <v>462</v>
      </c>
      <c r="E55" s="446" t="s">
        <v>586</v>
      </c>
      <c r="F55" s="446" t="s">
        <v>537</v>
      </c>
      <c r="G55" s="447">
        <v>1.0518904551428014</v>
      </c>
      <c r="H55" s="310">
        <v>583.44964017699931</v>
      </c>
      <c r="I55" s="448">
        <v>5.1143758963223963E-2</v>
      </c>
      <c r="J55" s="439"/>
    </row>
    <row r="56" spans="4:10" x14ac:dyDescent="0.2">
      <c r="D56" s="446" t="s">
        <v>462</v>
      </c>
      <c r="E56" s="446" t="s">
        <v>5</v>
      </c>
      <c r="F56" s="446" t="s">
        <v>537</v>
      </c>
      <c r="G56" s="447">
        <v>0.90200706434811118</v>
      </c>
      <c r="H56" s="310">
        <v>583.44964017699931</v>
      </c>
      <c r="I56" s="448">
        <v>4.3856308094251416E-2</v>
      </c>
      <c r="J56" s="439"/>
    </row>
    <row r="57" spans="4:10" x14ac:dyDescent="0.2">
      <c r="D57" s="446" t="s">
        <v>462</v>
      </c>
      <c r="E57" s="446" t="s">
        <v>587</v>
      </c>
      <c r="F57" s="446" t="s">
        <v>537</v>
      </c>
      <c r="G57" s="447">
        <v>2.3821052964168326</v>
      </c>
      <c r="H57" s="310">
        <v>583.44964017699931</v>
      </c>
      <c r="I57" s="448">
        <v>0.11581987317151043</v>
      </c>
      <c r="J57" s="439"/>
    </row>
    <row r="58" spans="4:10" x14ac:dyDescent="0.2">
      <c r="D58" s="446" t="s">
        <v>462</v>
      </c>
      <c r="E58" s="446" t="s">
        <v>588</v>
      </c>
      <c r="F58" s="446" t="s">
        <v>537</v>
      </c>
      <c r="G58" s="447">
        <v>1.6091614185803</v>
      </c>
      <c r="H58" s="310">
        <v>583.44964017699931</v>
      </c>
      <c r="I58" s="448">
        <v>7.8238720888115482E-2</v>
      </c>
      <c r="J58" s="439"/>
    </row>
    <row r="59" spans="4:10" x14ac:dyDescent="0.2">
      <c r="D59" s="446" t="s">
        <v>462</v>
      </c>
      <c r="E59" s="446" t="s">
        <v>589</v>
      </c>
      <c r="F59" s="446" t="s">
        <v>537</v>
      </c>
      <c r="G59" s="447">
        <v>0.62201392564763691</v>
      </c>
      <c r="H59" s="310">
        <v>583.44964017699931</v>
      </c>
      <c r="I59" s="448">
        <v>3.0242816758683049E-2</v>
      </c>
      <c r="J59" s="439"/>
    </row>
    <row r="60" spans="4:10" x14ac:dyDescent="0.2">
      <c r="D60" s="446" t="s">
        <v>462</v>
      </c>
      <c r="E60" s="446" t="s">
        <v>590</v>
      </c>
      <c r="F60" s="446" t="s">
        <v>537</v>
      </c>
      <c r="G60" s="447">
        <v>0.59370086605932981</v>
      </c>
      <c r="H60" s="310">
        <v>583.44964017699942</v>
      </c>
      <c r="I60" s="448">
        <v>2.8866213056257407E-2</v>
      </c>
      <c r="J60" s="439"/>
    </row>
    <row r="61" spans="4:10" x14ac:dyDescent="0.2">
      <c r="D61" s="446" t="s">
        <v>462</v>
      </c>
      <c r="E61" s="446" t="s">
        <v>591</v>
      </c>
      <c r="F61" s="446" t="s">
        <v>537</v>
      </c>
      <c r="G61" s="447">
        <v>0.98437761001860125</v>
      </c>
      <c r="H61" s="310">
        <v>583.44964017699931</v>
      </c>
      <c r="I61" s="448">
        <v>4.7861230196970618E-2</v>
      </c>
      <c r="J61" s="439"/>
    </row>
    <row r="62" spans="4:10" x14ac:dyDescent="0.2">
      <c r="D62" s="446" t="s">
        <v>462</v>
      </c>
      <c r="E62" s="446" t="s">
        <v>592</v>
      </c>
      <c r="F62" s="446" t="s">
        <v>537</v>
      </c>
      <c r="G62" s="447">
        <v>0.94842554388610623</v>
      </c>
      <c r="H62" s="310">
        <v>583.44964017699942</v>
      </c>
      <c r="I62" s="448">
        <v>4.6113211859585307E-2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21.085270476681501</v>
      </c>
      <c r="H64" s="463"/>
      <c r="I64" s="464">
        <v>0.97812973459554042</v>
      </c>
      <c r="J64" s="439"/>
    </row>
    <row r="65" spans="4:10" x14ac:dyDescent="0.2">
      <c r="D65" s="446" t="s">
        <v>595</v>
      </c>
      <c r="E65" s="446" t="s">
        <v>596</v>
      </c>
      <c r="F65" s="446" t="s">
        <v>554</v>
      </c>
      <c r="G65" s="447">
        <v>7.1764100594614648</v>
      </c>
      <c r="H65" s="310">
        <v>88.633180501348093</v>
      </c>
      <c r="I65" s="448">
        <v>5.3005670679328189E-2</v>
      </c>
      <c r="J65" s="439"/>
    </row>
    <row r="66" spans="4:10" x14ac:dyDescent="0.2">
      <c r="D66" s="446" t="s">
        <v>595</v>
      </c>
      <c r="E66" s="446" t="s">
        <v>563</v>
      </c>
      <c r="F66" s="446" t="s">
        <v>554</v>
      </c>
      <c r="G66" s="447">
        <v>6.5980352415682009E-2</v>
      </c>
      <c r="H66" s="310">
        <v>225.94919037199122</v>
      </c>
      <c r="I66" s="448">
        <v>1.2423506007318338E-3</v>
      </c>
      <c r="J66" s="439"/>
    </row>
    <row r="67" spans="4:10" x14ac:dyDescent="0.2">
      <c r="D67" s="446" t="s">
        <v>595</v>
      </c>
      <c r="E67" s="446" t="s">
        <v>564</v>
      </c>
      <c r="F67" s="446" t="s">
        <v>554</v>
      </c>
      <c r="G67" s="447">
        <v>0.62544176513070993</v>
      </c>
      <c r="H67" s="310">
        <v>123.37514081255772</v>
      </c>
      <c r="I67" s="448">
        <v>6.4303304869213328E-3</v>
      </c>
      <c r="J67" s="439"/>
    </row>
    <row r="68" spans="4:10" x14ac:dyDescent="0.2">
      <c r="D68" s="446" t="s">
        <v>595</v>
      </c>
      <c r="E68" s="446" t="s">
        <v>597</v>
      </c>
      <c r="F68" s="446" t="s">
        <v>554</v>
      </c>
      <c r="G68" s="447">
        <v>1.4437713876516848E-2</v>
      </c>
      <c r="H68" s="310">
        <v>59.392900000000004</v>
      </c>
      <c r="I68" s="448">
        <v>7.1458141374714797E-5</v>
      </c>
      <c r="J68" s="439"/>
    </row>
    <row r="69" spans="4:10" x14ac:dyDescent="0.2">
      <c r="D69" s="446" t="s">
        <v>595</v>
      </c>
      <c r="E69" s="446" t="s">
        <v>572</v>
      </c>
      <c r="F69" s="446" t="s">
        <v>554</v>
      </c>
      <c r="G69" s="447">
        <v>1.4726468154047186E-2</v>
      </c>
      <c r="H69" s="310">
        <v>108.83676470588235</v>
      </c>
      <c r="I69" s="448">
        <v>1.3356509578589193E-4</v>
      </c>
      <c r="J69" s="439"/>
    </row>
    <row r="70" spans="4:10" x14ac:dyDescent="0.2">
      <c r="D70" s="446" t="s">
        <v>595</v>
      </c>
      <c r="E70" s="446" t="s">
        <v>567</v>
      </c>
      <c r="F70" s="446" t="s">
        <v>554</v>
      </c>
      <c r="G70" s="447">
        <v>2.1656570814775275E-2</v>
      </c>
      <c r="H70" s="310">
        <v>77.207266666666669</v>
      </c>
      <c r="I70" s="448">
        <v>1.3933705316515878E-4</v>
      </c>
      <c r="J70" s="439"/>
    </row>
    <row r="71" spans="4:10" x14ac:dyDescent="0.2">
      <c r="D71" s="446" t="s">
        <v>595</v>
      </c>
      <c r="E71" s="446" t="s">
        <v>568</v>
      </c>
      <c r="F71" s="446" t="s">
        <v>554</v>
      </c>
      <c r="G71" s="447">
        <v>1.1983302517508987E-2</v>
      </c>
      <c r="H71" s="310">
        <v>121.46325301204817</v>
      </c>
      <c r="I71" s="448">
        <v>1.2129424213367565E-4</v>
      </c>
      <c r="J71" s="439"/>
    </row>
    <row r="72" spans="4:10" x14ac:dyDescent="0.2">
      <c r="D72" s="446" t="s">
        <v>595</v>
      </c>
      <c r="E72" s="446" t="s">
        <v>548</v>
      </c>
      <c r="F72" s="446" t="s">
        <v>554</v>
      </c>
      <c r="G72" s="447">
        <v>1.7313706480719007</v>
      </c>
      <c r="H72" s="310">
        <v>213.72652184789939</v>
      </c>
      <c r="I72" s="448">
        <v>3.0836652220162568E-2</v>
      </c>
      <c r="J72" s="439"/>
    </row>
    <row r="73" spans="4:10" x14ac:dyDescent="0.2">
      <c r="D73" s="446" t="s">
        <v>595</v>
      </c>
      <c r="E73" s="446" t="s">
        <v>598</v>
      </c>
      <c r="F73" s="446" t="s">
        <v>554</v>
      </c>
      <c r="G73" s="447">
        <v>2.122343939847977E-2</v>
      </c>
      <c r="H73" s="310">
        <v>136.7048299319728</v>
      </c>
      <c r="I73" s="448">
        <v>2.4177888946172568E-4</v>
      </c>
      <c r="J73" s="439"/>
    </row>
    <row r="74" spans="4:10" x14ac:dyDescent="0.2">
      <c r="D74" s="446" t="s">
        <v>595</v>
      </c>
      <c r="E74" s="446" t="s">
        <v>549</v>
      </c>
      <c r="F74" s="446" t="s">
        <v>554</v>
      </c>
      <c r="G74" s="447">
        <v>7.7306738951809493</v>
      </c>
      <c r="H74" s="310">
        <v>83.473464562516753</v>
      </c>
      <c r="I74" s="448">
        <v>5.3775511119480028E-2</v>
      </c>
      <c r="J74" s="439"/>
    </row>
    <row r="75" spans="4:10" x14ac:dyDescent="0.2">
      <c r="D75" s="446" t="s">
        <v>595</v>
      </c>
      <c r="E75" s="446" t="s">
        <v>571</v>
      </c>
      <c r="F75" s="446" t="s">
        <v>554</v>
      </c>
      <c r="G75" s="447">
        <v>4.4035027323376393E-2</v>
      </c>
      <c r="H75" s="310">
        <v>162.83708196721309</v>
      </c>
      <c r="I75" s="448">
        <v>5.9754461280709249E-4</v>
      </c>
      <c r="J75" s="439"/>
    </row>
    <row r="76" spans="4:10" x14ac:dyDescent="0.2">
      <c r="D76" s="446" t="s">
        <v>595</v>
      </c>
      <c r="E76" s="446" t="s">
        <v>561</v>
      </c>
      <c r="F76" s="446" t="s">
        <v>554</v>
      </c>
      <c r="G76" s="447">
        <v>6.0494021142605603E-2</v>
      </c>
      <c r="H76" s="310">
        <v>134.27658711217182</v>
      </c>
      <c r="I76" s="448">
        <v>6.7691089164338713E-4</v>
      </c>
      <c r="J76" s="439"/>
    </row>
    <row r="77" spans="4:10" x14ac:dyDescent="0.2">
      <c r="D77" s="446" t="s">
        <v>595</v>
      </c>
      <c r="E77" s="446" t="s">
        <v>599</v>
      </c>
      <c r="F77" s="446" t="s">
        <v>554</v>
      </c>
      <c r="G77" s="447">
        <v>5.3087473923952455</v>
      </c>
      <c r="H77" s="310">
        <v>130.36103345118195</v>
      </c>
      <c r="I77" s="448">
        <v>5.7671149700325962E-2</v>
      </c>
      <c r="J77" s="439"/>
    </row>
    <row r="78" spans="4:10" x14ac:dyDescent="0.2">
      <c r="D78" s="446" t="s">
        <v>595</v>
      </c>
      <c r="E78" s="446" t="s">
        <v>600</v>
      </c>
      <c r="F78" s="446" t="s">
        <v>554</v>
      </c>
      <c r="G78" s="447">
        <v>2.800916492044269E-2</v>
      </c>
      <c r="H78" s="310">
        <v>133.6061855670103</v>
      </c>
      <c r="I78" s="448">
        <v>3.1184980716147178E-4</v>
      </c>
      <c r="J78" s="439"/>
    </row>
    <row r="79" spans="4:10" x14ac:dyDescent="0.2">
      <c r="D79" s="446" t="s">
        <v>595</v>
      </c>
      <c r="E79" s="446" t="s">
        <v>555</v>
      </c>
      <c r="F79" s="446" t="s">
        <v>554</v>
      </c>
      <c r="G79" s="447">
        <v>5.5860958759631352</v>
      </c>
      <c r="H79" s="310">
        <v>97.900069008296498</v>
      </c>
      <c r="I79" s="448">
        <v>4.5573264311979285E-2</v>
      </c>
      <c r="J79" s="439"/>
    </row>
    <row r="80" spans="4:10" x14ac:dyDescent="0.2">
      <c r="D80" s="446" t="s">
        <v>595</v>
      </c>
      <c r="E80" s="446" t="s">
        <v>552</v>
      </c>
      <c r="F80" s="446" t="s">
        <v>554</v>
      </c>
      <c r="G80" s="447">
        <v>1.6892125235524715E-2</v>
      </c>
      <c r="H80" s="310">
        <v>133.95376068376069</v>
      </c>
      <c r="I80" s="448">
        <v>1.8856364176996602E-4</v>
      </c>
      <c r="J80" s="439"/>
    </row>
    <row r="81" spans="4:10" x14ac:dyDescent="0.2">
      <c r="D81" s="446" t="s">
        <v>595</v>
      </c>
      <c r="E81" s="446" t="s">
        <v>581</v>
      </c>
      <c r="F81" s="446" t="s">
        <v>554</v>
      </c>
      <c r="G81" s="447">
        <v>4.0281221715482013E-2</v>
      </c>
      <c r="H81" s="310">
        <v>146.41960573476663</v>
      </c>
      <c r="I81" s="448">
        <v>4.9149671684129976E-4</v>
      </c>
      <c r="J81" s="439"/>
    </row>
    <row r="82" spans="4:10" x14ac:dyDescent="0.2">
      <c r="D82" s="446" t="s">
        <v>595</v>
      </c>
      <c r="E82" s="446" t="s">
        <v>574</v>
      </c>
      <c r="F82" s="446" t="s">
        <v>554</v>
      </c>
      <c r="G82" s="447">
        <v>1.7180879513055053E-2</v>
      </c>
      <c r="H82" s="310">
        <v>117.87731092436972</v>
      </c>
      <c r="I82" s="448">
        <v>1.6876965635954371E-4</v>
      </c>
      <c r="J82" s="439"/>
    </row>
    <row r="83" spans="4:10" x14ac:dyDescent="0.2">
      <c r="D83" s="446" t="s">
        <v>595</v>
      </c>
      <c r="E83" s="446" t="s">
        <v>601</v>
      </c>
      <c r="F83" s="446" t="s">
        <v>554</v>
      </c>
      <c r="G83" s="447">
        <v>3.0319199140685384E-3</v>
      </c>
      <c r="H83" s="310">
        <v>438.61714285714282</v>
      </c>
      <c r="I83" s="448">
        <v>1.1082100417336803E-4</v>
      </c>
      <c r="J83" s="439"/>
    </row>
    <row r="84" spans="4:10" x14ac:dyDescent="0.2">
      <c r="D84" s="446" t="s">
        <v>595</v>
      </c>
      <c r="E84" s="446" t="s">
        <v>559</v>
      </c>
      <c r="F84" s="446" t="s">
        <v>554</v>
      </c>
      <c r="G84" s="447">
        <v>1.0220457653186277</v>
      </c>
      <c r="H84" s="310">
        <v>85.476296087017971</v>
      </c>
      <c r="I84" s="448">
        <v>7.280057204238158E-3</v>
      </c>
      <c r="J84" s="439"/>
    </row>
    <row r="85" spans="4:10" x14ac:dyDescent="0.2">
      <c r="D85" s="446" t="s">
        <v>595</v>
      </c>
      <c r="E85" s="446" t="s">
        <v>573</v>
      </c>
      <c r="F85" s="446" t="s">
        <v>554</v>
      </c>
      <c r="G85" s="447">
        <v>6.4247826750500003E-2</v>
      </c>
      <c r="H85" s="310">
        <v>107.68321348314603</v>
      </c>
      <c r="I85" s="448">
        <v>5.7653437031685603E-4</v>
      </c>
      <c r="J85" s="439"/>
    </row>
    <row r="86" spans="4:10" x14ac:dyDescent="0.2">
      <c r="D86" s="446" t="s">
        <v>595</v>
      </c>
      <c r="E86" s="446" t="s">
        <v>562</v>
      </c>
      <c r="F86" s="446" t="s">
        <v>554</v>
      </c>
      <c r="G86" s="447">
        <v>3.3639873332284263E-2</v>
      </c>
      <c r="H86" s="310">
        <v>172.24866952789699</v>
      </c>
      <c r="I86" s="448">
        <v>4.8286861871441224E-4</v>
      </c>
      <c r="J86" s="439"/>
    </row>
    <row r="87" spans="4:10" x14ac:dyDescent="0.2">
      <c r="D87" s="446" t="s">
        <v>595</v>
      </c>
      <c r="E87" s="446" t="s">
        <v>550</v>
      </c>
      <c r="F87" s="446" t="s">
        <v>554</v>
      </c>
      <c r="G87" s="447">
        <v>5.5670380936461319</v>
      </c>
      <c r="H87" s="310">
        <v>200.66730594673047</v>
      </c>
      <c r="I87" s="448">
        <v>9.3093544696232627E-2</v>
      </c>
      <c r="J87" s="439"/>
    </row>
    <row r="88" spans="4:10" x14ac:dyDescent="0.2">
      <c r="D88" s="446" t="s">
        <v>595</v>
      </c>
      <c r="E88" s="446" t="s">
        <v>579</v>
      </c>
      <c r="F88" s="446" t="s">
        <v>554</v>
      </c>
      <c r="G88" s="447">
        <v>5.919462689371908E-3</v>
      </c>
      <c r="H88" s="310">
        <v>93.975609756097583</v>
      </c>
      <c r="I88" s="448">
        <v>4.6357092971849522E-5</v>
      </c>
      <c r="J88" s="439"/>
    </row>
    <row r="89" spans="4:10" x14ac:dyDescent="0.2">
      <c r="D89" s="446" t="s">
        <v>595</v>
      </c>
      <c r="E89" s="446" t="s">
        <v>556</v>
      </c>
      <c r="F89" s="446" t="s">
        <v>554</v>
      </c>
      <c r="G89" s="447">
        <v>4.3457518768315717E-2</v>
      </c>
      <c r="H89" s="310">
        <v>54.149468438538207</v>
      </c>
      <c r="I89" s="448">
        <v>1.9610012841350782E-4</v>
      </c>
      <c r="J89" s="439"/>
    </row>
    <row r="90" spans="4:10" x14ac:dyDescent="0.2">
      <c r="D90" s="446" t="s">
        <v>595</v>
      </c>
      <c r="E90" s="446" t="s">
        <v>602</v>
      </c>
      <c r="F90" s="446" t="s">
        <v>554</v>
      </c>
      <c r="G90" s="447">
        <v>0.14755343581800223</v>
      </c>
      <c r="H90" s="310">
        <v>119.842446183953</v>
      </c>
      <c r="I90" s="448">
        <v>1.4735970576063582E-3</v>
      </c>
      <c r="J90" s="439"/>
    </row>
    <row r="91" spans="4:10" x14ac:dyDescent="0.2">
      <c r="D91" s="446" t="s">
        <v>595</v>
      </c>
      <c r="E91" s="446" t="s">
        <v>577</v>
      </c>
      <c r="F91" s="446" t="s">
        <v>554</v>
      </c>
      <c r="G91" s="447">
        <v>0.81876275393727049</v>
      </c>
      <c r="H91" s="310">
        <v>69.33913066478577</v>
      </c>
      <c r="I91" s="448">
        <v>4.7310247982263525E-3</v>
      </c>
      <c r="J91" s="439"/>
    </row>
    <row r="92" spans="4:10" x14ac:dyDescent="0.2">
      <c r="D92" s="446" t="s">
        <v>595</v>
      </c>
      <c r="E92" s="446" t="s">
        <v>576</v>
      </c>
      <c r="F92" s="446" t="s">
        <v>554</v>
      </c>
      <c r="G92" s="447">
        <v>8.0884404450410354</v>
      </c>
      <c r="H92" s="310">
        <v>86.400431251449746</v>
      </c>
      <c r="I92" s="448">
        <v>5.8237061883601129E-2</v>
      </c>
      <c r="J92" s="439"/>
    </row>
    <row r="93" spans="4:10" x14ac:dyDescent="0.2">
      <c r="D93" s="446" t="s">
        <v>595</v>
      </c>
      <c r="E93" s="446" t="s">
        <v>603</v>
      </c>
      <c r="F93" s="446" t="s">
        <v>554</v>
      </c>
      <c r="G93" s="447">
        <v>2.1656570814775275E-3</v>
      </c>
      <c r="H93" s="310">
        <v>127.22399999999999</v>
      </c>
      <c r="I93" s="448">
        <v>2.2960296377824745E-5</v>
      </c>
      <c r="J93" s="439"/>
    </row>
    <row r="94" spans="4:10" x14ac:dyDescent="0.2">
      <c r="D94" s="446" t="s">
        <v>595</v>
      </c>
      <c r="E94" s="446" t="s">
        <v>557</v>
      </c>
      <c r="F94" s="446" t="s">
        <v>554</v>
      </c>
      <c r="G94" s="447">
        <v>2.0068422288358423E-2</v>
      </c>
      <c r="H94" s="310">
        <v>88.087697841726623</v>
      </c>
      <c r="I94" s="448">
        <v>1.4731509322475739E-4</v>
      </c>
      <c r="J94" s="439"/>
    </row>
    <row r="95" spans="4:10" x14ac:dyDescent="0.2">
      <c r="D95" s="446" t="s">
        <v>595</v>
      </c>
      <c r="E95" s="446" t="s">
        <v>582</v>
      </c>
      <c r="F95" s="446" t="s">
        <v>554</v>
      </c>
      <c r="G95" s="447">
        <v>1.155017110121348E-2</v>
      </c>
      <c r="H95" s="310">
        <v>21.268000000000004</v>
      </c>
      <c r="I95" s="448">
        <v>2.0470753248384028E-5</v>
      </c>
      <c r="J95" s="439"/>
    </row>
    <row r="96" spans="4:10" x14ac:dyDescent="0.2">
      <c r="D96" s="446" t="s">
        <v>595</v>
      </c>
      <c r="E96" s="446" t="s">
        <v>565</v>
      </c>
      <c r="F96" s="446" t="s">
        <v>554</v>
      </c>
      <c r="G96" s="447">
        <v>5.3563918481877519E-2</v>
      </c>
      <c r="H96" s="310">
        <v>74.213557951482471</v>
      </c>
      <c r="I96" s="448">
        <v>3.312640806969417E-4</v>
      </c>
      <c r="J96" s="439"/>
    </row>
    <row r="97" spans="4:13" x14ac:dyDescent="0.2">
      <c r="D97" s="446" t="s">
        <v>595</v>
      </c>
      <c r="E97" s="446" t="s">
        <v>604</v>
      </c>
      <c r="F97" s="446" t="s">
        <v>554</v>
      </c>
      <c r="G97" s="447">
        <v>4.0081981263986082</v>
      </c>
      <c r="H97" s="310">
        <v>95.215095454217959</v>
      </c>
      <c r="I97" s="448">
        <v>3.1803413933705088E-2</v>
      </c>
      <c r="J97" s="439"/>
    </row>
    <row r="98" spans="4:13" x14ac:dyDescent="0.2">
      <c r="D98" s="446" t="s">
        <v>595</v>
      </c>
      <c r="E98" s="446" t="s">
        <v>569</v>
      </c>
      <c r="F98" s="446" t="s">
        <v>554</v>
      </c>
      <c r="G98" s="447">
        <v>3.1618593389571903E-2</v>
      </c>
      <c r="H98" s="310">
        <v>107.30488584474885</v>
      </c>
      <c r="I98" s="448">
        <v>2.8273579618662867E-4</v>
      </c>
      <c r="J98" s="439"/>
    </row>
    <row r="99" spans="4:13" x14ac:dyDescent="0.2">
      <c r="D99" s="446" t="s">
        <v>595</v>
      </c>
      <c r="E99" s="446" t="s">
        <v>553</v>
      </c>
      <c r="F99" s="446" t="s">
        <v>554</v>
      </c>
      <c r="G99" s="447">
        <v>1.6547063873875965</v>
      </c>
      <c r="H99" s="310">
        <v>54.668505366023894</v>
      </c>
      <c r="I99" s="448">
        <v>7.5383604181744031E-3</v>
      </c>
      <c r="J99" s="439"/>
    </row>
    <row r="100" spans="4:13" x14ac:dyDescent="0.2">
      <c r="D100" s="446" t="s">
        <v>595</v>
      </c>
      <c r="E100" s="446" t="s">
        <v>570</v>
      </c>
      <c r="F100" s="446" t="s">
        <v>554</v>
      </c>
      <c r="G100" s="447">
        <v>4.9810112873983139E-2</v>
      </c>
      <c r="H100" s="310">
        <v>105.98246376811593</v>
      </c>
      <c r="I100" s="448">
        <v>4.3991654024605692E-4</v>
      </c>
      <c r="J100" s="439"/>
    </row>
    <row r="101" spans="4:13" x14ac:dyDescent="0.2">
      <c r="D101" s="446" t="s">
        <v>595</v>
      </c>
      <c r="E101" s="446" t="s">
        <v>551</v>
      </c>
      <c r="F101" s="446" t="s">
        <v>554</v>
      </c>
      <c r="G101" s="447">
        <v>3.1762970528337073E-3</v>
      </c>
      <c r="H101" s="310">
        <v>100.95454545454544</v>
      </c>
      <c r="I101" s="448">
        <v>2.6721802099786605E-5</v>
      </c>
      <c r="J101" s="439"/>
    </row>
    <row r="102" spans="4:13" x14ac:dyDescent="0.2">
      <c r="D102" s="446" t="s">
        <v>595</v>
      </c>
      <c r="E102" s="446" t="s">
        <v>578</v>
      </c>
      <c r="F102" s="446" t="s">
        <v>554</v>
      </c>
      <c r="G102" s="447">
        <v>8.0851197708494364E-3</v>
      </c>
      <c r="H102" s="310">
        <v>73.661428571428559</v>
      </c>
      <c r="I102" s="448">
        <v>4.9630122707655889E-5</v>
      </c>
      <c r="J102" s="439"/>
    </row>
    <row r="103" spans="4:13" x14ac:dyDescent="0.2">
      <c r="D103" s="446" t="s">
        <v>595</v>
      </c>
      <c r="E103" s="446" t="s">
        <v>560</v>
      </c>
      <c r="F103" s="446" t="s">
        <v>554</v>
      </c>
      <c r="G103" s="447">
        <v>3.6094284691292121E-3</v>
      </c>
      <c r="H103" s="310">
        <v>88.8</v>
      </c>
      <c r="I103" s="448">
        <v>2.6709770671556172E-5</v>
      </c>
      <c r="J103" s="439"/>
    </row>
    <row r="104" spans="4:13" x14ac:dyDescent="0.2">
      <c r="D104" s="446" t="s">
        <v>595</v>
      </c>
      <c r="E104" s="446" t="s">
        <v>575</v>
      </c>
      <c r="F104" s="446" t="s">
        <v>554</v>
      </c>
      <c r="G104" s="447">
        <v>2.4544113590078648E-3</v>
      </c>
      <c r="H104" s="310">
        <v>111.15058823529409</v>
      </c>
      <c r="I104" s="448">
        <v>2.2734105527092648E-5</v>
      </c>
      <c r="J104" s="439"/>
    </row>
    <row r="105" spans="4:13" x14ac:dyDescent="0.2">
      <c r="D105" s="446" t="s">
        <v>595</v>
      </c>
      <c r="E105" s="446" t="s">
        <v>566</v>
      </c>
      <c r="F105" s="446" t="s">
        <v>554</v>
      </c>
      <c r="G105" s="447">
        <v>3.075233055698089E-2</v>
      </c>
      <c r="H105" s="310">
        <v>464.82732394366207</v>
      </c>
      <c r="I105" s="448">
        <v>1.1912102931526944E-3</v>
      </c>
      <c r="J105" s="439"/>
    </row>
    <row r="106" spans="4:13" x14ac:dyDescent="0.2">
      <c r="D106" s="446" t="s">
        <v>595</v>
      </c>
      <c r="E106" s="446" t="s">
        <v>580</v>
      </c>
      <c r="F106" s="446" t="s">
        <v>554</v>
      </c>
      <c r="G106" s="447">
        <v>2.5699130700199996E-2</v>
      </c>
      <c r="H106" s="310">
        <v>84.059494382022464</v>
      </c>
      <c r="I106" s="448">
        <v>1.8002132772636023E-4</v>
      </c>
      <c r="J106" s="439"/>
    </row>
    <row r="107" spans="4:13" x14ac:dyDescent="0.2">
      <c r="D107" s="451" t="s">
        <v>595</v>
      </c>
      <c r="E107" s="451" t="s">
        <v>558</v>
      </c>
      <c r="F107" s="451" t="s">
        <v>554</v>
      </c>
      <c r="G107" s="452">
        <v>3.1088729290303725</v>
      </c>
      <c r="H107" s="310">
        <v>9.4852830539172466</v>
      </c>
      <c r="I107" s="454">
        <v>2.4573783092094888E-3</v>
      </c>
      <c r="J107" s="439"/>
    </row>
    <row r="108" spans="4:13" ht="16" x14ac:dyDescent="0.2">
      <c r="D108" s="461" t="s">
        <v>605</v>
      </c>
      <c r="E108" s="460"/>
      <c r="F108" s="460"/>
      <c r="G108" s="465">
        <v>53.324108054388574</v>
      </c>
      <c r="H108" s="466"/>
      <c r="I108" s="467">
        <v>0.46244630736488246</v>
      </c>
      <c r="J108" s="439"/>
      <c r="K108" s="313" t="s">
        <v>311</v>
      </c>
      <c r="L108" s="313" t="s">
        <v>606</v>
      </c>
      <c r="M108" s="313" t="s">
        <v>528</v>
      </c>
    </row>
    <row r="109" spans="4:13" x14ac:dyDescent="0.2">
      <c r="D109" s="446" t="s">
        <v>607</v>
      </c>
      <c r="E109" s="446" t="s">
        <v>608</v>
      </c>
      <c r="F109" s="468" t="s">
        <v>609</v>
      </c>
      <c r="G109" s="469">
        <v>152.50693780230736</v>
      </c>
      <c r="H109" s="310">
        <v>43.952896983251385</v>
      </c>
      <c r="I109" s="470">
        <v>0.55859347720466179</v>
      </c>
      <c r="J109" s="439"/>
      <c r="K109">
        <f>'Assumptions-Output Override'!$J$19</f>
        <v>10</v>
      </c>
      <c r="L109" s="470">
        <f>G109*K109/12000</f>
        <v>0.12708911483525612</v>
      </c>
      <c r="M109" s="388">
        <f>I109-L109</f>
        <v>0.4315043623694057</v>
      </c>
    </row>
    <row r="110" spans="4:13" x14ac:dyDescent="0.2">
      <c r="D110" s="446" t="s">
        <v>607</v>
      </c>
      <c r="E110" s="446" t="s">
        <v>610</v>
      </c>
      <c r="F110" s="468" t="s">
        <v>609</v>
      </c>
      <c r="G110" s="469">
        <v>36.730291049089786</v>
      </c>
      <c r="H110" s="310">
        <v>188.24025718298054</v>
      </c>
      <c r="I110" s="470">
        <v>0.57617661945719911</v>
      </c>
      <c r="J110" s="439"/>
      <c r="K110">
        <f>'Assumptions-Output Override'!$K$19</f>
        <v>50</v>
      </c>
      <c r="L110" s="470">
        <f t="shared" ref="L110:L116" si="0">G110*K110/12000</f>
        <v>0.15304287937120745</v>
      </c>
      <c r="M110" s="388">
        <f t="shared" ref="M110:M116" si="1">I110-L110</f>
        <v>0.42313374008599169</v>
      </c>
    </row>
    <row r="111" spans="4:13" x14ac:dyDescent="0.2">
      <c r="D111" s="446" t="s">
        <v>607</v>
      </c>
      <c r="E111" s="446" t="s">
        <v>611</v>
      </c>
      <c r="F111" s="468" t="s">
        <v>609</v>
      </c>
      <c r="G111" s="469">
        <v>18.812936163976609</v>
      </c>
      <c r="H111" s="310">
        <v>250.49057927508707</v>
      </c>
      <c r="I111" s="470">
        <v>0.39270527313164461</v>
      </c>
      <c r="J111" s="439"/>
      <c r="K111">
        <f>'Assumptions-Output Override'!$L$19</f>
        <v>80</v>
      </c>
      <c r="L111" s="470">
        <f t="shared" si="0"/>
        <v>0.12541957442651072</v>
      </c>
      <c r="M111" s="388">
        <f t="shared" si="1"/>
        <v>0.26728569870513386</v>
      </c>
    </row>
    <row r="112" spans="4:13" x14ac:dyDescent="0.2">
      <c r="D112" s="446" t="s">
        <v>607</v>
      </c>
      <c r="E112" s="446" t="s">
        <v>612</v>
      </c>
      <c r="F112" s="468" t="s">
        <v>609</v>
      </c>
      <c r="G112" s="469">
        <v>3.1185527225608056</v>
      </c>
      <c r="H112" s="310">
        <v>1243.5502025719888</v>
      </c>
      <c r="I112" s="470">
        <v>0.32317307248932642</v>
      </c>
      <c r="J112" s="439"/>
      <c r="K112">
        <f>'Assumptions-Output Override'!$M$19</f>
        <v>200</v>
      </c>
      <c r="L112" s="470">
        <f t="shared" si="0"/>
        <v>5.1975878709346765E-2</v>
      </c>
      <c r="M112" s="388">
        <f t="shared" si="1"/>
        <v>0.27119719377997964</v>
      </c>
    </row>
    <row r="113" spans="4:13" x14ac:dyDescent="0.2">
      <c r="D113" s="446" t="s">
        <v>607</v>
      </c>
      <c r="E113" s="446" t="s">
        <v>613</v>
      </c>
      <c r="F113" s="468" t="s">
        <v>609</v>
      </c>
      <c r="G113" s="469">
        <v>10.670082004236521</v>
      </c>
      <c r="H113" s="310">
        <v>82.996594561379212</v>
      </c>
      <c r="I113" s="470">
        <v>7.3798372503523918E-2</v>
      </c>
      <c r="J113" s="439"/>
      <c r="K113">
        <f>2*K109</f>
        <v>20</v>
      </c>
      <c r="L113" s="470">
        <f t="shared" si="0"/>
        <v>1.7783470007060868E-2</v>
      </c>
      <c r="M113" s="388">
        <f t="shared" si="1"/>
        <v>5.601490249646305E-2</v>
      </c>
    </row>
    <row r="114" spans="4:13" x14ac:dyDescent="0.2">
      <c r="D114" s="446" t="s">
        <v>607</v>
      </c>
      <c r="E114" s="446" t="s">
        <v>614</v>
      </c>
      <c r="F114" s="468" t="s">
        <v>609</v>
      </c>
      <c r="G114" s="469">
        <v>5.2426182203096277</v>
      </c>
      <c r="H114" s="310">
        <v>442.09668540007789</v>
      </c>
      <c r="I114" s="470">
        <v>0.19314534483474513</v>
      </c>
      <c r="J114" s="439"/>
      <c r="K114">
        <f>2*K110</f>
        <v>100</v>
      </c>
      <c r="L114" s="470">
        <f t="shared" si="0"/>
        <v>4.36884851692469E-2</v>
      </c>
      <c r="M114" s="388">
        <f t="shared" si="1"/>
        <v>0.14945685966549824</v>
      </c>
    </row>
    <row r="115" spans="4:13" x14ac:dyDescent="0.2">
      <c r="D115" s="446" t="s">
        <v>607</v>
      </c>
      <c r="E115" s="446" t="s">
        <v>615</v>
      </c>
      <c r="F115" s="468" t="s">
        <v>609</v>
      </c>
      <c r="G115" s="469">
        <v>1.9524878049295316</v>
      </c>
      <c r="H115" s="310">
        <v>553.64551776524195</v>
      </c>
      <c r="I115" s="470">
        <v>9.0082176807544281E-2</v>
      </c>
      <c r="J115" s="439"/>
      <c r="K115">
        <f>2*K111</f>
        <v>160</v>
      </c>
      <c r="L115" s="470">
        <f t="shared" si="0"/>
        <v>2.6033170732393758E-2</v>
      </c>
      <c r="M115" s="388">
        <f t="shared" si="1"/>
        <v>6.4049006075150516E-2</v>
      </c>
    </row>
    <row r="116" spans="4:13" x14ac:dyDescent="0.2">
      <c r="D116" s="446" t="s">
        <v>607</v>
      </c>
      <c r="E116" s="446" t="s">
        <v>616</v>
      </c>
      <c r="F116" s="468" t="s">
        <v>609</v>
      </c>
      <c r="G116" s="447">
        <v>0.37029421227080533</v>
      </c>
      <c r="H116" s="310">
        <v>3988.3647299307027</v>
      </c>
      <c r="I116" s="448">
        <v>0.12307236465986274</v>
      </c>
      <c r="J116" s="439"/>
      <c r="K116">
        <f>2*K112</f>
        <v>400</v>
      </c>
      <c r="L116" s="470">
        <f t="shared" si="0"/>
        <v>1.2343140409026844E-2</v>
      </c>
      <c r="M116" s="388">
        <f t="shared" si="1"/>
        <v>0.11072922425083589</v>
      </c>
    </row>
    <row r="117" spans="4:13" x14ac:dyDescent="0.2">
      <c r="D117" s="460" t="s">
        <v>617</v>
      </c>
      <c r="E117" s="460"/>
      <c r="F117" s="460"/>
      <c r="G117" s="471">
        <v>229.40419997968104</v>
      </c>
      <c r="H117" s="472"/>
      <c r="I117" s="473">
        <v>2.3307467010885081</v>
      </c>
      <c r="J117" s="439"/>
      <c r="L117" s="470">
        <f>SUM(L109:L116)</f>
        <v>0.55737571366004945</v>
      </c>
      <c r="M117" s="388">
        <f>SUM(M109:M116)</f>
        <v>1.7733709874284587</v>
      </c>
    </row>
    <row r="118" spans="4:13" ht="16" x14ac:dyDescent="0.2">
      <c r="D118" s="461" t="s">
        <v>618</v>
      </c>
      <c r="E118" s="461"/>
      <c r="F118" s="461"/>
      <c r="G118" s="474"/>
      <c r="H118" s="474"/>
      <c r="I118" s="473">
        <v>4.1491269262628476</v>
      </c>
      <c r="J118" s="439"/>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777</v>
      </c>
      <c r="G3"/>
      <c r="H3"/>
      <c r="I3"/>
    </row>
    <row r="4" spans="2:19" x14ac:dyDescent="0.2">
      <c r="G4"/>
      <c r="H4"/>
      <c r="I4"/>
    </row>
    <row r="5" spans="2:19" ht="16" x14ac:dyDescent="0.2">
      <c r="D5" s="438" t="s">
        <v>778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0.44809218194985079</v>
      </c>
      <c r="H8" s="310">
        <v>10462.203593539703</v>
      </c>
      <c r="I8" s="448">
        <v>0.39066930301939801</v>
      </c>
      <c r="J8" s="439"/>
      <c r="K8" s="446" t="s">
        <v>1</v>
      </c>
      <c r="L8" s="446" t="s">
        <v>535</v>
      </c>
      <c r="M8" s="446" t="s">
        <v>534</v>
      </c>
      <c r="N8" s="449">
        <v>0.57293078445808654</v>
      </c>
      <c r="O8" s="310">
        <v>9009.7725631578942</v>
      </c>
      <c r="P8" s="388">
        <v>0.43016467186658314</v>
      </c>
      <c r="Q8" s="29">
        <f>'Assumptions-Output Target'!D17</f>
        <v>1018.5185313926721</v>
      </c>
      <c r="R8" s="388">
        <f>N8*Q8/12000</f>
        <v>4.8628385097991819E-2</v>
      </c>
      <c r="S8" s="388">
        <f>P8-R8</f>
        <v>0.3815362867685913</v>
      </c>
    </row>
    <row r="9" spans="2:19" x14ac:dyDescent="0.2">
      <c r="D9" s="446" t="s">
        <v>1</v>
      </c>
      <c r="E9" s="446" t="s">
        <v>536</v>
      </c>
      <c r="F9" s="446" t="s">
        <v>534</v>
      </c>
      <c r="G9" s="447">
        <v>3.3169676994941853E-3</v>
      </c>
      <c r="H9" s="310">
        <v>1707.909090909091</v>
      </c>
      <c r="I9" s="448">
        <v>4.7208994068482769E-4</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6.8751694134970384E-2</v>
      </c>
      <c r="H10" s="310">
        <v>4455.0582894736845</v>
      </c>
      <c r="I10" s="448">
        <v>2.5524400405946591E-2</v>
      </c>
      <c r="J10" s="439"/>
      <c r="K10" s="446" t="s">
        <v>462</v>
      </c>
      <c r="L10" s="446" t="s">
        <v>538</v>
      </c>
      <c r="M10" s="446" t="s">
        <v>539</v>
      </c>
      <c r="N10" s="449">
        <v>7.3209315753654005</v>
      </c>
      <c r="O10" s="310">
        <v>760.71901118188396</v>
      </c>
      <c r="P10" s="388">
        <v>0.46409765241184997</v>
      </c>
      <c r="Q10" s="29">
        <v>0</v>
      </c>
      <c r="R10" s="388">
        <f>N10*Q10/12000</f>
        <v>0</v>
      </c>
      <c r="S10" s="388">
        <f>P10-R10</f>
        <v>0.46409765241184997</v>
      </c>
    </row>
    <row r="11" spans="2:19" x14ac:dyDescent="0.2">
      <c r="D11" s="446" t="s">
        <v>1</v>
      </c>
      <c r="E11" s="446" t="s">
        <v>540</v>
      </c>
      <c r="F11" s="446" t="s">
        <v>534</v>
      </c>
      <c r="G11" s="447">
        <v>1.9298721160693443E-2</v>
      </c>
      <c r="H11" s="310">
        <v>2168.8964062499995</v>
      </c>
      <c r="I11" s="448">
        <v>3.4880772475540693E-3</v>
      </c>
      <c r="J11" s="439"/>
      <c r="K11" s="320" t="s">
        <v>463</v>
      </c>
      <c r="L11" s="450" t="s">
        <v>541</v>
      </c>
      <c r="M11" s="446" t="s">
        <v>539</v>
      </c>
      <c r="N11" s="449">
        <v>3.549223202264137</v>
      </c>
      <c r="O11" s="310">
        <v>84.717894073139945</v>
      </c>
      <c r="P11" s="388">
        <v>2.5056892940945309E-2</v>
      </c>
      <c r="Q11" s="29">
        <f>'Assumptions-Output Target'!G17</f>
        <v>30.555555941780163</v>
      </c>
      <c r="R11" s="388">
        <f>N11*Q11/12000</f>
        <v>9.0373740088871644E-3</v>
      </c>
      <c r="S11" s="388">
        <f>P11-R11</f>
        <v>1.6019518932058142E-2</v>
      </c>
    </row>
    <row r="12" spans="2:19" x14ac:dyDescent="0.2">
      <c r="D12" s="446" t="s">
        <v>1</v>
      </c>
      <c r="E12" s="446" t="s">
        <v>542</v>
      </c>
      <c r="F12" s="446" t="s">
        <v>534</v>
      </c>
      <c r="G12" s="447">
        <v>0</v>
      </c>
      <c r="H12" s="310" t="s">
        <v>446</v>
      </c>
      <c r="I12" s="448">
        <v>0</v>
      </c>
      <c r="J12" s="439"/>
      <c r="K12" s="320" t="s">
        <v>464</v>
      </c>
      <c r="L12" s="450" t="s">
        <v>541</v>
      </c>
      <c r="M12" s="446" t="s">
        <v>539</v>
      </c>
      <c r="N12" s="449">
        <v>33.263193377245933</v>
      </c>
      <c r="O12" s="310">
        <v>88.495687635368498</v>
      </c>
      <c r="P12" s="388">
        <v>0.24530409757230121</v>
      </c>
      <c r="Q12" s="29">
        <f>'Assumptions-Output Target'!H17</f>
        <v>55.000000695204292</v>
      </c>
      <c r="R12" s="388">
        <f>N12*Q12/12000</f>
        <v>0.15245630490610343</v>
      </c>
      <c r="S12" s="388">
        <f>P12-R12</f>
        <v>9.2847792666197776E-2</v>
      </c>
    </row>
    <row r="13" spans="2:19" x14ac:dyDescent="0.2">
      <c r="D13" s="446" t="s">
        <v>1</v>
      </c>
      <c r="E13" s="446" t="s">
        <v>543</v>
      </c>
      <c r="F13" s="446" t="s">
        <v>534</v>
      </c>
      <c r="G13" s="447">
        <v>3.1058879367991007E-2</v>
      </c>
      <c r="H13" s="310">
        <v>3656.2298058252431</v>
      </c>
      <c r="I13" s="448">
        <v>9.4632000400649511E-3</v>
      </c>
      <c r="J13" s="439"/>
      <c r="K13" s="446" t="s">
        <v>465</v>
      </c>
      <c r="P13" s="388">
        <f>I117</f>
        <v>0.99237167239286495</v>
      </c>
      <c r="R13" s="388">
        <f>L117</f>
        <v>0.23305511872629095</v>
      </c>
      <c r="S13" s="388">
        <f>M117</f>
        <v>0.75931655366657413</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2.4123401450866803E-3</v>
      </c>
      <c r="H15" s="310">
        <v>2724</v>
      </c>
      <c r="I15" s="448">
        <v>5.4760121293467639E-4</v>
      </c>
      <c r="J15" s="439"/>
      <c r="K15" s="446" t="s">
        <v>403</v>
      </c>
      <c r="P15" s="388">
        <f>SUM(P8:P13)</f>
        <v>2.1569949871845444</v>
      </c>
      <c r="R15" s="388">
        <f>SUM(R8:R13)</f>
        <v>0.44317718273927337</v>
      </c>
      <c r="S15" s="388">
        <f>SUM(S8:S13)</f>
        <v>1.7138178044452714</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0.57293078445808654</v>
      </c>
      <c r="H17" s="458"/>
      <c r="I17" s="459">
        <v>0.43016467186658314</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2.0645930843419098E-2</v>
      </c>
      <c r="H19" s="310">
        <v>292.32083916083911</v>
      </c>
      <c r="I19" s="448">
        <v>5.0293631911707678E-4</v>
      </c>
      <c r="J19" s="439"/>
    </row>
    <row r="20" spans="4:10" x14ac:dyDescent="0.2">
      <c r="D20" s="446" t="s">
        <v>462</v>
      </c>
      <c r="E20" s="446" t="s">
        <v>550</v>
      </c>
      <c r="F20" s="446" t="s">
        <v>537</v>
      </c>
      <c r="G20" s="447">
        <v>0.67135369525803357</v>
      </c>
      <c r="H20" s="310">
        <v>402.59663440860243</v>
      </c>
      <c r="I20" s="448">
        <v>2.2523728184055233E-2</v>
      </c>
      <c r="J20" s="439"/>
    </row>
    <row r="21" spans="4:10" x14ac:dyDescent="0.2">
      <c r="D21" s="446" t="s">
        <v>462</v>
      </c>
      <c r="E21" s="446" t="s">
        <v>551</v>
      </c>
      <c r="F21" s="446" t="s">
        <v>537</v>
      </c>
      <c r="G21" s="447">
        <v>9.9620225747966262E-3</v>
      </c>
      <c r="H21" s="310">
        <v>428.54144927536242</v>
      </c>
      <c r="I21" s="448">
        <v>3.5576163265976861E-4</v>
      </c>
      <c r="J21" s="439"/>
    </row>
    <row r="22" spans="4:10" x14ac:dyDescent="0.2">
      <c r="D22" s="446" t="s">
        <v>462</v>
      </c>
      <c r="E22" s="446" t="s">
        <v>552</v>
      </c>
      <c r="F22" s="446" t="s">
        <v>537</v>
      </c>
      <c r="G22" s="447">
        <v>0.16112488686192802</v>
      </c>
      <c r="H22" s="310">
        <v>535.23405017921152</v>
      </c>
      <c r="I22" s="448">
        <v>7.1866271483147478E-3</v>
      </c>
      <c r="J22" s="439"/>
    </row>
    <row r="23" spans="4:10" x14ac:dyDescent="0.2">
      <c r="D23" s="446" t="s">
        <v>462</v>
      </c>
      <c r="E23" s="446" t="s">
        <v>553</v>
      </c>
      <c r="F23" s="446" t="s">
        <v>554</v>
      </c>
      <c r="G23" s="447">
        <v>1.443771387651685E-3</v>
      </c>
      <c r="H23" s="310">
        <v>1083.6719999999998</v>
      </c>
      <c r="I23" s="448">
        <v>1.3038121893327304E-4</v>
      </c>
      <c r="J23" s="439"/>
    </row>
    <row r="24" spans="4:10" x14ac:dyDescent="0.2">
      <c r="D24" s="446" t="s">
        <v>462</v>
      </c>
      <c r="E24" s="446" t="s">
        <v>555</v>
      </c>
      <c r="F24" s="446" t="s">
        <v>537</v>
      </c>
      <c r="G24" s="447">
        <v>5.7750855506067398E-4</v>
      </c>
      <c r="H24" s="310">
        <v>28.565000000000005</v>
      </c>
      <c r="I24" s="448">
        <v>1.3747109896090128E-6</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2.8875427753033699E-4</v>
      </c>
      <c r="H26" s="310">
        <v>375.00000000000006</v>
      </c>
      <c r="I26" s="448">
        <v>9.0235711728230326E-6</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5.7750855506067398E-4</v>
      </c>
      <c r="H28" s="310">
        <v>30</v>
      </c>
      <c r="I28" s="448">
        <v>1.443771387651685E-6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5.7750855506067398E-4</v>
      </c>
      <c r="H34" s="310">
        <v>208</v>
      </c>
      <c r="I34" s="448">
        <v>1.001014828771835E-5</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0.30824519126363475</v>
      </c>
      <c r="H38" s="310">
        <v>312.52036533958125</v>
      </c>
      <c r="I38" s="448">
        <v>8.0277416489900194E-3</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2.5020466481094092</v>
      </c>
      <c r="H52" s="310">
        <v>830.47047568709866</v>
      </c>
      <c r="I52" s="448">
        <v>0.17315632250389432</v>
      </c>
      <c r="J52" s="439"/>
    </row>
    <row r="53" spans="4:10" x14ac:dyDescent="0.2">
      <c r="D53" s="446" t="s">
        <v>462</v>
      </c>
      <c r="E53" s="446" t="s">
        <v>584</v>
      </c>
      <c r="F53" s="446" t="s">
        <v>554</v>
      </c>
      <c r="G53" s="447">
        <v>0.13827860721018664</v>
      </c>
      <c r="H53" s="310">
        <v>830.47047568709866</v>
      </c>
      <c r="I53" s="448">
        <v>9.5696917255994312E-3</v>
      </c>
      <c r="J53" s="439"/>
    </row>
    <row r="54" spans="4:10" x14ac:dyDescent="0.2">
      <c r="D54" s="446" t="s">
        <v>462</v>
      </c>
      <c r="E54" s="446" t="s">
        <v>585</v>
      </c>
      <c r="F54" s="446" t="s">
        <v>554</v>
      </c>
      <c r="G54" s="447">
        <v>0.61229106187920679</v>
      </c>
      <c r="H54" s="310">
        <v>830.47047568709877</v>
      </c>
      <c r="I54" s="448">
        <v>4.2374137451481976E-2</v>
      </c>
      <c r="J54" s="439"/>
    </row>
    <row r="55" spans="4:10" x14ac:dyDescent="0.2">
      <c r="D55" s="446" t="s">
        <v>462</v>
      </c>
      <c r="E55" s="446" t="s">
        <v>586</v>
      </c>
      <c r="F55" s="446" t="s">
        <v>537</v>
      </c>
      <c r="G55" s="447">
        <v>0.33470099467387998</v>
      </c>
      <c r="H55" s="310">
        <v>830.47047568709877</v>
      </c>
      <c r="I55" s="448">
        <v>2.3163274521646852E-2</v>
      </c>
      <c r="J55" s="439"/>
    </row>
    <row r="56" spans="4:10" x14ac:dyDescent="0.2">
      <c r="D56" s="446" t="s">
        <v>462</v>
      </c>
      <c r="E56" s="446" t="s">
        <v>5</v>
      </c>
      <c r="F56" s="446" t="s">
        <v>537</v>
      </c>
      <c r="G56" s="447">
        <v>0.28700960272445281</v>
      </c>
      <c r="H56" s="310">
        <v>830.47047568709877</v>
      </c>
      <c r="I56" s="448">
        <v>1.986275010844513E-2</v>
      </c>
      <c r="J56" s="439"/>
    </row>
    <row r="57" spans="4:10" x14ac:dyDescent="0.2">
      <c r="D57" s="446" t="s">
        <v>462</v>
      </c>
      <c r="E57" s="446" t="s">
        <v>587</v>
      </c>
      <c r="F57" s="446" t="s">
        <v>537</v>
      </c>
      <c r="G57" s="447">
        <v>0.75796201803199514</v>
      </c>
      <c r="H57" s="310">
        <v>830.47047568709866</v>
      </c>
      <c r="I57" s="448">
        <v>5.2455423138982021E-2</v>
      </c>
      <c r="J57" s="439"/>
    </row>
    <row r="58" spans="4:10" x14ac:dyDescent="0.2">
      <c r="D58" s="446" t="s">
        <v>462</v>
      </c>
      <c r="E58" s="446" t="s">
        <v>588</v>
      </c>
      <c r="F58" s="446" t="s">
        <v>537</v>
      </c>
      <c r="G58" s="447">
        <v>0.51201902703503577</v>
      </c>
      <c r="H58" s="310">
        <v>830.47047568709888</v>
      </c>
      <c r="I58" s="448">
        <v>3.5434723745219304E-2</v>
      </c>
      <c r="J58" s="439"/>
    </row>
    <row r="59" spans="4:10" x14ac:dyDescent="0.2">
      <c r="D59" s="446" t="s">
        <v>462</v>
      </c>
      <c r="E59" s="446" t="s">
        <v>589</v>
      </c>
      <c r="F59" s="446" t="s">
        <v>537</v>
      </c>
      <c r="G59" s="447">
        <v>0.19791859370660975</v>
      </c>
      <c r="H59" s="310">
        <v>830.47047568709877</v>
      </c>
      <c r="I59" s="448">
        <v>1.3697129055237485E-2</v>
      </c>
      <c r="J59" s="439"/>
    </row>
    <row r="60" spans="4:10" x14ac:dyDescent="0.2">
      <c r="D60" s="446" t="s">
        <v>462</v>
      </c>
      <c r="E60" s="446" t="s">
        <v>590</v>
      </c>
      <c r="F60" s="446" t="s">
        <v>537</v>
      </c>
      <c r="G60" s="447">
        <v>0.18890966206345614</v>
      </c>
      <c r="H60" s="310">
        <v>830.47047568709877</v>
      </c>
      <c r="I60" s="448">
        <v>1.3073658076310625E-2</v>
      </c>
      <c r="J60" s="439"/>
    </row>
    <row r="61" spans="4:10" x14ac:dyDescent="0.2">
      <c r="D61" s="446" t="s">
        <v>462</v>
      </c>
      <c r="E61" s="446" t="s">
        <v>591</v>
      </c>
      <c r="F61" s="446" t="s">
        <v>537</v>
      </c>
      <c r="G61" s="447">
        <v>0.31321908436101781</v>
      </c>
      <c r="H61" s="310">
        <v>830.47047568709888</v>
      </c>
      <c r="I61" s="448">
        <v>2.1676600165297665E-2</v>
      </c>
      <c r="J61" s="439"/>
    </row>
    <row r="62" spans="4:10" x14ac:dyDescent="0.2">
      <c r="D62" s="446" t="s">
        <v>462</v>
      </c>
      <c r="E62" s="446" t="s">
        <v>592</v>
      </c>
      <c r="F62" s="446" t="s">
        <v>537</v>
      </c>
      <c r="G62" s="447">
        <v>0.30177949743797311</v>
      </c>
      <c r="H62" s="310">
        <v>830.47047568709877</v>
      </c>
      <c r="I62" s="448">
        <v>2.0884913565827262E-2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7.3209315753654005</v>
      </c>
      <c r="H64" s="463"/>
      <c r="I64" s="464">
        <v>0.46409765241184997</v>
      </c>
      <c r="J64" s="439"/>
    </row>
    <row r="65" spans="4:10" x14ac:dyDescent="0.2">
      <c r="D65" s="446" t="s">
        <v>595</v>
      </c>
      <c r="E65" s="446" t="s">
        <v>596</v>
      </c>
      <c r="F65" s="446" t="s">
        <v>554</v>
      </c>
      <c r="G65" s="447">
        <v>2.5987884977730332E-3</v>
      </c>
      <c r="H65" s="310">
        <v>100.96722222222223</v>
      </c>
      <c r="I65" s="448">
        <v>2.1866037980267074E-5</v>
      </c>
      <c r="J65" s="439"/>
    </row>
    <row r="66" spans="4:10" x14ac:dyDescent="0.2">
      <c r="D66" s="446" t="s">
        <v>595</v>
      </c>
      <c r="E66" s="446" t="s">
        <v>563</v>
      </c>
      <c r="F66" s="446" t="s">
        <v>554</v>
      </c>
      <c r="G66" s="447">
        <v>0.33466620765766059</v>
      </c>
      <c r="H66" s="310">
        <v>147.6919456427955</v>
      </c>
      <c r="I66" s="448">
        <v>4.1189586124879768E-3</v>
      </c>
      <c r="J66" s="439"/>
    </row>
    <row r="67" spans="4:10" x14ac:dyDescent="0.2">
      <c r="D67" s="446" t="s">
        <v>595</v>
      </c>
      <c r="E67" s="446" t="s">
        <v>564</v>
      </c>
      <c r="F67" s="446" t="s">
        <v>554</v>
      </c>
      <c r="G67" s="447">
        <v>5.3563918481877519E-2</v>
      </c>
      <c r="H67" s="310">
        <v>111.90229110512129</v>
      </c>
      <c r="I67" s="448">
        <v>4.9949376655750372E-4</v>
      </c>
      <c r="J67" s="439"/>
    </row>
    <row r="68" spans="4:10" x14ac:dyDescent="0.2">
      <c r="D68" s="446" t="s">
        <v>595</v>
      </c>
      <c r="E68" s="446" t="s">
        <v>597</v>
      </c>
      <c r="F68" s="446" t="s">
        <v>554</v>
      </c>
      <c r="G68" s="447">
        <v>3.1762970528337073E-3</v>
      </c>
      <c r="H68" s="310">
        <v>98.318181818181799</v>
      </c>
      <c r="I68" s="448">
        <v>2.6023979262421621E-5</v>
      </c>
      <c r="J68" s="439"/>
    </row>
    <row r="69" spans="4:10" x14ac:dyDescent="0.2">
      <c r="D69" s="446" t="s">
        <v>595</v>
      </c>
      <c r="E69" s="446" t="s">
        <v>572</v>
      </c>
      <c r="F69" s="446" t="s">
        <v>554</v>
      </c>
      <c r="G69" s="447">
        <v>1.732525665182022E-3</v>
      </c>
      <c r="H69" s="310">
        <v>94.521666666666675</v>
      </c>
      <c r="I69" s="448">
        <v>1.3646767784648336E-5</v>
      </c>
      <c r="J69" s="439"/>
    </row>
    <row r="70" spans="4:10" x14ac:dyDescent="0.2">
      <c r="D70" s="446" t="s">
        <v>595</v>
      </c>
      <c r="E70" s="446" t="s">
        <v>567</v>
      </c>
      <c r="F70" s="446" t="s">
        <v>554</v>
      </c>
      <c r="G70" s="447">
        <v>7.9407426320842675E-3</v>
      </c>
      <c r="H70" s="310">
        <v>80.834000000000003</v>
      </c>
      <c r="I70" s="448">
        <v>5.3490165826824973E-5</v>
      </c>
      <c r="J70" s="439"/>
    </row>
    <row r="71" spans="4:10" x14ac:dyDescent="0.2">
      <c r="D71" s="446" t="s">
        <v>595</v>
      </c>
      <c r="E71" s="446" t="s">
        <v>568</v>
      </c>
      <c r="F71" s="446" t="s">
        <v>554</v>
      </c>
      <c r="G71" s="447">
        <v>6.3525941056674128E-3</v>
      </c>
      <c r="H71" s="310">
        <v>128.15909090909093</v>
      </c>
      <c r="I71" s="448">
        <v>6.7845223791398768E-5</v>
      </c>
      <c r="J71" s="439"/>
    </row>
    <row r="72" spans="4:10" x14ac:dyDescent="0.2">
      <c r="D72" s="446" t="s">
        <v>595</v>
      </c>
      <c r="E72" s="446" t="s">
        <v>548</v>
      </c>
      <c r="F72" s="446" t="s">
        <v>554</v>
      </c>
      <c r="G72" s="447">
        <v>0.26738646099309205</v>
      </c>
      <c r="H72" s="310">
        <v>272.13546976241901</v>
      </c>
      <c r="I72" s="448">
        <v>6.0637783475388195E-3</v>
      </c>
      <c r="J72" s="439"/>
    </row>
    <row r="73" spans="4:10" x14ac:dyDescent="0.2">
      <c r="D73" s="446" t="s">
        <v>595</v>
      </c>
      <c r="E73" s="446" t="s">
        <v>598</v>
      </c>
      <c r="F73" s="446" t="s">
        <v>554</v>
      </c>
      <c r="G73" s="447">
        <v>1.5015222431577524E-2</v>
      </c>
      <c r="H73" s="310">
        <v>114.25442307692308</v>
      </c>
      <c r="I73" s="448">
        <v>1.4296296469096367E-4</v>
      </c>
      <c r="J73" s="439"/>
    </row>
    <row r="74" spans="4:10" x14ac:dyDescent="0.2">
      <c r="D74" s="446" t="s">
        <v>595</v>
      </c>
      <c r="E74" s="446" t="s">
        <v>549</v>
      </c>
      <c r="F74" s="446" t="s">
        <v>554</v>
      </c>
      <c r="G74" s="447">
        <v>1.4225479482532051</v>
      </c>
      <c r="H74" s="310">
        <v>94.29423322845814</v>
      </c>
      <c r="I74" s="448">
        <v>1.1178172334271028E-2</v>
      </c>
      <c r="J74" s="439"/>
    </row>
    <row r="75" spans="4:10" x14ac:dyDescent="0.2">
      <c r="D75" s="446" t="s">
        <v>595</v>
      </c>
      <c r="E75" s="446" t="s">
        <v>571</v>
      </c>
      <c r="F75" s="446" t="s">
        <v>554</v>
      </c>
      <c r="G75" s="447">
        <v>1.0972662546152806E-2</v>
      </c>
      <c r="H75" s="310">
        <v>132.23828947368418</v>
      </c>
      <c r="I75" s="448">
        <v>1.2091717717293395E-4</v>
      </c>
      <c r="J75" s="439"/>
    </row>
    <row r="76" spans="4:10" x14ac:dyDescent="0.2">
      <c r="D76" s="446" t="s">
        <v>595</v>
      </c>
      <c r="E76" s="446" t="s">
        <v>561</v>
      </c>
      <c r="F76" s="446" t="s">
        <v>554</v>
      </c>
      <c r="G76" s="447">
        <v>5.3419541343112335E-3</v>
      </c>
      <c r="H76" s="310">
        <v>119.5764864864865</v>
      </c>
      <c r="I76" s="448">
        <v>5.3231008862741493E-5</v>
      </c>
      <c r="J76" s="439"/>
    </row>
    <row r="77" spans="4:10" x14ac:dyDescent="0.2">
      <c r="D77" s="446" t="s">
        <v>595</v>
      </c>
      <c r="E77" s="446" t="s">
        <v>599</v>
      </c>
      <c r="F77" s="446" t="s">
        <v>554</v>
      </c>
      <c r="G77" s="447">
        <v>3.4420953653003825</v>
      </c>
      <c r="H77" s="310">
        <v>84.720031458411967</v>
      </c>
      <c r="I77" s="448">
        <v>2.4301202302591873E-2</v>
      </c>
      <c r="J77" s="439"/>
    </row>
    <row r="78" spans="4:10" x14ac:dyDescent="0.2">
      <c r="D78" s="446" t="s">
        <v>595</v>
      </c>
      <c r="E78" s="446" t="s">
        <v>600</v>
      </c>
      <c r="F78" s="446" t="s">
        <v>554</v>
      </c>
      <c r="G78" s="447">
        <v>5.77508555060674E-3</v>
      </c>
      <c r="H78" s="310">
        <v>133.72125000000003</v>
      </c>
      <c r="I78" s="448">
        <v>6.4354304890339308E-5</v>
      </c>
      <c r="J78" s="439"/>
    </row>
    <row r="79" spans="4:10" x14ac:dyDescent="0.2">
      <c r="D79" s="446" t="s">
        <v>595</v>
      </c>
      <c r="E79" s="446" t="s">
        <v>555</v>
      </c>
      <c r="F79" s="446" t="s">
        <v>554</v>
      </c>
      <c r="G79" s="447">
        <v>0.73300273351076051</v>
      </c>
      <c r="H79" s="310">
        <v>94.815637187315346</v>
      </c>
      <c r="I79" s="448">
        <v>5.7916767698222224E-3</v>
      </c>
      <c r="J79" s="439"/>
    </row>
    <row r="80" spans="4:10" x14ac:dyDescent="0.2">
      <c r="D80" s="446" t="s">
        <v>595</v>
      </c>
      <c r="E80" s="446" t="s">
        <v>552</v>
      </c>
      <c r="F80" s="446" t="s">
        <v>554</v>
      </c>
      <c r="G80" s="447">
        <v>10.711484302126618</v>
      </c>
      <c r="H80" s="310">
        <v>91.211695488671793</v>
      </c>
      <c r="I80" s="448">
        <v>8.1417720366438434E-2</v>
      </c>
      <c r="J80" s="439"/>
    </row>
    <row r="81" spans="4:10" x14ac:dyDescent="0.2">
      <c r="D81" s="446" t="s">
        <v>595</v>
      </c>
      <c r="E81" s="446" t="s">
        <v>581</v>
      </c>
      <c r="F81" s="446" t="s">
        <v>554</v>
      </c>
      <c r="G81" s="447">
        <v>0.27691535215159319</v>
      </c>
      <c r="H81" s="310">
        <v>106.15999478623566</v>
      </c>
      <c r="I81" s="448">
        <v>2.4497776950534785E-3</v>
      </c>
      <c r="J81" s="439"/>
    </row>
    <row r="82" spans="4:10" x14ac:dyDescent="0.2">
      <c r="D82" s="446" t="s">
        <v>595</v>
      </c>
      <c r="E82" s="446" t="s">
        <v>574</v>
      </c>
      <c r="F82" s="446" t="s">
        <v>554</v>
      </c>
      <c r="G82" s="447">
        <v>1.0539531129857303E-2</v>
      </c>
      <c r="H82" s="310">
        <v>92.068630136986286</v>
      </c>
      <c r="I82" s="448">
        <v>8.08633494510071E-5</v>
      </c>
      <c r="J82" s="439"/>
    </row>
    <row r="83" spans="4:10" x14ac:dyDescent="0.2">
      <c r="D83" s="446" t="s">
        <v>595</v>
      </c>
      <c r="E83" s="446" t="s">
        <v>601</v>
      </c>
      <c r="F83" s="446" t="s">
        <v>554</v>
      </c>
      <c r="G83" s="447">
        <v>9.817645436031459E-3</v>
      </c>
      <c r="H83" s="310">
        <v>79.38220588235292</v>
      </c>
      <c r="I83" s="448">
        <v>6.4945529273582653E-5</v>
      </c>
      <c r="J83" s="439"/>
    </row>
    <row r="84" spans="4:10" x14ac:dyDescent="0.2">
      <c r="D84" s="446" t="s">
        <v>595</v>
      </c>
      <c r="E84" s="446" t="s">
        <v>559</v>
      </c>
      <c r="F84" s="446" t="s">
        <v>554</v>
      </c>
      <c r="G84" s="447">
        <v>1.2677756554969448</v>
      </c>
      <c r="H84" s="310">
        <v>66.200022776449259</v>
      </c>
      <c r="I84" s="448">
        <v>6.9938981057771372E-3</v>
      </c>
      <c r="J84" s="439"/>
    </row>
    <row r="85" spans="4:10" x14ac:dyDescent="0.2">
      <c r="D85" s="446" t="s">
        <v>595</v>
      </c>
      <c r="E85" s="446" t="s">
        <v>573</v>
      </c>
      <c r="F85" s="446" t="s">
        <v>554</v>
      </c>
      <c r="G85" s="447">
        <v>4.5767552988558419E-2</v>
      </c>
      <c r="H85" s="310">
        <v>138.66886435331227</v>
      </c>
      <c r="I85" s="448">
        <v>5.2887788309611996E-4</v>
      </c>
      <c r="J85" s="439"/>
    </row>
    <row r="86" spans="4:10" x14ac:dyDescent="0.2">
      <c r="D86" s="446" t="s">
        <v>595</v>
      </c>
      <c r="E86" s="446" t="s">
        <v>562</v>
      </c>
      <c r="F86" s="446" t="s">
        <v>554</v>
      </c>
      <c r="G86" s="447">
        <v>2.5554753561434825E-2</v>
      </c>
      <c r="H86" s="310">
        <v>71.374124293785314</v>
      </c>
      <c r="I86" s="448">
        <v>1.5199567974924185E-4</v>
      </c>
      <c r="J86" s="439"/>
    </row>
    <row r="87" spans="4:10" x14ac:dyDescent="0.2">
      <c r="D87" s="446" t="s">
        <v>595</v>
      </c>
      <c r="E87" s="446" t="s">
        <v>550</v>
      </c>
      <c r="F87" s="446" t="s">
        <v>554</v>
      </c>
      <c r="G87" s="447">
        <v>5.5232918206002868</v>
      </c>
      <c r="H87" s="310">
        <v>126.73069897532631</v>
      </c>
      <c r="I87" s="448">
        <v>5.8330886089114749E-2</v>
      </c>
      <c r="J87" s="439"/>
    </row>
    <row r="88" spans="4:10" x14ac:dyDescent="0.2">
      <c r="D88" s="446" t="s">
        <v>595</v>
      </c>
      <c r="E88" s="446" t="s">
        <v>579</v>
      </c>
      <c r="F88" s="446" t="s">
        <v>554</v>
      </c>
      <c r="G88" s="447">
        <v>7.218856938258425E-4</v>
      </c>
      <c r="H88" s="310">
        <v>175.29</v>
      </c>
      <c r="I88" s="448">
        <v>1.0544945272560994E-5</v>
      </c>
      <c r="J88" s="439"/>
    </row>
    <row r="89" spans="4:10" x14ac:dyDescent="0.2">
      <c r="D89" s="446" t="s">
        <v>595</v>
      </c>
      <c r="E89" s="446" t="s">
        <v>556</v>
      </c>
      <c r="F89" s="446" t="s">
        <v>554</v>
      </c>
      <c r="G89" s="447">
        <v>4.475691301720223E-3</v>
      </c>
      <c r="H89" s="310">
        <v>127.61322580645162</v>
      </c>
      <c r="I89" s="448">
        <v>4.7596450393866188E-5</v>
      </c>
      <c r="J89" s="439"/>
    </row>
    <row r="90" spans="4:10" x14ac:dyDescent="0.2">
      <c r="D90" s="446" t="s">
        <v>595</v>
      </c>
      <c r="E90" s="446" t="s">
        <v>602</v>
      </c>
      <c r="F90" s="446" t="s">
        <v>554</v>
      </c>
      <c r="G90" s="447">
        <v>7.363234077023593E-3</v>
      </c>
      <c r="H90" s="310">
        <v>208.9437254901961</v>
      </c>
      <c r="I90" s="448">
        <v>1.2820846330913961E-4</v>
      </c>
      <c r="J90" s="439"/>
    </row>
    <row r="91" spans="4:10" x14ac:dyDescent="0.2">
      <c r="D91" s="446" t="s">
        <v>595</v>
      </c>
      <c r="E91" s="446" t="s">
        <v>577</v>
      </c>
      <c r="F91" s="446" t="s">
        <v>554</v>
      </c>
      <c r="G91" s="447">
        <v>0.80331440008939758</v>
      </c>
      <c r="H91" s="310">
        <v>44.357205248023</v>
      </c>
      <c r="I91" s="448">
        <v>2.9693984769548231E-3</v>
      </c>
      <c r="J91" s="439"/>
    </row>
    <row r="92" spans="4:10" x14ac:dyDescent="0.2">
      <c r="D92" s="446" t="s">
        <v>595</v>
      </c>
      <c r="E92" s="446" t="s">
        <v>576</v>
      </c>
      <c r="F92" s="446" t="s">
        <v>554</v>
      </c>
      <c r="G92" s="447">
        <v>0.12589686500322694</v>
      </c>
      <c r="H92" s="310">
        <v>104.19440366972488</v>
      </c>
      <c r="I92" s="448">
        <v>1.0931457310749239E-3</v>
      </c>
      <c r="J92" s="439"/>
    </row>
    <row r="93" spans="4:10" x14ac:dyDescent="0.2">
      <c r="D93" s="446" t="s">
        <v>595</v>
      </c>
      <c r="E93" s="446" t="s">
        <v>603</v>
      </c>
      <c r="F93" s="446" t="s">
        <v>554</v>
      </c>
      <c r="G93" s="447">
        <v>1.0106399713561795E-3</v>
      </c>
      <c r="H93" s="310">
        <v>475.14285714285717</v>
      </c>
      <c r="I93" s="448">
        <v>4.0016530294412539E-5</v>
      </c>
      <c r="J93" s="439"/>
    </row>
    <row r="94" spans="4:10" x14ac:dyDescent="0.2">
      <c r="D94" s="446" t="s">
        <v>595</v>
      </c>
      <c r="E94" s="446" t="s">
        <v>557</v>
      </c>
      <c r="F94" s="446" t="s">
        <v>554</v>
      </c>
      <c r="G94" s="447">
        <v>5.2986409926816851E-2</v>
      </c>
      <c r="H94" s="310">
        <v>38.739237057220699</v>
      </c>
      <c r="I94" s="448">
        <v>1.710544245805025E-4</v>
      </c>
      <c r="J94" s="439"/>
    </row>
    <row r="95" spans="4:10" x14ac:dyDescent="0.2">
      <c r="D95" s="446" t="s">
        <v>595</v>
      </c>
      <c r="E95" s="446" t="s">
        <v>582</v>
      </c>
      <c r="F95" s="446" t="s">
        <v>554</v>
      </c>
      <c r="G95" s="447">
        <v>2.8875427753033699E-4</v>
      </c>
      <c r="H95" s="310">
        <v>73.459999999999994</v>
      </c>
      <c r="I95" s="448">
        <v>1.7676574356148795E-6</v>
      </c>
      <c r="J95" s="439"/>
    </row>
    <row r="96" spans="4:10" x14ac:dyDescent="0.2">
      <c r="D96" s="446" t="s">
        <v>595</v>
      </c>
      <c r="E96" s="446" t="s">
        <v>565</v>
      </c>
      <c r="F96" s="446" t="s">
        <v>554</v>
      </c>
      <c r="G96" s="447">
        <v>2.5699130700199989E-2</v>
      </c>
      <c r="H96" s="310">
        <v>61.21977528089888</v>
      </c>
      <c r="I96" s="448">
        <v>1.3110791719839107E-4</v>
      </c>
      <c r="J96" s="439"/>
    </row>
    <row r="97" spans="4:13" x14ac:dyDescent="0.2">
      <c r="D97" s="446" t="s">
        <v>595</v>
      </c>
      <c r="E97" s="446" t="s">
        <v>604</v>
      </c>
      <c r="F97" s="446" t="s">
        <v>554</v>
      </c>
      <c r="G97" s="447">
        <v>1.3138319627630334E-2</v>
      </c>
      <c r="H97" s="310">
        <v>131.04945054945057</v>
      </c>
      <c r="I97" s="448">
        <v>1.4348079736200143E-4</v>
      </c>
      <c r="J97" s="439"/>
    </row>
    <row r="98" spans="4:13" x14ac:dyDescent="0.2">
      <c r="D98" s="446" t="s">
        <v>595</v>
      </c>
      <c r="E98" s="446" t="s">
        <v>569</v>
      </c>
      <c r="F98" s="446" t="s">
        <v>554</v>
      </c>
      <c r="G98" s="447">
        <v>8.3603025973358474</v>
      </c>
      <c r="H98" s="310">
        <v>88.833431768729483</v>
      </c>
      <c r="I98" s="448">
        <v>6.1889530862197159E-2</v>
      </c>
      <c r="J98" s="439"/>
    </row>
    <row r="99" spans="4:13" x14ac:dyDescent="0.2">
      <c r="D99" s="446" t="s">
        <v>595</v>
      </c>
      <c r="E99" s="446" t="s">
        <v>553</v>
      </c>
      <c r="F99" s="446" t="s">
        <v>554</v>
      </c>
      <c r="G99" s="447">
        <v>7.0600420856167398E-2</v>
      </c>
      <c r="H99" s="310">
        <v>149.11421267893661</v>
      </c>
      <c r="I99" s="448">
        <v>8.7729384756408144E-4</v>
      </c>
      <c r="J99" s="439"/>
    </row>
    <row r="100" spans="4:13" x14ac:dyDescent="0.2">
      <c r="D100" s="446" t="s">
        <v>595</v>
      </c>
      <c r="E100" s="446" t="s">
        <v>570</v>
      </c>
      <c r="F100" s="446" t="s">
        <v>554</v>
      </c>
      <c r="G100" s="447">
        <v>3.2629233360928087E-2</v>
      </c>
      <c r="H100" s="310">
        <v>59.458982300884941</v>
      </c>
      <c r="I100" s="448">
        <v>1.6167508407490563E-4</v>
      </c>
      <c r="J100" s="439"/>
    </row>
    <row r="101" spans="4:13" x14ac:dyDescent="0.2">
      <c r="D101" s="446" t="s">
        <v>595</v>
      </c>
      <c r="E101" s="446" t="s">
        <v>551</v>
      </c>
      <c r="F101" s="446" t="s">
        <v>554</v>
      </c>
      <c r="G101" s="447">
        <v>2.4544113590078648E-3</v>
      </c>
      <c r="H101" s="310">
        <v>85.882352941176464</v>
      </c>
      <c r="I101" s="448">
        <v>1.7565885216428834E-5</v>
      </c>
      <c r="J101" s="439"/>
    </row>
    <row r="102" spans="4:13" x14ac:dyDescent="0.2">
      <c r="D102" s="446" t="s">
        <v>595</v>
      </c>
      <c r="E102" s="446" t="s">
        <v>578</v>
      </c>
      <c r="F102" s="446" t="s">
        <v>554</v>
      </c>
      <c r="G102" s="447">
        <v>1.5592730986638199E-2</v>
      </c>
      <c r="H102" s="310">
        <v>83.94305555555556</v>
      </c>
      <c r="I102" s="448">
        <v>1.0907512362285025E-4</v>
      </c>
      <c r="J102" s="439"/>
    </row>
    <row r="103" spans="4:13" x14ac:dyDescent="0.2">
      <c r="D103" s="446" t="s">
        <v>595</v>
      </c>
      <c r="E103" s="446" t="s">
        <v>560</v>
      </c>
      <c r="F103" s="446" t="s">
        <v>554</v>
      </c>
      <c r="G103" s="447">
        <v>1.8769028039471905E-3</v>
      </c>
      <c r="H103" s="310">
        <v>63.38461538461538</v>
      </c>
      <c r="I103" s="448">
        <v>9.9138968618749033E-6</v>
      </c>
      <c r="J103" s="439"/>
    </row>
    <row r="104" spans="4:13" x14ac:dyDescent="0.2">
      <c r="D104" s="446" t="s">
        <v>595</v>
      </c>
      <c r="E104" s="446" t="s">
        <v>575</v>
      </c>
      <c r="F104" s="446" t="s">
        <v>554</v>
      </c>
      <c r="G104" s="447">
        <v>4.3313141629550551E-4</v>
      </c>
      <c r="H104" s="310">
        <v>110.14666666666666</v>
      </c>
      <c r="I104" s="448">
        <v>3.9756651444635232E-6</v>
      </c>
      <c r="J104" s="439"/>
    </row>
    <row r="105" spans="4:13" x14ac:dyDescent="0.2">
      <c r="D105" s="446" t="s">
        <v>595</v>
      </c>
      <c r="E105" s="446" t="s">
        <v>566</v>
      </c>
      <c r="F105" s="446" t="s">
        <v>554</v>
      </c>
      <c r="G105" s="447">
        <v>1.0106399713561795E-3</v>
      </c>
      <c r="H105" s="310">
        <v>102.85714285714285</v>
      </c>
      <c r="I105" s="448">
        <v>8.6626283259101098E-6</v>
      </c>
      <c r="J105" s="439"/>
    </row>
    <row r="106" spans="4:13" x14ac:dyDescent="0.2">
      <c r="D106" s="446" t="s">
        <v>595</v>
      </c>
      <c r="E106" s="446" t="s">
        <v>580</v>
      </c>
      <c r="F106" s="446" t="s">
        <v>554</v>
      </c>
      <c r="G106" s="447">
        <v>4.33131416295506E-4</v>
      </c>
      <c r="H106" s="310">
        <v>121.10999999999999</v>
      </c>
      <c r="I106" s="448">
        <v>4.3713788189623889E-6</v>
      </c>
      <c r="J106" s="439"/>
    </row>
    <row r="107" spans="4:13" x14ac:dyDescent="0.2">
      <c r="D107" s="451" t="s">
        <v>595</v>
      </c>
      <c r="E107" s="451" t="s">
        <v>558</v>
      </c>
      <c r="F107" s="451" t="s">
        <v>554</v>
      </c>
      <c r="G107" s="452">
        <v>3.1088729290303725</v>
      </c>
      <c r="H107" s="310">
        <v>2.323782101890123E-2</v>
      </c>
      <c r="I107" s="454">
        <v>6.0202860579429183E-6</v>
      </c>
      <c r="J107" s="439"/>
    </row>
    <row r="108" spans="4:13" ht="16" x14ac:dyDescent="0.2">
      <c r="D108" s="461" t="s">
        <v>605</v>
      </c>
      <c r="E108" s="460"/>
      <c r="F108" s="460"/>
      <c r="G108" s="465">
        <v>36.812416579510071</v>
      </c>
      <c r="H108" s="466"/>
      <c r="I108" s="467">
        <v>0.27036099051324652</v>
      </c>
      <c r="J108" s="439"/>
      <c r="K108" s="313" t="s">
        <v>311</v>
      </c>
      <c r="L108" s="313" t="s">
        <v>606</v>
      </c>
      <c r="M108" s="313" t="s">
        <v>528</v>
      </c>
    </row>
    <row r="109" spans="4:13" x14ac:dyDescent="0.2">
      <c r="D109" s="446" t="s">
        <v>607</v>
      </c>
      <c r="E109" s="446" t="s">
        <v>608</v>
      </c>
      <c r="F109" s="468" t="s">
        <v>609</v>
      </c>
      <c r="G109" s="469">
        <v>93.695894320202925</v>
      </c>
      <c r="H109" s="310">
        <v>30.021947940488566</v>
      </c>
      <c r="I109" s="470">
        <v>0.23441110512655419</v>
      </c>
      <c r="J109" s="439"/>
      <c r="K109">
        <f>'Assumptions-Output Target'!$J$17</f>
        <v>10.185185313926722</v>
      </c>
      <c r="L109" s="470">
        <f>G109*K109/12000</f>
        <v>7.9525837233780081E-2</v>
      </c>
      <c r="M109" s="388">
        <f>I109-L109</f>
        <v>0.15488526789277413</v>
      </c>
    </row>
    <row r="110" spans="4:13" x14ac:dyDescent="0.2">
      <c r="D110" s="446" t="s">
        <v>607</v>
      </c>
      <c r="E110" s="446" t="s">
        <v>610</v>
      </c>
      <c r="F110" s="468" t="s">
        <v>609</v>
      </c>
      <c r="G110" s="469">
        <v>3.7183207911329816</v>
      </c>
      <c r="H110" s="310">
        <v>345.05792219172491</v>
      </c>
      <c r="I110" s="470">
        <v>0.10691967051921979</v>
      </c>
      <c r="J110" s="439"/>
      <c r="K110">
        <f>'Assumptions-Output Target'!$K$17</f>
        <v>50.92592656963361</v>
      </c>
      <c r="L110" s="470">
        <f t="shared" ref="L110:L116" si="0">G110*K110/12000</f>
        <v>1.5779910964298347E-2</v>
      </c>
      <c r="M110" s="388">
        <f t="shared" ref="M110:M116" si="1">I110-L110</f>
        <v>9.1139759554921443E-2</v>
      </c>
    </row>
    <row r="111" spans="4:13" x14ac:dyDescent="0.2">
      <c r="D111" s="446" t="s">
        <v>607</v>
      </c>
      <c r="E111" s="446" t="s">
        <v>611</v>
      </c>
      <c r="F111" s="468" t="s">
        <v>609</v>
      </c>
      <c r="G111" s="469">
        <v>2.0547107185775797</v>
      </c>
      <c r="H111" s="310">
        <v>358.39857285785376</v>
      </c>
      <c r="I111" s="470">
        <v>6.1367115764494974E-2</v>
      </c>
      <c r="J111" s="439"/>
      <c r="K111">
        <f>'Assumptions-Output Target'!$L$17</f>
        <v>81.481482511413773</v>
      </c>
      <c r="L111" s="470">
        <f t="shared" si="0"/>
        <v>1.3951739623482789E-2</v>
      </c>
      <c r="M111" s="388">
        <f t="shared" si="1"/>
        <v>4.7415376141012183E-2</v>
      </c>
    </row>
    <row r="112" spans="4:13" x14ac:dyDescent="0.2">
      <c r="D112" s="446" t="s">
        <v>607</v>
      </c>
      <c r="E112" s="446" t="s">
        <v>612</v>
      </c>
      <c r="F112" s="468" t="s">
        <v>609</v>
      </c>
      <c r="G112" s="469">
        <v>5.077674462889326</v>
      </c>
      <c r="H112" s="310">
        <v>978.39809376133553</v>
      </c>
      <c r="I112" s="470">
        <v>0.41399891793596083</v>
      </c>
      <c r="J112" s="439"/>
      <c r="K112">
        <f>'Assumptions-Output Target'!$M$17</f>
        <v>203.70370627853444</v>
      </c>
      <c r="L112" s="470">
        <f t="shared" si="0"/>
        <v>8.6195092280535207E-2</v>
      </c>
      <c r="M112" s="388">
        <f t="shared" si="1"/>
        <v>0.32780382565542565</v>
      </c>
    </row>
    <row r="113" spans="4:13" x14ac:dyDescent="0.2">
      <c r="D113" s="446" t="s">
        <v>607</v>
      </c>
      <c r="E113" s="446" t="s">
        <v>613</v>
      </c>
      <c r="F113" s="468" t="s">
        <v>609</v>
      </c>
      <c r="G113" s="469">
        <v>7.8928754122054814</v>
      </c>
      <c r="H113" s="310">
        <v>88.675517266761787</v>
      </c>
      <c r="I113" s="470">
        <v>5.8325400824952224E-2</v>
      </c>
      <c r="J113" s="439"/>
      <c r="K113">
        <f>2*K109</f>
        <v>20.370370627853443</v>
      </c>
      <c r="L113" s="470">
        <f t="shared" si="0"/>
        <v>1.3398399788841431E-2</v>
      </c>
      <c r="M113" s="388">
        <f t="shared" si="1"/>
        <v>4.4927001036110789E-2</v>
      </c>
    </row>
    <row r="114" spans="4:13" x14ac:dyDescent="0.2">
      <c r="D114" s="446" t="s">
        <v>607</v>
      </c>
      <c r="E114" s="446" t="s">
        <v>614</v>
      </c>
      <c r="F114" s="468" t="s">
        <v>609</v>
      </c>
      <c r="G114" s="469">
        <v>0.29701938036379749</v>
      </c>
      <c r="H114" s="310">
        <v>556.47687735053148</v>
      </c>
      <c r="I114" s="470">
        <v>1.3773701441452983E-2</v>
      </c>
      <c r="J114" s="439"/>
      <c r="K114">
        <f>2*K110</f>
        <v>101.85185313926722</v>
      </c>
      <c r="L114" s="470">
        <f t="shared" si="0"/>
        <v>2.5209978590274708E-3</v>
      </c>
      <c r="M114" s="388">
        <f t="shared" si="1"/>
        <v>1.1252703582425512E-2</v>
      </c>
    </row>
    <row r="115" spans="4:13" x14ac:dyDescent="0.2">
      <c r="D115" s="446" t="s">
        <v>607</v>
      </c>
      <c r="E115" s="446" t="s">
        <v>615</v>
      </c>
      <c r="F115" s="468" t="s">
        <v>609</v>
      </c>
      <c r="G115" s="469">
        <v>0.12363243243569234</v>
      </c>
      <c r="H115" s="310">
        <v>631.90409645529269</v>
      </c>
      <c r="I115" s="470">
        <v>6.5103200425705166E-3</v>
      </c>
      <c r="J115" s="439"/>
      <c r="K115">
        <f>2*K111</f>
        <v>162.96296502282755</v>
      </c>
      <c r="L115" s="470">
        <f t="shared" si="0"/>
        <v>1.6789589802254019E-3</v>
      </c>
      <c r="M115" s="388">
        <f t="shared" si="1"/>
        <v>4.8313610623451145E-3</v>
      </c>
    </row>
    <row r="116" spans="4:13" x14ac:dyDescent="0.2">
      <c r="D116" s="446" t="s">
        <v>607</v>
      </c>
      <c r="E116" s="446" t="s">
        <v>616</v>
      </c>
      <c r="F116" s="468" t="s">
        <v>609</v>
      </c>
      <c r="G116" s="447">
        <v>0.58921408043742163</v>
      </c>
      <c r="H116" s="310">
        <v>1976.8456449431744</v>
      </c>
      <c r="I116" s="448">
        <v>9.706544073765952E-2</v>
      </c>
      <c r="J116" s="439"/>
      <c r="K116">
        <f>2*K112</f>
        <v>407.40741255706888</v>
      </c>
      <c r="L116" s="470">
        <f t="shared" si="0"/>
        <v>2.0004181996100216E-2</v>
      </c>
      <c r="M116" s="388">
        <f t="shared" si="1"/>
        <v>7.7061258741559308E-2</v>
      </c>
    </row>
    <row r="117" spans="4:13" x14ac:dyDescent="0.2">
      <c r="D117" s="460" t="s">
        <v>617</v>
      </c>
      <c r="E117" s="460"/>
      <c r="F117" s="460"/>
      <c r="G117" s="471">
        <v>113.4493415982452</v>
      </c>
      <c r="H117" s="472"/>
      <c r="I117" s="473">
        <v>0.99237167239286495</v>
      </c>
      <c r="J117" s="439"/>
      <c r="L117" s="470">
        <f>SUM(L109:L116)</f>
        <v>0.23305511872629095</v>
      </c>
      <c r="M117" s="388">
        <f>SUM(M109:M116)</f>
        <v>0.75931655366657413</v>
      </c>
    </row>
    <row r="118" spans="4:13" ht="16" x14ac:dyDescent="0.2">
      <c r="D118" s="461" t="s">
        <v>618</v>
      </c>
      <c r="E118" s="461"/>
      <c r="F118" s="461"/>
      <c r="G118" s="474"/>
      <c r="H118" s="474"/>
      <c r="I118" s="473">
        <v>2.1569949871845449</v>
      </c>
      <c r="J118" s="439"/>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777</v>
      </c>
      <c r="G3"/>
      <c r="H3"/>
      <c r="I3"/>
    </row>
    <row r="4" spans="2:19" x14ac:dyDescent="0.2">
      <c r="G4"/>
      <c r="H4"/>
      <c r="I4"/>
    </row>
    <row r="5" spans="2:19" ht="16" x14ac:dyDescent="0.2">
      <c r="D5" s="438" t="s">
        <v>778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0.44809218194985079</v>
      </c>
      <c r="H8" s="310">
        <v>10462.203593539703</v>
      </c>
      <c r="I8" s="448">
        <v>0.39066930301939801</v>
      </c>
      <c r="J8" s="439"/>
      <c r="K8" s="446" t="s">
        <v>1</v>
      </c>
      <c r="L8" s="446" t="s">
        <v>535</v>
      </c>
      <c r="M8" s="446" t="s">
        <v>534</v>
      </c>
      <c r="N8" s="449">
        <v>0.57293078445808654</v>
      </c>
      <c r="O8" s="310">
        <v>9009.7725631578942</v>
      </c>
      <c r="P8" s="388">
        <v>0.43016467186658314</v>
      </c>
      <c r="Q8" s="29">
        <f>'Assumptions-Output Override'!D19</f>
        <v>1000</v>
      </c>
      <c r="R8" s="388">
        <f>N8*Q8/12000</f>
        <v>4.7744232038173878E-2</v>
      </c>
      <c r="S8" s="388">
        <f>P8-R8</f>
        <v>0.38242043982840923</v>
      </c>
    </row>
    <row r="9" spans="2:19" x14ac:dyDescent="0.2">
      <c r="D9" s="446" t="s">
        <v>1</v>
      </c>
      <c r="E9" s="446" t="s">
        <v>536</v>
      </c>
      <c r="F9" s="446" t="s">
        <v>534</v>
      </c>
      <c r="G9" s="447">
        <v>3.3169676994941853E-3</v>
      </c>
      <c r="H9" s="310">
        <v>1707.909090909091</v>
      </c>
      <c r="I9" s="448">
        <v>4.7208994068482769E-4</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6.8751694134970384E-2</v>
      </c>
      <c r="H10" s="310">
        <v>4455.0582894736845</v>
      </c>
      <c r="I10" s="448">
        <v>2.5524400405946591E-2</v>
      </c>
      <c r="J10" s="439"/>
      <c r="K10" s="446" t="s">
        <v>462</v>
      </c>
      <c r="L10" s="446" t="s">
        <v>538</v>
      </c>
      <c r="M10" s="446" t="s">
        <v>539</v>
      </c>
      <c r="N10" s="449">
        <v>7.3209315753654005</v>
      </c>
      <c r="O10" s="310">
        <v>760.71901118188396</v>
      </c>
      <c r="P10" s="388">
        <v>0.46409765241184997</v>
      </c>
      <c r="Q10" s="29">
        <v>0</v>
      </c>
      <c r="R10" s="388">
        <f>N10*Q10/12000</f>
        <v>0</v>
      </c>
      <c r="S10" s="388">
        <f>P10-R10</f>
        <v>0.46409765241184997</v>
      </c>
    </row>
    <row r="11" spans="2:19" x14ac:dyDescent="0.2">
      <c r="D11" s="446" t="s">
        <v>1</v>
      </c>
      <c r="E11" s="446" t="s">
        <v>540</v>
      </c>
      <c r="F11" s="446" t="s">
        <v>534</v>
      </c>
      <c r="G11" s="447">
        <v>1.9298721160693443E-2</v>
      </c>
      <c r="H11" s="310">
        <v>2168.8964062499995</v>
      </c>
      <c r="I11" s="448">
        <v>3.4880772475540693E-3</v>
      </c>
      <c r="J11" s="439"/>
      <c r="K11" s="320" t="s">
        <v>463</v>
      </c>
      <c r="L11" s="450" t="s">
        <v>541</v>
      </c>
      <c r="M11" s="446" t="s">
        <v>539</v>
      </c>
      <c r="N11" s="449">
        <v>3.549223202264137</v>
      </c>
      <c r="O11" s="310">
        <v>84.717894073139945</v>
      </c>
      <c r="P11" s="388">
        <v>2.5056892940945309E-2</v>
      </c>
      <c r="Q11" s="29">
        <f>'Assumptions-Output Override'!G19</f>
        <v>30</v>
      </c>
      <c r="R11" s="388">
        <f>N11*Q11/12000</f>
        <v>8.8730580056603416E-3</v>
      </c>
      <c r="S11" s="388">
        <f>P11-R11</f>
        <v>1.6183834935284969E-2</v>
      </c>
    </row>
    <row r="12" spans="2:19" x14ac:dyDescent="0.2">
      <c r="D12" s="446" t="s">
        <v>1</v>
      </c>
      <c r="E12" s="446" t="s">
        <v>542</v>
      </c>
      <c r="F12" s="446" t="s">
        <v>534</v>
      </c>
      <c r="G12" s="447">
        <v>0</v>
      </c>
      <c r="H12" s="310" t="s">
        <v>446</v>
      </c>
      <c r="I12" s="448">
        <v>0</v>
      </c>
      <c r="J12" s="439"/>
      <c r="K12" s="320" t="s">
        <v>464</v>
      </c>
      <c r="L12" s="450" t="s">
        <v>541</v>
      </c>
      <c r="M12" s="446" t="s">
        <v>539</v>
      </c>
      <c r="N12" s="449">
        <v>33.263193377245933</v>
      </c>
      <c r="O12" s="310">
        <v>88.495687635368498</v>
      </c>
      <c r="P12" s="388">
        <v>0.24530409757230121</v>
      </c>
      <c r="Q12" s="29">
        <f>'Assumptions-Output Override'!H19</f>
        <v>60</v>
      </c>
      <c r="R12" s="388">
        <f>N12*Q12/12000</f>
        <v>0.16631596688622965</v>
      </c>
      <c r="S12" s="388">
        <f>P12-R12</f>
        <v>7.898813068607155E-2</v>
      </c>
    </row>
    <row r="13" spans="2:19" x14ac:dyDescent="0.2">
      <c r="D13" s="446" t="s">
        <v>1</v>
      </c>
      <c r="E13" s="446" t="s">
        <v>543</v>
      </c>
      <c r="F13" s="446" t="s">
        <v>534</v>
      </c>
      <c r="G13" s="447">
        <v>3.1058879367991007E-2</v>
      </c>
      <c r="H13" s="310">
        <v>3656.2298058252431</v>
      </c>
      <c r="I13" s="448">
        <v>9.4632000400649511E-3</v>
      </c>
      <c r="J13" s="439"/>
      <c r="K13" s="446" t="s">
        <v>465</v>
      </c>
      <c r="P13" s="388">
        <f>I117</f>
        <v>0.99237167239286495</v>
      </c>
      <c r="R13" s="388">
        <f>L117</f>
        <v>0.22881775003899324</v>
      </c>
      <c r="S13" s="388">
        <f>M117</f>
        <v>0.76355392235387187</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2.4123401450866803E-3</v>
      </c>
      <c r="H15" s="310">
        <v>2724</v>
      </c>
      <c r="I15" s="448">
        <v>5.4760121293467639E-4</v>
      </c>
      <c r="J15" s="439"/>
      <c r="K15" s="446" t="s">
        <v>403</v>
      </c>
      <c r="P15" s="388">
        <f>SUM(P8:P13)</f>
        <v>2.1569949871845444</v>
      </c>
      <c r="R15" s="388">
        <f>SUM(R8:R13)</f>
        <v>0.45175100696905712</v>
      </c>
      <c r="S15" s="388">
        <f>SUM(S8:S13)</f>
        <v>1.7052439802154877</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0.57293078445808654</v>
      </c>
      <c r="H17" s="458"/>
      <c r="I17" s="459">
        <v>0.43016467186658314</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2.0645930843419098E-2</v>
      </c>
      <c r="H19" s="310">
        <v>292.32083916083911</v>
      </c>
      <c r="I19" s="448">
        <v>5.0293631911707678E-4</v>
      </c>
      <c r="J19" s="439"/>
    </row>
    <row r="20" spans="4:10" x14ac:dyDescent="0.2">
      <c r="D20" s="446" t="s">
        <v>462</v>
      </c>
      <c r="E20" s="446" t="s">
        <v>550</v>
      </c>
      <c r="F20" s="446" t="s">
        <v>537</v>
      </c>
      <c r="G20" s="447">
        <v>0.67135369525803357</v>
      </c>
      <c r="H20" s="310">
        <v>402.59663440860243</v>
      </c>
      <c r="I20" s="448">
        <v>2.2523728184055233E-2</v>
      </c>
      <c r="J20" s="439"/>
    </row>
    <row r="21" spans="4:10" x14ac:dyDescent="0.2">
      <c r="D21" s="446" t="s">
        <v>462</v>
      </c>
      <c r="E21" s="446" t="s">
        <v>551</v>
      </c>
      <c r="F21" s="446" t="s">
        <v>537</v>
      </c>
      <c r="G21" s="447">
        <v>9.9620225747966262E-3</v>
      </c>
      <c r="H21" s="310">
        <v>428.54144927536242</v>
      </c>
      <c r="I21" s="448">
        <v>3.5576163265976861E-4</v>
      </c>
      <c r="J21" s="439"/>
    </row>
    <row r="22" spans="4:10" x14ac:dyDescent="0.2">
      <c r="D22" s="446" t="s">
        <v>462</v>
      </c>
      <c r="E22" s="446" t="s">
        <v>552</v>
      </c>
      <c r="F22" s="446" t="s">
        <v>537</v>
      </c>
      <c r="G22" s="447">
        <v>0.16112488686192802</v>
      </c>
      <c r="H22" s="310">
        <v>535.23405017921152</v>
      </c>
      <c r="I22" s="448">
        <v>7.1866271483147478E-3</v>
      </c>
      <c r="J22" s="439"/>
    </row>
    <row r="23" spans="4:10" x14ac:dyDescent="0.2">
      <c r="D23" s="446" t="s">
        <v>462</v>
      </c>
      <c r="E23" s="446" t="s">
        <v>553</v>
      </c>
      <c r="F23" s="446" t="s">
        <v>554</v>
      </c>
      <c r="G23" s="447">
        <v>1.443771387651685E-3</v>
      </c>
      <c r="H23" s="310">
        <v>1083.6719999999998</v>
      </c>
      <c r="I23" s="448">
        <v>1.3038121893327304E-4</v>
      </c>
      <c r="J23" s="439"/>
    </row>
    <row r="24" spans="4:10" x14ac:dyDescent="0.2">
      <c r="D24" s="446" t="s">
        <v>462</v>
      </c>
      <c r="E24" s="446" t="s">
        <v>555</v>
      </c>
      <c r="F24" s="446" t="s">
        <v>537</v>
      </c>
      <c r="G24" s="447">
        <v>5.7750855506067398E-4</v>
      </c>
      <c r="H24" s="310">
        <v>28.565000000000005</v>
      </c>
      <c r="I24" s="448">
        <v>1.3747109896090128E-6</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2.8875427753033699E-4</v>
      </c>
      <c r="H26" s="310">
        <v>375.00000000000006</v>
      </c>
      <c r="I26" s="448">
        <v>9.0235711728230326E-6</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5.7750855506067398E-4</v>
      </c>
      <c r="H28" s="310">
        <v>30</v>
      </c>
      <c r="I28" s="448">
        <v>1.443771387651685E-6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5.7750855506067398E-4</v>
      </c>
      <c r="H34" s="310">
        <v>208</v>
      </c>
      <c r="I34" s="448">
        <v>1.001014828771835E-5</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0.30824519126363475</v>
      </c>
      <c r="H38" s="310">
        <v>312.52036533958125</v>
      </c>
      <c r="I38" s="448">
        <v>8.0277416489900194E-3</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2.5020466481094092</v>
      </c>
      <c r="H52" s="310">
        <v>830.47047568709866</v>
      </c>
      <c r="I52" s="448">
        <v>0.17315632250389432</v>
      </c>
      <c r="J52" s="439"/>
    </row>
    <row r="53" spans="4:10" x14ac:dyDescent="0.2">
      <c r="D53" s="446" t="s">
        <v>462</v>
      </c>
      <c r="E53" s="446" t="s">
        <v>584</v>
      </c>
      <c r="F53" s="446" t="s">
        <v>554</v>
      </c>
      <c r="G53" s="447">
        <v>0.13827860721018664</v>
      </c>
      <c r="H53" s="310">
        <v>830.47047568709866</v>
      </c>
      <c r="I53" s="448">
        <v>9.5696917255994312E-3</v>
      </c>
      <c r="J53" s="439"/>
    </row>
    <row r="54" spans="4:10" x14ac:dyDescent="0.2">
      <c r="D54" s="446" t="s">
        <v>462</v>
      </c>
      <c r="E54" s="446" t="s">
        <v>585</v>
      </c>
      <c r="F54" s="446" t="s">
        <v>554</v>
      </c>
      <c r="G54" s="447">
        <v>0.61229106187920679</v>
      </c>
      <c r="H54" s="310">
        <v>830.47047568709877</v>
      </c>
      <c r="I54" s="448">
        <v>4.2374137451481976E-2</v>
      </c>
      <c r="J54" s="439"/>
    </row>
    <row r="55" spans="4:10" x14ac:dyDescent="0.2">
      <c r="D55" s="446" t="s">
        <v>462</v>
      </c>
      <c r="E55" s="446" t="s">
        <v>586</v>
      </c>
      <c r="F55" s="446" t="s">
        <v>537</v>
      </c>
      <c r="G55" s="447">
        <v>0.33470099467387998</v>
      </c>
      <c r="H55" s="310">
        <v>830.47047568709877</v>
      </c>
      <c r="I55" s="448">
        <v>2.3163274521646852E-2</v>
      </c>
      <c r="J55" s="439"/>
    </row>
    <row r="56" spans="4:10" x14ac:dyDescent="0.2">
      <c r="D56" s="446" t="s">
        <v>462</v>
      </c>
      <c r="E56" s="446" t="s">
        <v>5</v>
      </c>
      <c r="F56" s="446" t="s">
        <v>537</v>
      </c>
      <c r="G56" s="447">
        <v>0.28700960272445281</v>
      </c>
      <c r="H56" s="310">
        <v>830.47047568709877</v>
      </c>
      <c r="I56" s="448">
        <v>1.986275010844513E-2</v>
      </c>
      <c r="J56" s="439"/>
    </row>
    <row r="57" spans="4:10" x14ac:dyDescent="0.2">
      <c r="D57" s="446" t="s">
        <v>462</v>
      </c>
      <c r="E57" s="446" t="s">
        <v>587</v>
      </c>
      <c r="F57" s="446" t="s">
        <v>537</v>
      </c>
      <c r="G57" s="447">
        <v>0.75796201803199514</v>
      </c>
      <c r="H57" s="310">
        <v>830.47047568709866</v>
      </c>
      <c r="I57" s="448">
        <v>5.2455423138982021E-2</v>
      </c>
      <c r="J57" s="439"/>
    </row>
    <row r="58" spans="4:10" x14ac:dyDescent="0.2">
      <c r="D58" s="446" t="s">
        <v>462</v>
      </c>
      <c r="E58" s="446" t="s">
        <v>588</v>
      </c>
      <c r="F58" s="446" t="s">
        <v>537</v>
      </c>
      <c r="G58" s="447">
        <v>0.51201902703503577</v>
      </c>
      <c r="H58" s="310">
        <v>830.47047568709888</v>
      </c>
      <c r="I58" s="448">
        <v>3.5434723745219304E-2</v>
      </c>
      <c r="J58" s="439"/>
    </row>
    <row r="59" spans="4:10" x14ac:dyDescent="0.2">
      <c r="D59" s="446" t="s">
        <v>462</v>
      </c>
      <c r="E59" s="446" t="s">
        <v>589</v>
      </c>
      <c r="F59" s="446" t="s">
        <v>537</v>
      </c>
      <c r="G59" s="447">
        <v>0.19791859370660975</v>
      </c>
      <c r="H59" s="310">
        <v>830.47047568709877</v>
      </c>
      <c r="I59" s="448">
        <v>1.3697129055237485E-2</v>
      </c>
      <c r="J59" s="439"/>
    </row>
    <row r="60" spans="4:10" x14ac:dyDescent="0.2">
      <c r="D60" s="446" t="s">
        <v>462</v>
      </c>
      <c r="E60" s="446" t="s">
        <v>590</v>
      </c>
      <c r="F60" s="446" t="s">
        <v>537</v>
      </c>
      <c r="G60" s="447">
        <v>0.18890966206345614</v>
      </c>
      <c r="H60" s="310">
        <v>830.47047568709877</v>
      </c>
      <c r="I60" s="448">
        <v>1.3073658076310625E-2</v>
      </c>
      <c r="J60" s="439"/>
    </row>
    <row r="61" spans="4:10" x14ac:dyDescent="0.2">
      <c r="D61" s="446" t="s">
        <v>462</v>
      </c>
      <c r="E61" s="446" t="s">
        <v>591</v>
      </c>
      <c r="F61" s="446" t="s">
        <v>537</v>
      </c>
      <c r="G61" s="447">
        <v>0.31321908436101781</v>
      </c>
      <c r="H61" s="310">
        <v>830.47047568709888</v>
      </c>
      <c r="I61" s="448">
        <v>2.1676600165297665E-2</v>
      </c>
      <c r="J61" s="439"/>
    </row>
    <row r="62" spans="4:10" x14ac:dyDescent="0.2">
      <c r="D62" s="446" t="s">
        <v>462</v>
      </c>
      <c r="E62" s="446" t="s">
        <v>592</v>
      </c>
      <c r="F62" s="446" t="s">
        <v>537</v>
      </c>
      <c r="G62" s="447">
        <v>0.30177949743797311</v>
      </c>
      <c r="H62" s="310">
        <v>830.47047568709877</v>
      </c>
      <c r="I62" s="448">
        <v>2.0884913565827262E-2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7.3209315753654005</v>
      </c>
      <c r="H64" s="463"/>
      <c r="I64" s="464">
        <v>0.46409765241184997</v>
      </c>
      <c r="J64" s="439"/>
    </row>
    <row r="65" spans="4:10" x14ac:dyDescent="0.2">
      <c r="D65" s="446" t="s">
        <v>595</v>
      </c>
      <c r="E65" s="446" t="s">
        <v>596</v>
      </c>
      <c r="F65" s="446" t="s">
        <v>554</v>
      </c>
      <c r="G65" s="447">
        <v>2.5987884977730332E-3</v>
      </c>
      <c r="H65" s="310">
        <v>100.96722222222223</v>
      </c>
      <c r="I65" s="448">
        <v>2.1866037980267074E-5</v>
      </c>
      <c r="J65" s="439"/>
    </row>
    <row r="66" spans="4:10" x14ac:dyDescent="0.2">
      <c r="D66" s="446" t="s">
        <v>595</v>
      </c>
      <c r="E66" s="446" t="s">
        <v>563</v>
      </c>
      <c r="F66" s="446" t="s">
        <v>554</v>
      </c>
      <c r="G66" s="447">
        <v>0.33466620765766059</v>
      </c>
      <c r="H66" s="310">
        <v>147.6919456427955</v>
      </c>
      <c r="I66" s="448">
        <v>4.1189586124879768E-3</v>
      </c>
      <c r="J66" s="439"/>
    </row>
    <row r="67" spans="4:10" x14ac:dyDescent="0.2">
      <c r="D67" s="446" t="s">
        <v>595</v>
      </c>
      <c r="E67" s="446" t="s">
        <v>564</v>
      </c>
      <c r="F67" s="446" t="s">
        <v>554</v>
      </c>
      <c r="G67" s="447">
        <v>5.3563918481877519E-2</v>
      </c>
      <c r="H67" s="310">
        <v>111.90229110512129</v>
      </c>
      <c r="I67" s="448">
        <v>4.9949376655750372E-4</v>
      </c>
      <c r="J67" s="439"/>
    </row>
    <row r="68" spans="4:10" x14ac:dyDescent="0.2">
      <c r="D68" s="446" t="s">
        <v>595</v>
      </c>
      <c r="E68" s="446" t="s">
        <v>597</v>
      </c>
      <c r="F68" s="446" t="s">
        <v>554</v>
      </c>
      <c r="G68" s="447">
        <v>3.1762970528337073E-3</v>
      </c>
      <c r="H68" s="310">
        <v>98.318181818181799</v>
      </c>
      <c r="I68" s="448">
        <v>2.6023979262421621E-5</v>
      </c>
      <c r="J68" s="439"/>
    </row>
    <row r="69" spans="4:10" x14ac:dyDescent="0.2">
      <c r="D69" s="446" t="s">
        <v>595</v>
      </c>
      <c r="E69" s="446" t="s">
        <v>572</v>
      </c>
      <c r="F69" s="446" t="s">
        <v>554</v>
      </c>
      <c r="G69" s="447">
        <v>1.732525665182022E-3</v>
      </c>
      <c r="H69" s="310">
        <v>94.521666666666675</v>
      </c>
      <c r="I69" s="448">
        <v>1.3646767784648336E-5</v>
      </c>
      <c r="J69" s="439"/>
    </row>
    <row r="70" spans="4:10" x14ac:dyDescent="0.2">
      <c r="D70" s="446" t="s">
        <v>595</v>
      </c>
      <c r="E70" s="446" t="s">
        <v>567</v>
      </c>
      <c r="F70" s="446" t="s">
        <v>554</v>
      </c>
      <c r="G70" s="447">
        <v>7.9407426320842675E-3</v>
      </c>
      <c r="H70" s="310">
        <v>80.834000000000003</v>
      </c>
      <c r="I70" s="448">
        <v>5.3490165826824973E-5</v>
      </c>
      <c r="J70" s="439"/>
    </row>
    <row r="71" spans="4:10" x14ac:dyDescent="0.2">
      <c r="D71" s="446" t="s">
        <v>595</v>
      </c>
      <c r="E71" s="446" t="s">
        <v>568</v>
      </c>
      <c r="F71" s="446" t="s">
        <v>554</v>
      </c>
      <c r="G71" s="447">
        <v>6.3525941056674128E-3</v>
      </c>
      <c r="H71" s="310">
        <v>128.15909090909093</v>
      </c>
      <c r="I71" s="448">
        <v>6.7845223791398768E-5</v>
      </c>
      <c r="J71" s="439"/>
    </row>
    <row r="72" spans="4:10" x14ac:dyDescent="0.2">
      <c r="D72" s="446" t="s">
        <v>595</v>
      </c>
      <c r="E72" s="446" t="s">
        <v>548</v>
      </c>
      <c r="F72" s="446" t="s">
        <v>554</v>
      </c>
      <c r="G72" s="447">
        <v>0.26738646099309205</v>
      </c>
      <c r="H72" s="310">
        <v>272.13546976241901</v>
      </c>
      <c r="I72" s="448">
        <v>6.0637783475388195E-3</v>
      </c>
      <c r="J72" s="439"/>
    </row>
    <row r="73" spans="4:10" x14ac:dyDescent="0.2">
      <c r="D73" s="446" t="s">
        <v>595</v>
      </c>
      <c r="E73" s="446" t="s">
        <v>598</v>
      </c>
      <c r="F73" s="446" t="s">
        <v>554</v>
      </c>
      <c r="G73" s="447">
        <v>1.5015222431577524E-2</v>
      </c>
      <c r="H73" s="310">
        <v>114.25442307692308</v>
      </c>
      <c r="I73" s="448">
        <v>1.4296296469096367E-4</v>
      </c>
      <c r="J73" s="439"/>
    </row>
    <row r="74" spans="4:10" x14ac:dyDescent="0.2">
      <c r="D74" s="446" t="s">
        <v>595</v>
      </c>
      <c r="E74" s="446" t="s">
        <v>549</v>
      </c>
      <c r="F74" s="446" t="s">
        <v>554</v>
      </c>
      <c r="G74" s="447">
        <v>1.4225479482532051</v>
      </c>
      <c r="H74" s="310">
        <v>94.29423322845814</v>
      </c>
      <c r="I74" s="448">
        <v>1.1178172334271028E-2</v>
      </c>
      <c r="J74" s="439"/>
    </row>
    <row r="75" spans="4:10" x14ac:dyDescent="0.2">
      <c r="D75" s="446" t="s">
        <v>595</v>
      </c>
      <c r="E75" s="446" t="s">
        <v>571</v>
      </c>
      <c r="F75" s="446" t="s">
        <v>554</v>
      </c>
      <c r="G75" s="447">
        <v>1.0972662546152806E-2</v>
      </c>
      <c r="H75" s="310">
        <v>132.23828947368418</v>
      </c>
      <c r="I75" s="448">
        <v>1.2091717717293395E-4</v>
      </c>
      <c r="J75" s="439"/>
    </row>
    <row r="76" spans="4:10" x14ac:dyDescent="0.2">
      <c r="D76" s="446" t="s">
        <v>595</v>
      </c>
      <c r="E76" s="446" t="s">
        <v>561</v>
      </c>
      <c r="F76" s="446" t="s">
        <v>554</v>
      </c>
      <c r="G76" s="447">
        <v>5.3419541343112335E-3</v>
      </c>
      <c r="H76" s="310">
        <v>119.5764864864865</v>
      </c>
      <c r="I76" s="448">
        <v>5.3231008862741493E-5</v>
      </c>
      <c r="J76" s="439"/>
    </row>
    <row r="77" spans="4:10" x14ac:dyDescent="0.2">
      <c r="D77" s="446" t="s">
        <v>595</v>
      </c>
      <c r="E77" s="446" t="s">
        <v>599</v>
      </c>
      <c r="F77" s="446" t="s">
        <v>554</v>
      </c>
      <c r="G77" s="447">
        <v>3.4420953653003825</v>
      </c>
      <c r="H77" s="310">
        <v>84.720031458411967</v>
      </c>
      <c r="I77" s="448">
        <v>2.4301202302591873E-2</v>
      </c>
      <c r="J77" s="439"/>
    </row>
    <row r="78" spans="4:10" x14ac:dyDescent="0.2">
      <c r="D78" s="446" t="s">
        <v>595</v>
      </c>
      <c r="E78" s="446" t="s">
        <v>600</v>
      </c>
      <c r="F78" s="446" t="s">
        <v>554</v>
      </c>
      <c r="G78" s="447">
        <v>5.77508555060674E-3</v>
      </c>
      <c r="H78" s="310">
        <v>133.72125000000003</v>
      </c>
      <c r="I78" s="448">
        <v>6.4354304890339308E-5</v>
      </c>
      <c r="J78" s="439"/>
    </row>
    <row r="79" spans="4:10" x14ac:dyDescent="0.2">
      <c r="D79" s="446" t="s">
        <v>595</v>
      </c>
      <c r="E79" s="446" t="s">
        <v>555</v>
      </c>
      <c r="F79" s="446" t="s">
        <v>554</v>
      </c>
      <c r="G79" s="447">
        <v>0.73300273351076051</v>
      </c>
      <c r="H79" s="310">
        <v>94.815637187315346</v>
      </c>
      <c r="I79" s="448">
        <v>5.7916767698222224E-3</v>
      </c>
      <c r="J79" s="439"/>
    </row>
    <row r="80" spans="4:10" x14ac:dyDescent="0.2">
      <c r="D80" s="446" t="s">
        <v>595</v>
      </c>
      <c r="E80" s="446" t="s">
        <v>552</v>
      </c>
      <c r="F80" s="446" t="s">
        <v>554</v>
      </c>
      <c r="G80" s="447">
        <v>10.711484302126618</v>
      </c>
      <c r="H80" s="310">
        <v>91.211695488671793</v>
      </c>
      <c r="I80" s="448">
        <v>8.1417720366438434E-2</v>
      </c>
      <c r="J80" s="439"/>
    </row>
    <row r="81" spans="4:10" x14ac:dyDescent="0.2">
      <c r="D81" s="446" t="s">
        <v>595</v>
      </c>
      <c r="E81" s="446" t="s">
        <v>581</v>
      </c>
      <c r="F81" s="446" t="s">
        <v>554</v>
      </c>
      <c r="G81" s="447">
        <v>0.27691535215159319</v>
      </c>
      <c r="H81" s="310">
        <v>106.15999478623566</v>
      </c>
      <c r="I81" s="448">
        <v>2.4497776950534785E-3</v>
      </c>
      <c r="J81" s="439"/>
    </row>
    <row r="82" spans="4:10" x14ac:dyDescent="0.2">
      <c r="D82" s="446" t="s">
        <v>595</v>
      </c>
      <c r="E82" s="446" t="s">
        <v>574</v>
      </c>
      <c r="F82" s="446" t="s">
        <v>554</v>
      </c>
      <c r="G82" s="447">
        <v>1.0539531129857303E-2</v>
      </c>
      <c r="H82" s="310">
        <v>92.068630136986286</v>
      </c>
      <c r="I82" s="448">
        <v>8.08633494510071E-5</v>
      </c>
      <c r="J82" s="439"/>
    </row>
    <row r="83" spans="4:10" x14ac:dyDescent="0.2">
      <c r="D83" s="446" t="s">
        <v>595</v>
      </c>
      <c r="E83" s="446" t="s">
        <v>601</v>
      </c>
      <c r="F83" s="446" t="s">
        <v>554</v>
      </c>
      <c r="G83" s="447">
        <v>9.817645436031459E-3</v>
      </c>
      <c r="H83" s="310">
        <v>79.38220588235292</v>
      </c>
      <c r="I83" s="448">
        <v>6.4945529273582653E-5</v>
      </c>
      <c r="J83" s="439"/>
    </row>
    <row r="84" spans="4:10" x14ac:dyDescent="0.2">
      <c r="D84" s="446" t="s">
        <v>595</v>
      </c>
      <c r="E84" s="446" t="s">
        <v>559</v>
      </c>
      <c r="F84" s="446" t="s">
        <v>554</v>
      </c>
      <c r="G84" s="447">
        <v>1.2677756554969448</v>
      </c>
      <c r="H84" s="310">
        <v>66.200022776449259</v>
      </c>
      <c r="I84" s="448">
        <v>6.9938981057771372E-3</v>
      </c>
      <c r="J84" s="439"/>
    </row>
    <row r="85" spans="4:10" x14ac:dyDescent="0.2">
      <c r="D85" s="446" t="s">
        <v>595</v>
      </c>
      <c r="E85" s="446" t="s">
        <v>573</v>
      </c>
      <c r="F85" s="446" t="s">
        <v>554</v>
      </c>
      <c r="G85" s="447">
        <v>4.5767552988558419E-2</v>
      </c>
      <c r="H85" s="310">
        <v>138.66886435331227</v>
      </c>
      <c r="I85" s="448">
        <v>5.2887788309611996E-4</v>
      </c>
      <c r="J85" s="439"/>
    </row>
    <row r="86" spans="4:10" x14ac:dyDescent="0.2">
      <c r="D86" s="446" t="s">
        <v>595</v>
      </c>
      <c r="E86" s="446" t="s">
        <v>562</v>
      </c>
      <c r="F86" s="446" t="s">
        <v>554</v>
      </c>
      <c r="G86" s="447">
        <v>2.5554753561434825E-2</v>
      </c>
      <c r="H86" s="310">
        <v>71.374124293785314</v>
      </c>
      <c r="I86" s="448">
        <v>1.5199567974924185E-4</v>
      </c>
      <c r="J86" s="439"/>
    </row>
    <row r="87" spans="4:10" x14ac:dyDescent="0.2">
      <c r="D87" s="446" t="s">
        <v>595</v>
      </c>
      <c r="E87" s="446" t="s">
        <v>550</v>
      </c>
      <c r="F87" s="446" t="s">
        <v>554</v>
      </c>
      <c r="G87" s="447">
        <v>5.5232918206002868</v>
      </c>
      <c r="H87" s="310">
        <v>126.73069897532631</v>
      </c>
      <c r="I87" s="448">
        <v>5.8330886089114749E-2</v>
      </c>
      <c r="J87" s="439"/>
    </row>
    <row r="88" spans="4:10" x14ac:dyDescent="0.2">
      <c r="D88" s="446" t="s">
        <v>595</v>
      </c>
      <c r="E88" s="446" t="s">
        <v>579</v>
      </c>
      <c r="F88" s="446" t="s">
        <v>554</v>
      </c>
      <c r="G88" s="447">
        <v>7.218856938258425E-4</v>
      </c>
      <c r="H88" s="310">
        <v>175.29</v>
      </c>
      <c r="I88" s="448">
        <v>1.0544945272560994E-5</v>
      </c>
      <c r="J88" s="439"/>
    </row>
    <row r="89" spans="4:10" x14ac:dyDescent="0.2">
      <c r="D89" s="446" t="s">
        <v>595</v>
      </c>
      <c r="E89" s="446" t="s">
        <v>556</v>
      </c>
      <c r="F89" s="446" t="s">
        <v>554</v>
      </c>
      <c r="G89" s="447">
        <v>4.475691301720223E-3</v>
      </c>
      <c r="H89" s="310">
        <v>127.61322580645162</v>
      </c>
      <c r="I89" s="448">
        <v>4.7596450393866188E-5</v>
      </c>
      <c r="J89" s="439"/>
    </row>
    <row r="90" spans="4:10" x14ac:dyDescent="0.2">
      <c r="D90" s="446" t="s">
        <v>595</v>
      </c>
      <c r="E90" s="446" t="s">
        <v>602</v>
      </c>
      <c r="F90" s="446" t="s">
        <v>554</v>
      </c>
      <c r="G90" s="447">
        <v>7.363234077023593E-3</v>
      </c>
      <c r="H90" s="310">
        <v>208.9437254901961</v>
      </c>
      <c r="I90" s="448">
        <v>1.2820846330913961E-4</v>
      </c>
      <c r="J90" s="439"/>
    </row>
    <row r="91" spans="4:10" x14ac:dyDescent="0.2">
      <c r="D91" s="446" t="s">
        <v>595</v>
      </c>
      <c r="E91" s="446" t="s">
        <v>577</v>
      </c>
      <c r="F91" s="446" t="s">
        <v>554</v>
      </c>
      <c r="G91" s="447">
        <v>0.80331440008939758</v>
      </c>
      <c r="H91" s="310">
        <v>44.357205248023</v>
      </c>
      <c r="I91" s="448">
        <v>2.9693984769548231E-3</v>
      </c>
      <c r="J91" s="439"/>
    </row>
    <row r="92" spans="4:10" x14ac:dyDescent="0.2">
      <c r="D92" s="446" t="s">
        <v>595</v>
      </c>
      <c r="E92" s="446" t="s">
        <v>576</v>
      </c>
      <c r="F92" s="446" t="s">
        <v>554</v>
      </c>
      <c r="G92" s="447">
        <v>0.12589686500322694</v>
      </c>
      <c r="H92" s="310">
        <v>104.19440366972488</v>
      </c>
      <c r="I92" s="448">
        <v>1.0931457310749239E-3</v>
      </c>
      <c r="J92" s="439"/>
    </row>
    <row r="93" spans="4:10" x14ac:dyDescent="0.2">
      <c r="D93" s="446" t="s">
        <v>595</v>
      </c>
      <c r="E93" s="446" t="s">
        <v>603</v>
      </c>
      <c r="F93" s="446" t="s">
        <v>554</v>
      </c>
      <c r="G93" s="447">
        <v>1.0106399713561795E-3</v>
      </c>
      <c r="H93" s="310">
        <v>475.14285714285717</v>
      </c>
      <c r="I93" s="448">
        <v>4.0016530294412539E-5</v>
      </c>
      <c r="J93" s="439"/>
    </row>
    <row r="94" spans="4:10" x14ac:dyDescent="0.2">
      <c r="D94" s="446" t="s">
        <v>595</v>
      </c>
      <c r="E94" s="446" t="s">
        <v>557</v>
      </c>
      <c r="F94" s="446" t="s">
        <v>554</v>
      </c>
      <c r="G94" s="447">
        <v>5.2986409926816851E-2</v>
      </c>
      <c r="H94" s="310">
        <v>38.739237057220699</v>
      </c>
      <c r="I94" s="448">
        <v>1.710544245805025E-4</v>
      </c>
      <c r="J94" s="439"/>
    </row>
    <row r="95" spans="4:10" x14ac:dyDescent="0.2">
      <c r="D95" s="446" t="s">
        <v>595</v>
      </c>
      <c r="E95" s="446" t="s">
        <v>582</v>
      </c>
      <c r="F95" s="446" t="s">
        <v>554</v>
      </c>
      <c r="G95" s="447">
        <v>2.8875427753033699E-4</v>
      </c>
      <c r="H95" s="310">
        <v>73.459999999999994</v>
      </c>
      <c r="I95" s="448">
        <v>1.7676574356148795E-6</v>
      </c>
      <c r="J95" s="439"/>
    </row>
    <row r="96" spans="4:10" x14ac:dyDescent="0.2">
      <c r="D96" s="446" t="s">
        <v>595</v>
      </c>
      <c r="E96" s="446" t="s">
        <v>565</v>
      </c>
      <c r="F96" s="446" t="s">
        <v>554</v>
      </c>
      <c r="G96" s="447">
        <v>2.5699130700199989E-2</v>
      </c>
      <c r="H96" s="310">
        <v>61.21977528089888</v>
      </c>
      <c r="I96" s="448">
        <v>1.3110791719839107E-4</v>
      </c>
      <c r="J96" s="439"/>
    </row>
    <row r="97" spans="4:13" x14ac:dyDescent="0.2">
      <c r="D97" s="446" t="s">
        <v>595</v>
      </c>
      <c r="E97" s="446" t="s">
        <v>604</v>
      </c>
      <c r="F97" s="446" t="s">
        <v>554</v>
      </c>
      <c r="G97" s="447">
        <v>1.3138319627630334E-2</v>
      </c>
      <c r="H97" s="310">
        <v>131.04945054945057</v>
      </c>
      <c r="I97" s="448">
        <v>1.4348079736200143E-4</v>
      </c>
      <c r="J97" s="439"/>
    </row>
    <row r="98" spans="4:13" x14ac:dyDescent="0.2">
      <c r="D98" s="446" t="s">
        <v>595</v>
      </c>
      <c r="E98" s="446" t="s">
        <v>569</v>
      </c>
      <c r="F98" s="446" t="s">
        <v>554</v>
      </c>
      <c r="G98" s="447">
        <v>8.3603025973358474</v>
      </c>
      <c r="H98" s="310">
        <v>88.833431768729483</v>
      </c>
      <c r="I98" s="448">
        <v>6.1889530862197159E-2</v>
      </c>
      <c r="J98" s="439"/>
    </row>
    <row r="99" spans="4:13" x14ac:dyDescent="0.2">
      <c r="D99" s="446" t="s">
        <v>595</v>
      </c>
      <c r="E99" s="446" t="s">
        <v>553</v>
      </c>
      <c r="F99" s="446" t="s">
        <v>554</v>
      </c>
      <c r="G99" s="447">
        <v>7.0600420856167398E-2</v>
      </c>
      <c r="H99" s="310">
        <v>149.11421267893661</v>
      </c>
      <c r="I99" s="448">
        <v>8.7729384756408144E-4</v>
      </c>
      <c r="J99" s="439"/>
    </row>
    <row r="100" spans="4:13" x14ac:dyDescent="0.2">
      <c r="D100" s="446" t="s">
        <v>595</v>
      </c>
      <c r="E100" s="446" t="s">
        <v>570</v>
      </c>
      <c r="F100" s="446" t="s">
        <v>554</v>
      </c>
      <c r="G100" s="447">
        <v>3.2629233360928087E-2</v>
      </c>
      <c r="H100" s="310">
        <v>59.458982300884941</v>
      </c>
      <c r="I100" s="448">
        <v>1.6167508407490563E-4</v>
      </c>
      <c r="J100" s="439"/>
    </row>
    <row r="101" spans="4:13" x14ac:dyDescent="0.2">
      <c r="D101" s="446" t="s">
        <v>595</v>
      </c>
      <c r="E101" s="446" t="s">
        <v>551</v>
      </c>
      <c r="F101" s="446" t="s">
        <v>554</v>
      </c>
      <c r="G101" s="447">
        <v>2.4544113590078648E-3</v>
      </c>
      <c r="H101" s="310">
        <v>85.882352941176464</v>
      </c>
      <c r="I101" s="448">
        <v>1.7565885216428834E-5</v>
      </c>
      <c r="J101" s="439"/>
    </row>
    <row r="102" spans="4:13" x14ac:dyDescent="0.2">
      <c r="D102" s="446" t="s">
        <v>595</v>
      </c>
      <c r="E102" s="446" t="s">
        <v>578</v>
      </c>
      <c r="F102" s="446" t="s">
        <v>554</v>
      </c>
      <c r="G102" s="447">
        <v>1.5592730986638199E-2</v>
      </c>
      <c r="H102" s="310">
        <v>83.94305555555556</v>
      </c>
      <c r="I102" s="448">
        <v>1.0907512362285025E-4</v>
      </c>
      <c r="J102" s="439"/>
    </row>
    <row r="103" spans="4:13" x14ac:dyDescent="0.2">
      <c r="D103" s="446" t="s">
        <v>595</v>
      </c>
      <c r="E103" s="446" t="s">
        <v>560</v>
      </c>
      <c r="F103" s="446" t="s">
        <v>554</v>
      </c>
      <c r="G103" s="447">
        <v>1.8769028039471905E-3</v>
      </c>
      <c r="H103" s="310">
        <v>63.38461538461538</v>
      </c>
      <c r="I103" s="448">
        <v>9.9138968618749033E-6</v>
      </c>
      <c r="J103" s="439"/>
    </row>
    <row r="104" spans="4:13" x14ac:dyDescent="0.2">
      <c r="D104" s="446" t="s">
        <v>595</v>
      </c>
      <c r="E104" s="446" t="s">
        <v>575</v>
      </c>
      <c r="F104" s="446" t="s">
        <v>554</v>
      </c>
      <c r="G104" s="447">
        <v>4.3313141629550551E-4</v>
      </c>
      <c r="H104" s="310">
        <v>110.14666666666666</v>
      </c>
      <c r="I104" s="448">
        <v>3.9756651444635232E-6</v>
      </c>
      <c r="J104" s="439"/>
    </row>
    <row r="105" spans="4:13" x14ac:dyDescent="0.2">
      <c r="D105" s="446" t="s">
        <v>595</v>
      </c>
      <c r="E105" s="446" t="s">
        <v>566</v>
      </c>
      <c r="F105" s="446" t="s">
        <v>554</v>
      </c>
      <c r="G105" s="447">
        <v>1.0106399713561795E-3</v>
      </c>
      <c r="H105" s="310">
        <v>102.85714285714285</v>
      </c>
      <c r="I105" s="448">
        <v>8.6626283259101098E-6</v>
      </c>
      <c r="J105" s="439"/>
    </row>
    <row r="106" spans="4:13" x14ac:dyDescent="0.2">
      <c r="D106" s="446" t="s">
        <v>595</v>
      </c>
      <c r="E106" s="446" t="s">
        <v>580</v>
      </c>
      <c r="F106" s="446" t="s">
        <v>554</v>
      </c>
      <c r="G106" s="447">
        <v>4.33131416295506E-4</v>
      </c>
      <c r="H106" s="310">
        <v>121.10999999999999</v>
      </c>
      <c r="I106" s="448">
        <v>4.3713788189623889E-6</v>
      </c>
      <c r="J106" s="439"/>
    </row>
    <row r="107" spans="4:13" x14ac:dyDescent="0.2">
      <c r="D107" s="451" t="s">
        <v>595</v>
      </c>
      <c r="E107" s="451" t="s">
        <v>558</v>
      </c>
      <c r="F107" s="451" t="s">
        <v>554</v>
      </c>
      <c r="G107" s="452">
        <v>3.1088729290303725</v>
      </c>
      <c r="H107" s="310">
        <v>2.323782101890123E-2</v>
      </c>
      <c r="I107" s="454">
        <v>6.0202860579429183E-6</v>
      </c>
      <c r="J107" s="439"/>
    </row>
    <row r="108" spans="4:13" ht="16" x14ac:dyDescent="0.2">
      <c r="D108" s="461" t="s">
        <v>605</v>
      </c>
      <c r="E108" s="460"/>
      <c r="F108" s="460"/>
      <c r="G108" s="465">
        <v>36.812416579510071</v>
      </c>
      <c r="H108" s="466"/>
      <c r="I108" s="467">
        <v>0.27036099051324652</v>
      </c>
      <c r="J108" s="439"/>
      <c r="K108" s="313" t="s">
        <v>311</v>
      </c>
      <c r="L108" s="313" t="s">
        <v>606</v>
      </c>
      <c r="M108" s="313" t="s">
        <v>528</v>
      </c>
    </row>
    <row r="109" spans="4:13" x14ac:dyDescent="0.2">
      <c r="D109" s="446" t="s">
        <v>607</v>
      </c>
      <c r="E109" s="446" t="s">
        <v>608</v>
      </c>
      <c r="F109" s="468" t="s">
        <v>609</v>
      </c>
      <c r="G109" s="469">
        <v>93.695894320202925</v>
      </c>
      <c r="H109" s="310">
        <v>30.021947940488566</v>
      </c>
      <c r="I109" s="470">
        <v>0.23441110512655419</v>
      </c>
      <c r="J109" s="439"/>
      <c r="K109">
        <f>'Assumptions-Output Override'!$J$19</f>
        <v>10</v>
      </c>
      <c r="L109" s="470">
        <f>G109*K109/12000</f>
        <v>7.807991193350243E-2</v>
      </c>
      <c r="M109" s="388">
        <f>I109-L109</f>
        <v>0.15633119319305178</v>
      </c>
    </row>
    <row r="110" spans="4:13" x14ac:dyDescent="0.2">
      <c r="D110" s="446" t="s">
        <v>607</v>
      </c>
      <c r="E110" s="446" t="s">
        <v>610</v>
      </c>
      <c r="F110" s="468" t="s">
        <v>609</v>
      </c>
      <c r="G110" s="469">
        <v>3.7183207911329816</v>
      </c>
      <c r="H110" s="310">
        <v>345.05792219172491</v>
      </c>
      <c r="I110" s="470">
        <v>0.10691967051921979</v>
      </c>
      <c r="J110" s="439"/>
      <c r="K110">
        <f>'Assumptions-Output Override'!$K$19</f>
        <v>50</v>
      </c>
      <c r="L110" s="470">
        <f t="shared" ref="L110:L116" si="0">G110*K110/12000</f>
        <v>1.5493003296387423E-2</v>
      </c>
      <c r="M110" s="388">
        <f t="shared" ref="M110:M116" si="1">I110-L110</f>
        <v>9.1426667222832367E-2</v>
      </c>
    </row>
    <row r="111" spans="4:13" x14ac:dyDescent="0.2">
      <c r="D111" s="446" t="s">
        <v>607</v>
      </c>
      <c r="E111" s="446" t="s">
        <v>611</v>
      </c>
      <c r="F111" s="468" t="s">
        <v>609</v>
      </c>
      <c r="G111" s="469">
        <v>2.0547107185775797</v>
      </c>
      <c r="H111" s="310">
        <v>358.39857285785376</v>
      </c>
      <c r="I111" s="470">
        <v>6.1367115764494974E-2</v>
      </c>
      <c r="J111" s="439"/>
      <c r="K111">
        <f>'Assumptions-Output Override'!$L$19</f>
        <v>80</v>
      </c>
      <c r="L111" s="470">
        <f t="shared" si="0"/>
        <v>1.3698071457183865E-2</v>
      </c>
      <c r="M111" s="388">
        <f t="shared" si="1"/>
        <v>4.7669044307311108E-2</v>
      </c>
    </row>
    <row r="112" spans="4:13" x14ac:dyDescent="0.2">
      <c r="D112" s="446" t="s">
        <v>607</v>
      </c>
      <c r="E112" s="446" t="s">
        <v>612</v>
      </c>
      <c r="F112" s="468" t="s">
        <v>609</v>
      </c>
      <c r="G112" s="469">
        <v>5.077674462889326</v>
      </c>
      <c r="H112" s="310">
        <v>978.39809376133553</v>
      </c>
      <c r="I112" s="470">
        <v>0.41399891793596083</v>
      </c>
      <c r="J112" s="439"/>
      <c r="K112">
        <f>'Assumptions-Output Override'!$M$19</f>
        <v>200</v>
      </c>
      <c r="L112" s="470">
        <f t="shared" si="0"/>
        <v>8.4627907714822106E-2</v>
      </c>
      <c r="M112" s="388">
        <f t="shared" si="1"/>
        <v>0.32937101022113874</v>
      </c>
    </row>
    <row r="113" spans="4:13" x14ac:dyDescent="0.2">
      <c r="D113" s="446" t="s">
        <v>607</v>
      </c>
      <c r="E113" s="446" t="s">
        <v>613</v>
      </c>
      <c r="F113" s="468" t="s">
        <v>609</v>
      </c>
      <c r="G113" s="469">
        <v>7.8928754122054814</v>
      </c>
      <c r="H113" s="310">
        <v>88.675517266761787</v>
      </c>
      <c r="I113" s="470">
        <v>5.8325400824952224E-2</v>
      </c>
      <c r="J113" s="439"/>
      <c r="K113">
        <f>2*K109</f>
        <v>20</v>
      </c>
      <c r="L113" s="470">
        <f t="shared" si="0"/>
        <v>1.3154792353675802E-2</v>
      </c>
      <c r="M113" s="388">
        <f t="shared" si="1"/>
        <v>4.5170608471276422E-2</v>
      </c>
    </row>
    <row r="114" spans="4:13" x14ac:dyDescent="0.2">
      <c r="D114" s="446" t="s">
        <v>607</v>
      </c>
      <c r="E114" s="446" t="s">
        <v>614</v>
      </c>
      <c r="F114" s="468" t="s">
        <v>609</v>
      </c>
      <c r="G114" s="469">
        <v>0.29701938036379749</v>
      </c>
      <c r="H114" s="310">
        <v>556.47687735053148</v>
      </c>
      <c r="I114" s="470">
        <v>1.3773701441452983E-2</v>
      </c>
      <c r="J114" s="439"/>
      <c r="K114">
        <f>2*K110</f>
        <v>100</v>
      </c>
      <c r="L114" s="470">
        <f t="shared" si="0"/>
        <v>2.4751615030316459E-3</v>
      </c>
      <c r="M114" s="388">
        <f t="shared" si="1"/>
        <v>1.1298539938421337E-2</v>
      </c>
    </row>
    <row r="115" spans="4:13" x14ac:dyDescent="0.2">
      <c r="D115" s="446" t="s">
        <v>607</v>
      </c>
      <c r="E115" s="446" t="s">
        <v>615</v>
      </c>
      <c r="F115" s="468" t="s">
        <v>609</v>
      </c>
      <c r="G115" s="469">
        <v>0.12363243243569234</v>
      </c>
      <c r="H115" s="310">
        <v>631.90409645529269</v>
      </c>
      <c r="I115" s="470">
        <v>6.5103200425705166E-3</v>
      </c>
      <c r="J115" s="439"/>
      <c r="K115">
        <f>2*K111</f>
        <v>160</v>
      </c>
      <c r="L115" s="470">
        <f t="shared" si="0"/>
        <v>1.648432432475898E-3</v>
      </c>
      <c r="M115" s="388">
        <f t="shared" si="1"/>
        <v>4.8618876100946186E-3</v>
      </c>
    </row>
    <row r="116" spans="4:13" x14ac:dyDescent="0.2">
      <c r="D116" s="446" t="s">
        <v>607</v>
      </c>
      <c r="E116" s="446" t="s">
        <v>616</v>
      </c>
      <c r="F116" s="468" t="s">
        <v>609</v>
      </c>
      <c r="G116" s="447">
        <v>0.58921408043742163</v>
      </c>
      <c r="H116" s="310">
        <v>1976.8456449431744</v>
      </c>
      <c r="I116" s="448">
        <v>9.706544073765952E-2</v>
      </c>
      <c r="J116" s="439"/>
      <c r="K116">
        <f>2*K112</f>
        <v>400</v>
      </c>
      <c r="L116" s="470">
        <f t="shared" si="0"/>
        <v>1.9640469347914052E-2</v>
      </c>
      <c r="M116" s="388">
        <f t="shared" si="1"/>
        <v>7.7424971389745467E-2</v>
      </c>
    </row>
    <row r="117" spans="4:13" x14ac:dyDescent="0.2">
      <c r="D117" s="460" t="s">
        <v>617</v>
      </c>
      <c r="E117" s="460"/>
      <c r="F117" s="460"/>
      <c r="G117" s="471">
        <v>113.4493415982452</v>
      </c>
      <c r="H117" s="472"/>
      <c r="I117" s="473">
        <v>0.99237167239286495</v>
      </c>
      <c r="J117" s="439"/>
      <c r="L117" s="470">
        <f>SUM(L109:L116)</f>
        <v>0.22881775003899324</v>
      </c>
      <c r="M117" s="388">
        <f>SUM(M109:M116)</f>
        <v>0.76355392235387187</v>
      </c>
    </row>
    <row r="118" spans="4:13" ht="16" x14ac:dyDescent="0.2">
      <c r="D118" s="461" t="s">
        <v>618</v>
      </c>
      <c r="E118" s="461"/>
      <c r="F118" s="461"/>
      <c r="G118" s="474"/>
      <c r="H118" s="474"/>
      <c r="I118" s="473">
        <v>2.1569949871845449</v>
      </c>
      <c r="J118" s="439"/>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779</v>
      </c>
      <c r="G3"/>
      <c r="H3"/>
      <c r="I3"/>
    </row>
    <row r="4" spans="2:19" x14ac:dyDescent="0.2">
      <c r="G4"/>
      <c r="H4"/>
      <c r="I4"/>
    </row>
    <row r="5" spans="2:19" ht="16" x14ac:dyDescent="0.2">
      <c r="D5" s="438" t="s">
        <v>780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0.13224945910889438</v>
      </c>
      <c r="O10" s="310">
        <v>551.76572052401718</v>
      </c>
      <c r="P10" s="388">
        <v>6.0808931745108888E-3</v>
      </c>
      <c r="Q10" s="29">
        <v>0</v>
      </c>
      <c r="R10" s="388">
        <f>N10*Q10/12000</f>
        <v>0</v>
      </c>
      <c r="S10" s="388">
        <f>P10-R10</f>
        <v>6.0808931745108888E-3</v>
      </c>
    </row>
    <row r="11" spans="2:19" x14ac:dyDescent="0.2">
      <c r="D11" s="446" t="s">
        <v>1</v>
      </c>
      <c r="E11" s="446" t="s">
        <v>540</v>
      </c>
      <c r="F11" s="446" t="s">
        <v>534</v>
      </c>
      <c r="G11" s="447">
        <v>0</v>
      </c>
      <c r="H11" s="310" t="s">
        <v>446</v>
      </c>
      <c r="I11" s="448">
        <v>0</v>
      </c>
      <c r="J11" s="439"/>
      <c r="K11" s="320" t="s">
        <v>463</v>
      </c>
      <c r="L11" s="450" t="s">
        <v>541</v>
      </c>
      <c r="M11" s="446" t="s">
        <v>539</v>
      </c>
      <c r="N11" s="449">
        <v>6.9445403746046061E-2</v>
      </c>
      <c r="O11" s="310">
        <v>97.023659043659038</v>
      </c>
      <c r="P11" s="388">
        <v>5.6148726460046789E-4</v>
      </c>
      <c r="Q11" s="29">
        <f>'Assumptions-Output Target'!G17</f>
        <v>30.555555941780163</v>
      </c>
      <c r="R11" s="388">
        <f>N11*Q11/12000</f>
        <v>1.7682857658848501E-4</v>
      </c>
      <c r="S11" s="388">
        <f>P11-R11</f>
        <v>3.8465868801198285E-4</v>
      </c>
    </row>
    <row r="12" spans="2:19" x14ac:dyDescent="0.2">
      <c r="D12" s="446" t="s">
        <v>1</v>
      </c>
      <c r="E12" s="446" t="s">
        <v>542</v>
      </c>
      <c r="F12" s="446" t="s">
        <v>534</v>
      </c>
      <c r="G12" s="447">
        <v>0</v>
      </c>
      <c r="H12" s="310" t="s">
        <v>446</v>
      </c>
      <c r="I12" s="448">
        <v>0</v>
      </c>
      <c r="J12" s="439"/>
      <c r="K12" s="320" t="s">
        <v>464</v>
      </c>
      <c r="L12" s="450" t="s">
        <v>541</v>
      </c>
      <c r="M12" s="446" t="s">
        <v>539</v>
      </c>
      <c r="N12" s="449">
        <v>3.3895420867898602</v>
      </c>
      <c r="O12" s="310">
        <v>17.010089875197007</v>
      </c>
      <c r="P12" s="388">
        <v>4.8047012943381942E-3</v>
      </c>
      <c r="Q12" s="29">
        <f>'Assumptions-Output Target'!H17</f>
        <v>55.000000695204292</v>
      </c>
      <c r="R12" s="388">
        <f>N12*Q12/12000</f>
        <v>1.5535401427488877E-2</v>
      </c>
      <c r="S12" s="388">
        <f>P12-R12</f>
        <v>-1.0730700133150682E-2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1.1447081733449551E-2</v>
      </c>
      <c r="R15" s="388">
        <f>SUM(R8:R13)</f>
        <v>1.5712230004077361E-2</v>
      </c>
      <c r="S15" s="388">
        <f>SUM(S8:S13)</f>
        <v>-4.2651482706278108E-3</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5.7750855506067398E-4</v>
      </c>
      <c r="H19" s="310">
        <v>203.00000000000003</v>
      </c>
      <c r="I19" s="448">
        <v>9.7695197231097355E-6</v>
      </c>
      <c r="J19" s="439"/>
    </row>
    <row r="20" spans="4:10" x14ac:dyDescent="0.2">
      <c r="D20" s="446" t="s">
        <v>462</v>
      </c>
      <c r="E20" s="446" t="s">
        <v>550</v>
      </c>
      <c r="F20" s="446" t="s">
        <v>537</v>
      </c>
      <c r="G20" s="447">
        <v>1.3427073905160668E-2</v>
      </c>
      <c r="H20" s="310">
        <v>534.85333333333335</v>
      </c>
      <c r="I20" s="448">
        <v>5.9845960292401678E-4</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4.8136626845233871E-2</v>
      </c>
      <c r="H52" s="310">
        <v>555.38954822954815</v>
      </c>
      <c r="I52" s="448">
        <v>2.2278816197390649E-3</v>
      </c>
      <c r="J52" s="439"/>
    </row>
    <row r="53" spans="4:10" x14ac:dyDescent="0.2">
      <c r="D53" s="446" t="s">
        <v>462</v>
      </c>
      <c r="E53" s="446" t="s">
        <v>584</v>
      </c>
      <c r="F53" s="446" t="s">
        <v>554</v>
      </c>
      <c r="G53" s="447">
        <v>2.6603283839591934E-3</v>
      </c>
      <c r="H53" s="310">
        <v>555.38954822954815</v>
      </c>
      <c r="I53" s="448">
        <v>1.2312654827577836E-4</v>
      </c>
      <c r="J53" s="439"/>
    </row>
    <row r="54" spans="4:10" x14ac:dyDescent="0.2">
      <c r="D54" s="446" t="s">
        <v>462</v>
      </c>
      <c r="E54" s="446" t="s">
        <v>585</v>
      </c>
      <c r="F54" s="446" t="s">
        <v>554</v>
      </c>
      <c r="G54" s="447">
        <v>1.1779806898733156E-2</v>
      </c>
      <c r="H54" s="310">
        <v>555.38954822954815</v>
      </c>
      <c r="I54" s="448">
        <v>5.4519846930989346E-4</v>
      </c>
      <c r="J54" s="439"/>
    </row>
    <row r="55" spans="4:10" x14ac:dyDescent="0.2">
      <c r="D55" s="446" t="s">
        <v>462</v>
      </c>
      <c r="E55" s="446" t="s">
        <v>586</v>
      </c>
      <c r="F55" s="446" t="s">
        <v>537</v>
      </c>
      <c r="G55" s="447">
        <v>6.4392791787152388E-3</v>
      </c>
      <c r="H55" s="310">
        <v>555.38954822954815</v>
      </c>
      <c r="I55" s="448">
        <v>2.9802569616588269E-4</v>
      </c>
      <c r="J55" s="439"/>
    </row>
    <row r="56" spans="4:10" x14ac:dyDescent="0.2">
      <c r="D56" s="446" t="s">
        <v>462</v>
      </c>
      <c r="E56" s="446" t="s">
        <v>5</v>
      </c>
      <c r="F56" s="446" t="s">
        <v>537</v>
      </c>
      <c r="G56" s="447">
        <v>5.5217492278911637E-3</v>
      </c>
      <c r="H56" s="310">
        <v>555.38954822954827</v>
      </c>
      <c r="I56" s="448">
        <v>2.5556015075961085E-4</v>
      </c>
      <c r="J56" s="439"/>
    </row>
    <row r="57" spans="4:10" x14ac:dyDescent="0.2">
      <c r="D57" s="446" t="s">
        <v>462</v>
      </c>
      <c r="E57" s="446" t="s">
        <v>587</v>
      </c>
      <c r="F57" s="446" t="s">
        <v>537</v>
      </c>
      <c r="G57" s="447">
        <v>1.4582355949452761E-2</v>
      </c>
      <c r="H57" s="310">
        <v>555.38954822954815</v>
      </c>
      <c r="I57" s="448">
        <v>6.7490734024075276E-4</v>
      </c>
      <c r="J57" s="439"/>
    </row>
    <row r="58" spans="4:10" x14ac:dyDescent="0.2">
      <c r="D58" s="446" t="s">
        <v>462</v>
      </c>
      <c r="E58" s="446" t="s">
        <v>588</v>
      </c>
      <c r="F58" s="446" t="s">
        <v>537</v>
      </c>
      <c r="G58" s="447">
        <v>9.850683183972149E-3</v>
      </c>
      <c r="H58" s="310">
        <v>555.38954822954815</v>
      </c>
      <c r="I58" s="448">
        <v>4.5591387360822489E-4</v>
      </c>
      <c r="J58" s="439"/>
    </row>
    <row r="59" spans="4:10" x14ac:dyDescent="0.2">
      <c r="D59" s="446" t="s">
        <v>462</v>
      </c>
      <c r="E59" s="446" t="s">
        <v>589</v>
      </c>
      <c r="F59" s="446" t="s">
        <v>537</v>
      </c>
      <c r="G59" s="447">
        <v>3.8077361579918574E-3</v>
      </c>
      <c r="H59" s="310">
        <v>555.38954822954827</v>
      </c>
      <c r="I59" s="448">
        <v>1.7623140538036778E-4</v>
      </c>
      <c r="J59" s="439"/>
    </row>
    <row r="60" spans="4:10" x14ac:dyDescent="0.2">
      <c r="D60" s="446" t="s">
        <v>462</v>
      </c>
      <c r="E60" s="446" t="s">
        <v>590</v>
      </c>
      <c r="F60" s="446" t="s">
        <v>537</v>
      </c>
      <c r="G60" s="447">
        <v>3.6344142172884801E-3</v>
      </c>
      <c r="H60" s="310">
        <v>555.38954822954815</v>
      </c>
      <c r="I60" s="448">
        <v>1.6820963918490799E-4</v>
      </c>
      <c r="J60" s="439"/>
    </row>
    <row r="61" spans="4:10" x14ac:dyDescent="0.2">
      <c r="D61" s="446" t="s">
        <v>462</v>
      </c>
      <c r="E61" s="446" t="s">
        <v>591</v>
      </c>
      <c r="F61" s="446" t="s">
        <v>537</v>
      </c>
      <c r="G61" s="447">
        <v>6.0259908407722246E-3</v>
      </c>
      <c r="H61" s="310">
        <v>555.38954822954815</v>
      </c>
      <c r="I61" s="448">
        <v>2.7889769422432338E-4</v>
      </c>
      <c r="J61" s="439"/>
    </row>
    <row r="62" spans="4:10" x14ac:dyDescent="0.2">
      <c r="D62" s="446" t="s">
        <v>462</v>
      </c>
      <c r="E62" s="446" t="s">
        <v>592</v>
      </c>
      <c r="F62" s="446" t="s">
        <v>537</v>
      </c>
      <c r="G62" s="447">
        <v>5.8059057646629077E-3</v>
      </c>
      <c r="H62" s="310">
        <v>555.38954822954827</v>
      </c>
      <c r="I62" s="448">
        <v>2.6871161497495517E-4</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0.13224945910889438</v>
      </c>
      <c r="H64" s="463"/>
      <c r="I64" s="464">
        <v>6.0808931745108888E-3</v>
      </c>
      <c r="J64" s="439"/>
    </row>
    <row r="65" spans="4:10" x14ac:dyDescent="0.2">
      <c r="D65" s="446" t="s">
        <v>595</v>
      </c>
      <c r="E65" s="446" t="s">
        <v>596</v>
      </c>
      <c r="F65" s="446" t="s">
        <v>554</v>
      </c>
      <c r="G65" s="447">
        <v>1.4437713876516849E-4</v>
      </c>
      <c r="H65" s="310">
        <v>251</v>
      </c>
      <c r="I65" s="448">
        <v>3.0198884858381079E-6</v>
      </c>
      <c r="J65" s="439"/>
    </row>
    <row r="66" spans="4:10" x14ac:dyDescent="0.2">
      <c r="D66" s="446" t="s">
        <v>595</v>
      </c>
      <c r="E66" s="446" t="s">
        <v>563</v>
      </c>
      <c r="F66" s="446" t="s">
        <v>554</v>
      </c>
      <c r="G66" s="447">
        <v>4.3313141629550551E-4</v>
      </c>
      <c r="H66" s="310">
        <v>87.333333333333343</v>
      </c>
      <c r="I66" s="448">
        <v>3.1522341963728457E-6</v>
      </c>
      <c r="J66" s="439"/>
    </row>
    <row r="67" spans="4:10" x14ac:dyDescent="0.2">
      <c r="D67" s="446" t="s">
        <v>595</v>
      </c>
      <c r="E67" s="446" t="s">
        <v>564</v>
      </c>
      <c r="F67" s="446" t="s">
        <v>554</v>
      </c>
      <c r="G67" s="447">
        <v>8.1717460541085377E-2</v>
      </c>
      <c r="H67" s="310">
        <v>101.07342756183745</v>
      </c>
      <c r="I67" s="448">
        <v>6.8828865237805859E-4</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4.3313141629550551E-4</v>
      </c>
      <c r="H69" s="310">
        <v>108.57666666666668</v>
      </c>
      <c r="I69" s="448">
        <v>3.9189971174981948E-6</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8.2294969096146052E-3</v>
      </c>
      <c r="H72" s="310">
        <v>249.80315789473681</v>
      </c>
      <c r="I72" s="448">
        <v>1.7131285965889218E-4</v>
      </c>
      <c r="J72" s="439"/>
    </row>
    <row r="73" spans="4:10" x14ac:dyDescent="0.2">
      <c r="D73" s="446" t="s">
        <v>595</v>
      </c>
      <c r="E73" s="446" t="s">
        <v>598</v>
      </c>
      <c r="F73" s="446" t="s">
        <v>554</v>
      </c>
      <c r="G73" s="447">
        <v>0</v>
      </c>
      <c r="H73" s="310" t="s">
        <v>446</v>
      </c>
      <c r="I73" s="448">
        <v>0</v>
      </c>
      <c r="J73" s="439"/>
    </row>
    <row r="74" spans="4:10" x14ac:dyDescent="0.2">
      <c r="D74" s="446" t="s">
        <v>595</v>
      </c>
      <c r="E74" s="446" t="s">
        <v>549</v>
      </c>
      <c r="F74" s="446" t="s">
        <v>554</v>
      </c>
      <c r="G74" s="447">
        <v>2.3822227896252809E-2</v>
      </c>
      <c r="H74" s="310">
        <v>73.511636363636356</v>
      </c>
      <c r="I74" s="448">
        <v>1.4593424620675086E-4</v>
      </c>
      <c r="J74" s="439"/>
    </row>
    <row r="75" spans="4:10" x14ac:dyDescent="0.2">
      <c r="D75" s="446" t="s">
        <v>595</v>
      </c>
      <c r="E75" s="446" t="s">
        <v>571</v>
      </c>
      <c r="F75" s="446" t="s">
        <v>554</v>
      </c>
      <c r="G75" s="447">
        <v>0</v>
      </c>
      <c r="H75" s="310" t="s">
        <v>446</v>
      </c>
      <c r="I75" s="448">
        <v>0</v>
      </c>
      <c r="J75" s="439"/>
    </row>
    <row r="76" spans="4:10" x14ac:dyDescent="0.2">
      <c r="D76" s="446" t="s">
        <v>595</v>
      </c>
      <c r="E76" s="446" t="s">
        <v>561</v>
      </c>
      <c r="F76" s="446" t="s">
        <v>554</v>
      </c>
      <c r="G76" s="447">
        <v>8.6626283259101102E-4</v>
      </c>
      <c r="H76" s="310">
        <v>158.66666666666666</v>
      </c>
      <c r="I76" s="448">
        <v>1.1453919675370034E-5</v>
      </c>
      <c r="J76" s="439"/>
    </row>
    <row r="77" spans="4:10" x14ac:dyDescent="0.2">
      <c r="D77" s="446" t="s">
        <v>595</v>
      </c>
      <c r="E77" s="446" t="s">
        <v>599</v>
      </c>
      <c r="F77" s="446" t="s">
        <v>554</v>
      </c>
      <c r="G77" s="447">
        <v>6.8579140913455031E-2</v>
      </c>
      <c r="H77" s="310">
        <v>83.1818105263158</v>
      </c>
      <c r="I77" s="448">
        <v>4.7537809212671071E-4</v>
      </c>
      <c r="J77" s="439"/>
    </row>
    <row r="78" spans="4:10" x14ac:dyDescent="0.2">
      <c r="D78" s="446" t="s">
        <v>595</v>
      </c>
      <c r="E78" s="446" t="s">
        <v>600</v>
      </c>
      <c r="F78" s="446" t="s">
        <v>554</v>
      </c>
      <c r="G78" s="447">
        <v>1.4437713876516849E-4</v>
      </c>
      <c r="H78" s="310">
        <v>154</v>
      </c>
      <c r="I78" s="448">
        <v>1.8528399474863289E-6</v>
      </c>
      <c r="J78" s="439"/>
    </row>
    <row r="79" spans="4:10" x14ac:dyDescent="0.2">
      <c r="D79" s="446" t="s">
        <v>595</v>
      </c>
      <c r="E79" s="446" t="s">
        <v>555</v>
      </c>
      <c r="F79" s="446" t="s">
        <v>554</v>
      </c>
      <c r="G79" s="447">
        <v>3.4650513303640447E-2</v>
      </c>
      <c r="H79" s="310">
        <v>110.97816666666665</v>
      </c>
      <c r="I79" s="448">
        <v>3.2045420337474664E-4</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1.4437713876516849E-4</v>
      </c>
      <c r="H81" s="310">
        <v>55</v>
      </c>
      <c r="I81" s="448">
        <v>6.61728552673689E-7</v>
      </c>
      <c r="J81" s="439"/>
    </row>
    <row r="82" spans="4:10" x14ac:dyDescent="0.2">
      <c r="D82" s="446" t="s">
        <v>595</v>
      </c>
      <c r="E82" s="446" t="s">
        <v>574</v>
      </c>
      <c r="F82" s="446" t="s">
        <v>554</v>
      </c>
      <c r="G82" s="447">
        <v>1.732525665182022E-3</v>
      </c>
      <c r="H82" s="310">
        <v>116.98583333333333</v>
      </c>
      <c r="I82" s="448">
        <v>1.6890079892725542E-5</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1.0106399713561795E-2</v>
      </c>
      <c r="H84" s="310">
        <v>105.77857142857144</v>
      </c>
      <c r="I84" s="448">
        <v>8.9086710332224187E-5</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1.0106399713561793E-3</v>
      </c>
      <c r="H86" s="310">
        <v>36.428571428571438</v>
      </c>
      <c r="I86" s="448">
        <v>3.0680141987598306E-6</v>
      </c>
      <c r="J86" s="439"/>
    </row>
    <row r="87" spans="4:10" x14ac:dyDescent="0.2">
      <c r="D87" s="446" t="s">
        <v>595</v>
      </c>
      <c r="E87" s="446" t="s">
        <v>550</v>
      </c>
      <c r="F87" s="446" t="s">
        <v>554</v>
      </c>
      <c r="G87" s="447">
        <v>7.2477323660114584E-2</v>
      </c>
      <c r="H87" s="310">
        <v>532.35637450199215</v>
      </c>
      <c r="I87" s="448">
        <v>3.215313771442171E-3</v>
      </c>
      <c r="J87" s="439"/>
    </row>
    <row r="88" spans="4:10" x14ac:dyDescent="0.2">
      <c r="D88" s="446" t="s">
        <v>595</v>
      </c>
      <c r="E88" s="446" t="s">
        <v>579</v>
      </c>
      <c r="F88" s="446" t="s">
        <v>554</v>
      </c>
      <c r="G88" s="447">
        <v>0</v>
      </c>
      <c r="H88" s="310" t="s">
        <v>446</v>
      </c>
      <c r="I88" s="448">
        <v>0</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1.4437713876516849E-4</v>
      </c>
      <c r="H90" s="310">
        <v>161.00000000000003</v>
      </c>
      <c r="I90" s="448">
        <v>1.9370599450993442E-6</v>
      </c>
      <c r="J90" s="439"/>
    </row>
    <row r="91" spans="4:10" x14ac:dyDescent="0.2">
      <c r="D91" s="446" t="s">
        <v>595</v>
      </c>
      <c r="E91" s="446" t="s">
        <v>577</v>
      </c>
      <c r="F91" s="446" t="s">
        <v>554</v>
      </c>
      <c r="G91" s="447">
        <v>1.645899381922921E-2</v>
      </c>
      <c r="H91" s="310">
        <v>23.85649122807018</v>
      </c>
      <c r="I91" s="448">
        <v>3.2721153472608578E-5</v>
      </c>
      <c r="J91" s="439"/>
    </row>
    <row r="92" spans="4:10" x14ac:dyDescent="0.2">
      <c r="D92" s="446" t="s">
        <v>595</v>
      </c>
      <c r="E92" s="446" t="s">
        <v>576</v>
      </c>
      <c r="F92" s="446" t="s">
        <v>554</v>
      </c>
      <c r="G92" s="447">
        <v>8.6626283259101102E-4</v>
      </c>
      <c r="H92" s="310">
        <v>83.283333333333317</v>
      </c>
      <c r="I92" s="448">
        <v>6.0121046867462249E-6</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1.4437713876516849E-4</v>
      </c>
      <c r="H95" s="310">
        <v>20.510000000000005</v>
      </c>
      <c r="I95" s="448">
        <v>2.4676459300613385E-7</v>
      </c>
      <c r="J95" s="439"/>
    </row>
    <row r="96" spans="4:10" x14ac:dyDescent="0.2">
      <c r="D96" s="446" t="s">
        <v>595</v>
      </c>
      <c r="E96" s="446" t="s">
        <v>565</v>
      </c>
      <c r="F96" s="446" t="s">
        <v>554</v>
      </c>
      <c r="G96" s="447">
        <v>1.0106399713561795E-3</v>
      </c>
      <c r="H96" s="310">
        <v>93.000000000000014</v>
      </c>
      <c r="I96" s="448">
        <v>7.8324597780103918E-6</v>
      </c>
      <c r="J96" s="439"/>
    </row>
    <row r="97" spans="4:13" x14ac:dyDescent="0.2">
      <c r="D97" s="446" t="s">
        <v>595</v>
      </c>
      <c r="E97" s="446" t="s">
        <v>604</v>
      </c>
      <c r="F97" s="446" t="s">
        <v>554</v>
      </c>
      <c r="G97" s="447">
        <v>7.0744797994932562E-3</v>
      </c>
      <c r="H97" s="310">
        <v>81.828775510204096</v>
      </c>
      <c r="I97" s="448">
        <v>4.8241334947017273E-5</v>
      </c>
      <c r="J97" s="439"/>
    </row>
    <row r="98" spans="4:13" x14ac:dyDescent="0.2">
      <c r="D98" s="446" t="s">
        <v>595</v>
      </c>
      <c r="E98" s="446" t="s">
        <v>569</v>
      </c>
      <c r="F98" s="446" t="s">
        <v>554</v>
      </c>
      <c r="G98" s="447">
        <v>2.8875427753033699E-4</v>
      </c>
      <c r="H98" s="310">
        <v>49.999999999999993</v>
      </c>
      <c r="I98" s="448">
        <v>1.2031428230430708E-6</v>
      </c>
      <c r="J98" s="439"/>
    </row>
    <row r="99" spans="4:13" x14ac:dyDescent="0.2">
      <c r="D99" s="446" t="s">
        <v>595</v>
      </c>
      <c r="E99" s="446" t="s">
        <v>553</v>
      </c>
      <c r="F99" s="446" t="s">
        <v>554</v>
      </c>
      <c r="G99" s="447">
        <v>1.4004582460221345E-2</v>
      </c>
      <c r="H99" s="310">
        <v>62.951443298969075</v>
      </c>
      <c r="I99" s="448">
        <v>7.346738988919674E-5</v>
      </c>
      <c r="J99" s="439"/>
    </row>
    <row r="100" spans="4:13" x14ac:dyDescent="0.2">
      <c r="D100" s="446" t="s">
        <v>595</v>
      </c>
      <c r="E100" s="446" t="s">
        <v>570</v>
      </c>
      <c r="F100" s="446" t="s">
        <v>554</v>
      </c>
      <c r="G100" s="447">
        <v>1.732525665182022E-3</v>
      </c>
      <c r="H100" s="310">
        <v>22.250000000000004</v>
      </c>
      <c r="I100" s="448">
        <v>3.2123913375249992E-6</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7.218856938258425E-4</v>
      </c>
      <c r="H102" s="310">
        <v>13.799999999999999</v>
      </c>
      <c r="I102" s="448">
        <v>8.3016854789971887E-7</v>
      </c>
      <c r="J102" s="439"/>
    </row>
    <row r="103" spans="4:13" x14ac:dyDescent="0.2">
      <c r="D103" s="446" t="s">
        <v>595</v>
      </c>
      <c r="E103" s="446" t="s">
        <v>560</v>
      </c>
      <c r="F103" s="446" t="s">
        <v>554</v>
      </c>
      <c r="G103" s="447">
        <v>1.4437713876516849E-4</v>
      </c>
      <c r="H103" s="310">
        <v>77</v>
      </c>
      <c r="I103" s="448">
        <v>9.2641997374316443E-7</v>
      </c>
      <c r="J103" s="439"/>
    </row>
    <row r="104" spans="4:13" x14ac:dyDescent="0.2">
      <c r="D104" s="446" t="s">
        <v>595</v>
      </c>
      <c r="E104" s="446" t="s">
        <v>575</v>
      </c>
      <c r="F104" s="446" t="s">
        <v>554</v>
      </c>
      <c r="G104" s="447">
        <v>7.218856938258425E-4</v>
      </c>
      <c r="H104" s="310">
        <v>85.548000000000016</v>
      </c>
      <c r="I104" s="448">
        <v>5.1463231112844318E-6</v>
      </c>
      <c r="J104" s="439"/>
    </row>
    <row r="105" spans="4:13" x14ac:dyDescent="0.2">
      <c r="D105" s="446" t="s">
        <v>595</v>
      </c>
      <c r="E105" s="446" t="s">
        <v>566</v>
      </c>
      <c r="F105" s="446" t="s">
        <v>554</v>
      </c>
      <c r="G105" s="447">
        <v>2.3100342202426959E-3</v>
      </c>
      <c r="H105" s="310">
        <v>157.22062500000004</v>
      </c>
      <c r="I105" s="448">
        <v>3.0265418656495365E-5</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1.6829981888264529E-2</v>
      </c>
      <c r="I107" s="454">
        <v>4.360189590708089E-6</v>
      </c>
      <c r="J107" s="439"/>
    </row>
    <row r="108" spans="4:13" ht="16" x14ac:dyDescent="0.2">
      <c r="D108" s="461" t="s">
        <v>605</v>
      </c>
      <c r="E108" s="460"/>
      <c r="F108" s="460"/>
      <c r="G108" s="465">
        <v>3.4589874905359062</v>
      </c>
      <c r="H108" s="466"/>
      <c r="I108" s="467">
        <v>5.3661885589386619E-3</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1.1447081733449551E-2</v>
      </c>
      <c r="J118" s="439"/>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779</v>
      </c>
      <c r="G3"/>
      <c r="H3"/>
      <c r="I3"/>
    </row>
    <row r="4" spans="2:19" x14ac:dyDescent="0.2">
      <c r="G4"/>
      <c r="H4"/>
      <c r="I4"/>
    </row>
    <row r="5" spans="2:19" ht="16" x14ac:dyDescent="0.2">
      <c r="D5" s="438" t="s">
        <v>780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0.13224945910889438</v>
      </c>
      <c r="O10" s="310">
        <v>551.76572052401718</v>
      </c>
      <c r="P10" s="388">
        <v>6.0808931745108888E-3</v>
      </c>
      <c r="Q10" s="29">
        <v>0</v>
      </c>
      <c r="R10" s="388">
        <f>N10*Q10/12000</f>
        <v>0</v>
      </c>
      <c r="S10" s="388">
        <f>P10-R10</f>
        <v>6.0808931745108888E-3</v>
      </c>
    </row>
    <row r="11" spans="2:19" x14ac:dyDescent="0.2">
      <c r="D11" s="446" t="s">
        <v>1</v>
      </c>
      <c r="E11" s="446" t="s">
        <v>540</v>
      </c>
      <c r="F11" s="446" t="s">
        <v>534</v>
      </c>
      <c r="G11" s="447">
        <v>0</v>
      </c>
      <c r="H11" s="310" t="s">
        <v>446</v>
      </c>
      <c r="I11" s="448">
        <v>0</v>
      </c>
      <c r="J11" s="439"/>
      <c r="K11" s="320" t="s">
        <v>463</v>
      </c>
      <c r="L11" s="450" t="s">
        <v>541</v>
      </c>
      <c r="M11" s="446" t="s">
        <v>539</v>
      </c>
      <c r="N11" s="449">
        <v>6.9445403746046061E-2</v>
      </c>
      <c r="O11" s="310">
        <v>97.023659043659038</v>
      </c>
      <c r="P11" s="388">
        <v>5.6148726460046789E-4</v>
      </c>
      <c r="Q11" s="29">
        <f>'Assumptions-Output Override'!G19</f>
        <v>30</v>
      </c>
      <c r="R11" s="388">
        <f>N11*Q11/12000</f>
        <v>1.7361350936511514E-4</v>
      </c>
      <c r="S11" s="388">
        <f>P11-R11</f>
        <v>3.8787375523535272E-4</v>
      </c>
    </row>
    <row r="12" spans="2:19" x14ac:dyDescent="0.2">
      <c r="D12" s="446" t="s">
        <v>1</v>
      </c>
      <c r="E12" s="446" t="s">
        <v>542</v>
      </c>
      <c r="F12" s="446" t="s">
        <v>534</v>
      </c>
      <c r="G12" s="447">
        <v>0</v>
      </c>
      <c r="H12" s="310" t="s">
        <v>446</v>
      </c>
      <c r="I12" s="448">
        <v>0</v>
      </c>
      <c r="J12" s="439"/>
      <c r="K12" s="320" t="s">
        <v>464</v>
      </c>
      <c r="L12" s="450" t="s">
        <v>541</v>
      </c>
      <c r="M12" s="446" t="s">
        <v>539</v>
      </c>
      <c r="N12" s="449">
        <v>3.3895420867898602</v>
      </c>
      <c r="O12" s="310">
        <v>17.010089875197007</v>
      </c>
      <c r="P12" s="388">
        <v>4.8047012943381942E-3</v>
      </c>
      <c r="Q12" s="29">
        <f>'Assumptions-Output Override'!H19</f>
        <v>60</v>
      </c>
      <c r="R12" s="388">
        <f>N12*Q12/12000</f>
        <v>1.6947710433949301E-2</v>
      </c>
      <c r="S12" s="388">
        <f>P12-R12</f>
        <v>-1.2143009139611107E-2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1.1447081733449551E-2</v>
      </c>
      <c r="R15" s="388">
        <f>SUM(R8:R13)</f>
        <v>1.7121323943314417E-2</v>
      </c>
      <c r="S15" s="388">
        <f>SUM(S8:S13)</f>
        <v>-5.6742422098648654E-3</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5.7750855506067398E-4</v>
      </c>
      <c r="H19" s="310">
        <v>203.00000000000003</v>
      </c>
      <c r="I19" s="448">
        <v>9.7695197231097355E-6</v>
      </c>
      <c r="J19" s="439"/>
    </row>
    <row r="20" spans="4:10" x14ac:dyDescent="0.2">
      <c r="D20" s="446" t="s">
        <v>462</v>
      </c>
      <c r="E20" s="446" t="s">
        <v>550</v>
      </c>
      <c r="F20" s="446" t="s">
        <v>537</v>
      </c>
      <c r="G20" s="447">
        <v>1.3427073905160668E-2</v>
      </c>
      <c r="H20" s="310">
        <v>534.85333333333335</v>
      </c>
      <c r="I20" s="448">
        <v>5.9845960292401678E-4</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4.8136626845233871E-2</v>
      </c>
      <c r="H52" s="310">
        <v>555.38954822954815</v>
      </c>
      <c r="I52" s="448">
        <v>2.2278816197390649E-3</v>
      </c>
      <c r="J52" s="439"/>
    </row>
    <row r="53" spans="4:10" x14ac:dyDescent="0.2">
      <c r="D53" s="446" t="s">
        <v>462</v>
      </c>
      <c r="E53" s="446" t="s">
        <v>584</v>
      </c>
      <c r="F53" s="446" t="s">
        <v>554</v>
      </c>
      <c r="G53" s="447">
        <v>2.6603283839591934E-3</v>
      </c>
      <c r="H53" s="310">
        <v>555.38954822954815</v>
      </c>
      <c r="I53" s="448">
        <v>1.2312654827577836E-4</v>
      </c>
      <c r="J53" s="439"/>
    </row>
    <row r="54" spans="4:10" x14ac:dyDescent="0.2">
      <c r="D54" s="446" t="s">
        <v>462</v>
      </c>
      <c r="E54" s="446" t="s">
        <v>585</v>
      </c>
      <c r="F54" s="446" t="s">
        <v>554</v>
      </c>
      <c r="G54" s="447">
        <v>1.1779806898733156E-2</v>
      </c>
      <c r="H54" s="310">
        <v>555.38954822954815</v>
      </c>
      <c r="I54" s="448">
        <v>5.4519846930989346E-4</v>
      </c>
      <c r="J54" s="439"/>
    </row>
    <row r="55" spans="4:10" x14ac:dyDescent="0.2">
      <c r="D55" s="446" t="s">
        <v>462</v>
      </c>
      <c r="E55" s="446" t="s">
        <v>586</v>
      </c>
      <c r="F55" s="446" t="s">
        <v>537</v>
      </c>
      <c r="G55" s="447">
        <v>6.4392791787152388E-3</v>
      </c>
      <c r="H55" s="310">
        <v>555.38954822954815</v>
      </c>
      <c r="I55" s="448">
        <v>2.9802569616588269E-4</v>
      </c>
      <c r="J55" s="439"/>
    </row>
    <row r="56" spans="4:10" x14ac:dyDescent="0.2">
      <c r="D56" s="446" t="s">
        <v>462</v>
      </c>
      <c r="E56" s="446" t="s">
        <v>5</v>
      </c>
      <c r="F56" s="446" t="s">
        <v>537</v>
      </c>
      <c r="G56" s="447">
        <v>5.5217492278911637E-3</v>
      </c>
      <c r="H56" s="310">
        <v>555.38954822954827</v>
      </c>
      <c r="I56" s="448">
        <v>2.5556015075961085E-4</v>
      </c>
      <c r="J56" s="439"/>
    </row>
    <row r="57" spans="4:10" x14ac:dyDescent="0.2">
      <c r="D57" s="446" t="s">
        <v>462</v>
      </c>
      <c r="E57" s="446" t="s">
        <v>587</v>
      </c>
      <c r="F57" s="446" t="s">
        <v>537</v>
      </c>
      <c r="G57" s="447">
        <v>1.4582355949452761E-2</v>
      </c>
      <c r="H57" s="310">
        <v>555.38954822954815</v>
      </c>
      <c r="I57" s="448">
        <v>6.7490734024075276E-4</v>
      </c>
      <c r="J57" s="439"/>
    </row>
    <row r="58" spans="4:10" x14ac:dyDescent="0.2">
      <c r="D58" s="446" t="s">
        <v>462</v>
      </c>
      <c r="E58" s="446" t="s">
        <v>588</v>
      </c>
      <c r="F58" s="446" t="s">
        <v>537</v>
      </c>
      <c r="G58" s="447">
        <v>9.850683183972149E-3</v>
      </c>
      <c r="H58" s="310">
        <v>555.38954822954815</v>
      </c>
      <c r="I58" s="448">
        <v>4.5591387360822489E-4</v>
      </c>
      <c r="J58" s="439"/>
    </row>
    <row r="59" spans="4:10" x14ac:dyDescent="0.2">
      <c r="D59" s="446" t="s">
        <v>462</v>
      </c>
      <c r="E59" s="446" t="s">
        <v>589</v>
      </c>
      <c r="F59" s="446" t="s">
        <v>537</v>
      </c>
      <c r="G59" s="447">
        <v>3.8077361579918574E-3</v>
      </c>
      <c r="H59" s="310">
        <v>555.38954822954827</v>
      </c>
      <c r="I59" s="448">
        <v>1.7623140538036778E-4</v>
      </c>
      <c r="J59" s="439"/>
    </row>
    <row r="60" spans="4:10" x14ac:dyDescent="0.2">
      <c r="D60" s="446" t="s">
        <v>462</v>
      </c>
      <c r="E60" s="446" t="s">
        <v>590</v>
      </c>
      <c r="F60" s="446" t="s">
        <v>537</v>
      </c>
      <c r="G60" s="447">
        <v>3.6344142172884801E-3</v>
      </c>
      <c r="H60" s="310">
        <v>555.38954822954815</v>
      </c>
      <c r="I60" s="448">
        <v>1.6820963918490799E-4</v>
      </c>
      <c r="J60" s="439"/>
    </row>
    <row r="61" spans="4:10" x14ac:dyDescent="0.2">
      <c r="D61" s="446" t="s">
        <v>462</v>
      </c>
      <c r="E61" s="446" t="s">
        <v>591</v>
      </c>
      <c r="F61" s="446" t="s">
        <v>537</v>
      </c>
      <c r="G61" s="447">
        <v>6.0259908407722246E-3</v>
      </c>
      <c r="H61" s="310">
        <v>555.38954822954815</v>
      </c>
      <c r="I61" s="448">
        <v>2.7889769422432338E-4</v>
      </c>
      <c r="J61" s="439"/>
    </row>
    <row r="62" spans="4:10" x14ac:dyDescent="0.2">
      <c r="D62" s="446" t="s">
        <v>462</v>
      </c>
      <c r="E62" s="446" t="s">
        <v>592</v>
      </c>
      <c r="F62" s="446" t="s">
        <v>537</v>
      </c>
      <c r="G62" s="447">
        <v>5.8059057646629077E-3</v>
      </c>
      <c r="H62" s="310">
        <v>555.38954822954827</v>
      </c>
      <c r="I62" s="448">
        <v>2.6871161497495517E-4</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0.13224945910889438</v>
      </c>
      <c r="H64" s="463"/>
      <c r="I64" s="464">
        <v>6.0808931745108888E-3</v>
      </c>
      <c r="J64" s="439"/>
    </row>
    <row r="65" spans="4:10" x14ac:dyDescent="0.2">
      <c r="D65" s="446" t="s">
        <v>595</v>
      </c>
      <c r="E65" s="446" t="s">
        <v>596</v>
      </c>
      <c r="F65" s="446" t="s">
        <v>554</v>
      </c>
      <c r="G65" s="447">
        <v>1.4437713876516849E-4</v>
      </c>
      <c r="H65" s="310">
        <v>251</v>
      </c>
      <c r="I65" s="448">
        <v>3.0198884858381079E-6</v>
      </c>
      <c r="J65" s="439"/>
    </row>
    <row r="66" spans="4:10" x14ac:dyDescent="0.2">
      <c r="D66" s="446" t="s">
        <v>595</v>
      </c>
      <c r="E66" s="446" t="s">
        <v>563</v>
      </c>
      <c r="F66" s="446" t="s">
        <v>554</v>
      </c>
      <c r="G66" s="447">
        <v>4.3313141629550551E-4</v>
      </c>
      <c r="H66" s="310">
        <v>87.333333333333343</v>
      </c>
      <c r="I66" s="448">
        <v>3.1522341963728457E-6</v>
      </c>
      <c r="J66" s="439"/>
    </row>
    <row r="67" spans="4:10" x14ac:dyDescent="0.2">
      <c r="D67" s="446" t="s">
        <v>595</v>
      </c>
      <c r="E67" s="446" t="s">
        <v>564</v>
      </c>
      <c r="F67" s="446" t="s">
        <v>554</v>
      </c>
      <c r="G67" s="447">
        <v>8.1717460541085377E-2</v>
      </c>
      <c r="H67" s="310">
        <v>101.07342756183745</v>
      </c>
      <c r="I67" s="448">
        <v>6.8828865237805859E-4</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4.3313141629550551E-4</v>
      </c>
      <c r="H69" s="310">
        <v>108.57666666666668</v>
      </c>
      <c r="I69" s="448">
        <v>3.9189971174981948E-6</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8.2294969096146052E-3</v>
      </c>
      <c r="H72" s="310">
        <v>249.80315789473681</v>
      </c>
      <c r="I72" s="448">
        <v>1.7131285965889218E-4</v>
      </c>
      <c r="J72" s="439"/>
    </row>
    <row r="73" spans="4:10" x14ac:dyDescent="0.2">
      <c r="D73" s="446" t="s">
        <v>595</v>
      </c>
      <c r="E73" s="446" t="s">
        <v>598</v>
      </c>
      <c r="F73" s="446" t="s">
        <v>554</v>
      </c>
      <c r="G73" s="447">
        <v>0</v>
      </c>
      <c r="H73" s="310" t="s">
        <v>446</v>
      </c>
      <c r="I73" s="448">
        <v>0</v>
      </c>
      <c r="J73" s="439"/>
    </row>
    <row r="74" spans="4:10" x14ac:dyDescent="0.2">
      <c r="D74" s="446" t="s">
        <v>595</v>
      </c>
      <c r="E74" s="446" t="s">
        <v>549</v>
      </c>
      <c r="F74" s="446" t="s">
        <v>554</v>
      </c>
      <c r="G74" s="447">
        <v>2.3822227896252809E-2</v>
      </c>
      <c r="H74" s="310">
        <v>73.511636363636356</v>
      </c>
      <c r="I74" s="448">
        <v>1.4593424620675086E-4</v>
      </c>
      <c r="J74" s="439"/>
    </row>
    <row r="75" spans="4:10" x14ac:dyDescent="0.2">
      <c r="D75" s="446" t="s">
        <v>595</v>
      </c>
      <c r="E75" s="446" t="s">
        <v>571</v>
      </c>
      <c r="F75" s="446" t="s">
        <v>554</v>
      </c>
      <c r="G75" s="447">
        <v>0</v>
      </c>
      <c r="H75" s="310" t="s">
        <v>446</v>
      </c>
      <c r="I75" s="448">
        <v>0</v>
      </c>
      <c r="J75" s="439"/>
    </row>
    <row r="76" spans="4:10" x14ac:dyDescent="0.2">
      <c r="D76" s="446" t="s">
        <v>595</v>
      </c>
      <c r="E76" s="446" t="s">
        <v>561</v>
      </c>
      <c r="F76" s="446" t="s">
        <v>554</v>
      </c>
      <c r="G76" s="447">
        <v>8.6626283259101102E-4</v>
      </c>
      <c r="H76" s="310">
        <v>158.66666666666666</v>
      </c>
      <c r="I76" s="448">
        <v>1.1453919675370034E-5</v>
      </c>
      <c r="J76" s="439"/>
    </row>
    <row r="77" spans="4:10" x14ac:dyDescent="0.2">
      <c r="D77" s="446" t="s">
        <v>595</v>
      </c>
      <c r="E77" s="446" t="s">
        <v>599</v>
      </c>
      <c r="F77" s="446" t="s">
        <v>554</v>
      </c>
      <c r="G77" s="447">
        <v>6.8579140913455031E-2</v>
      </c>
      <c r="H77" s="310">
        <v>83.1818105263158</v>
      </c>
      <c r="I77" s="448">
        <v>4.7537809212671071E-4</v>
      </c>
      <c r="J77" s="439"/>
    </row>
    <row r="78" spans="4:10" x14ac:dyDescent="0.2">
      <c r="D78" s="446" t="s">
        <v>595</v>
      </c>
      <c r="E78" s="446" t="s">
        <v>600</v>
      </c>
      <c r="F78" s="446" t="s">
        <v>554</v>
      </c>
      <c r="G78" s="447">
        <v>1.4437713876516849E-4</v>
      </c>
      <c r="H78" s="310">
        <v>154</v>
      </c>
      <c r="I78" s="448">
        <v>1.8528399474863289E-6</v>
      </c>
      <c r="J78" s="439"/>
    </row>
    <row r="79" spans="4:10" x14ac:dyDescent="0.2">
      <c r="D79" s="446" t="s">
        <v>595</v>
      </c>
      <c r="E79" s="446" t="s">
        <v>555</v>
      </c>
      <c r="F79" s="446" t="s">
        <v>554</v>
      </c>
      <c r="G79" s="447">
        <v>3.4650513303640447E-2</v>
      </c>
      <c r="H79" s="310">
        <v>110.97816666666665</v>
      </c>
      <c r="I79" s="448">
        <v>3.2045420337474664E-4</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1.4437713876516849E-4</v>
      </c>
      <c r="H81" s="310">
        <v>55</v>
      </c>
      <c r="I81" s="448">
        <v>6.61728552673689E-7</v>
      </c>
      <c r="J81" s="439"/>
    </row>
    <row r="82" spans="4:10" x14ac:dyDescent="0.2">
      <c r="D82" s="446" t="s">
        <v>595</v>
      </c>
      <c r="E82" s="446" t="s">
        <v>574</v>
      </c>
      <c r="F82" s="446" t="s">
        <v>554</v>
      </c>
      <c r="G82" s="447">
        <v>1.732525665182022E-3</v>
      </c>
      <c r="H82" s="310">
        <v>116.98583333333333</v>
      </c>
      <c r="I82" s="448">
        <v>1.6890079892725542E-5</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1.0106399713561795E-2</v>
      </c>
      <c r="H84" s="310">
        <v>105.77857142857144</v>
      </c>
      <c r="I84" s="448">
        <v>8.9086710332224187E-5</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1.0106399713561793E-3</v>
      </c>
      <c r="H86" s="310">
        <v>36.428571428571438</v>
      </c>
      <c r="I86" s="448">
        <v>3.0680141987598306E-6</v>
      </c>
      <c r="J86" s="439"/>
    </row>
    <row r="87" spans="4:10" x14ac:dyDescent="0.2">
      <c r="D87" s="446" t="s">
        <v>595</v>
      </c>
      <c r="E87" s="446" t="s">
        <v>550</v>
      </c>
      <c r="F87" s="446" t="s">
        <v>554</v>
      </c>
      <c r="G87" s="447">
        <v>7.2477323660114584E-2</v>
      </c>
      <c r="H87" s="310">
        <v>532.35637450199215</v>
      </c>
      <c r="I87" s="448">
        <v>3.215313771442171E-3</v>
      </c>
      <c r="J87" s="439"/>
    </row>
    <row r="88" spans="4:10" x14ac:dyDescent="0.2">
      <c r="D88" s="446" t="s">
        <v>595</v>
      </c>
      <c r="E88" s="446" t="s">
        <v>579</v>
      </c>
      <c r="F88" s="446" t="s">
        <v>554</v>
      </c>
      <c r="G88" s="447">
        <v>0</v>
      </c>
      <c r="H88" s="310" t="s">
        <v>446</v>
      </c>
      <c r="I88" s="448">
        <v>0</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1.4437713876516849E-4</v>
      </c>
      <c r="H90" s="310">
        <v>161.00000000000003</v>
      </c>
      <c r="I90" s="448">
        <v>1.9370599450993442E-6</v>
      </c>
      <c r="J90" s="439"/>
    </row>
    <row r="91" spans="4:10" x14ac:dyDescent="0.2">
      <c r="D91" s="446" t="s">
        <v>595</v>
      </c>
      <c r="E91" s="446" t="s">
        <v>577</v>
      </c>
      <c r="F91" s="446" t="s">
        <v>554</v>
      </c>
      <c r="G91" s="447">
        <v>1.645899381922921E-2</v>
      </c>
      <c r="H91" s="310">
        <v>23.85649122807018</v>
      </c>
      <c r="I91" s="448">
        <v>3.2721153472608578E-5</v>
      </c>
      <c r="J91" s="439"/>
    </row>
    <row r="92" spans="4:10" x14ac:dyDescent="0.2">
      <c r="D92" s="446" t="s">
        <v>595</v>
      </c>
      <c r="E92" s="446" t="s">
        <v>576</v>
      </c>
      <c r="F92" s="446" t="s">
        <v>554</v>
      </c>
      <c r="G92" s="447">
        <v>8.6626283259101102E-4</v>
      </c>
      <c r="H92" s="310">
        <v>83.283333333333317</v>
      </c>
      <c r="I92" s="448">
        <v>6.0121046867462249E-6</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1.4437713876516849E-4</v>
      </c>
      <c r="H95" s="310">
        <v>20.510000000000005</v>
      </c>
      <c r="I95" s="448">
        <v>2.4676459300613385E-7</v>
      </c>
      <c r="J95" s="439"/>
    </row>
    <row r="96" spans="4:10" x14ac:dyDescent="0.2">
      <c r="D96" s="446" t="s">
        <v>595</v>
      </c>
      <c r="E96" s="446" t="s">
        <v>565</v>
      </c>
      <c r="F96" s="446" t="s">
        <v>554</v>
      </c>
      <c r="G96" s="447">
        <v>1.0106399713561795E-3</v>
      </c>
      <c r="H96" s="310">
        <v>93.000000000000014</v>
      </c>
      <c r="I96" s="448">
        <v>7.8324597780103918E-6</v>
      </c>
      <c r="J96" s="439"/>
    </row>
    <row r="97" spans="4:13" x14ac:dyDescent="0.2">
      <c r="D97" s="446" t="s">
        <v>595</v>
      </c>
      <c r="E97" s="446" t="s">
        <v>604</v>
      </c>
      <c r="F97" s="446" t="s">
        <v>554</v>
      </c>
      <c r="G97" s="447">
        <v>7.0744797994932562E-3</v>
      </c>
      <c r="H97" s="310">
        <v>81.828775510204096</v>
      </c>
      <c r="I97" s="448">
        <v>4.8241334947017273E-5</v>
      </c>
      <c r="J97" s="439"/>
    </row>
    <row r="98" spans="4:13" x14ac:dyDescent="0.2">
      <c r="D98" s="446" t="s">
        <v>595</v>
      </c>
      <c r="E98" s="446" t="s">
        <v>569</v>
      </c>
      <c r="F98" s="446" t="s">
        <v>554</v>
      </c>
      <c r="G98" s="447">
        <v>2.8875427753033699E-4</v>
      </c>
      <c r="H98" s="310">
        <v>49.999999999999993</v>
      </c>
      <c r="I98" s="448">
        <v>1.2031428230430708E-6</v>
      </c>
      <c r="J98" s="439"/>
    </row>
    <row r="99" spans="4:13" x14ac:dyDescent="0.2">
      <c r="D99" s="446" t="s">
        <v>595</v>
      </c>
      <c r="E99" s="446" t="s">
        <v>553</v>
      </c>
      <c r="F99" s="446" t="s">
        <v>554</v>
      </c>
      <c r="G99" s="447">
        <v>1.4004582460221345E-2</v>
      </c>
      <c r="H99" s="310">
        <v>62.951443298969075</v>
      </c>
      <c r="I99" s="448">
        <v>7.346738988919674E-5</v>
      </c>
      <c r="J99" s="439"/>
    </row>
    <row r="100" spans="4:13" x14ac:dyDescent="0.2">
      <c r="D100" s="446" t="s">
        <v>595</v>
      </c>
      <c r="E100" s="446" t="s">
        <v>570</v>
      </c>
      <c r="F100" s="446" t="s">
        <v>554</v>
      </c>
      <c r="G100" s="447">
        <v>1.732525665182022E-3</v>
      </c>
      <c r="H100" s="310">
        <v>22.250000000000004</v>
      </c>
      <c r="I100" s="448">
        <v>3.2123913375249992E-6</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7.218856938258425E-4</v>
      </c>
      <c r="H102" s="310">
        <v>13.799999999999999</v>
      </c>
      <c r="I102" s="448">
        <v>8.3016854789971887E-7</v>
      </c>
      <c r="J102" s="439"/>
    </row>
    <row r="103" spans="4:13" x14ac:dyDescent="0.2">
      <c r="D103" s="446" t="s">
        <v>595</v>
      </c>
      <c r="E103" s="446" t="s">
        <v>560</v>
      </c>
      <c r="F103" s="446" t="s">
        <v>554</v>
      </c>
      <c r="G103" s="447">
        <v>1.4437713876516849E-4</v>
      </c>
      <c r="H103" s="310">
        <v>77</v>
      </c>
      <c r="I103" s="448">
        <v>9.2641997374316443E-7</v>
      </c>
      <c r="J103" s="439"/>
    </row>
    <row r="104" spans="4:13" x14ac:dyDescent="0.2">
      <c r="D104" s="446" t="s">
        <v>595</v>
      </c>
      <c r="E104" s="446" t="s">
        <v>575</v>
      </c>
      <c r="F104" s="446" t="s">
        <v>554</v>
      </c>
      <c r="G104" s="447">
        <v>7.218856938258425E-4</v>
      </c>
      <c r="H104" s="310">
        <v>85.548000000000016</v>
      </c>
      <c r="I104" s="448">
        <v>5.1463231112844318E-6</v>
      </c>
      <c r="J104" s="439"/>
    </row>
    <row r="105" spans="4:13" x14ac:dyDescent="0.2">
      <c r="D105" s="446" t="s">
        <v>595</v>
      </c>
      <c r="E105" s="446" t="s">
        <v>566</v>
      </c>
      <c r="F105" s="446" t="s">
        <v>554</v>
      </c>
      <c r="G105" s="447">
        <v>2.3100342202426959E-3</v>
      </c>
      <c r="H105" s="310">
        <v>157.22062500000004</v>
      </c>
      <c r="I105" s="448">
        <v>3.0265418656495365E-5</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1.6829981888264529E-2</v>
      </c>
      <c r="I107" s="454">
        <v>4.360189590708089E-6</v>
      </c>
      <c r="J107" s="439"/>
    </row>
    <row r="108" spans="4:13" ht="16" x14ac:dyDescent="0.2">
      <c r="D108" s="461" t="s">
        <v>605</v>
      </c>
      <c r="E108" s="460"/>
      <c r="F108" s="460"/>
      <c r="G108" s="465">
        <v>3.4589874905359062</v>
      </c>
      <c r="H108" s="466"/>
      <c r="I108" s="467">
        <v>5.3661885589386619E-3</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1.1447081733449551E-2</v>
      </c>
      <c r="J118" s="439"/>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781</v>
      </c>
      <c r="G3"/>
      <c r="H3"/>
      <c r="I3"/>
    </row>
    <row r="4" spans="2:19" x14ac:dyDescent="0.2">
      <c r="G4"/>
      <c r="H4"/>
      <c r="I4"/>
    </row>
    <row r="5" spans="2:19" ht="16" x14ac:dyDescent="0.2">
      <c r="D5" s="438" t="s">
        <v>782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1.8260820511018507</v>
      </c>
      <c r="O10" s="310">
        <v>1261.1178447185325</v>
      </c>
      <c r="P10" s="388">
        <v>0.19190872171373027</v>
      </c>
      <c r="Q10" s="29">
        <v>0</v>
      </c>
      <c r="R10" s="388">
        <f>N10*Q10/12000</f>
        <v>0</v>
      </c>
      <c r="S10" s="388">
        <f>P10-R10</f>
        <v>0.19190872171373027</v>
      </c>
    </row>
    <row r="11" spans="2:19" x14ac:dyDescent="0.2">
      <c r="D11" s="446" t="s">
        <v>1</v>
      </c>
      <c r="E11" s="446" t="s">
        <v>540</v>
      </c>
      <c r="F11" s="446" t="s">
        <v>534</v>
      </c>
      <c r="G11" s="447">
        <v>0</v>
      </c>
      <c r="H11" s="310" t="s">
        <v>446</v>
      </c>
      <c r="I11" s="448">
        <v>0</v>
      </c>
      <c r="J11" s="439"/>
      <c r="K11" s="320" t="s">
        <v>463</v>
      </c>
      <c r="L11" s="450" t="s">
        <v>541</v>
      </c>
      <c r="M11" s="446" t="s">
        <v>539</v>
      </c>
      <c r="N11" s="449">
        <v>0.56682464679205158</v>
      </c>
      <c r="O11" s="310">
        <v>183.75461538461536</v>
      </c>
      <c r="P11" s="388">
        <v>8.6797204134828245E-3</v>
      </c>
      <c r="Q11" s="29">
        <f>'Assumptions-Output Target'!G17</f>
        <v>30.555555941780163</v>
      </c>
      <c r="R11" s="388">
        <f>N11*Q11/12000</f>
        <v>1.4433035170195261E-3</v>
      </c>
      <c r="S11" s="388">
        <f>P11-R11</f>
        <v>7.2364168964632984E-3</v>
      </c>
    </row>
    <row r="12" spans="2:19" x14ac:dyDescent="0.2">
      <c r="D12" s="446" t="s">
        <v>1</v>
      </c>
      <c r="E12" s="446" t="s">
        <v>542</v>
      </c>
      <c r="F12" s="446" t="s">
        <v>534</v>
      </c>
      <c r="G12" s="447">
        <v>0</v>
      </c>
      <c r="H12" s="310" t="s">
        <v>446</v>
      </c>
      <c r="I12" s="448">
        <v>0</v>
      </c>
      <c r="J12" s="439"/>
      <c r="K12" s="320" t="s">
        <v>464</v>
      </c>
      <c r="L12" s="450" t="s">
        <v>541</v>
      </c>
      <c r="M12" s="446" t="s">
        <v>539</v>
      </c>
      <c r="N12" s="449">
        <v>5.6913468101229405</v>
      </c>
      <c r="O12" s="310">
        <v>105.44967757483521</v>
      </c>
      <c r="P12" s="388">
        <v>5.0012557174502578E-2</v>
      </c>
      <c r="Q12" s="29">
        <f>'Assumptions-Output Target'!H17</f>
        <v>55.000000695204292</v>
      </c>
      <c r="R12" s="388">
        <f>N12*Q12/12000</f>
        <v>2.6085339876117539E-2</v>
      </c>
      <c r="S12" s="388">
        <f>P12-R12</f>
        <v>2.392721729838504E-2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0.2506009993017157</v>
      </c>
      <c r="R15" s="388">
        <f>SUM(R8:R13)</f>
        <v>2.7528643393137063E-2</v>
      </c>
      <c r="S15" s="388">
        <f>SUM(S8:S13)</f>
        <v>0.2230723559085786</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5.7750855506067398E-4</v>
      </c>
      <c r="H19" s="310">
        <v>474.3175</v>
      </c>
      <c r="I19" s="448">
        <v>2.282686783874927E-5</v>
      </c>
      <c r="J19" s="439"/>
    </row>
    <row r="20" spans="4:10" x14ac:dyDescent="0.2">
      <c r="D20" s="446" t="s">
        <v>462</v>
      </c>
      <c r="E20" s="446" t="s">
        <v>550</v>
      </c>
      <c r="F20" s="446" t="s">
        <v>537</v>
      </c>
      <c r="G20" s="447">
        <v>0.10842723121264154</v>
      </c>
      <c r="H20" s="310">
        <v>492.18227696404801</v>
      </c>
      <c r="I20" s="448">
        <v>4.4471634619287674E-3</v>
      </c>
      <c r="J20" s="439"/>
    </row>
    <row r="21" spans="4:10" x14ac:dyDescent="0.2">
      <c r="D21" s="446" t="s">
        <v>462</v>
      </c>
      <c r="E21" s="446" t="s">
        <v>551</v>
      </c>
      <c r="F21" s="446" t="s">
        <v>537</v>
      </c>
      <c r="G21" s="447">
        <v>3.0030444863155047E-2</v>
      </c>
      <c r="H21" s="310">
        <v>110.85168269230817</v>
      </c>
      <c r="I21" s="448">
        <v>2.7741044542327662E-4</v>
      </c>
      <c r="J21" s="439"/>
    </row>
    <row r="22" spans="4:10" x14ac:dyDescent="0.2">
      <c r="D22" s="446" t="s">
        <v>462</v>
      </c>
      <c r="E22" s="446" t="s">
        <v>552</v>
      </c>
      <c r="F22" s="446" t="s">
        <v>537</v>
      </c>
      <c r="G22" s="447">
        <v>1.4437713876516849E-4</v>
      </c>
      <c r="H22" s="310">
        <v>-1</v>
      </c>
      <c r="I22" s="448">
        <v>-1.2031428230430709E-8</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0.68672569970660868</v>
      </c>
      <c r="H52" s="310">
        <v>1331.3964558370421</v>
      </c>
      <c r="I52" s="448">
        <v>7.6192013560132638E-2</v>
      </c>
      <c r="J52" s="439"/>
    </row>
    <row r="53" spans="4:10" x14ac:dyDescent="0.2">
      <c r="D53" s="446" t="s">
        <v>462</v>
      </c>
      <c r="E53" s="446" t="s">
        <v>584</v>
      </c>
      <c r="F53" s="446" t="s">
        <v>554</v>
      </c>
      <c r="G53" s="447">
        <v>3.7952718972135785E-2</v>
      </c>
      <c r="H53" s="310">
        <v>1331.3964558370421</v>
      </c>
      <c r="I53" s="448">
        <v>4.2108429607400711E-3</v>
      </c>
      <c r="J53" s="439"/>
    </row>
    <row r="54" spans="4:10" x14ac:dyDescent="0.2">
      <c r="D54" s="446" t="s">
        <v>462</v>
      </c>
      <c r="E54" s="446" t="s">
        <v>585</v>
      </c>
      <c r="F54" s="446" t="s">
        <v>554</v>
      </c>
      <c r="G54" s="447">
        <v>0.16805282515848372</v>
      </c>
      <c r="H54" s="310">
        <v>1331.3964558370421</v>
      </c>
      <c r="I54" s="448">
        <v>1.8645411317450612E-2</v>
      </c>
      <c r="J54" s="439"/>
    </row>
    <row r="55" spans="4:10" x14ac:dyDescent="0.2">
      <c r="D55" s="446" t="s">
        <v>462</v>
      </c>
      <c r="E55" s="446" t="s">
        <v>586</v>
      </c>
      <c r="F55" s="446" t="s">
        <v>537</v>
      </c>
      <c r="G55" s="447">
        <v>9.1863904669241575E-2</v>
      </c>
      <c r="H55" s="310">
        <v>1331.3964558370419</v>
      </c>
      <c r="I55" s="448">
        <v>1.0192273091331677E-2</v>
      </c>
      <c r="J55" s="439"/>
    </row>
    <row r="56" spans="4:10" x14ac:dyDescent="0.2">
      <c r="D56" s="446" t="s">
        <v>462</v>
      </c>
      <c r="E56" s="446" t="s">
        <v>5</v>
      </c>
      <c r="F56" s="446" t="s">
        <v>537</v>
      </c>
      <c r="G56" s="447">
        <v>7.8774258826227531E-2</v>
      </c>
      <c r="H56" s="310">
        <v>1331.3964558370424</v>
      </c>
      <c r="I56" s="448">
        <v>8.7399807510357645E-3</v>
      </c>
      <c r="J56" s="439"/>
    </row>
    <row r="57" spans="4:10" x14ac:dyDescent="0.2">
      <c r="D57" s="446" t="s">
        <v>462</v>
      </c>
      <c r="E57" s="446" t="s">
        <v>587</v>
      </c>
      <c r="F57" s="446" t="s">
        <v>537</v>
      </c>
      <c r="G57" s="447">
        <v>0.20803448951575826</v>
      </c>
      <c r="H57" s="310">
        <v>1331.3964558370421</v>
      </c>
      <c r="I57" s="448">
        <v>2.3081365169429071E-2</v>
      </c>
      <c r="J57" s="439"/>
    </row>
    <row r="58" spans="4:10" x14ac:dyDescent="0.2">
      <c r="D58" s="446" t="s">
        <v>462</v>
      </c>
      <c r="E58" s="446" t="s">
        <v>588</v>
      </c>
      <c r="F58" s="446" t="s">
        <v>537</v>
      </c>
      <c r="G58" s="447">
        <v>0.14053160234619116</v>
      </c>
      <c r="H58" s="310">
        <v>1331.3964558370421</v>
      </c>
      <c r="I58" s="448">
        <v>1.5591939774734956E-2</v>
      </c>
      <c r="J58" s="439"/>
    </row>
    <row r="59" spans="4:10" x14ac:dyDescent="0.2">
      <c r="D59" s="446" t="s">
        <v>462</v>
      </c>
      <c r="E59" s="446" t="s">
        <v>589</v>
      </c>
      <c r="F59" s="446" t="s">
        <v>537</v>
      </c>
      <c r="G59" s="447">
        <v>5.4321842820484557E-2</v>
      </c>
      <c r="H59" s="310">
        <v>1331.3964558370424</v>
      </c>
      <c r="I59" s="448">
        <v>6.0269924171441691E-3</v>
      </c>
      <c r="J59" s="439"/>
    </row>
    <row r="60" spans="4:10" x14ac:dyDescent="0.2">
      <c r="D60" s="446" t="s">
        <v>462</v>
      </c>
      <c r="E60" s="446" t="s">
        <v>590</v>
      </c>
      <c r="F60" s="446" t="s">
        <v>537</v>
      </c>
      <c r="G60" s="447">
        <v>5.1849201116970209E-2</v>
      </c>
      <c r="H60" s="310">
        <v>1331.3964558370421</v>
      </c>
      <c r="I60" s="448">
        <v>5.7526535504263451E-3</v>
      </c>
      <c r="J60" s="439"/>
    </row>
    <row r="61" spans="4:10" x14ac:dyDescent="0.2">
      <c r="D61" s="446" t="s">
        <v>462</v>
      </c>
      <c r="E61" s="446" t="s">
        <v>591</v>
      </c>
      <c r="F61" s="446" t="s">
        <v>537</v>
      </c>
      <c r="G61" s="447">
        <v>8.5967859564813995E-2</v>
      </c>
      <c r="H61" s="310">
        <v>1331.3964558370421</v>
      </c>
      <c r="I61" s="448">
        <v>9.53810862837416E-3</v>
      </c>
      <c r="J61" s="439"/>
    </row>
    <row r="62" spans="4:10" x14ac:dyDescent="0.2">
      <c r="D62" s="446" t="s">
        <v>462</v>
      </c>
      <c r="E62" s="446" t="s">
        <v>592</v>
      </c>
      <c r="F62" s="446" t="s">
        <v>537</v>
      </c>
      <c r="G62" s="447">
        <v>8.2828086635313075E-2</v>
      </c>
      <c r="H62" s="310">
        <v>1331.3964558370421</v>
      </c>
      <c r="I62" s="448">
        <v>9.1897517491682755E-3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1.8260820511018507</v>
      </c>
      <c r="H64" s="463"/>
      <c r="I64" s="464">
        <v>0.19190872171373027</v>
      </c>
      <c r="J64" s="439"/>
    </row>
    <row r="65" spans="4:10" x14ac:dyDescent="0.2">
      <c r="D65" s="446" t="s">
        <v>595</v>
      </c>
      <c r="E65" s="446" t="s">
        <v>596</v>
      </c>
      <c r="F65" s="446" t="s">
        <v>554</v>
      </c>
      <c r="G65" s="447">
        <v>5.7750855506067398E-4</v>
      </c>
      <c r="H65" s="310">
        <v>82.25</v>
      </c>
      <c r="I65" s="448">
        <v>3.9583398878117026E-6</v>
      </c>
      <c r="J65" s="439"/>
    </row>
    <row r="66" spans="4:10" x14ac:dyDescent="0.2">
      <c r="D66" s="446" t="s">
        <v>595</v>
      </c>
      <c r="E66" s="446" t="s">
        <v>563</v>
      </c>
      <c r="F66" s="446" t="s">
        <v>554</v>
      </c>
      <c r="G66" s="447">
        <v>2.2522833647366285E-2</v>
      </c>
      <c r="H66" s="310">
        <v>2297.9730128205128</v>
      </c>
      <c r="I66" s="448">
        <v>4.3130719911577938E-3</v>
      </c>
      <c r="J66" s="439"/>
    </row>
    <row r="67" spans="4:10" x14ac:dyDescent="0.2">
      <c r="D67" s="446" t="s">
        <v>595</v>
      </c>
      <c r="E67" s="446" t="s">
        <v>564</v>
      </c>
      <c r="F67" s="446" t="s">
        <v>554</v>
      </c>
      <c r="G67" s="447">
        <v>1.2263394166713413</v>
      </c>
      <c r="H67" s="310">
        <v>152.6561961384507</v>
      </c>
      <c r="I67" s="448">
        <v>1.5600692543641123E-2</v>
      </c>
      <c r="J67" s="439"/>
    </row>
    <row r="68" spans="4:10" x14ac:dyDescent="0.2">
      <c r="D68" s="446" t="s">
        <v>595</v>
      </c>
      <c r="E68" s="446" t="s">
        <v>597</v>
      </c>
      <c r="F68" s="446" t="s">
        <v>554</v>
      </c>
      <c r="G68" s="447">
        <v>2.3100342202426959E-3</v>
      </c>
      <c r="H68" s="310">
        <v>12.523125</v>
      </c>
      <c r="I68" s="448">
        <v>2.4107372745314009E-6</v>
      </c>
      <c r="J68" s="439"/>
    </row>
    <row r="69" spans="4:10" x14ac:dyDescent="0.2">
      <c r="D69" s="446" t="s">
        <v>595</v>
      </c>
      <c r="E69" s="446" t="s">
        <v>572</v>
      </c>
      <c r="F69" s="446" t="s">
        <v>554</v>
      </c>
      <c r="G69" s="447">
        <v>8.2294969096146052E-3</v>
      </c>
      <c r="H69" s="310">
        <v>147.83035087719298</v>
      </c>
      <c r="I69" s="448">
        <v>1.013807846409252E-4</v>
      </c>
      <c r="J69" s="439"/>
    </row>
    <row r="70" spans="4:10" x14ac:dyDescent="0.2">
      <c r="D70" s="446" t="s">
        <v>595</v>
      </c>
      <c r="E70" s="446" t="s">
        <v>567</v>
      </c>
      <c r="F70" s="446" t="s">
        <v>554</v>
      </c>
      <c r="G70" s="447">
        <v>4.3313141629550551E-4</v>
      </c>
      <c r="H70" s="310">
        <v>30</v>
      </c>
      <c r="I70" s="448">
        <v>1.0828285407387637E-6</v>
      </c>
      <c r="J70" s="439"/>
    </row>
    <row r="71" spans="4:10" x14ac:dyDescent="0.2">
      <c r="D71" s="446" t="s">
        <v>595</v>
      </c>
      <c r="E71" s="446" t="s">
        <v>568</v>
      </c>
      <c r="F71" s="446" t="s">
        <v>554</v>
      </c>
      <c r="G71" s="447">
        <v>1.4437713876516849E-4</v>
      </c>
      <c r="H71" s="310">
        <v>215.00000000000003</v>
      </c>
      <c r="I71" s="448">
        <v>2.5867570695426025E-6</v>
      </c>
      <c r="J71" s="439"/>
    </row>
    <row r="72" spans="4:10" x14ac:dyDescent="0.2">
      <c r="D72" s="446" t="s">
        <v>595</v>
      </c>
      <c r="E72" s="446" t="s">
        <v>548</v>
      </c>
      <c r="F72" s="446" t="s">
        <v>554</v>
      </c>
      <c r="G72" s="447">
        <v>3.378425047104943E-2</v>
      </c>
      <c r="H72" s="310">
        <v>169.01111111111112</v>
      </c>
      <c r="I72" s="448">
        <v>4.7582614251401192E-4</v>
      </c>
      <c r="J72" s="439"/>
    </row>
    <row r="73" spans="4:10" x14ac:dyDescent="0.2">
      <c r="D73" s="446" t="s">
        <v>595</v>
      </c>
      <c r="E73" s="446" t="s">
        <v>598</v>
      </c>
      <c r="F73" s="446" t="s">
        <v>554</v>
      </c>
      <c r="G73" s="447">
        <v>1.0106399713561795E-3</v>
      </c>
      <c r="H73" s="310">
        <v>159.49142857142857</v>
      </c>
      <c r="I73" s="448">
        <v>1.3432367733582062E-5</v>
      </c>
      <c r="J73" s="439"/>
    </row>
    <row r="74" spans="4:10" x14ac:dyDescent="0.2">
      <c r="D74" s="446" t="s">
        <v>595</v>
      </c>
      <c r="E74" s="446" t="s">
        <v>549</v>
      </c>
      <c r="F74" s="446" t="s">
        <v>554</v>
      </c>
      <c r="G74" s="447">
        <v>0.20992435976455501</v>
      </c>
      <c r="H74" s="310">
        <v>303.93567400275106</v>
      </c>
      <c r="I74" s="448">
        <v>5.3169584812196684E-3</v>
      </c>
      <c r="J74" s="439"/>
    </row>
    <row r="75" spans="4:10" x14ac:dyDescent="0.2">
      <c r="D75" s="446" t="s">
        <v>595</v>
      </c>
      <c r="E75" s="446" t="s">
        <v>571</v>
      </c>
      <c r="F75" s="446" t="s">
        <v>554</v>
      </c>
      <c r="G75" s="447">
        <v>1.5881485264168536E-3</v>
      </c>
      <c r="H75" s="310">
        <v>118.13454545454546</v>
      </c>
      <c r="I75" s="448">
        <v>1.5634600356880098E-5</v>
      </c>
      <c r="J75" s="439"/>
    </row>
    <row r="76" spans="4:10" x14ac:dyDescent="0.2">
      <c r="D76" s="446" t="s">
        <v>595</v>
      </c>
      <c r="E76" s="446" t="s">
        <v>561</v>
      </c>
      <c r="F76" s="446" t="s">
        <v>554</v>
      </c>
      <c r="G76" s="447">
        <v>4.4756913017202238E-3</v>
      </c>
      <c r="H76" s="310">
        <v>174.26709677419353</v>
      </c>
      <c r="I76" s="448">
        <v>6.4997144100691206E-5</v>
      </c>
      <c r="J76" s="439"/>
    </row>
    <row r="77" spans="4:10" x14ac:dyDescent="0.2">
      <c r="D77" s="446" t="s">
        <v>595</v>
      </c>
      <c r="E77" s="446" t="s">
        <v>599</v>
      </c>
      <c r="F77" s="446" t="s">
        <v>554</v>
      </c>
      <c r="G77" s="447">
        <v>0.49607984879711897</v>
      </c>
      <c r="H77" s="310">
        <v>224.05652793946481</v>
      </c>
      <c r="I77" s="448">
        <v>9.2624940418514299E-3</v>
      </c>
      <c r="J77" s="439"/>
    </row>
    <row r="78" spans="4:10" x14ac:dyDescent="0.2">
      <c r="D78" s="446" t="s">
        <v>595</v>
      </c>
      <c r="E78" s="446" t="s">
        <v>600</v>
      </c>
      <c r="F78" s="446" t="s">
        <v>554</v>
      </c>
      <c r="G78" s="447">
        <v>5.1975769955460664E-3</v>
      </c>
      <c r="H78" s="310">
        <v>75.333055555555546</v>
      </c>
      <c r="I78" s="448">
        <v>3.2629113046645777E-5</v>
      </c>
      <c r="J78" s="439"/>
    </row>
    <row r="79" spans="4:10" x14ac:dyDescent="0.2">
      <c r="D79" s="446" t="s">
        <v>595</v>
      </c>
      <c r="E79" s="446" t="s">
        <v>555</v>
      </c>
      <c r="F79" s="446" t="s">
        <v>554</v>
      </c>
      <c r="G79" s="447">
        <v>0.30203697429673254</v>
      </c>
      <c r="H79" s="310">
        <v>110.14031548757171</v>
      </c>
      <c r="I79" s="448">
        <v>2.7722039698294758E-3</v>
      </c>
      <c r="J79" s="439"/>
    </row>
    <row r="80" spans="4:10" x14ac:dyDescent="0.2">
      <c r="D80" s="446" t="s">
        <v>595</v>
      </c>
      <c r="E80" s="446" t="s">
        <v>552</v>
      </c>
      <c r="F80" s="446" t="s">
        <v>554</v>
      </c>
      <c r="G80" s="447">
        <v>2.8875427753033699E-4</v>
      </c>
      <c r="H80" s="310">
        <v>2890.7600000000007</v>
      </c>
      <c r="I80" s="448">
        <v>6.9559942942799759E-5</v>
      </c>
      <c r="J80" s="439"/>
    </row>
    <row r="81" spans="4:10" x14ac:dyDescent="0.2">
      <c r="D81" s="446" t="s">
        <v>595</v>
      </c>
      <c r="E81" s="446" t="s">
        <v>581</v>
      </c>
      <c r="F81" s="446" t="s">
        <v>554</v>
      </c>
      <c r="G81" s="447">
        <v>2.88754277530337E-3</v>
      </c>
      <c r="H81" s="310">
        <v>190.846</v>
      </c>
      <c r="I81" s="448">
        <v>4.5922999041295578E-5</v>
      </c>
      <c r="J81" s="439"/>
    </row>
    <row r="82" spans="4:10" x14ac:dyDescent="0.2">
      <c r="D82" s="446" t="s">
        <v>595</v>
      </c>
      <c r="E82" s="446" t="s">
        <v>574</v>
      </c>
      <c r="F82" s="446" t="s">
        <v>554</v>
      </c>
      <c r="G82" s="447">
        <v>1.732525665182022E-3</v>
      </c>
      <c r="H82" s="310">
        <v>161.75000000000003</v>
      </c>
      <c r="I82" s="448">
        <v>2.3353002195266008E-5</v>
      </c>
      <c r="J82" s="439"/>
    </row>
    <row r="83" spans="4:10" x14ac:dyDescent="0.2">
      <c r="D83" s="446" t="s">
        <v>595</v>
      </c>
      <c r="E83" s="446" t="s">
        <v>601</v>
      </c>
      <c r="F83" s="446" t="s">
        <v>554</v>
      </c>
      <c r="G83" s="447">
        <v>4.3313141629550551E-4</v>
      </c>
      <c r="H83" s="310">
        <v>192.57999999999998</v>
      </c>
      <c r="I83" s="448">
        <v>6.9510373458490373E-6</v>
      </c>
      <c r="J83" s="439"/>
    </row>
    <row r="84" spans="4:10" x14ac:dyDescent="0.2">
      <c r="D84" s="446" t="s">
        <v>595</v>
      </c>
      <c r="E84" s="446" t="s">
        <v>559</v>
      </c>
      <c r="F84" s="446" t="s">
        <v>554</v>
      </c>
      <c r="G84" s="447">
        <v>3.5372398997466276E-2</v>
      </c>
      <c r="H84" s="310">
        <v>107.4548979591837</v>
      </c>
      <c r="I84" s="448">
        <v>3.1674479373702255E-4</v>
      </c>
      <c r="J84" s="439"/>
    </row>
    <row r="85" spans="4:10" x14ac:dyDescent="0.2">
      <c r="D85" s="446" t="s">
        <v>595</v>
      </c>
      <c r="E85" s="446" t="s">
        <v>573</v>
      </c>
      <c r="F85" s="446" t="s">
        <v>554</v>
      </c>
      <c r="G85" s="447">
        <v>1.5881485264168538E-3</v>
      </c>
      <c r="H85" s="310">
        <v>108.52909090909088</v>
      </c>
      <c r="I85" s="448">
        <v>1.4363359650052789E-5</v>
      </c>
      <c r="J85" s="439"/>
    </row>
    <row r="86" spans="4:10" x14ac:dyDescent="0.2">
      <c r="D86" s="446" t="s">
        <v>595</v>
      </c>
      <c r="E86" s="446" t="s">
        <v>562</v>
      </c>
      <c r="F86" s="446" t="s">
        <v>554</v>
      </c>
      <c r="G86" s="447">
        <v>9.2401368809707837E-3</v>
      </c>
      <c r="H86" s="310">
        <v>59.730624999999996</v>
      </c>
      <c r="I86" s="448">
        <v>4.5993262582161288E-5</v>
      </c>
      <c r="J86" s="439"/>
    </row>
    <row r="87" spans="4:10" x14ac:dyDescent="0.2">
      <c r="D87" s="446" t="s">
        <v>595</v>
      </c>
      <c r="E87" s="446" t="s">
        <v>550</v>
      </c>
      <c r="F87" s="446" t="s">
        <v>554</v>
      </c>
      <c r="G87" s="447">
        <v>0.47673331220258647</v>
      </c>
      <c r="H87" s="310">
        <v>452.14152331920076</v>
      </c>
      <c r="I87" s="448">
        <v>1.796257716635713E-2</v>
      </c>
      <c r="J87" s="439"/>
    </row>
    <row r="88" spans="4:10" x14ac:dyDescent="0.2">
      <c r="D88" s="446" t="s">
        <v>595</v>
      </c>
      <c r="E88" s="446" t="s">
        <v>579</v>
      </c>
      <c r="F88" s="446" t="s">
        <v>554</v>
      </c>
      <c r="G88" s="447">
        <v>1.4437713876516849E-4</v>
      </c>
      <c r="H88" s="310">
        <v>113.00000000000003</v>
      </c>
      <c r="I88" s="448">
        <v>1.3595513900386702E-6</v>
      </c>
      <c r="J88" s="439"/>
    </row>
    <row r="89" spans="4:10" x14ac:dyDescent="0.2">
      <c r="D89" s="446" t="s">
        <v>595</v>
      </c>
      <c r="E89" s="446" t="s">
        <v>556</v>
      </c>
      <c r="F89" s="446" t="s">
        <v>554</v>
      </c>
      <c r="G89" s="447">
        <v>1.5881485264168536E-3</v>
      </c>
      <c r="H89" s="310">
        <v>51.059090909090905</v>
      </c>
      <c r="I89" s="448">
        <v>6.7574516656214075E-6</v>
      </c>
      <c r="J89" s="439"/>
    </row>
    <row r="90" spans="4:10" x14ac:dyDescent="0.2">
      <c r="D90" s="446" t="s">
        <v>595</v>
      </c>
      <c r="E90" s="446" t="s">
        <v>602</v>
      </c>
      <c r="F90" s="446" t="s">
        <v>554</v>
      </c>
      <c r="G90" s="447">
        <v>5.7750855506067398E-4</v>
      </c>
      <c r="H90" s="310">
        <v>220.60749999999999</v>
      </c>
      <c r="I90" s="448">
        <v>1.0616893213378969E-5</v>
      </c>
      <c r="J90" s="439"/>
    </row>
    <row r="91" spans="4:10" x14ac:dyDescent="0.2">
      <c r="D91" s="446" t="s">
        <v>595</v>
      </c>
      <c r="E91" s="446" t="s">
        <v>577</v>
      </c>
      <c r="F91" s="446" t="s">
        <v>554</v>
      </c>
      <c r="G91" s="447">
        <v>0.14740905867923704</v>
      </c>
      <c r="H91" s="310">
        <v>58.523986287952987</v>
      </c>
      <c r="I91" s="448">
        <v>7.1891381073864381E-4</v>
      </c>
      <c r="J91" s="439"/>
    </row>
    <row r="92" spans="4:10" x14ac:dyDescent="0.2">
      <c r="D92" s="446" t="s">
        <v>595</v>
      </c>
      <c r="E92" s="446" t="s">
        <v>576</v>
      </c>
      <c r="F92" s="446" t="s">
        <v>554</v>
      </c>
      <c r="G92" s="447">
        <v>1.9490913733297748E-2</v>
      </c>
      <c r="H92" s="310">
        <v>168.57896296296292</v>
      </c>
      <c r="I92" s="448">
        <v>2.7381316869665889E-4</v>
      </c>
      <c r="J92" s="439"/>
    </row>
    <row r="93" spans="4:10" x14ac:dyDescent="0.2">
      <c r="D93" s="446" t="s">
        <v>595</v>
      </c>
      <c r="E93" s="446" t="s">
        <v>603</v>
      </c>
      <c r="F93" s="446" t="s">
        <v>554</v>
      </c>
      <c r="G93" s="447">
        <v>4.3313141629550551E-4</v>
      </c>
      <c r="H93" s="310">
        <v>140.33333333333331</v>
      </c>
      <c r="I93" s="448">
        <v>5.0652312850113283E-6</v>
      </c>
      <c r="J93" s="439"/>
    </row>
    <row r="94" spans="4:10" x14ac:dyDescent="0.2">
      <c r="D94" s="446" t="s">
        <v>595</v>
      </c>
      <c r="E94" s="446" t="s">
        <v>557</v>
      </c>
      <c r="F94" s="446" t="s">
        <v>554</v>
      </c>
      <c r="G94" s="447">
        <v>3.1762970528337073E-3</v>
      </c>
      <c r="H94" s="310">
        <v>79.256363636363631</v>
      </c>
      <c r="I94" s="448">
        <v>2.0978479519708203E-5</v>
      </c>
      <c r="J94" s="439"/>
    </row>
    <row r="95" spans="4:10" x14ac:dyDescent="0.2">
      <c r="D95" s="446" t="s">
        <v>595</v>
      </c>
      <c r="E95" s="446" t="s">
        <v>582</v>
      </c>
      <c r="F95" s="446" t="s">
        <v>554</v>
      </c>
      <c r="G95" s="447">
        <v>4.3313141629550551E-4</v>
      </c>
      <c r="H95" s="310">
        <v>70.039999999999992</v>
      </c>
      <c r="I95" s="448">
        <v>2.5280436997781006E-6</v>
      </c>
      <c r="J95" s="439"/>
    </row>
    <row r="96" spans="4:10" x14ac:dyDescent="0.2">
      <c r="D96" s="446" t="s">
        <v>595</v>
      </c>
      <c r="E96" s="446" t="s">
        <v>565</v>
      </c>
      <c r="F96" s="446" t="s">
        <v>554</v>
      </c>
      <c r="G96" s="447">
        <v>5.4863312730764032E-3</v>
      </c>
      <c r="H96" s="310">
        <v>100.68210526315791</v>
      </c>
      <c r="I96" s="448">
        <v>4.6031281895369461E-5</v>
      </c>
      <c r="J96" s="439"/>
    </row>
    <row r="97" spans="4:13" x14ac:dyDescent="0.2">
      <c r="D97" s="446" t="s">
        <v>595</v>
      </c>
      <c r="E97" s="446" t="s">
        <v>604</v>
      </c>
      <c r="F97" s="446" t="s">
        <v>554</v>
      </c>
      <c r="G97" s="447">
        <v>1.8047142345646063E-2</v>
      </c>
      <c r="H97" s="310">
        <v>108.78728</v>
      </c>
      <c r="I97" s="448">
        <v>1.6360829396297124E-4</v>
      </c>
      <c r="J97" s="439"/>
    </row>
    <row r="98" spans="4:13" x14ac:dyDescent="0.2">
      <c r="D98" s="446" t="s">
        <v>595</v>
      </c>
      <c r="E98" s="446" t="s">
        <v>569</v>
      </c>
      <c r="F98" s="446" t="s">
        <v>554</v>
      </c>
      <c r="G98" s="447">
        <v>3.0319199140685384E-3</v>
      </c>
      <c r="H98" s="310">
        <v>120.19047619047619</v>
      </c>
      <c r="I98" s="448">
        <v>3.0367324853607108E-5</v>
      </c>
      <c r="J98" s="439"/>
    </row>
    <row r="99" spans="4:13" x14ac:dyDescent="0.2">
      <c r="D99" s="446" t="s">
        <v>595</v>
      </c>
      <c r="E99" s="446" t="s">
        <v>553</v>
      </c>
      <c r="F99" s="446" t="s">
        <v>554</v>
      </c>
      <c r="G99" s="447">
        <v>8.3016854789971881E-2</v>
      </c>
      <c r="H99" s="310">
        <v>110.27822608695652</v>
      </c>
      <c r="I99" s="448">
        <v>7.6291262346304652E-4</v>
      </c>
      <c r="J99" s="439"/>
    </row>
    <row r="100" spans="4:13" x14ac:dyDescent="0.2">
      <c r="D100" s="446" t="s">
        <v>595</v>
      </c>
      <c r="E100" s="446" t="s">
        <v>570</v>
      </c>
      <c r="F100" s="446" t="s">
        <v>554</v>
      </c>
      <c r="G100" s="447">
        <v>1.3715828182691008E-2</v>
      </c>
      <c r="H100" s="310">
        <v>56.001368421052646</v>
      </c>
      <c r="I100" s="448">
        <v>6.4008762271561343E-5</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2.88754277530337E-3</v>
      </c>
      <c r="H102" s="310">
        <v>118.17400000000001</v>
      </c>
      <c r="I102" s="448">
        <v>2.8436039994058375E-5</v>
      </c>
      <c r="J102" s="439"/>
    </row>
    <row r="103" spans="4:13" x14ac:dyDescent="0.2">
      <c r="D103" s="446" t="s">
        <v>595</v>
      </c>
      <c r="E103" s="446" t="s">
        <v>560</v>
      </c>
      <c r="F103" s="446" t="s">
        <v>554</v>
      </c>
      <c r="G103" s="447">
        <v>1.4437713876516849E-4</v>
      </c>
      <c r="H103" s="310">
        <v>124.00000000000001</v>
      </c>
      <c r="I103" s="448">
        <v>1.491897100573408E-6</v>
      </c>
      <c r="J103" s="439"/>
    </row>
    <row r="104" spans="4:13" x14ac:dyDescent="0.2">
      <c r="D104" s="446" t="s">
        <v>595</v>
      </c>
      <c r="E104" s="446" t="s">
        <v>575</v>
      </c>
      <c r="F104" s="446" t="s">
        <v>554</v>
      </c>
      <c r="G104" s="447">
        <v>1.155017110121348E-3</v>
      </c>
      <c r="H104" s="310">
        <v>374.88500000000005</v>
      </c>
      <c r="I104" s="448">
        <v>3.6083215777320131E-5</v>
      </c>
      <c r="J104" s="439"/>
    </row>
    <row r="105" spans="4:13" x14ac:dyDescent="0.2">
      <c r="D105" s="446" t="s">
        <v>595</v>
      </c>
      <c r="E105" s="446" t="s">
        <v>566</v>
      </c>
      <c r="F105" s="446" t="s">
        <v>554</v>
      </c>
      <c r="G105" s="447">
        <v>5.6307084118415712E-3</v>
      </c>
      <c r="H105" s="310">
        <v>116.10641025641026</v>
      </c>
      <c r="I105" s="448">
        <v>5.448011174162481E-5</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6.258171456914992</v>
      </c>
      <c r="H108" s="466"/>
      <c r="I108" s="467">
        <v>5.8692277587985404E-2</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0.2506009993017157</v>
      </c>
      <c r="J118" s="439"/>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781</v>
      </c>
      <c r="G3"/>
      <c r="H3"/>
      <c r="I3"/>
    </row>
    <row r="4" spans="2:19" x14ac:dyDescent="0.2">
      <c r="G4"/>
      <c r="H4"/>
      <c r="I4"/>
    </row>
    <row r="5" spans="2:19" ht="16" x14ac:dyDescent="0.2">
      <c r="D5" s="438" t="s">
        <v>782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1.8260820511018507</v>
      </c>
      <c r="O10" s="310">
        <v>1261.1178447185325</v>
      </c>
      <c r="P10" s="388">
        <v>0.19190872171373027</v>
      </c>
      <c r="Q10" s="29">
        <v>0</v>
      </c>
      <c r="R10" s="388">
        <f>N10*Q10/12000</f>
        <v>0</v>
      </c>
      <c r="S10" s="388">
        <f>P10-R10</f>
        <v>0.19190872171373027</v>
      </c>
    </row>
    <row r="11" spans="2:19" x14ac:dyDescent="0.2">
      <c r="D11" s="446" t="s">
        <v>1</v>
      </c>
      <c r="E11" s="446" t="s">
        <v>540</v>
      </c>
      <c r="F11" s="446" t="s">
        <v>534</v>
      </c>
      <c r="G11" s="447">
        <v>0</v>
      </c>
      <c r="H11" s="310" t="s">
        <v>446</v>
      </c>
      <c r="I11" s="448">
        <v>0</v>
      </c>
      <c r="J11" s="439"/>
      <c r="K11" s="320" t="s">
        <v>463</v>
      </c>
      <c r="L11" s="450" t="s">
        <v>541</v>
      </c>
      <c r="M11" s="446" t="s">
        <v>539</v>
      </c>
      <c r="N11" s="449">
        <v>0.56682464679205158</v>
      </c>
      <c r="O11" s="310">
        <v>183.75461538461536</v>
      </c>
      <c r="P11" s="388">
        <v>8.6797204134828245E-3</v>
      </c>
      <c r="Q11" s="29">
        <f>'Assumptions-Output Override'!G19</f>
        <v>30</v>
      </c>
      <c r="R11" s="388">
        <f>N11*Q11/12000</f>
        <v>1.4170616169801289E-3</v>
      </c>
      <c r="S11" s="388">
        <f>P11-R11</f>
        <v>7.2626587965026954E-3</v>
      </c>
    </row>
    <row r="12" spans="2:19" x14ac:dyDescent="0.2">
      <c r="D12" s="446" t="s">
        <v>1</v>
      </c>
      <c r="E12" s="446" t="s">
        <v>542</v>
      </c>
      <c r="F12" s="446" t="s">
        <v>534</v>
      </c>
      <c r="G12" s="447">
        <v>0</v>
      </c>
      <c r="H12" s="310" t="s">
        <v>446</v>
      </c>
      <c r="I12" s="448">
        <v>0</v>
      </c>
      <c r="J12" s="439"/>
      <c r="K12" s="320" t="s">
        <v>464</v>
      </c>
      <c r="L12" s="450" t="s">
        <v>541</v>
      </c>
      <c r="M12" s="446" t="s">
        <v>539</v>
      </c>
      <c r="N12" s="449">
        <v>5.6913468101229405</v>
      </c>
      <c r="O12" s="310">
        <v>105.44967757483521</v>
      </c>
      <c r="P12" s="388">
        <v>5.0012557174502578E-2</v>
      </c>
      <c r="Q12" s="29">
        <f>'Assumptions-Output Override'!H19</f>
        <v>60</v>
      </c>
      <c r="R12" s="388">
        <f>N12*Q12/12000</f>
        <v>2.8456734050614704E-2</v>
      </c>
      <c r="S12" s="388">
        <f>P12-R12</f>
        <v>2.1555823123887874E-2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0.2506009993017157</v>
      </c>
      <c r="R15" s="388">
        <f>SUM(R8:R13)</f>
        <v>2.9873795667594832E-2</v>
      </c>
      <c r="S15" s="388">
        <f>SUM(S8:S13)</f>
        <v>0.22072720363412085</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5.7750855506067398E-4</v>
      </c>
      <c r="H19" s="310">
        <v>474.3175</v>
      </c>
      <c r="I19" s="448">
        <v>2.282686783874927E-5</v>
      </c>
      <c r="J19" s="439"/>
    </row>
    <row r="20" spans="4:10" x14ac:dyDescent="0.2">
      <c r="D20" s="446" t="s">
        <v>462</v>
      </c>
      <c r="E20" s="446" t="s">
        <v>550</v>
      </c>
      <c r="F20" s="446" t="s">
        <v>537</v>
      </c>
      <c r="G20" s="447">
        <v>0.10842723121264154</v>
      </c>
      <c r="H20" s="310">
        <v>492.18227696404801</v>
      </c>
      <c r="I20" s="448">
        <v>4.4471634619287674E-3</v>
      </c>
      <c r="J20" s="439"/>
    </row>
    <row r="21" spans="4:10" x14ac:dyDescent="0.2">
      <c r="D21" s="446" t="s">
        <v>462</v>
      </c>
      <c r="E21" s="446" t="s">
        <v>551</v>
      </c>
      <c r="F21" s="446" t="s">
        <v>537</v>
      </c>
      <c r="G21" s="447">
        <v>3.0030444863155047E-2</v>
      </c>
      <c r="H21" s="310">
        <v>110.85168269230817</v>
      </c>
      <c r="I21" s="448">
        <v>2.7741044542327662E-4</v>
      </c>
      <c r="J21" s="439"/>
    </row>
    <row r="22" spans="4:10" x14ac:dyDescent="0.2">
      <c r="D22" s="446" t="s">
        <v>462</v>
      </c>
      <c r="E22" s="446" t="s">
        <v>552</v>
      </c>
      <c r="F22" s="446" t="s">
        <v>537</v>
      </c>
      <c r="G22" s="447">
        <v>1.4437713876516849E-4</v>
      </c>
      <c r="H22" s="310">
        <v>-1</v>
      </c>
      <c r="I22" s="448">
        <v>-1.2031428230430709E-8</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0.68672569970660868</v>
      </c>
      <c r="H52" s="310">
        <v>1331.3964558370421</v>
      </c>
      <c r="I52" s="448">
        <v>7.6192013560132638E-2</v>
      </c>
      <c r="J52" s="439"/>
    </row>
    <row r="53" spans="4:10" x14ac:dyDescent="0.2">
      <c r="D53" s="446" t="s">
        <v>462</v>
      </c>
      <c r="E53" s="446" t="s">
        <v>584</v>
      </c>
      <c r="F53" s="446" t="s">
        <v>554</v>
      </c>
      <c r="G53" s="447">
        <v>3.7952718972135785E-2</v>
      </c>
      <c r="H53" s="310">
        <v>1331.3964558370421</v>
      </c>
      <c r="I53" s="448">
        <v>4.2108429607400711E-3</v>
      </c>
      <c r="J53" s="439"/>
    </row>
    <row r="54" spans="4:10" x14ac:dyDescent="0.2">
      <c r="D54" s="446" t="s">
        <v>462</v>
      </c>
      <c r="E54" s="446" t="s">
        <v>585</v>
      </c>
      <c r="F54" s="446" t="s">
        <v>554</v>
      </c>
      <c r="G54" s="447">
        <v>0.16805282515848372</v>
      </c>
      <c r="H54" s="310">
        <v>1331.3964558370421</v>
      </c>
      <c r="I54" s="448">
        <v>1.8645411317450612E-2</v>
      </c>
      <c r="J54" s="439"/>
    </row>
    <row r="55" spans="4:10" x14ac:dyDescent="0.2">
      <c r="D55" s="446" t="s">
        <v>462</v>
      </c>
      <c r="E55" s="446" t="s">
        <v>586</v>
      </c>
      <c r="F55" s="446" t="s">
        <v>537</v>
      </c>
      <c r="G55" s="447">
        <v>9.1863904669241575E-2</v>
      </c>
      <c r="H55" s="310">
        <v>1331.3964558370419</v>
      </c>
      <c r="I55" s="448">
        <v>1.0192273091331677E-2</v>
      </c>
      <c r="J55" s="439"/>
    </row>
    <row r="56" spans="4:10" x14ac:dyDescent="0.2">
      <c r="D56" s="446" t="s">
        <v>462</v>
      </c>
      <c r="E56" s="446" t="s">
        <v>5</v>
      </c>
      <c r="F56" s="446" t="s">
        <v>537</v>
      </c>
      <c r="G56" s="447">
        <v>7.8774258826227531E-2</v>
      </c>
      <c r="H56" s="310">
        <v>1331.3964558370424</v>
      </c>
      <c r="I56" s="448">
        <v>8.7399807510357645E-3</v>
      </c>
      <c r="J56" s="439"/>
    </row>
    <row r="57" spans="4:10" x14ac:dyDescent="0.2">
      <c r="D57" s="446" t="s">
        <v>462</v>
      </c>
      <c r="E57" s="446" t="s">
        <v>587</v>
      </c>
      <c r="F57" s="446" t="s">
        <v>537</v>
      </c>
      <c r="G57" s="447">
        <v>0.20803448951575826</v>
      </c>
      <c r="H57" s="310">
        <v>1331.3964558370421</v>
      </c>
      <c r="I57" s="448">
        <v>2.3081365169429071E-2</v>
      </c>
      <c r="J57" s="439"/>
    </row>
    <row r="58" spans="4:10" x14ac:dyDescent="0.2">
      <c r="D58" s="446" t="s">
        <v>462</v>
      </c>
      <c r="E58" s="446" t="s">
        <v>588</v>
      </c>
      <c r="F58" s="446" t="s">
        <v>537</v>
      </c>
      <c r="G58" s="447">
        <v>0.14053160234619116</v>
      </c>
      <c r="H58" s="310">
        <v>1331.3964558370421</v>
      </c>
      <c r="I58" s="448">
        <v>1.5591939774734956E-2</v>
      </c>
      <c r="J58" s="439"/>
    </row>
    <row r="59" spans="4:10" x14ac:dyDescent="0.2">
      <c r="D59" s="446" t="s">
        <v>462</v>
      </c>
      <c r="E59" s="446" t="s">
        <v>589</v>
      </c>
      <c r="F59" s="446" t="s">
        <v>537</v>
      </c>
      <c r="G59" s="447">
        <v>5.4321842820484557E-2</v>
      </c>
      <c r="H59" s="310">
        <v>1331.3964558370424</v>
      </c>
      <c r="I59" s="448">
        <v>6.0269924171441691E-3</v>
      </c>
      <c r="J59" s="439"/>
    </row>
    <row r="60" spans="4:10" x14ac:dyDescent="0.2">
      <c r="D60" s="446" t="s">
        <v>462</v>
      </c>
      <c r="E60" s="446" t="s">
        <v>590</v>
      </c>
      <c r="F60" s="446" t="s">
        <v>537</v>
      </c>
      <c r="G60" s="447">
        <v>5.1849201116970209E-2</v>
      </c>
      <c r="H60" s="310">
        <v>1331.3964558370421</v>
      </c>
      <c r="I60" s="448">
        <v>5.7526535504263451E-3</v>
      </c>
      <c r="J60" s="439"/>
    </row>
    <row r="61" spans="4:10" x14ac:dyDescent="0.2">
      <c r="D61" s="446" t="s">
        <v>462</v>
      </c>
      <c r="E61" s="446" t="s">
        <v>591</v>
      </c>
      <c r="F61" s="446" t="s">
        <v>537</v>
      </c>
      <c r="G61" s="447">
        <v>8.5967859564813995E-2</v>
      </c>
      <c r="H61" s="310">
        <v>1331.3964558370421</v>
      </c>
      <c r="I61" s="448">
        <v>9.53810862837416E-3</v>
      </c>
      <c r="J61" s="439"/>
    </row>
    <row r="62" spans="4:10" x14ac:dyDescent="0.2">
      <c r="D62" s="446" t="s">
        <v>462</v>
      </c>
      <c r="E62" s="446" t="s">
        <v>592</v>
      </c>
      <c r="F62" s="446" t="s">
        <v>537</v>
      </c>
      <c r="G62" s="447">
        <v>8.2828086635313075E-2</v>
      </c>
      <c r="H62" s="310">
        <v>1331.3964558370421</v>
      </c>
      <c r="I62" s="448">
        <v>9.1897517491682755E-3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1.8260820511018507</v>
      </c>
      <c r="H64" s="463"/>
      <c r="I64" s="464">
        <v>0.19190872171373027</v>
      </c>
      <c r="J64" s="439"/>
    </row>
    <row r="65" spans="4:10" x14ac:dyDescent="0.2">
      <c r="D65" s="446" t="s">
        <v>595</v>
      </c>
      <c r="E65" s="446" t="s">
        <v>596</v>
      </c>
      <c r="F65" s="446" t="s">
        <v>554</v>
      </c>
      <c r="G65" s="447">
        <v>5.7750855506067398E-4</v>
      </c>
      <c r="H65" s="310">
        <v>82.25</v>
      </c>
      <c r="I65" s="448">
        <v>3.9583398878117026E-6</v>
      </c>
      <c r="J65" s="439"/>
    </row>
    <row r="66" spans="4:10" x14ac:dyDescent="0.2">
      <c r="D66" s="446" t="s">
        <v>595</v>
      </c>
      <c r="E66" s="446" t="s">
        <v>563</v>
      </c>
      <c r="F66" s="446" t="s">
        <v>554</v>
      </c>
      <c r="G66" s="447">
        <v>2.2522833647366285E-2</v>
      </c>
      <c r="H66" s="310">
        <v>2297.9730128205128</v>
      </c>
      <c r="I66" s="448">
        <v>4.3130719911577938E-3</v>
      </c>
      <c r="J66" s="439"/>
    </row>
    <row r="67" spans="4:10" x14ac:dyDescent="0.2">
      <c r="D67" s="446" t="s">
        <v>595</v>
      </c>
      <c r="E67" s="446" t="s">
        <v>564</v>
      </c>
      <c r="F67" s="446" t="s">
        <v>554</v>
      </c>
      <c r="G67" s="447">
        <v>1.2263394166713413</v>
      </c>
      <c r="H67" s="310">
        <v>152.6561961384507</v>
      </c>
      <c r="I67" s="448">
        <v>1.5600692543641123E-2</v>
      </c>
      <c r="J67" s="439"/>
    </row>
    <row r="68" spans="4:10" x14ac:dyDescent="0.2">
      <c r="D68" s="446" t="s">
        <v>595</v>
      </c>
      <c r="E68" s="446" t="s">
        <v>597</v>
      </c>
      <c r="F68" s="446" t="s">
        <v>554</v>
      </c>
      <c r="G68" s="447">
        <v>2.3100342202426959E-3</v>
      </c>
      <c r="H68" s="310">
        <v>12.523125</v>
      </c>
      <c r="I68" s="448">
        <v>2.4107372745314009E-6</v>
      </c>
      <c r="J68" s="439"/>
    </row>
    <row r="69" spans="4:10" x14ac:dyDescent="0.2">
      <c r="D69" s="446" t="s">
        <v>595</v>
      </c>
      <c r="E69" s="446" t="s">
        <v>572</v>
      </c>
      <c r="F69" s="446" t="s">
        <v>554</v>
      </c>
      <c r="G69" s="447">
        <v>8.2294969096146052E-3</v>
      </c>
      <c r="H69" s="310">
        <v>147.83035087719298</v>
      </c>
      <c r="I69" s="448">
        <v>1.013807846409252E-4</v>
      </c>
      <c r="J69" s="439"/>
    </row>
    <row r="70" spans="4:10" x14ac:dyDescent="0.2">
      <c r="D70" s="446" t="s">
        <v>595</v>
      </c>
      <c r="E70" s="446" t="s">
        <v>567</v>
      </c>
      <c r="F70" s="446" t="s">
        <v>554</v>
      </c>
      <c r="G70" s="447">
        <v>4.3313141629550551E-4</v>
      </c>
      <c r="H70" s="310">
        <v>30</v>
      </c>
      <c r="I70" s="448">
        <v>1.0828285407387637E-6</v>
      </c>
      <c r="J70" s="439"/>
    </row>
    <row r="71" spans="4:10" x14ac:dyDescent="0.2">
      <c r="D71" s="446" t="s">
        <v>595</v>
      </c>
      <c r="E71" s="446" t="s">
        <v>568</v>
      </c>
      <c r="F71" s="446" t="s">
        <v>554</v>
      </c>
      <c r="G71" s="447">
        <v>1.4437713876516849E-4</v>
      </c>
      <c r="H71" s="310">
        <v>215.00000000000003</v>
      </c>
      <c r="I71" s="448">
        <v>2.5867570695426025E-6</v>
      </c>
      <c r="J71" s="439"/>
    </row>
    <row r="72" spans="4:10" x14ac:dyDescent="0.2">
      <c r="D72" s="446" t="s">
        <v>595</v>
      </c>
      <c r="E72" s="446" t="s">
        <v>548</v>
      </c>
      <c r="F72" s="446" t="s">
        <v>554</v>
      </c>
      <c r="G72" s="447">
        <v>3.378425047104943E-2</v>
      </c>
      <c r="H72" s="310">
        <v>169.01111111111112</v>
      </c>
      <c r="I72" s="448">
        <v>4.7582614251401192E-4</v>
      </c>
      <c r="J72" s="439"/>
    </row>
    <row r="73" spans="4:10" x14ac:dyDescent="0.2">
      <c r="D73" s="446" t="s">
        <v>595</v>
      </c>
      <c r="E73" s="446" t="s">
        <v>598</v>
      </c>
      <c r="F73" s="446" t="s">
        <v>554</v>
      </c>
      <c r="G73" s="447">
        <v>1.0106399713561795E-3</v>
      </c>
      <c r="H73" s="310">
        <v>159.49142857142857</v>
      </c>
      <c r="I73" s="448">
        <v>1.3432367733582062E-5</v>
      </c>
      <c r="J73" s="439"/>
    </row>
    <row r="74" spans="4:10" x14ac:dyDescent="0.2">
      <c r="D74" s="446" t="s">
        <v>595</v>
      </c>
      <c r="E74" s="446" t="s">
        <v>549</v>
      </c>
      <c r="F74" s="446" t="s">
        <v>554</v>
      </c>
      <c r="G74" s="447">
        <v>0.20992435976455501</v>
      </c>
      <c r="H74" s="310">
        <v>303.93567400275106</v>
      </c>
      <c r="I74" s="448">
        <v>5.3169584812196684E-3</v>
      </c>
      <c r="J74" s="439"/>
    </row>
    <row r="75" spans="4:10" x14ac:dyDescent="0.2">
      <c r="D75" s="446" t="s">
        <v>595</v>
      </c>
      <c r="E75" s="446" t="s">
        <v>571</v>
      </c>
      <c r="F75" s="446" t="s">
        <v>554</v>
      </c>
      <c r="G75" s="447">
        <v>1.5881485264168536E-3</v>
      </c>
      <c r="H75" s="310">
        <v>118.13454545454546</v>
      </c>
      <c r="I75" s="448">
        <v>1.5634600356880098E-5</v>
      </c>
      <c r="J75" s="439"/>
    </row>
    <row r="76" spans="4:10" x14ac:dyDescent="0.2">
      <c r="D76" s="446" t="s">
        <v>595</v>
      </c>
      <c r="E76" s="446" t="s">
        <v>561</v>
      </c>
      <c r="F76" s="446" t="s">
        <v>554</v>
      </c>
      <c r="G76" s="447">
        <v>4.4756913017202238E-3</v>
      </c>
      <c r="H76" s="310">
        <v>174.26709677419353</v>
      </c>
      <c r="I76" s="448">
        <v>6.4997144100691206E-5</v>
      </c>
      <c r="J76" s="439"/>
    </row>
    <row r="77" spans="4:10" x14ac:dyDescent="0.2">
      <c r="D77" s="446" t="s">
        <v>595</v>
      </c>
      <c r="E77" s="446" t="s">
        <v>599</v>
      </c>
      <c r="F77" s="446" t="s">
        <v>554</v>
      </c>
      <c r="G77" s="447">
        <v>0.49607984879711897</v>
      </c>
      <c r="H77" s="310">
        <v>224.05652793946481</v>
      </c>
      <c r="I77" s="448">
        <v>9.2624940418514299E-3</v>
      </c>
      <c r="J77" s="439"/>
    </row>
    <row r="78" spans="4:10" x14ac:dyDescent="0.2">
      <c r="D78" s="446" t="s">
        <v>595</v>
      </c>
      <c r="E78" s="446" t="s">
        <v>600</v>
      </c>
      <c r="F78" s="446" t="s">
        <v>554</v>
      </c>
      <c r="G78" s="447">
        <v>5.1975769955460664E-3</v>
      </c>
      <c r="H78" s="310">
        <v>75.333055555555546</v>
      </c>
      <c r="I78" s="448">
        <v>3.2629113046645777E-5</v>
      </c>
      <c r="J78" s="439"/>
    </row>
    <row r="79" spans="4:10" x14ac:dyDescent="0.2">
      <c r="D79" s="446" t="s">
        <v>595</v>
      </c>
      <c r="E79" s="446" t="s">
        <v>555</v>
      </c>
      <c r="F79" s="446" t="s">
        <v>554</v>
      </c>
      <c r="G79" s="447">
        <v>0.30203697429673254</v>
      </c>
      <c r="H79" s="310">
        <v>110.14031548757171</v>
      </c>
      <c r="I79" s="448">
        <v>2.7722039698294758E-3</v>
      </c>
      <c r="J79" s="439"/>
    </row>
    <row r="80" spans="4:10" x14ac:dyDescent="0.2">
      <c r="D80" s="446" t="s">
        <v>595</v>
      </c>
      <c r="E80" s="446" t="s">
        <v>552</v>
      </c>
      <c r="F80" s="446" t="s">
        <v>554</v>
      </c>
      <c r="G80" s="447">
        <v>2.8875427753033699E-4</v>
      </c>
      <c r="H80" s="310">
        <v>2890.7600000000007</v>
      </c>
      <c r="I80" s="448">
        <v>6.9559942942799759E-5</v>
      </c>
      <c r="J80" s="439"/>
    </row>
    <row r="81" spans="4:10" x14ac:dyDescent="0.2">
      <c r="D81" s="446" t="s">
        <v>595</v>
      </c>
      <c r="E81" s="446" t="s">
        <v>581</v>
      </c>
      <c r="F81" s="446" t="s">
        <v>554</v>
      </c>
      <c r="G81" s="447">
        <v>2.88754277530337E-3</v>
      </c>
      <c r="H81" s="310">
        <v>190.846</v>
      </c>
      <c r="I81" s="448">
        <v>4.5922999041295578E-5</v>
      </c>
      <c r="J81" s="439"/>
    </row>
    <row r="82" spans="4:10" x14ac:dyDescent="0.2">
      <c r="D82" s="446" t="s">
        <v>595</v>
      </c>
      <c r="E82" s="446" t="s">
        <v>574</v>
      </c>
      <c r="F82" s="446" t="s">
        <v>554</v>
      </c>
      <c r="G82" s="447">
        <v>1.732525665182022E-3</v>
      </c>
      <c r="H82" s="310">
        <v>161.75000000000003</v>
      </c>
      <c r="I82" s="448">
        <v>2.3353002195266008E-5</v>
      </c>
      <c r="J82" s="439"/>
    </row>
    <row r="83" spans="4:10" x14ac:dyDescent="0.2">
      <c r="D83" s="446" t="s">
        <v>595</v>
      </c>
      <c r="E83" s="446" t="s">
        <v>601</v>
      </c>
      <c r="F83" s="446" t="s">
        <v>554</v>
      </c>
      <c r="G83" s="447">
        <v>4.3313141629550551E-4</v>
      </c>
      <c r="H83" s="310">
        <v>192.57999999999998</v>
      </c>
      <c r="I83" s="448">
        <v>6.9510373458490373E-6</v>
      </c>
      <c r="J83" s="439"/>
    </row>
    <row r="84" spans="4:10" x14ac:dyDescent="0.2">
      <c r="D84" s="446" t="s">
        <v>595</v>
      </c>
      <c r="E84" s="446" t="s">
        <v>559</v>
      </c>
      <c r="F84" s="446" t="s">
        <v>554</v>
      </c>
      <c r="G84" s="447">
        <v>3.5372398997466276E-2</v>
      </c>
      <c r="H84" s="310">
        <v>107.4548979591837</v>
      </c>
      <c r="I84" s="448">
        <v>3.1674479373702255E-4</v>
      </c>
      <c r="J84" s="439"/>
    </row>
    <row r="85" spans="4:10" x14ac:dyDescent="0.2">
      <c r="D85" s="446" t="s">
        <v>595</v>
      </c>
      <c r="E85" s="446" t="s">
        <v>573</v>
      </c>
      <c r="F85" s="446" t="s">
        <v>554</v>
      </c>
      <c r="G85" s="447">
        <v>1.5881485264168538E-3</v>
      </c>
      <c r="H85" s="310">
        <v>108.52909090909088</v>
      </c>
      <c r="I85" s="448">
        <v>1.4363359650052789E-5</v>
      </c>
      <c r="J85" s="439"/>
    </row>
    <row r="86" spans="4:10" x14ac:dyDescent="0.2">
      <c r="D86" s="446" t="s">
        <v>595</v>
      </c>
      <c r="E86" s="446" t="s">
        <v>562</v>
      </c>
      <c r="F86" s="446" t="s">
        <v>554</v>
      </c>
      <c r="G86" s="447">
        <v>9.2401368809707837E-3</v>
      </c>
      <c r="H86" s="310">
        <v>59.730624999999996</v>
      </c>
      <c r="I86" s="448">
        <v>4.5993262582161288E-5</v>
      </c>
      <c r="J86" s="439"/>
    </row>
    <row r="87" spans="4:10" x14ac:dyDescent="0.2">
      <c r="D87" s="446" t="s">
        <v>595</v>
      </c>
      <c r="E87" s="446" t="s">
        <v>550</v>
      </c>
      <c r="F87" s="446" t="s">
        <v>554</v>
      </c>
      <c r="G87" s="447">
        <v>0.47673331220258647</v>
      </c>
      <c r="H87" s="310">
        <v>452.14152331920076</v>
      </c>
      <c r="I87" s="448">
        <v>1.796257716635713E-2</v>
      </c>
      <c r="J87" s="439"/>
    </row>
    <row r="88" spans="4:10" x14ac:dyDescent="0.2">
      <c r="D88" s="446" t="s">
        <v>595</v>
      </c>
      <c r="E88" s="446" t="s">
        <v>579</v>
      </c>
      <c r="F88" s="446" t="s">
        <v>554</v>
      </c>
      <c r="G88" s="447">
        <v>1.4437713876516849E-4</v>
      </c>
      <c r="H88" s="310">
        <v>113.00000000000003</v>
      </c>
      <c r="I88" s="448">
        <v>1.3595513900386702E-6</v>
      </c>
      <c r="J88" s="439"/>
    </row>
    <row r="89" spans="4:10" x14ac:dyDescent="0.2">
      <c r="D89" s="446" t="s">
        <v>595</v>
      </c>
      <c r="E89" s="446" t="s">
        <v>556</v>
      </c>
      <c r="F89" s="446" t="s">
        <v>554</v>
      </c>
      <c r="G89" s="447">
        <v>1.5881485264168536E-3</v>
      </c>
      <c r="H89" s="310">
        <v>51.059090909090905</v>
      </c>
      <c r="I89" s="448">
        <v>6.7574516656214075E-6</v>
      </c>
      <c r="J89" s="439"/>
    </row>
    <row r="90" spans="4:10" x14ac:dyDescent="0.2">
      <c r="D90" s="446" t="s">
        <v>595</v>
      </c>
      <c r="E90" s="446" t="s">
        <v>602</v>
      </c>
      <c r="F90" s="446" t="s">
        <v>554</v>
      </c>
      <c r="G90" s="447">
        <v>5.7750855506067398E-4</v>
      </c>
      <c r="H90" s="310">
        <v>220.60749999999999</v>
      </c>
      <c r="I90" s="448">
        <v>1.0616893213378969E-5</v>
      </c>
      <c r="J90" s="439"/>
    </row>
    <row r="91" spans="4:10" x14ac:dyDescent="0.2">
      <c r="D91" s="446" t="s">
        <v>595</v>
      </c>
      <c r="E91" s="446" t="s">
        <v>577</v>
      </c>
      <c r="F91" s="446" t="s">
        <v>554</v>
      </c>
      <c r="G91" s="447">
        <v>0.14740905867923704</v>
      </c>
      <c r="H91" s="310">
        <v>58.523986287952987</v>
      </c>
      <c r="I91" s="448">
        <v>7.1891381073864381E-4</v>
      </c>
      <c r="J91" s="439"/>
    </row>
    <row r="92" spans="4:10" x14ac:dyDescent="0.2">
      <c r="D92" s="446" t="s">
        <v>595</v>
      </c>
      <c r="E92" s="446" t="s">
        <v>576</v>
      </c>
      <c r="F92" s="446" t="s">
        <v>554</v>
      </c>
      <c r="G92" s="447">
        <v>1.9490913733297748E-2</v>
      </c>
      <c r="H92" s="310">
        <v>168.57896296296292</v>
      </c>
      <c r="I92" s="448">
        <v>2.7381316869665889E-4</v>
      </c>
      <c r="J92" s="439"/>
    </row>
    <row r="93" spans="4:10" x14ac:dyDescent="0.2">
      <c r="D93" s="446" t="s">
        <v>595</v>
      </c>
      <c r="E93" s="446" t="s">
        <v>603</v>
      </c>
      <c r="F93" s="446" t="s">
        <v>554</v>
      </c>
      <c r="G93" s="447">
        <v>4.3313141629550551E-4</v>
      </c>
      <c r="H93" s="310">
        <v>140.33333333333331</v>
      </c>
      <c r="I93" s="448">
        <v>5.0652312850113283E-6</v>
      </c>
      <c r="J93" s="439"/>
    </row>
    <row r="94" spans="4:10" x14ac:dyDescent="0.2">
      <c r="D94" s="446" t="s">
        <v>595</v>
      </c>
      <c r="E94" s="446" t="s">
        <v>557</v>
      </c>
      <c r="F94" s="446" t="s">
        <v>554</v>
      </c>
      <c r="G94" s="447">
        <v>3.1762970528337073E-3</v>
      </c>
      <c r="H94" s="310">
        <v>79.256363636363631</v>
      </c>
      <c r="I94" s="448">
        <v>2.0978479519708203E-5</v>
      </c>
      <c r="J94" s="439"/>
    </row>
    <row r="95" spans="4:10" x14ac:dyDescent="0.2">
      <c r="D95" s="446" t="s">
        <v>595</v>
      </c>
      <c r="E95" s="446" t="s">
        <v>582</v>
      </c>
      <c r="F95" s="446" t="s">
        <v>554</v>
      </c>
      <c r="G95" s="447">
        <v>4.3313141629550551E-4</v>
      </c>
      <c r="H95" s="310">
        <v>70.039999999999992</v>
      </c>
      <c r="I95" s="448">
        <v>2.5280436997781006E-6</v>
      </c>
      <c r="J95" s="439"/>
    </row>
    <row r="96" spans="4:10" x14ac:dyDescent="0.2">
      <c r="D96" s="446" t="s">
        <v>595</v>
      </c>
      <c r="E96" s="446" t="s">
        <v>565</v>
      </c>
      <c r="F96" s="446" t="s">
        <v>554</v>
      </c>
      <c r="G96" s="447">
        <v>5.4863312730764032E-3</v>
      </c>
      <c r="H96" s="310">
        <v>100.68210526315791</v>
      </c>
      <c r="I96" s="448">
        <v>4.6031281895369461E-5</v>
      </c>
      <c r="J96" s="439"/>
    </row>
    <row r="97" spans="4:13" x14ac:dyDescent="0.2">
      <c r="D97" s="446" t="s">
        <v>595</v>
      </c>
      <c r="E97" s="446" t="s">
        <v>604</v>
      </c>
      <c r="F97" s="446" t="s">
        <v>554</v>
      </c>
      <c r="G97" s="447">
        <v>1.8047142345646063E-2</v>
      </c>
      <c r="H97" s="310">
        <v>108.78728</v>
      </c>
      <c r="I97" s="448">
        <v>1.6360829396297124E-4</v>
      </c>
      <c r="J97" s="439"/>
    </row>
    <row r="98" spans="4:13" x14ac:dyDescent="0.2">
      <c r="D98" s="446" t="s">
        <v>595</v>
      </c>
      <c r="E98" s="446" t="s">
        <v>569</v>
      </c>
      <c r="F98" s="446" t="s">
        <v>554</v>
      </c>
      <c r="G98" s="447">
        <v>3.0319199140685384E-3</v>
      </c>
      <c r="H98" s="310">
        <v>120.19047619047619</v>
      </c>
      <c r="I98" s="448">
        <v>3.0367324853607108E-5</v>
      </c>
      <c r="J98" s="439"/>
    </row>
    <row r="99" spans="4:13" x14ac:dyDescent="0.2">
      <c r="D99" s="446" t="s">
        <v>595</v>
      </c>
      <c r="E99" s="446" t="s">
        <v>553</v>
      </c>
      <c r="F99" s="446" t="s">
        <v>554</v>
      </c>
      <c r="G99" s="447">
        <v>8.3016854789971881E-2</v>
      </c>
      <c r="H99" s="310">
        <v>110.27822608695652</v>
      </c>
      <c r="I99" s="448">
        <v>7.6291262346304652E-4</v>
      </c>
      <c r="J99" s="439"/>
    </row>
    <row r="100" spans="4:13" x14ac:dyDescent="0.2">
      <c r="D100" s="446" t="s">
        <v>595</v>
      </c>
      <c r="E100" s="446" t="s">
        <v>570</v>
      </c>
      <c r="F100" s="446" t="s">
        <v>554</v>
      </c>
      <c r="G100" s="447">
        <v>1.3715828182691008E-2</v>
      </c>
      <c r="H100" s="310">
        <v>56.001368421052646</v>
      </c>
      <c r="I100" s="448">
        <v>6.4008762271561343E-5</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2.88754277530337E-3</v>
      </c>
      <c r="H102" s="310">
        <v>118.17400000000001</v>
      </c>
      <c r="I102" s="448">
        <v>2.8436039994058375E-5</v>
      </c>
      <c r="J102" s="439"/>
    </row>
    <row r="103" spans="4:13" x14ac:dyDescent="0.2">
      <c r="D103" s="446" t="s">
        <v>595</v>
      </c>
      <c r="E103" s="446" t="s">
        <v>560</v>
      </c>
      <c r="F103" s="446" t="s">
        <v>554</v>
      </c>
      <c r="G103" s="447">
        <v>1.4437713876516849E-4</v>
      </c>
      <c r="H103" s="310">
        <v>124.00000000000001</v>
      </c>
      <c r="I103" s="448">
        <v>1.491897100573408E-6</v>
      </c>
      <c r="J103" s="439"/>
    </row>
    <row r="104" spans="4:13" x14ac:dyDescent="0.2">
      <c r="D104" s="446" t="s">
        <v>595</v>
      </c>
      <c r="E104" s="446" t="s">
        <v>575</v>
      </c>
      <c r="F104" s="446" t="s">
        <v>554</v>
      </c>
      <c r="G104" s="447">
        <v>1.155017110121348E-3</v>
      </c>
      <c r="H104" s="310">
        <v>374.88500000000005</v>
      </c>
      <c r="I104" s="448">
        <v>3.6083215777320131E-5</v>
      </c>
      <c r="J104" s="439"/>
    </row>
    <row r="105" spans="4:13" x14ac:dyDescent="0.2">
      <c r="D105" s="446" t="s">
        <v>595</v>
      </c>
      <c r="E105" s="446" t="s">
        <v>566</v>
      </c>
      <c r="F105" s="446" t="s">
        <v>554</v>
      </c>
      <c r="G105" s="447">
        <v>5.6307084118415712E-3</v>
      </c>
      <c r="H105" s="310">
        <v>116.10641025641026</v>
      </c>
      <c r="I105" s="448">
        <v>5.448011174162481E-5</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6.258171456914992</v>
      </c>
      <c r="H108" s="466"/>
      <c r="I108" s="467">
        <v>5.8692277587985404E-2</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0.2506009993017157</v>
      </c>
      <c r="J118" s="439"/>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783</v>
      </c>
      <c r="G3"/>
      <c r="H3"/>
      <c r="I3"/>
    </row>
    <row r="4" spans="2:19" x14ac:dyDescent="0.2">
      <c r="G4"/>
      <c r="H4"/>
      <c r="I4"/>
    </row>
    <row r="5" spans="2:19" ht="16" x14ac:dyDescent="0.2">
      <c r="D5" s="438" t="s">
        <v>784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4.1101283863668172</v>
      </c>
      <c r="O10" s="310">
        <v>539.62949170998661</v>
      </c>
      <c r="P10" s="388">
        <v>0.18482887433315942</v>
      </c>
      <c r="Q10" s="29">
        <v>0</v>
      </c>
      <c r="R10" s="388">
        <f>N10*Q10/12000</f>
        <v>0</v>
      </c>
      <c r="S10" s="388">
        <f>P10-R10</f>
        <v>0.18482887433315942</v>
      </c>
    </row>
    <row r="11" spans="2:19" x14ac:dyDescent="0.2">
      <c r="D11" s="446" t="s">
        <v>1</v>
      </c>
      <c r="E11" s="446" t="s">
        <v>540</v>
      </c>
      <c r="F11" s="446" t="s">
        <v>534</v>
      </c>
      <c r="G11" s="447">
        <v>0</v>
      </c>
      <c r="H11" s="310" t="s">
        <v>446</v>
      </c>
      <c r="I11" s="448">
        <v>0</v>
      </c>
      <c r="J11" s="439"/>
      <c r="K11" s="320" t="s">
        <v>463</v>
      </c>
      <c r="L11" s="450" t="s">
        <v>541</v>
      </c>
      <c r="M11" s="446" t="s">
        <v>539</v>
      </c>
      <c r="N11" s="449">
        <v>2.4072000346316544</v>
      </c>
      <c r="O11" s="310">
        <v>89.240851076590971</v>
      </c>
      <c r="P11" s="388">
        <v>1.7901714983510675E-2</v>
      </c>
      <c r="Q11" s="29">
        <f>'Assumptions-Output Target'!G17</f>
        <v>30.555555941780163</v>
      </c>
      <c r="R11" s="388">
        <f>N11*Q11/12000</f>
        <v>6.1294446101035557E-3</v>
      </c>
      <c r="S11" s="388">
        <f>P11-R11</f>
        <v>1.1772270373407119E-2</v>
      </c>
    </row>
    <row r="12" spans="2:19" x14ac:dyDescent="0.2">
      <c r="D12" s="446" t="s">
        <v>1</v>
      </c>
      <c r="E12" s="446" t="s">
        <v>542</v>
      </c>
      <c r="F12" s="446" t="s">
        <v>534</v>
      </c>
      <c r="G12" s="447">
        <v>0</v>
      </c>
      <c r="H12" s="310" t="s">
        <v>446</v>
      </c>
      <c r="I12" s="448">
        <v>0</v>
      </c>
      <c r="J12" s="439"/>
      <c r="K12" s="320" t="s">
        <v>464</v>
      </c>
      <c r="L12" s="450" t="s">
        <v>541</v>
      </c>
      <c r="M12" s="446" t="s">
        <v>539</v>
      </c>
      <c r="N12" s="449">
        <v>10.243124863972412</v>
      </c>
      <c r="O12" s="310">
        <v>91.676261152691438</v>
      </c>
      <c r="P12" s="388">
        <v>7.8254282504096814E-2</v>
      </c>
      <c r="Q12" s="29">
        <f>'Assumptions-Output Target'!H17</f>
        <v>55.000000695204292</v>
      </c>
      <c r="R12" s="388">
        <f>N12*Q12/12000</f>
        <v>4.6947656219962254E-2</v>
      </c>
      <c r="S12" s="388">
        <f>P12-R12</f>
        <v>3.130662628413456E-2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0.28098487182076692</v>
      </c>
      <c r="R15" s="388">
        <f>SUM(R8:R13)</f>
        <v>5.307710083006581E-2</v>
      </c>
      <c r="S15" s="388">
        <f>SUM(S8:S13)</f>
        <v>0.22790777099070109</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1.6892125235524715E-2</v>
      </c>
      <c r="H19" s="310">
        <v>547.61623931624013</v>
      </c>
      <c r="I19" s="448">
        <v>7.7086684129475016E-4</v>
      </c>
      <c r="J19" s="439"/>
    </row>
    <row r="20" spans="4:10" x14ac:dyDescent="0.2">
      <c r="D20" s="446" t="s">
        <v>462</v>
      </c>
      <c r="E20" s="446" t="s">
        <v>550</v>
      </c>
      <c r="F20" s="446" t="s">
        <v>537</v>
      </c>
      <c r="G20" s="447">
        <v>0.37090486948771789</v>
      </c>
      <c r="H20" s="310">
        <v>213.64861035422342</v>
      </c>
      <c r="I20" s="448">
        <v>6.6036091616387951E-3</v>
      </c>
      <c r="J20" s="439"/>
    </row>
    <row r="21" spans="4:10" x14ac:dyDescent="0.2">
      <c r="D21" s="446" t="s">
        <v>462</v>
      </c>
      <c r="E21" s="446" t="s">
        <v>551</v>
      </c>
      <c r="F21" s="446" t="s">
        <v>537</v>
      </c>
      <c r="G21" s="447">
        <v>4.4035027323376386E-2</v>
      </c>
      <c r="H21" s="310">
        <v>-141.81645901639348</v>
      </c>
      <c r="I21" s="448">
        <v>-5.2040763730761453E-4</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1.4437713876516849E-4</v>
      </c>
      <c r="H23" s="310">
        <v>304</v>
      </c>
      <c r="I23" s="448">
        <v>3.6575541820509354E-6</v>
      </c>
      <c r="J23" s="439"/>
    </row>
    <row r="24" spans="4:10" x14ac:dyDescent="0.2">
      <c r="D24" s="446" t="s">
        <v>462</v>
      </c>
      <c r="E24" s="446" t="s">
        <v>555</v>
      </c>
      <c r="F24" s="446" t="s">
        <v>537</v>
      </c>
      <c r="G24" s="447">
        <v>1.5303976709107861E-2</v>
      </c>
      <c r="H24" s="310">
        <v>975.65962264150926</v>
      </c>
      <c r="I24" s="448">
        <v>1.2442893450768852E-3</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2.8875427753033699E-4</v>
      </c>
      <c r="H28" s="310">
        <v>75</v>
      </c>
      <c r="I28" s="448">
        <v>1.8047142345646061E-6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4.3313141629550551E-4</v>
      </c>
      <c r="H33" s="310">
        <v>59.659999999999982</v>
      </c>
      <c r="I33" s="448">
        <v>2.1533850246824878E-6</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1.49082483507858</v>
      </c>
      <c r="H52" s="310">
        <v>579.08295328207771</v>
      </c>
      <c r="I52" s="448">
        <v>7.1942604026964216E-2</v>
      </c>
      <c r="J52" s="439"/>
    </row>
    <row r="53" spans="4:10" x14ac:dyDescent="0.2">
      <c r="D53" s="446" t="s">
        <v>462</v>
      </c>
      <c r="E53" s="446" t="s">
        <v>584</v>
      </c>
      <c r="F53" s="446" t="s">
        <v>554</v>
      </c>
      <c r="G53" s="447">
        <v>8.2392221561813098E-2</v>
      </c>
      <c r="H53" s="310">
        <v>579.08295328207771</v>
      </c>
      <c r="I53" s="448">
        <v>3.9759942491238345E-3</v>
      </c>
      <c r="J53" s="439"/>
    </row>
    <row r="54" spans="4:10" x14ac:dyDescent="0.2">
      <c r="D54" s="446" t="s">
        <v>462</v>
      </c>
      <c r="E54" s="446" t="s">
        <v>585</v>
      </c>
      <c r="F54" s="446" t="s">
        <v>554</v>
      </c>
      <c r="G54" s="447">
        <v>0.3648288180541715</v>
      </c>
      <c r="H54" s="310">
        <v>579.08295328207771</v>
      </c>
      <c r="I54" s="448">
        <v>1.7605512450101619E-2</v>
      </c>
      <c r="J54" s="439"/>
    </row>
    <row r="55" spans="4:10" x14ac:dyDescent="0.2">
      <c r="D55" s="446" t="s">
        <v>462</v>
      </c>
      <c r="E55" s="446" t="s">
        <v>586</v>
      </c>
      <c r="F55" s="446" t="s">
        <v>537</v>
      </c>
      <c r="G55" s="447">
        <v>0.19942895771442248</v>
      </c>
      <c r="H55" s="310">
        <v>579.08295328207771</v>
      </c>
      <c r="I55" s="448">
        <v>9.6238258169361966E-3</v>
      </c>
      <c r="J55" s="439"/>
    </row>
    <row r="56" spans="4:10" x14ac:dyDescent="0.2">
      <c r="D56" s="446" t="s">
        <v>462</v>
      </c>
      <c r="E56" s="446" t="s">
        <v>5</v>
      </c>
      <c r="F56" s="446" t="s">
        <v>537</v>
      </c>
      <c r="G56" s="447">
        <v>0.17101241656344243</v>
      </c>
      <c r="H56" s="310">
        <v>579.08295328207771</v>
      </c>
      <c r="I56" s="448">
        <v>8.2525312692885953E-3</v>
      </c>
      <c r="J56" s="439"/>
    </row>
    <row r="57" spans="4:10" x14ac:dyDescent="0.2">
      <c r="D57" s="446" t="s">
        <v>462</v>
      </c>
      <c r="E57" s="446" t="s">
        <v>587</v>
      </c>
      <c r="F57" s="446" t="s">
        <v>537</v>
      </c>
      <c r="G57" s="447">
        <v>0.45162571264697099</v>
      </c>
      <c r="H57" s="310">
        <v>579.08295328207771</v>
      </c>
      <c r="I57" s="448">
        <v>2.1794062621477577E-2</v>
      </c>
      <c r="J57" s="439"/>
    </row>
    <row r="58" spans="4:10" x14ac:dyDescent="0.2">
      <c r="D58" s="446" t="s">
        <v>462</v>
      </c>
      <c r="E58" s="446" t="s">
        <v>588</v>
      </c>
      <c r="F58" s="446" t="s">
        <v>537</v>
      </c>
      <c r="G58" s="447">
        <v>0.30508251399444875</v>
      </c>
      <c r="H58" s="310">
        <v>579.0829532820776</v>
      </c>
      <c r="I58" s="448">
        <v>1.472234026655218E-2</v>
      </c>
      <c r="J58" s="439"/>
    </row>
    <row r="59" spans="4:10" x14ac:dyDescent="0.2">
      <c r="D59" s="446" t="s">
        <v>462</v>
      </c>
      <c r="E59" s="446" t="s">
        <v>589</v>
      </c>
      <c r="F59" s="446" t="s">
        <v>537</v>
      </c>
      <c r="G59" s="447">
        <v>0.11792823888579176</v>
      </c>
      <c r="H59" s="310">
        <v>579.08295328207782</v>
      </c>
      <c r="I59" s="448">
        <v>5.6908527374448887E-3</v>
      </c>
      <c r="J59" s="439"/>
    </row>
    <row r="60" spans="4:10" x14ac:dyDescent="0.2">
      <c r="D60" s="446" t="s">
        <v>462</v>
      </c>
      <c r="E60" s="446" t="s">
        <v>590</v>
      </c>
      <c r="F60" s="446" t="s">
        <v>537</v>
      </c>
      <c r="G60" s="447">
        <v>0.11256033775521647</v>
      </c>
      <c r="H60" s="310">
        <v>579.08295328207782</v>
      </c>
      <c r="I60" s="448">
        <v>5.4318144008099097E-3</v>
      </c>
      <c r="J60" s="439"/>
    </row>
    <row r="61" spans="4:10" x14ac:dyDescent="0.2">
      <c r="D61" s="446" t="s">
        <v>462</v>
      </c>
      <c r="E61" s="446" t="s">
        <v>591</v>
      </c>
      <c r="F61" s="446" t="s">
        <v>537</v>
      </c>
      <c r="G61" s="447">
        <v>0.18662913025175515</v>
      </c>
      <c r="H61" s="310">
        <v>579.08295328207771</v>
      </c>
      <c r="I61" s="448">
        <v>9.0061456595543262E-3</v>
      </c>
      <c r="J61" s="439"/>
    </row>
    <row r="62" spans="4:10" x14ac:dyDescent="0.2">
      <c r="D62" s="446" t="s">
        <v>462</v>
      </c>
      <c r="E62" s="446" t="s">
        <v>592</v>
      </c>
      <c r="F62" s="446" t="s">
        <v>537</v>
      </c>
      <c r="G62" s="447">
        <v>0.17981294227188602</v>
      </c>
      <c r="H62" s="310">
        <v>579.08295328207771</v>
      </c>
      <c r="I62" s="448">
        <v>8.6772174707619582E-3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4.1101283863668172</v>
      </c>
      <c r="H64" s="463"/>
      <c r="I64" s="464">
        <v>0.18482887433315942</v>
      </c>
      <c r="J64" s="439"/>
    </row>
    <row r="65" spans="4:10" x14ac:dyDescent="0.2">
      <c r="D65" s="446" t="s">
        <v>595</v>
      </c>
      <c r="E65" s="446" t="s">
        <v>596</v>
      </c>
      <c r="F65" s="446" t="s">
        <v>554</v>
      </c>
      <c r="G65" s="447">
        <v>8.1861837679850544E-2</v>
      </c>
      <c r="H65" s="310">
        <v>83.156701940035276</v>
      </c>
      <c r="I65" s="448">
        <v>5.6728003635057335E-4</v>
      </c>
      <c r="J65" s="439"/>
    </row>
    <row r="66" spans="4:10" x14ac:dyDescent="0.2">
      <c r="D66" s="446" t="s">
        <v>595</v>
      </c>
      <c r="E66" s="446" t="s">
        <v>563</v>
      </c>
      <c r="F66" s="446" t="s">
        <v>554</v>
      </c>
      <c r="G66" s="447">
        <v>3.6094284691292125E-2</v>
      </c>
      <c r="H66" s="310">
        <v>278.81495999999999</v>
      </c>
      <c r="I66" s="448">
        <v>8.3863554520260226E-4</v>
      </c>
      <c r="J66" s="439"/>
    </row>
    <row r="67" spans="4:10" x14ac:dyDescent="0.2">
      <c r="D67" s="446" t="s">
        <v>595</v>
      </c>
      <c r="E67" s="446" t="s">
        <v>564</v>
      </c>
      <c r="F67" s="446" t="s">
        <v>554</v>
      </c>
      <c r="G67" s="447">
        <v>0.2096356054870247</v>
      </c>
      <c r="H67" s="310">
        <v>94.500406336088133</v>
      </c>
      <c r="I67" s="448">
        <v>1.6508874917529751E-3</v>
      </c>
      <c r="J67" s="439"/>
    </row>
    <row r="68" spans="4:10" x14ac:dyDescent="0.2">
      <c r="D68" s="446" t="s">
        <v>595</v>
      </c>
      <c r="E68" s="446" t="s">
        <v>597</v>
      </c>
      <c r="F68" s="446" t="s">
        <v>554</v>
      </c>
      <c r="G68" s="447">
        <v>1.732525665182022E-3</v>
      </c>
      <c r="H68" s="310">
        <v>50.999999999999986</v>
      </c>
      <c r="I68" s="448">
        <v>7.3632340770235923E-6</v>
      </c>
      <c r="J68" s="439"/>
    </row>
    <row r="69" spans="4:10" x14ac:dyDescent="0.2">
      <c r="D69" s="446" t="s">
        <v>595</v>
      </c>
      <c r="E69" s="446" t="s">
        <v>572</v>
      </c>
      <c r="F69" s="446" t="s">
        <v>554</v>
      </c>
      <c r="G69" s="447">
        <v>8.3738740483797723E-3</v>
      </c>
      <c r="H69" s="310">
        <v>160.55965517241384</v>
      </c>
      <c r="I69" s="448">
        <v>1.1204219413875678E-4</v>
      </c>
      <c r="J69" s="439"/>
    </row>
    <row r="70" spans="4:10" x14ac:dyDescent="0.2">
      <c r="D70" s="446" t="s">
        <v>595</v>
      </c>
      <c r="E70" s="446" t="s">
        <v>567</v>
      </c>
      <c r="F70" s="446" t="s">
        <v>554</v>
      </c>
      <c r="G70" s="447">
        <v>1.155017110121348E-3</v>
      </c>
      <c r="H70" s="310">
        <v>130.43</v>
      </c>
      <c r="I70" s="448">
        <v>1.255407347276062E-5</v>
      </c>
      <c r="J70" s="439"/>
    </row>
    <row r="71" spans="4:10" x14ac:dyDescent="0.2">
      <c r="D71" s="446" t="s">
        <v>595</v>
      </c>
      <c r="E71" s="446" t="s">
        <v>568</v>
      </c>
      <c r="F71" s="446" t="s">
        <v>554</v>
      </c>
      <c r="G71" s="447">
        <v>2.8875427753033699E-4</v>
      </c>
      <c r="H71" s="310">
        <v>87.5</v>
      </c>
      <c r="I71" s="448">
        <v>2.1054999403253739E-6</v>
      </c>
      <c r="J71" s="439"/>
    </row>
    <row r="72" spans="4:10" x14ac:dyDescent="0.2">
      <c r="D72" s="446" t="s">
        <v>595</v>
      </c>
      <c r="E72" s="446" t="s">
        <v>548</v>
      </c>
      <c r="F72" s="446" t="s">
        <v>554</v>
      </c>
      <c r="G72" s="447">
        <v>0.26984087235209991</v>
      </c>
      <c r="H72" s="310">
        <v>206.52670947030498</v>
      </c>
      <c r="I72" s="448">
        <v>4.6441122872896493E-3</v>
      </c>
      <c r="J72" s="439"/>
    </row>
    <row r="73" spans="4:10" x14ac:dyDescent="0.2">
      <c r="D73" s="446" t="s">
        <v>595</v>
      </c>
      <c r="E73" s="446" t="s">
        <v>598</v>
      </c>
      <c r="F73" s="446" t="s">
        <v>554</v>
      </c>
      <c r="G73" s="447">
        <v>4.0425598854247182E-3</v>
      </c>
      <c r="H73" s="310">
        <v>94.894642857142856</v>
      </c>
      <c r="I73" s="448">
        <v>3.1968106379665916E-5</v>
      </c>
      <c r="J73" s="439"/>
    </row>
    <row r="74" spans="4:10" x14ac:dyDescent="0.2">
      <c r="D74" s="446" t="s">
        <v>595</v>
      </c>
      <c r="E74" s="446" t="s">
        <v>549</v>
      </c>
      <c r="F74" s="446" t="s">
        <v>554</v>
      </c>
      <c r="G74" s="447">
        <v>1.03691661061144</v>
      </c>
      <c r="H74" s="310">
        <v>76.934640768588309</v>
      </c>
      <c r="I74" s="448">
        <v>6.6479005786977746E-3</v>
      </c>
      <c r="J74" s="439"/>
    </row>
    <row r="75" spans="4:10" x14ac:dyDescent="0.2">
      <c r="D75" s="446" t="s">
        <v>595</v>
      </c>
      <c r="E75" s="446" t="s">
        <v>571</v>
      </c>
      <c r="F75" s="446" t="s">
        <v>554</v>
      </c>
      <c r="G75" s="447">
        <v>6.9301026607280882E-3</v>
      </c>
      <c r="H75" s="310">
        <v>188.55208333333334</v>
      </c>
      <c r="I75" s="448">
        <v>1.0889044119951313E-4</v>
      </c>
      <c r="J75" s="439"/>
    </row>
    <row r="76" spans="4:10" x14ac:dyDescent="0.2">
      <c r="D76" s="446" t="s">
        <v>595</v>
      </c>
      <c r="E76" s="446" t="s">
        <v>561</v>
      </c>
      <c r="F76" s="446" t="s">
        <v>554</v>
      </c>
      <c r="G76" s="447">
        <v>1.7325256651820223E-2</v>
      </c>
      <c r="H76" s="310">
        <v>174.1438333333333</v>
      </c>
      <c r="I76" s="448">
        <v>2.5142388390265042E-4</v>
      </c>
      <c r="J76" s="439"/>
    </row>
    <row r="77" spans="4:10" x14ac:dyDescent="0.2">
      <c r="D77" s="446" t="s">
        <v>595</v>
      </c>
      <c r="E77" s="446" t="s">
        <v>599</v>
      </c>
      <c r="F77" s="446" t="s">
        <v>554</v>
      </c>
      <c r="G77" s="447">
        <v>2.087115917989276</v>
      </c>
      <c r="H77" s="310">
        <v>96.21427089097952</v>
      </c>
      <c r="I77" s="448">
        <v>1.6734194692857966E-2</v>
      </c>
      <c r="J77" s="439"/>
    </row>
    <row r="78" spans="4:10" x14ac:dyDescent="0.2">
      <c r="D78" s="446" t="s">
        <v>595</v>
      </c>
      <c r="E78" s="446" t="s">
        <v>600</v>
      </c>
      <c r="F78" s="446" t="s">
        <v>554</v>
      </c>
      <c r="G78" s="447">
        <v>1.732525665182022E-2</v>
      </c>
      <c r="H78" s="310">
        <v>114.86033333333332</v>
      </c>
      <c r="I78" s="448">
        <v>1.6583206284280174E-4</v>
      </c>
      <c r="J78" s="439"/>
    </row>
    <row r="79" spans="4:10" x14ac:dyDescent="0.2">
      <c r="D79" s="446" t="s">
        <v>595</v>
      </c>
      <c r="E79" s="446" t="s">
        <v>555</v>
      </c>
      <c r="F79" s="446" t="s">
        <v>554</v>
      </c>
      <c r="G79" s="447">
        <v>1.1490976474319761</v>
      </c>
      <c r="H79" s="310">
        <v>89.585511998994846</v>
      </c>
      <c r="I79" s="448">
        <v>8.5785417568361704E-3</v>
      </c>
      <c r="J79" s="439"/>
    </row>
    <row r="80" spans="4:10" x14ac:dyDescent="0.2">
      <c r="D80" s="446" t="s">
        <v>595</v>
      </c>
      <c r="E80" s="446" t="s">
        <v>552</v>
      </c>
      <c r="F80" s="446" t="s">
        <v>554</v>
      </c>
      <c r="G80" s="447">
        <v>7.218856938258425E-4</v>
      </c>
      <c r="H80" s="310">
        <v>50.800000000000004</v>
      </c>
      <c r="I80" s="448">
        <v>3.0559827705293998E-6</v>
      </c>
      <c r="J80" s="439"/>
    </row>
    <row r="81" spans="4:10" x14ac:dyDescent="0.2">
      <c r="D81" s="446" t="s">
        <v>595</v>
      </c>
      <c r="E81" s="446" t="s">
        <v>581</v>
      </c>
      <c r="F81" s="446" t="s">
        <v>554</v>
      </c>
      <c r="G81" s="447">
        <v>1.068390826862247E-2</v>
      </c>
      <c r="H81" s="310">
        <v>76.623378378378376</v>
      </c>
      <c r="I81" s="448">
        <v>6.8219762152212074E-5</v>
      </c>
      <c r="J81" s="439"/>
    </row>
    <row r="82" spans="4:10" x14ac:dyDescent="0.2">
      <c r="D82" s="446" t="s">
        <v>595</v>
      </c>
      <c r="E82" s="446" t="s">
        <v>574</v>
      </c>
      <c r="F82" s="446" t="s">
        <v>554</v>
      </c>
      <c r="G82" s="447">
        <v>6.4969712444325825E-3</v>
      </c>
      <c r="H82" s="310">
        <v>116.17777777777778</v>
      </c>
      <c r="I82" s="448">
        <v>6.2900306788691738E-5</v>
      </c>
      <c r="J82" s="439"/>
    </row>
    <row r="83" spans="4:10" x14ac:dyDescent="0.2">
      <c r="D83" s="446" t="s">
        <v>595</v>
      </c>
      <c r="E83" s="446" t="s">
        <v>601</v>
      </c>
      <c r="F83" s="446" t="s">
        <v>554</v>
      </c>
      <c r="G83" s="447">
        <v>4.3313141629550551E-4</v>
      </c>
      <c r="H83" s="310">
        <v>290.99999999999994</v>
      </c>
      <c r="I83" s="448">
        <v>1.0503436845166007E-5</v>
      </c>
      <c r="J83" s="439"/>
    </row>
    <row r="84" spans="4:10" x14ac:dyDescent="0.2">
      <c r="D84" s="446" t="s">
        <v>595</v>
      </c>
      <c r="E84" s="446" t="s">
        <v>559</v>
      </c>
      <c r="F84" s="446" t="s">
        <v>554</v>
      </c>
      <c r="G84" s="447">
        <v>0.12849565350099998</v>
      </c>
      <c r="H84" s="310">
        <v>137.977404494382</v>
      </c>
      <c r="I84" s="448">
        <v>1.4774580632397857E-3</v>
      </c>
      <c r="J84" s="439"/>
    </row>
    <row r="85" spans="4:10" x14ac:dyDescent="0.2">
      <c r="D85" s="446" t="s">
        <v>595</v>
      </c>
      <c r="E85" s="446" t="s">
        <v>573</v>
      </c>
      <c r="F85" s="446" t="s">
        <v>554</v>
      </c>
      <c r="G85" s="447">
        <v>6.7857255219629202E-3</v>
      </c>
      <c r="H85" s="310">
        <v>114.50234042553191</v>
      </c>
      <c r="I85" s="448">
        <v>6.4748454479168205E-5</v>
      </c>
      <c r="J85" s="439"/>
    </row>
    <row r="86" spans="4:10" x14ac:dyDescent="0.2">
      <c r="D86" s="446" t="s">
        <v>595</v>
      </c>
      <c r="E86" s="446" t="s">
        <v>562</v>
      </c>
      <c r="F86" s="446" t="s">
        <v>554</v>
      </c>
      <c r="G86" s="447">
        <v>1.5737108125403368E-2</v>
      </c>
      <c r="H86" s="310">
        <v>254.30834862385325</v>
      </c>
      <c r="I86" s="448">
        <v>3.335064982905294E-4</v>
      </c>
      <c r="J86" s="439"/>
    </row>
    <row r="87" spans="4:10" x14ac:dyDescent="0.2">
      <c r="D87" s="446" t="s">
        <v>595</v>
      </c>
      <c r="E87" s="446" t="s">
        <v>550</v>
      </c>
      <c r="F87" s="446" t="s">
        <v>554</v>
      </c>
      <c r="G87" s="447">
        <v>2.2586359588422962</v>
      </c>
      <c r="H87" s="310">
        <v>195.58807913577093</v>
      </c>
      <c r="I87" s="448">
        <v>3.6813522388078737E-2</v>
      </c>
      <c r="J87" s="439"/>
    </row>
    <row r="88" spans="4:10" x14ac:dyDescent="0.2">
      <c r="D88" s="446" t="s">
        <v>595</v>
      </c>
      <c r="E88" s="446" t="s">
        <v>579</v>
      </c>
      <c r="F88" s="446" t="s">
        <v>554</v>
      </c>
      <c r="G88" s="447">
        <v>1.4437713876516849E-4</v>
      </c>
      <c r="H88" s="310">
        <v>7.0000000000000009</v>
      </c>
      <c r="I88" s="448">
        <v>8.4219997613014961E-8</v>
      </c>
      <c r="J88" s="439"/>
    </row>
    <row r="89" spans="4:10" x14ac:dyDescent="0.2">
      <c r="D89" s="446" t="s">
        <v>595</v>
      </c>
      <c r="E89" s="446" t="s">
        <v>556</v>
      </c>
      <c r="F89" s="446" t="s">
        <v>554</v>
      </c>
      <c r="G89" s="447">
        <v>4.9088227180157295E-3</v>
      </c>
      <c r="H89" s="310">
        <v>60.531470588235294</v>
      </c>
      <c r="I89" s="448">
        <v>2.4761521498202531E-5</v>
      </c>
      <c r="J89" s="439"/>
    </row>
    <row r="90" spans="4:10" x14ac:dyDescent="0.2">
      <c r="D90" s="446" t="s">
        <v>595</v>
      </c>
      <c r="E90" s="446" t="s">
        <v>602</v>
      </c>
      <c r="F90" s="446" t="s">
        <v>554</v>
      </c>
      <c r="G90" s="447">
        <v>2.4832867867608983E-2</v>
      </c>
      <c r="H90" s="310">
        <v>104.68377906976743</v>
      </c>
      <c r="I90" s="448">
        <v>2.1663320446012544E-4</v>
      </c>
      <c r="J90" s="439"/>
    </row>
    <row r="91" spans="4:10" x14ac:dyDescent="0.2">
      <c r="D91" s="446" t="s">
        <v>595</v>
      </c>
      <c r="E91" s="446" t="s">
        <v>577</v>
      </c>
      <c r="F91" s="446" t="s">
        <v>554</v>
      </c>
      <c r="G91" s="447">
        <v>0.28904303180786733</v>
      </c>
      <c r="H91" s="310">
        <v>43.69601398601398</v>
      </c>
      <c r="I91" s="448">
        <v>1.0525023633697046E-3</v>
      </c>
      <c r="J91" s="439"/>
    </row>
    <row r="92" spans="4:10" x14ac:dyDescent="0.2">
      <c r="D92" s="446" t="s">
        <v>595</v>
      </c>
      <c r="E92" s="446" t="s">
        <v>576</v>
      </c>
      <c r="F92" s="446" t="s">
        <v>554</v>
      </c>
      <c r="G92" s="447">
        <v>9.2690123087238174E-2</v>
      </c>
      <c r="H92" s="310">
        <v>155.07342679127726</v>
      </c>
      <c r="I92" s="448">
        <v>1.1978145847369422E-3</v>
      </c>
      <c r="J92" s="439"/>
    </row>
    <row r="93" spans="4:10" x14ac:dyDescent="0.2">
      <c r="D93" s="446" t="s">
        <v>595</v>
      </c>
      <c r="E93" s="446" t="s">
        <v>603</v>
      </c>
      <c r="F93" s="446" t="s">
        <v>554</v>
      </c>
      <c r="G93" s="447">
        <v>1.443771387651685E-3</v>
      </c>
      <c r="H93" s="310">
        <v>369.7</v>
      </c>
      <c r="I93" s="448">
        <v>4.4480190167902327E-5</v>
      </c>
      <c r="J93" s="439"/>
    </row>
    <row r="94" spans="4:10" x14ac:dyDescent="0.2">
      <c r="D94" s="446" t="s">
        <v>595</v>
      </c>
      <c r="E94" s="446" t="s">
        <v>557</v>
      </c>
      <c r="F94" s="446" t="s">
        <v>554</v>
      </c>
      <c r="G94" s="447">
        <v>5.919462689371908E-3</v>
      </c>
      <c r="H94" s="310">
        <v>84.242195121951212</v>
      </c>
      <c r="I94" s="448">
        <v>4.1555710907931533E-5</v>
      </c>
      <c r="J94" s="439"/>
    </row>
    <row r="95" spans="4:10" x14ac:dyDescent="0.2">
      <c r="D95" s="446" t="s">
        <v>595</v>
      </c>
      <c r="E95" s="446" t="s">
        <v>582</v>
      </c>
      <c r="F95" s="446" t="s">
        <v>554</v>
      </c>
      <c r="G95" s="447">
        <v>8.6626283259101102E-4</v>
      </c>
      <c r="H95" s="310">
        <v>75</v>
      </c>
      <c r="I95" s="448">
        <v>5.4141427036938191E-6</v>
      </c>
      <c r="J95" s="439"/>
    </row>
    <row r="96" spans="4:10" x14ac:dyDescent="0.2">
      <c r="D96" s="446" t="s">
        <v>595</v>
      </c>
      <c r="E96" s="446" t="s">
        <v>565</v>
      </c>
      <c r="F96" s="446" t="s">
        <v>554</v>
      </c>
      <c r="G96" s="447">
        <v>1.920215945576741E-2</v>
      </c>
      <c r="H96" s="310">
        <v>56.744360902255643</v>
      </c>
      <c r="I96" s="448">
        <v>9.0801188855060551E-5</v>
      </c>
      <c r="J96" s="439"/>
    </row>
    <row r="97" spans="4:13" x14ac:dyDescent="0.2">
      <c r="D97" s="446" t="s">
        <v>595</v>
      </c>
      <c r="E97" s="446" t="s">
        <v>604</v>
      </c>
      <c r="F97" s="446" t="s">
        <v>554</v>
      </c>
      <c r="G97" s="447">
        <v>1.1176234311811695</v>
      </c>
      <c r="H97" s="310">
        <v>85.081087714765786</v>
      </c>
      <c r="I97" s="448">
        <v>7.9240514317002152E-3</v>
      </c>
      <c r="J97" s="439"/>
    </row>
    <row r="98" spans="4:13" x14ac:dyDescent="0.2">
      <c r="D98" s="446" t="s">
        <v>595</v>
      </c>
      <c r="E98" s="446" t="s">
        <v>569</v>
      </c>
      <c r="F98" s="446" t="s">
        <v>554</v>
      </c>
      <c r="G98" s="447">
        <v>6.7857255219629202E-3</v>
      </c>
      <c r="H98" s="310">
        <v>73.638297872340416</v>
      </c>
      <c r="I98" s="448">
        <v>4.1640773105520677E-5</v>
      </c>
      <c r="J98" s="439"/>
    </row>
    <row r="99" spans="4:13" x14ac:dyDescent="0.2">
      <c r="D99" s="446" t="s">
        <v>595</v>
      </c>
      <c r="E99" s="446" t="s">
        <v>553</v>
      </c>
      <c r="F99" s="446" t="s">
        <v>554</v>
      </c>
      <c r="G99" s="447">
        <v>0.50012240868254365</v>
      </c>
      <c r="H99" s="310">
        <v>51.595759237875299</v>
      </c>
      <c r="I99" s="448">
        <v>2.1503496156542331E-3</v>
      </c>
      <c r="J99" s="439"/>
    </row>
    <row r="100" spans="4:13" x14ac:dyDescent="0.2">
      <c r="D100" s="446" t="s">
        <v>595</v>
      </c>
      <c r="E100" s="446" t="s">
        <v>570</v>
      </c>
      <c r="F100" s="446" t="s">
        <v>554</v>
      </c>
      <c r="G100" s="447">
        <v>9.5288911585011214E-3</v>
      </c>
      <c r="H100" s="310">
        <v>91.924848484848468</v>
      </c>
      <c r="I100" s="448">
        <v>7.2995156331152316E-5</v>
      </c>
      <c r="J100" s="439"/>
    </row>
    <row r="101" spans="4:13" x14ac:dyDescent="0.2">
      <c r="D101" s="446" t="s">
        <v>595</v>
      </c>
      <c r="E101" s="446" t="s">
        <v>551</v>
      </c>
      <c r="F101" s="446" t="s">
        <v>554</v>
      </c>
      <c r="G101" s="447">
        <v>2.8875427753033699E-4</v>
      </c>
      <c r="H101" s="310">
        <v>10</v>
      </c>
      <c r="I101" s="448">
        <v>2.4062856460861417E-7</v>
      </c>
      <c r="J101" s="439"/>
    </row>
    <row r="102" spans="4:13" x14ac:dyDescent="0.2">
      <c r="D102" s="446" t="s">
        <v>595</v>
      </c>
      <c r="E102" s="446" t="s">
        <v>578</v>
      </c>
      <c r="F102" s="446" t="s">
        <v>554</v>
      </c>
      <c r="G102" s="447">
        <v>7.7963654933190995E-3</v>
      </c>
      <c r="H102" s="310">
        <v>31.232037037037042</v>
      </c>
      <c r="I102" s="448">
        <v>2.0291364653468306E-5</v>
      </c>
      <c r="J102" s="439"/>
    </row>
    <row r="103" spans="4:13" x14ac:dyDescent="0.2">
      <c r="D103" s="446" t="s">
        <v>595</v>
      </c>
      <c r="E103" s="446" t="s">
        <v>560</v>
      </c>
      <c r="F103" s="446" t="s">
        <v>554</v>
      </c>
      <c r="G103" s="447">
        <v>0</v>
      </c>
      <c r="H103" s="310" t="s">
        <v>446</v>
      </c>
      <c r="I103" s="448">
        <v>0</v>
      </c>
      <c r="J103" s="439"/>
    </row>
    <row r="104" spans="4:13" x14ac:dyDescent="0.2">
      <c r="D104" s="446" t="s">
        <v>595</v>
      </c>
      <c r="E104" s="446" t="s">
        <v>575</v>
      </c>
      <c r="F104" s="446" t="s">
        <v>554</v>
      </c>
      <c r="G104" s="447">
        <v>1.0106399713561795E-3</v>
      </c>
      <c r="H104" s="310">
        <v>82.834285714285713</v>
      </c>
      <c r="I104" s="448">
        <v>6.9763033451329412E-6</v>
      </c>
      <c r="J104" s="439"/>
    </row>
    <row r="105" spans="4:13" x14ac:dyDescent="0.2">
      <c r="D105" s="446" t="s">
        <v>595</v>
      </c>
      <c r="E105" s="446" t="s">
        <v>566</v>
      </c>
      <c r="F105" s="446" t="s">
        <v>554</v>
      </c>
      <c r="G105" s="447">
        <v>0.10337403135586064</v>
      </c>
      <c r="H105" s="310">
        <v>449.64833798882694</v>
      </c>
      <c r="I105" s="448">
        <v>3.8734967825306346E-3</v>
      </c>
      <c r="J105" s="439"/>
    </row>
    <row r="106" spans="4:13" x14ac:dyDescent="0.2">
      <c r="D106" s="446" t="s">
        <v>595</v>
      </c>
      <c r="E106" s="446" t="s">
        <v>580</v>
      </c>
      <c r="F106" s="446" t="s">
        <v>554</v>
      </c>
      <c r="G106" s="447">
        <v>4.33131416295506E-4</v>
      </c>
      <c r="H106" s="310">
        <v>149.00000000000003</v>
      </c>
      <c r="I106" s="448">
        <v>1.7926828063341758E-6</v>
      </c>
      <c r="J106" s="439"/>
    </row>
    <row r="107" spans="4:13" x14ac:dyDescent="0.2">
      <c r="D107" s="451" t="s">
        <v>595</v>
      </c>
      <c r="E107" s="451" t="s">
        <v>558</v>
      </c>
      <c r="F107" s="451" t="s">
        <v>554</v>
      </c>
      <c r="G107" s="452">
        <v>3.1088729290303725</v>
      </c>
      <c r="H107" s="310">
        <v>0.78151349092091227</v>
      </c>
      <c r="I107" s="454">
        <v>2.02468844633004E-4</v>
      </c>
      <c r="J107" s="439"/>
    </row>
    <row r="108" spans="4:13" ht="16" x14ac:dyDescent="0.2">
      <c r="D108" s="461" t="s">
        <v>605</v>
      </c>
      <c r="E108" s="460"/>
      <c r="F108" s="460"/>
      <c r="G108" s="465">
        <v>12.650324898604065</v>
      </c>
      <c r="H108" s="466"/>
      <c r="I108" s="467">
        <v>9.6155997487607489E-2</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0.28098487182076692</v>
      </c>
      <c r="J118" s="439"/>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783</v>
      </c>
      <c r="G3"/>
      <c r="H3"/>
      <c r="I3"/>
    </row>
    <row r="4" spans="2:19" x14ac:dyDescent="0.2">
      <c r="G4"/>
      <c r="H4"/>
      <c r="I4"/>
    </row>
    <row r="5" spans="2:19" ht="16" x14ac:dyDescent="0.2">
      <c r="D5" s="438" t="s">
        <v>784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4.1101283863668172</v>
      </c>
      <c r="O10" s="310">
        <v>539.62949170998661</v>
      </c>
      <c r="P10" s="388">
        <v>0.18482887433315942</v>
      </c>
      <c r="Q10" s="29">
        <v>0</v>
      </c>
      <c r="R10" s="388">
        <f>N10*Q10/12000</f>
        <v>0</v>
      </c>
      <c r="S10" s="388">
        <f>P10-R10</f>
        <v>0.18482887433315942</v>
      </c>
    </row>
    <row r="11" spans="2:19" x14ac:dyDescent="0.2">
      <c r="D11" s="446" t="s">
        <v>1</v>
      </c>
      <c r="E11" s="446" t="s">
        <v>540</v>
      </c>
      <c r="F11" s="446" t="s">
        <v>534</v>
      </c>
      <c r="G11" s="447">
        <v>0</v>
      </c>
      <c r="H11" s="310" t="s">
        <v>446</v>
      </c>
      <c r="I11" s="448">
        <v>0</v>
      </c>
      <c r="J11" s="439"/>
      <c r="K11" s="320" t="s">
        <v>463</v>
      </c>
      <c r="L11" s="450" t="s">
        <v>541</v>
      </c>
      <c r="M11" s="446" t="s">
        <v>539</v>
      </c>
      <c r="N11" s="449">
        <v>2.4072000346316544</v>
      </c>
      <c r="O11" s="310">
        <v>89.240851076590971</v>
      </c>
      <c r="P11" s="388">
        <v>1.7901714983510675E-2</v>
      </c>
      <c r="Q11" s="29">
        <f>'Assumptions-Output Override'!G19</f>
        <v>30</v>
      </c>
      <c r="R11" s="388">
        <f>N11*Q11/12000</f>
        <v>6.0180000865791353E-3</v>
      </c>
      <c r="S11" s="388">
        <f>P11-R11</f>
        <v>1.188371489693154E-2</v>
      </c>
    </row>
    <row r="12" spans="2:19" x14ac:dyDescent="0.2">
      <c r="D12" s="446" t="s">
        <v>1</v>
      </c>
      <c r="E12" s="446" t="s">
        <v>542</v>
      </c>
      <c r="F12" s="446" t="s">
        <v>534</v>
      </c>
      <c r="G12" s="447">
        <v>0</v>
      </c>
      <c r="H12" s="310" t="s">
        <v>446</v>
      </c>
      <c r="I12" s="448">
        <v>0</v>
      </c>
      <c r="J12" s="439"/>
      <c r="K12" s="320" t="s">
        <v>464</v>
      </c>
      <c r="L12" s="450" t="s">
        <v>541</v>
      </c>
      <c r="M12" s="446" t="s">
        <v>539</v>
      </c>
      <c r="N12" s="449">
        <v>10.243124863972412</v>
      </c>
      <c r="O12" s="310">
        <v>91.676261152691438</v>
      </c>
      <c r="P12" s="388">
        <v>7.8254282504096814E-2</v>
      </c>
      <c r="Q12" s="29">
        <f>'Assumptions-Output Override'!H19</f>
        <v>60</v>
      </c>
      <c r="R12" s="388">
        <f>N12*Q12/12000</f>
        <v>5.1215624319862062E-2</v>
      </c>
      <c r="S12" s="388">
        <f>P12-R12</f>
        <v>2.7038658184234753E-2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0.28098487182076692</v>
      </c>
      <c r="R15" s="388">
        <f>SUM(R8:R13)</f>
        <v>5.7233624406441197E-2</v>
      </c>
      <c r="S15" s="388">
        <f>SUM(S8:S13)</f>
        <v>0.22375124741432573</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1.6892125235524715E-2</v>
      </c>
      <c r="H19" s="310">
        <v>547.61623931624013</v>
      </c>
      <c r="I19" s="448">
        <v>7.7086684129475016E-4</v>
      </c>
      <c r="J19" s="439"/>
    </row>
    <row r="20" spans="4:10" x14ac:dyDescent="0.2">
      <c r="D20" s="446" t="s">
        <v>462</v>
      </c>
      <c r="E20" s="446" t="s">
        <v>550</v>
      </c>
      <c r="F20" s="446" t="s">
        <v>537</v>
      </c>
      <c r="G20" s="447">
        <v>0.37090486948771789</v>
      </c>
      <c r="H20" s="310">
        <v>213.64861035422342</v>
      </c>
      <c r="I20" s="448">
        <v>6.6036091616387951E-3</v>
      </c>
      <c r="J20" s="439"/>
    </row>
    <row r="21" spans="4:10" x14ac:dyDescent="0.2">
      <c r="D21" s="446" t="s">
        <v>462</v>
      </c>
      <c r="E21" s="446" t="s">
        <v>551</v>
      </c>
      <c r="F21" s="446" t="s">
        <v>537</v>
      </c>
      <c r="G21" s="447">
        <v>4.4035027323376386E-2</v>
      </c>
      <c r="H21" s="310">
        <v>-141.81645901639348</v>
      </c>
      <c r="I21" s="448">
        <v>-5.2040763730761453E-4</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1.4437713876516849E-4</v>
      </c>
      <c r="H23" s="310">
        <v>304</v>
      </c>
      <c r="I23" s="448">
        <v>3.6575541820509354E-6</v>
      </c>
      <c r="J23" s="439"/>
    </row>
    <row r="24" spans="4:10" x14ac:dyDescent="0.2">
      <c r="D24" s="446" t="s">
        <v>462</v>
      </c>
      <c r="E24" s="446" t="s">
        <v>555</v>
      </c>
      <c r="F24" s="446" t="s">
        <v>537</v>
      </c>
      <c r="G24" s="447">
        <v>1.5303976709107861E-2</v>
      </c>
      <c r="H24" s="310">
        <v>975.65962264150926</v>
      </c>
      <c r="I24" s="448">
        <v>1.2442893450768852E-3</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2.8875427753033699E-4</v>
      </c>
      <c r="H28" s="310">
        <v>75</v>
      </c>
      <c r="I28" s="448">
        <v>1.8047142345646061E-6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4.3313141629550551E-4</v>
      </c>
      <c r="H33" s="310">
        <v>59.659999999999982</v>
      </c>
      <c r="I33" s="448">
        <v>2.1533850246824878E-6</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1.49082483507858</v>
      </c>
      <c r="H52" s="310">
        <v>579.08295328207771</v>
      </c>
      <c r="I52" s="448">
        <v>7.1942604026964216E-2</v>
      </c>
      <c r="J52" s="439"/>
    </row>
    <row r="53" spans="4:10" x14ac:dyDescent="0.2">
      <c r="D53" s="446" t="s">
        <v>462</v>
      </c>
      <c r="E53" s="446" t="s">
        <v>584</v>
      </c>
      <c r="F53" s="446" t="s">
        <v>554</v>
      </c>
      <c r="G53" s="447">
        <v>8.2392221561813098E-2</v>
      </c>
      <c r="H53" s="310">
        <v>579.08295328207771</v>
      </c>
      <c r="I53" s="448">
        <v>3.9759942491238345E-3</v>
      </c>
      <c r="J53" s="439"/>
    </row>
    <row r="54" spans="4:10" x14ac:dyDescent="0.2">
      <c r="D54" s="446" t="s">
        <v>462</v>
      </c>
      <c r="E54" s="446" t="s">
        <v>585</v>
      </c>
      <c r="F54" s="446" t="s">
        <v>554</v>
      </c>
      <c r="G54" s="447">
        <v>0.3648288180541715</v>
      </c>
      <c r="H54" s="310">
        <v>579.08295328207771</v>
      </c>
      <c r="I54" s="448">
        <v>1.7605512450101619E-2</v>
      </c>
      <c r="J54" s="439"/>
    </row>
    <row r="55" spans="4:10" x14ac:dyDescent="0.2">
      <c r="D55" s="446" t="s">
        <v>462</v>
      </c>
      <c r="E55" s="446" t="s">
        <v>586</v>
      </c>
      <c r="F55" s="446" t="s">
        <v>537</v>
      </c>
      <c r="G55" s="447">
        <v>0.19942895771442248</v>
      </c>
      <c r="H55" s="310">
        <v>579.08295328207771</v>
      </c>
      <c r="I55" s="448">
        <v>9.6238258169361966E-3</v>
      </c>
      <c r="J55" s="439"/>
    </row>
    <row r="56" spans="4:10" x14ac:dyDescent="0.2">
      <c r="D56" s="446" t="s">
        <v>462</v>
      </c>
      <c r="E56" s="446" t="s">
        <v>5</v>
      </c>
      <c r="F56" s="446" t="s">
        <v>537</v>
      </c>
      <c r="G56" s="447">
        <v>0.17101241656344243</v>
      </c>
      <c r="H56" s="310">
        <v>579.08295328207771</v>
      </c>
      <c r="I56" s="448">
        <v>8.2525312692885953E-3</v>
      </c>
      <c r="J56" s="439"/>
    </row>
    <row r="57" spans="4:10" x14ac:dyDescent="0.2">
      <c r="D57" s="446" t="s">
        <v>462</v>
      </c>
      <c r="E57" s="446" t="s">
        <v>587</v>
      </c>
      <c r="F57" s="446" t="s">
        <v>537</v>
      </c>
      <c r="G57" s="447">
        <v>0.45162571264697099</v>
      </c>
      <c r="H57" s="310">
        <v>579.08295328207771</v>
      </c>
      <c r="I57" s="448">
        <v>2.1794062621477577E-2</v>
      </c>
      <c r="J57" s="439"/>
    </row>
    <row r="58" spans="4:10" x14ac:dyDescent="0.2">
      <c r="D58" s="446" t="s">
        <v>462</v>
      </c>
      <c r="E58" s="446" t="s">
        <v>588</v>
      </c>
      <c r="F58" s="446" t="s">
        <v>537</v>
      </c>
      <c r="G58" s="447">
        <v>0.30508251399444875</v>
      </c>
      <c r="H58" s="310">
        <v>579.0829532820776</v>
      </c>
      <c r="I58" s="448">
        <v>1.472234026655218E-2</v>
      </c>
      <c r="J58" s="439"/>
    </row>
    <row r="59" spans="4:10" x14ac:dyDescent="0.2">
      <c r="D59" s="446" t="s">
        <v>462</v>
      </c>
      <c r="E59" s="446" t="s">
        <v>589</v>
      </c>
      <c r="F59" s="446" t="s">
        <v>537</v>
      </c>
      <c r="G59" s="447">
        <v>0.11792823888579176</v>
      </c>
      <c r="H59" s="310">
        <v>579.08295328207782</v>
      </c>
      <c r="I59" s="448">
        <v>5.6908527374448887E-3</v>
      </c>
      <c r="J59" s="439"/>
    </row>
    <row r="60" spans="4:10" x14ac:dyDescent="0.2">
      <c r="D60" s="446" t="s">
        <v>462</v>
      </c>
      <c r="E60" s="446" t="s">
        <v>590</v>
      </c>
      <c r="F60" s="446" t="s">
        <v>537</v>
      </c>
      <c r="G60" s="447">
        <v>0.11256033775521647</v>
      </c>
      <c r="H60" s="310">
        <v>579.08295328207782</v>
      </c>
      <c r="I60" s="448">
        <v>5.4318144008099097E-3</v>
      </c>
      <c r="J60" s="439"/>
    </row>
    <row r="61" spans="4:10" x14ac:dyDescent="0.2">
      <c r="D61" s="446" t="s">
        <v>462</v>
      </c>
      <c r="E61" s="446" t="s">
        <v>591</v>
      </c>
      <c r="F61" s="446" t="s">
        <v>537</v>
      </c>
      <c r="G61" s="447">
        <v>0.18662913025175515</v>
      </c>
      <c r="H61" s="310">
        <v>579.08295328207771</v>
      </c>
      <c r="I61" s="448">
        <v>9.0061456595543262E-3</v>
      </c>
      <c r="J61" s="439"/>
    </row>
    <row r="62" spans="4:10" x14ac:dyDescent="0.2">
      <c r="D62" s="446" t="s">
        <v>462</v>
      </c>
      <c r="E62" s="446" t="s">
        <v>592</v>
      </c>
      <c r="F62" s="446" t="s">
        <v>537</v>
      </c>
      <c r="G62" s="447">
        <v>0.17981294227188602</v>
      </c>
      <c r="H62" s="310">
        <v>579.08295328207771</v>
      </c>
      <c r="I62" s="448">
        <v>8.6772174707619582E-3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4.1101283863668172</v>
      </c>
      <c r="H64" s="463"/>
      <c r="I64" s="464">
        <v>0.18482887433315942</v>
      </c>
      <c r="J64" s="439"/>
    </row>
    <row r="65" spans="4:10" x14ac:dyDescent="0.2">
      <c r="D65" s="446" t="s">
        <v>595</v>
      </c>
      <c r="E65" s="446" t="s">
        <v>596</v>
      </c>
      <c r="F65" s="446" t="s">
        <v>554</v>
      </c>
      <c r="G65" s="447">
        <v>8.1861837679850544E-2</v>
      </c>
      <c r="H65" s="310">
        <v>83.156701940035276</v>
      </c>
      <c r="I65" s="448">
        <v>5.6728003635057335E-4</v>
      </c>
      <c r="J65" s="439"/>
    </row>
    <row r="66" spans="4:10" x14ac:dyDescent="0.2">
      <c r="D66" s="446" t="s">
        <v>595</v>
      </c>
      <c r="E66" s="446" t="s">
        <v>563</v>
      </c>
      <c r="F66" s="446" t="s">
        <v>554</v>
      </c>
      <c r="G66" s="447">
        <v>3.6094284691292125E-2</v>
      </c>
      <c r="H66" s="310">
        <v>278.81495999999999</v>
      </c>
      <c r="I66" s="448">
        <v>8.3863554520260226E-4</v>
      </c>
      <c r="J66" s="439"/>
    </row>
    <row r="67" spans="4:10" x14ac:dyDescent="0.2">
      <c r="D67" s="446" t="s">
        <v>595</v>
      </c>
      <c r="E67" s="446" t="s">
        <v>564</v>
      </c>
      <c r="F67" s="446" t="s">
        <v>554</v>
      </c>
      <c r="G67" s="447">
        <v>0.2096356054870247</v>
      </c>
      <c r="H67" s="310">
        <v>94.500406336088133</v>
      </c>
      <c r="I67" s="448">
        <v>1.6508874917529751E-3</v>
      </c>
      <c r="J67" s="439"/>
    </row>
    <row r="68" spans="4:10" x14ac:dyDescent="0.2">
      <c r="D68" s="446" t="s">
        <v>595</v>
      </c>
      <c r="E68" s="446" t="s">
        <v>597</v>
      </c>
      <c r="F68" s="446" t="s">
        <v>554</v>
      </c>
      <c r="G68" s="447">
        <v>1.732525665182022E-3</v>
      </c>
      <c r="H68" s="310">
        <v>50.999999999999986</v>
      </c>
      <c r="I68" s="448">
        <v>7.3632340770235923E-6</v>
      </c>
      <c r="J68" s="439"/>
    </row>
    <row r="69" spans="4:10" x14ac:dyDescent="0.2">
      <c r="D69" s="446" t="s">
        <v>595</v>
      </c>
      <c r="E69" s="446" t="s">
        <v>572</v>
      </c>
      <c r="F69" s="446" t="s">
        <v>554</v>
      </c>
      <c r="G69" s="447">
        <v>8.3738740483797723E-3</v>
      </c>
      <c r="H69" s="310">
        <v>160.55965517241384</v>
      </c>
      <c r="I69" s="448">
        <v>1.1204219413875678E-4</v>
      </c>
      <c r="J69" s="439"/>
    </row>
    <row r="70" spans="4:10" x14ac:dyDescent="0.2">
      <c r="D70" s="446" t="s">
        <v>595</v>
      </c>
      <c r="E70" s="446" t="s">
        <v>567</v>
      </c>
      <c r="F70" s="446" t="s">
        <v>554</v>
      </c>
      <c r="G70" s="447">
        <v>1.155017110121348E-3</v>
      </c>
      <c r="H70" s="310">
        <v>130.43</v>
      </c>
      <c r="I70" s="448">
        <v>1.255407347276062E-5</v>
      </c>
      <c r="J70" s="439"/>
    </row>
    <row r="71" spans="4:10" x14ac:dyDescent="0.2">
      <c r="D71" s="446" t="s">
        <v>595</v>
      </c>
      <c r="E71" s="446" t="s">
        <v>568</v>
      </c>
      <c r="F71" s="446" t="s">
        <v>554</v>
      </c>
      <c r="G71" s="447">
        <v>2.8875427753033699E-4</v>
      </c>
      <c r="H71" s="310">
        <v>87.5</v>
      </c>
      <c r="I71" s="448">
        <v>2.1054999403253739E-6</v>
      </c>
      <c r="J71" s="439"/>
    </row>
    <row r="72" spans="4:10" x14ac:dyDescent="0.2">
      <c r="D72" s="446" t="s">
        <v>595</v>
      </c>
      <c r="E72" s="446" t="s">
        <v>548</v>
      </c>
      <c r="F72" s="446" t="s">
        <v>554</v>
      </c>
      <c r="G72" s="447">
        <v>0.26984087235209991</v>
      </c>
      <c r="H72" s="310">
        <v>206.52670947030498</v>
      </c>
      <c r="I72" s="448">
        <v>4.6441122872896493E-3</v>
      </c>
      <c r="J72" s="439"/>
    </row>
    <row r="73" spans="4:10" x14ac:dyDescent="0.2">
      <c r="D73" s="446" t="s">
        <v>595</v>
      </c>
      <c r="E73" s="446" t="s">
        <v>598</v>
      </c>
      <c r="F73" s="446" t="s">
        <v>554</v>
      </c>
      <c r="G73" s="447">
        <v>4.0425598854247182E-3</v>
      </c>
      <c r="H73" s="310">
        <v>94.894642857142856</v>
      </c>
      <c r="I73" s="448">
        <v>3.1968106379665916E-5</v>
      </c>
      <c r="J73" s="439"/>
    </row>
    <row r="74" spans="4:10" x14ac:dyDescent="0.2">
      <c r="D74" s="446" t="s">
        <v>595</v>
      </c>
      <c r="E74" s="446" t="s">
        <v>549</v>
      </c>
      <c r="F74" s="446" t="s">
        <v>554</v>
      </c>
      <c r="G74" s="447">
        <v>1.03691661061144</v>
      </c>
      <c r="H74" s="310">
        <v>76.934640768588309</v>
      </c>
      <c r="I74" s="448">
        <v>6.6479005786977746E-3</v>
      </c>
      <c r="J74" s="439"/>
    </row>
    <row r="75" spans="4:10" x14ac:dyDescent="0.2">
      <c r="D75" s="446" t="s">
        <v>595</v>
      </c>
      <c r="E75" s="446" t="s">
        <v>571</v>
      </c>
      <c r="F75" s="446" t="s">
        <v>554</v>
      </c>
      <c r="G75" s="447">
        <v>6.9301026607280882E-3</v>
      </c>
      <c r="H75" s="310">
        <v>188.55208333333334</v>
      </c>
      <c r="I75" s="448">
        <v>1.0889044119951313E-4</v>
      </c>
      <c r="J75" s="439"/>
    </row>
    <row r="76" spans="4:10" x14ac:dyDescent="0.2">
      <c r="D76" s="446" t="s">
        <v>595</v>
      </c>
      <c r="E76" s="446" t="s">
        <v>561</v>
      </c>
      <c r="F76" s="446" t="s">
        <v>554</v>
      </c>
      <c r="G76" s="447">
        <v>1.7325256651820223E-2</v>
      </c>
      <c r="H76" s="310">
        <v>174.1438333333333</v>
      </c>
      <c r="I76" s="448">
        <v>2.5142388390265042E-4</v>
      </c>
      <c r="J76" s="439"/>
    </row>
    <row r="77" spans="4:10" x14ac:dyDescent="0.2">
      <c r="D77" s="446" t="s">
        <v>595</v>
      </c>
      <c r="E77" s="446" t="s">
        <v>599</v>
      </c>
      <c r="F77" s="446" t="s">
        <v>554</v>
      </c>
      <c r="G77" s="447">
        <v>2.087115917989276</v>
      </c>
      <c r="H77" s="310">
        <v>96.21427089097952</v>
      </c>
      <c r="I77" s="448">
        <v>1.6734194692857966E-2</v>
      </c>
      <c r="J77" s="439"/>
    </row>
    <row r="78" spans="4:10" x14ac:dyDescent="0.2">
      <c r="D78" s="446" t="s">
        <v>595</v>
      </c>
      <c r="E78" s="446" t="s">
        <v>600</v>
      </c>
      <c r="F78" s="446" t="s">
        <v>554</v>
      </c>
      <c r="G78" s="447">
        <v>1.732525665182022E-2</v>
      </c>
      <c r="H78" s="310">
        <v>114.86033333333332</v>
      </c>
      <c r="I78" s="448">
        <v>1.6583206284280174E-4</v>
      </c>
      <c r="J78" s="439"/>
    </row>
    <row r="79" spans="4:10" x14ac:dyDescent="0.2">
      <c r="D79" s="446" t="s">
        <v>595</v>
      </c>
      <c r="E79" s="446" t="s">
        <v>555</v>
      </c>
      <c r="F79" s="446" t="s">
        <v>554</v>
      </c>
      <c r="G79" s="447">
        <v>1.1490976474319761</v>
      </c>
      <c r="H79" s="310">
        <v>89.585511998994846</v>
      </c>
      <c r="I79" s="448">
        <v>8.5785417568361704E-3</v>
      </c>
      <c r="J79" s="439"/>
    </row>
    <row r="80" spans="4:10" x14ac:dyDescent="0.2">
      <c r="D80" s="446" t="s">
        <v>595</v>
      </c>
      <c r="E80" s="446" t="s">
        <v>552</v>
      </c>
      <c r="F80" s="446" t="s">
        <v>554</v>
      </c>
      <c r="G80" s="447">
        <v>7.218856938258425E-4</v>
      </c>
      <c r="H80" s="310">
        <v>50.800000000000004</v>
      </c>
      <c r="I80" s="448">
        <v>3.0559827705293998E-6</v>
      </c>
      <c r="J80" s="439"/>
    </row>
    <row r="81" spans="4:10" x14ac:dyDescent="0.2">
      <c r="D81" s="446" t="s">
        <v>595</v>
      </c>
      <c r="E81" s="446" t="s">
        <v>581</v>
      </c>
      <c r="F81" s="446" t="s">
        <v>554</v>
      </c>
      <c r="G81" s="447">
        <v>1.068390826862247E-2</v>
      </c>
      <c r="H81" s="310">
        <v>76.623378378378376</v>
      </c>
      <c r="I81" s="448">
        <v>6.8219762152212074E-5</v>
      </c>
      <c r="J81" s="439"/>
    </row>
    <row r="82" spans="4:10" x14ac:dyDescent="0.2">
      <c r="D82" s="446" t="s">
        <v>595</v>
      </c>
      <c r="E82" s="446" t="s">
        <v>574</v>
      </c>
      <c r="F82" s="446" t="s">
        <v>554</v>
      </c>
      <c r="G82" s="447">
        <v>6.4969712444325825E-3</v>
      </c>
      <c r="H82" s="310">
        <v>116.17777777777778</v>
      </c>
      <c r="I82" s="448">
        <v>6.2900306788691738E-5</v>
      </c>
      <c r="J82" s="439"/>
    </row>
    <row r="83" spans="4:10" x14ac:dyDescent="0.2">
      <c r="D83" s="446" t="s">
        <v>595</v>
      </c>
      <c r="E83" s="446" t="s">
        <v>601</v>
      </c>
      <c r="F83" s="446" t="s">
        <v>554</v>
      </c>
      <c r="G83" s="447">
        <v>4.3313141629550551E-4</v>
      </c>
      <c r="H83" s="310">
        <v>290.99999999999994</v>
      </c>
      <c r="I83" s="448">
        <v>1.0503436845166007E-5</v>
      </c>
      <c r="J83" s="439"/>
    </row>
    <row r="84" spans="4:10" x14ac:dyDescent="0.2">
      <c r="D84" s="446" t="s">
        <v>595</v>
      </c>
      <c r="E84" s="446" t="s">
        <v>559</v>
      </c>
      <c r="F84" s="446" t="s">
        <v>554</v>
      </c>
      <c r="G84" s="447">
        <v>0.12849565350099998</v>
      </c>
      <c r="H84" s="310">
        <v>137.977404494382</v>
      </c>
      <c r="I84" s="448">
        <v>1.4774580632397857E-3</v>
      </c>
      <c r="J84" s="439"/>
    </row>
    <row r="85" spans="4:10" x14ac:dyDescent="0.2">
      <c r="D85" s="446" t="s">
        <v>595</v>
      </c>
      <c r="E85" s="446" t="s">
        <v>573</v>
      </c>
      <c r="F85" s="446" t="s">
        <v>554</v>
      </c>
      <c r="G85" s="447">
        <v>6.7857255219629202E-3</v>
      </c>
      <c r="H85" s="310">
        <v>114.50234042553191</v>
      </c>
      <c r="I85" s="448">
        <v>6.4748454479168205E-5</v>
      </c>
      <c r="J85" s="439"/>
    </row>
    <row r="86" spans="4:10" x14ac:dyDescent="0.2">
      <c r="D86" s="446" t="s">
        <v>595</v>
      </c>
      <c r="E86" s="446" t="s">
        <v>562</v>
      </c>
      <c r="F86" s="446" t="s">
        <v>554</v>
      </c>
      <c r="G86" s="447">
        <v>1.5737108125403368E-2</v>
      </c>
      <c r="H86" s="310">
        <v>254.30834862385325</v>
      </c>
      <c r="I86" s="448">
        <v>3.335064982905294E-4</v>
      </c>
      <c r="J86" s="439"/>
    </row>
    <row r="87" spans="4:10" x14ac:dyDescent="0.2">
      <c r="D87" s="446" t="s">
        <v>595</v>
      </c>
      <c r="E87" s="446" t="s">
        <v>550</v>
      </c>
      <c r="F87" s="446" t="s">
        <v>554</v>
      </c>
      <c r="G87" s="447">
        <v>2.2586359588422962</v>
      </c>
      <c r="H87" s="310">
        <v>195.58807913577093</v>
      </c>
      <c r="I87" s="448">
        <v>3.6813522388078737E-2</v>
      </c>
      <c r="J87" s="439"/>
    </row>
    <row r="88" spans="4:10" x14ac:dyDescent="0.2">
      <c r="D88" s="446" t="s">
        <v>595</v>
      </c>
      <c r="E88" s="446" t="s">
        <v>579</v>
      </c>
      <c r="F88" s="446" t="s">
        <v>554</v>
      </c>
      <c r="G88" s="447">
        <v>1.4437713876516849E-4</v>
      </c>
      <c r="H88" s="310">
        <v>7.0000000000000009</v>
      </c>
      <c r="I88" s="448">
        <v>8.4219997613014961E-8</v>
      </c>
      <c r="J88" s="439"/>
    </row>
    <row r="89" spans="4:10" x14ac:dyDescent="0.2">
      <c r="D89" s="446" t="s">
        <v>595</v>
      </c>
      <c r="E89" s="446" t="s">
        <v>556</v>
      </c>
      <c r="F89" s="446" t="s">
        <v>554</v>
      </c>
      <c r="G89" s="447">
        <v>4.9088227180157295E-3</v>
      </c>
      <c r="H89" s="310">
        <v>60.531470588235294</v>
      </c>
      <c r="I89" s="448">
        <v>2.4761521498202531E-5</v>
      </c>
      <c r="J89" s="439"/>
    </row>
    <row r="90" spans="4:10" x14ac:dyDescent="0.2">
      <c r="D90" s="446" t="s">
        <v>595</v>
      </c>
      <c r="E90" s="446" t="s">
        <v>602</v>
      </c>
      <c r="F90" s="446" t="s">
        <v>554</v>
      </c>
      <c r="G90" s="447">
        <v>2.4832867867608983E-2</v>
      </c>
      <c r="H90" s="310">
        <v>104.68377906976743</v>
      </c>
      <c r="I90" s="448">
        <v>2.1663320446012544E-4</v>
      </c>
      <c r="J90" s="439"/>
    </row>
    <row r="91" spans="4:10" x14ac:dyDescent="0.2">
      <c r="D91" s="446" t="s">
        <v>595</v>
      </c>
      <c r="E91" s="446" t="s">
        <v>577</v>
      </c>
      <c r="F91" s="446" t="s">
        <v>554</v>
      </c>
      <c r="G91" s="447">
        <v>0.28904303180786733</v>
      </c>
      <c r="H91" s="310">
        <v>43.69601398601398</v>
      </c>
      <c r="I91" s="448">
        <v>1.0525023633697046E-3</v>
      </c>
      <c r="J91" s="439"/>
    </row>
    <row r="92" spans="4:10" x14ac:dyDescent="0.2">
      <c r="D92" s="446" t="s">
        <v>595</v>
      </c>
      <c r="E92" s="446" t="s">
        <v>576</v>
      </c>
      <c r="F92" s="446" t="s">
        <v>554</v>
      </c>
      <c r="G92" s="447">
        <v>9.2690123087238174E-2</v>
      </c>
      <c r="H92" s="310">
        <v>155.07342679127726</v>
      </c>
      <c r="I92" s="448">
        <v>1.1978145847369422E-3</v>
      </c>
      <c r="J92" s="439"/>
    </row>
    <row r="93" spans="4:10" x14ac:dyDescent="0.2">
      <c r="D93" s="446" t="s">
        <v>595</v>
      </c>
      <c r="E93" s="446" t="s">
        <v>603</v>
      </c>
      <c r="F93" s="446" t="s">
        <v>554</v>
      </c>
      <c r="G93" s="447">
        <v>1.443771387651685E-3</v>
      </c>
      <c r="H93" s="310">
        <v>369.7</v>
      </c>
      <c r="I93" s="448">
        <v>4.4480190167902327E-5</v>
      </c>
      <c r="J93" s="439"/>
    </row>
    <row r="94" spans="4:10" x14ac:dyDescent="0.2">
      <c r="D94" s="446" t="s">
        <v>595</v>
      </c>
      <c r="E94" s="446" t="s">
        <v>557</v>
      </c>
      <c r="F94" s="446" t="s">
        <v>554</v>
      </c>
      <c r="G94" s="447">
        <v>5.919462689371908E-3</v>
      </c>
      <c r="H94" s="310">
        <v>84.242195121951212</v>
      </c>
      <c r="I94" s="448">
        <v>4.1555710907931533E-5</v>
      </c>
      <c r="J94" s="439"/>
    </row>
    <row r="95" spans="4:10" x14ac:dyDescent="0.2">
      <c r="D95" s="446" t="s">
        <v>595</v>
      </c>
      <c r="E95" s="446" t="s">
        <v>582</v>
      </c>
      <c r="F95" s="446" t="s">
        <v>554</v>
      </c>
      <c r="G95" s="447">
        <v>8.6626283259101102E-4</v>
      </c>
      <c r="H95" s="310">
        <v>75</v>
      </c>
      <c r="I95" s="448">
        <v>5.4141427036938191E-6</v>
      </c>
      <c r="J95" s="439"/>
    </row>
    <row r="96" spans="4:10" x14ac:dyDescent="0.2">
      <c r="D96" s="446" t="s">
        <v>595</v>
      </c>
      <c r="E96" s="446" t="s">
        <v>565</v>
      </c>
      <c r="F96" s="446" t="s">
        <v>554</v>
      </c>
      <c r="G96" s="447">
        <v>1.920215945576741E-2</v>
      </c>
      <c r="H96" s="310">
        <v>56.744360902255643</v>
      </c>
      <c r="I96" s="448">
        <v>9.0801188855060551E-5</v>
      </c>
      <c r="J96" s="439"/>
    </row>
    <row r="97" spans="4:13" x14ac:dyDescent="0.2">
      <c r="D97" s="446" t="s">
        <v>595</v>
      </c>
      <c r="E97" s="446" t="s">
        <v>604</v>
      </c>
      <c r="F97" s="446" t="s">
        <v>554</v>
      </c>
      <c r="G97" s="447">
        <v>1.1176234311811695</v>
      </c>
      <c r="H97" s="310">
        <v>85.081087714765786</v>
      </c>
      <c r="I97" s="448">
        <v>7.9240514317002152E-3</v>
      </c>
      <c r="J97" s="439"/>
    </row>
    <row r="98" spans="4:13" x14ac:dyDescent="0.2">
      <c r="D98" s="446" t="s">
        <v>595</v>
      </c>
      <c r="E98" s="446" t="s">
        <v>569</v>
      </c>
      <c r="F98" s="446" t="s">
        <v>554</v>
      </c>
      <c r="G98" s="447">
        <v>6.7857255219629202E-3</v>
      </c>
      <c r="H98" s="310">
        <v>73.638297872340416</v>
      </c>
      <c r="I98" s="448">
        <v>4.1640773105520677E-5</v>
      </c>
      <c r="J98" s="439"/>
    </row>
    <row r="99" spans="4:13" x14ac:dyDescent="0.2">
      <c r="D99" s="446" t="s">
        <v>595</v>
      </c>
      <c r="E99" s="446" t="s">
        <v>553</v>
      </c>
      <c r="F99" s="446" t="s">
        <v>554</v>
      </c>
      <c r="G99" s="447">
        <v>0.50012240868254365</v>
      </c>
      <c r="H99" s="310">
        <v>51.595759237875299</v>
      </c>
      <c r="I99" s="448">
        <v>2.1503496156542331E-3</v>
      </c>
      <c r="J99" s="439"/>
    </row>
    <row r="100" spans="4:13" x14ac:dyDescent="0.2">
      <c r="D100" s="446" t="s">
        <v>595</v>
      </c>
      <c r="E100" s="446" t="s">
        <v>570</v>
      </c>
      <c r="F100" s="446" t="s">
        <v>554</v>
      </c>
      <c r="G100" s="447">
        <v>9.5288911585011214E-3</v>
      </c>
      <c r="H100" s="310">
        <v>91.924848484848468</v>
      </c>
      <c r="I100" s="448">
        <v>7.2995156331152316E-5</v>
      </c>
      <c r="J100" s="439"/>
    </row>
    <row r="101" spans="4:13" x14ac:dyDescent="0.2">
      <c r="D101" s="446" t="s">
        <v>595</v>
      </c>
      <c r="E101" s="446" t="s">
        <v>551</v>
      </c>
      <c r="F101" s="446" t="s">
        <v>554</v>
      </c>
      <c r="G101" s="447">
        <v>2.8875427753033699E-4</v>
      </c>
      <c r="H101" s="310">
        <v>10</v>
      </c>
      <c r="I101" s="448">
        <v>2.4062856460861417E-7</v>
      </c>
      <c r="J101" s="439"/>
    </row>
    <row r="102" spans="4:13" x14ac:dyDescent="0.2">
      <c r="D102" s="446" t="s">
        <v>595</v>
      </c>
      <c r="E102" s="446" t="s">
        <v>578</v>
      </c>
      <c r="F102" s="446" t="s">
        <v>554</v>
      </c>
      <c r="G102" s="447">
        <v>7.7963654933190995E-3</v>
      </c>
      <c r="H102" s="310">
        <v>31.232037037037042</v>
      </c>
      <c r="I102" s="448">
        <v>2.0291364653468306E-5</v>
      </c>
      <c r="J102" s="439"/>
    </row>
    <row r="103" spans="4:13" x14ac:dyDescent="0.2">
      <c r="D103" s="446" t="s">
        <v>595</v>
      </c>
      <c r="E103" s="446" t="s">
        <v>560</v>
      </c>
      <c r="F103" s="446" t="s">
        <v>554</v>
      </c>
      <c r="G103" s="447">
        <v>0</v>
      </c>
      <c r="H103" s="310" t="s">
        <v>446</v>
      </c>
      <c r="I103" s="448">
        <v>0</v>
      </c>
      <c r="J103" s="439"/>
    </row>
    <row r="104" spans="4:13" x14ac:dyDescent="0.2">
      <c r="D104" s="446" t="s">
        <v>595</v>
      </c>
      <c r="E104" s="446" t="s">
        <v>575</v>
      </c>
      <c r="F104" s="446" t="s">
        <v>554</v>
      </c>
      <c r="G104" s="447">
        <v>1.0106399713561795E-3</v>
      </c>
      <c r="H104" s="310">
        <v>82.834285714285713</v>
      </c>
      <c r="I104" s="448">
        <v>6.9763033451329412E-6</v>
      </c>
      <c r="J104" s="439"/>
    </row>
    <row r="105" spans="4:13" x14ac:dyDescent="0.2">
      <c r="D105" s="446" t="s">
        <v>595</v>
      </c>
      <c r="E105" s="446" t="s">
        <v>566</v>
      </c>
      <c r="F105" s="446" t="s">
        <v>554</v>
      </c>
      <c r="G105" s="447">
        <v>0.10337403135586064</v>
      </c>
      <c r="H105" s="310">
        <v>449.64833798882694</v>
      </c>
      <c r="I105" s="448">
        <v>3.8734967825306346E-3</v>
      </c>
      <c r="J105" s="439"/>
    </row>
    <row r="106" spans="4:13" x14ac:dyDescent="0.2">
      <c r="D106" s="446" t="s">
        <v>595</v>
      </c>
      <c r="E106" s="446" t="s">
        <v>580</v>
      </c>
      <c r="F106" s="446" t="s">
        <v>554</v>
      </c>
      <c r="G106" s="447">
        <v>4.33131416295506E-4</v>
      </c>
      <c r="H106" s="310">
        <v>149.00000000000003</v>
      </c>
      <c r="I106" s="448">
        <v>1.7926828063341758E-6</v>
      </c>
      <c r="J106" s="439"/>
    </row>
    <row r="107" spans="4:13" x14ac:dyDescent="0.2">
      <c r="D107" s="451" t="s">
        <v>595</v>
      </c>
      <c r="E107" s="451" t="s">
        <v>558</v>
      </c>
      <c r="F107" s="451" t="s">
        <v>554</v>
      </c>
      <c r="G107" s="452">
        <v>3.1088729290303725</v>
      </c>
      <c r="H107" s="310">
        <v>0.78151349092091227</v>
      </c>
      <c r="I107" s="454">
        <v>2.02468844633004E-4</v>
      </c>
      <c r="J107" s="439"/>
    </row>
    <row r="108" spans="4:13" ht="16" x14ac:dyDescent="0.2">
      <c r="D108" s="461" t="s">
        <v>605</v>
      </c>
      <c r="E108" s="460"/>
      <c r="F108" s="460"/>
      <c r="G108" s="465">
        <v>12.650324898604065</v>
      </c>
      <c r="H108" s="466"/>
      <c r="I108" s="467">
        <v>9.6155997487607489E-2</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0.28098487182076692</v>
      </c>
      <c r="J118" s="439"/>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785</v>
      </c>
      <c r="G3"/>
      <c r="H3"/>
      <c r="I3"/>
    </row>
    <row r="4" spans="2:19" x14ac:dyDescent="0.2">
      <c r="G4"/>
      <c r="H4"/>
      <c r="I4"/>
    </row>
    <row r="5" spans="2:19" ht="16" x14ac:dyDescent="0.2">
      <c r="D5" s="438" t="s">
        <v>786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4.331314162955055E-3</v>
      </c>
      <c r="O9" s="310">
        <v>300.56666666666666</v>
      </c>
      <c r="P9" s="388">
        <v>1.084873883537937E-4</v>
      </c>
      <c r="Q9" s="29">
        <f>'Assumptions-Output Target'!E17</f>
        <v>254.62963284816803</v>
      </c>
      <c r="R9" s="388">
        <f>N9*Q9/12000</f>
        <v>9.1906744588609666E-5</v>
      </c>
      <c r="S9" s="388">
        <f>P9-R9</f>
        <v>1.6580643765184031E-5</v>
      </c>
    </row>
    <row r="10" spans="2:19" x14ac:dyDescent="0.2">
      <c r="D10" s="446" t="s">
        <v>1</v>
      </c>
      <c r="E10" s="446" t="s">
        <v>46</v>
      </c>
      <c r="F10" s="446" t="s">
        <v>534</v>
      </c>
      <c r="G10" s="447">
        <v>0</v>
      </c>
      <c r="H10" s="310" t="s">
        <v>446</v>
      </c>
      <c r="I10" s="448">
        <v>0</v>
      </c>
      <c r="J10" s="439"/>
      <c r="K10" s="446" t="s">
        <v>462</v>
      </c>
      <c r="L10" s="446" t="s">
        <v>538</v>
      </c>
      <c r="M10" s="446" t="s">
        <v>539</v>
      </c>
      <c r="N10" s="449">
        <v>43.48206288190579</v>
      </c>
      <c r="O10" s="310">
        <v>2328.2137765382208</v>
      </c>
      <c r="P10" s="388">
        <v>8.4362948194961902</v>
      </c>
      <c r="Q10" s="29">
        <v>0</v>
      </c>
      <c r="R10" s="388">
        <f>N10*Q10/12000</f>
        <v>0</v>
      </c>
      <c r="S10" s="388">
        <f>P10-R10</f>
        <v>8.4362948194961902</v>
      </c>
    </row>
    <row r="11" spans="2:19" x14ac:dyDescent="0.2">
      <c r="D11" s="446" t="s">
        <v>1</v>
      </c>
      <c r="E11" s="446" t="s">
        <v>540</v>
      </c>
      <c r="F11" s="446" t="s">
        <v>534</v>
      </c>
      <c r="G11" s="447">
        <v>0</v>
      </c>
      <c r="H11" s="310" t="s">
        <v>446</v>
      </c>
      <c r="I11" s="448">
        <v>0</v>
      </c>
      <c r="J11" s="439"/>
      <c r="K11" s="320" t="s">
        <v>463</v>
      </c>
      <c r="L11" s="450" t="s">
        <v>541</v>
      </c>
      <c r="M11" s="446" t="s">
        <v>539</v>
      </c>
      <c r="N11" s="449">
        <v>2.4793886040142388</v>
      </c>
      <c r="O11" s="310">
        <v>362.631436557386</v>
      </c>
      <c r="P11" s="388">
        <v>7.4925354271474606E-2</v>
      </c>
      <c r="Q11" s="29">
        <f>'Assumptions-Output Target'!G17</f>
        <v>30.555555941780163</v>
      </c>
      <c r="R11" s="388">
        <f>N11*Q11/12000</f>
        <v>6.3132580992807741E-3</v>
      </c>
      <c r="S11" s="388">
        <f>P11-R11</f>
        <v>6.8612096172193826E-2</v>
      </c>
    </row>
    <row r="12" spans="2:19" x14ac:dyDescent="0.2">
      <c r="D12" s="446" t="s">
        <v>1</v>
      </c>
      <c r="E12" s="446" t="s">
        <v>542</v>
      </c>
      <c r="F12" s="446" t="s">
        <v>534</v>
      </c>
      <c r="G12" s="447">
        <v>0</v>
      </c>
      <c r="H12" s="310" t="s">
        <v>446</v>
      </c>
      <c r="I12" s="448">
        <v>0</v>
      </c>
      <c r="J12" s="439"/>
      <c r="K12" s="320" t="s">
        <v>464</v>
      </c>
      <c r="L12" s="450" t="s">
        <v>541</v>
      </c>
      <c r="M12" s="446" t="s">
        <v>539</v>
      </c>
      <c r="N12" s="449">
        <v>26.913198060076297</v>
      </c>
      <c r="O12" s="310">
        <v>288.96655408268919</v>
      </c>
      <c r="P12" s="388">
        <v>0.64808450856376365</v>
      </c>
      <c r="Q12" s="29">
        <f>'Assumptions-Output Target'!H17</f>
        <v>55.000000695204292</v>
      </c>
      <c r="R12" s="388">
        <f>N12*Q12/12000</f>
        <v>0.1233521593345306</v>
      </c>
      <c r="S12" s="388">
        <f>P12-R12</f>
        <v>0.52473234922923306</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9.1594131697197838</v>
      </c>
      <c r="R15" s="388">
        <f>SUM(R8:R13)</f>
        <v>0.1297573241784</v>
      </c>
      <c r="S15" s="388">
        <f>SUM(S8:S13)</f>
        <v>9.0296558455413809</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4.331314162955055E-3</v>
      </c>
      <c r="H18" s="310">
        <v>300.56666666666666</v>
      </c>
      <c r="I18" s="448">
        <v>1.084873883537937E-4</v>
      </c>
      <c r="J18" s="439"/>
    </row>
    <row r="19" spans="4:10" x14ac:dyDescent="0.2">
      <c r="D19" s="446" t="s">
        <v>462</v>
      </c>
      <c r="E19" s="446" t="s">
        <v>549</v>
      </c>
      <c r="F19" s="446" t="s">
        <v>537</v>
      </c>
      <c r="G19" s="447">
        <v>0.15607168700514712</v>
      </c>
      <c r="H19" s="310">
        <v>1497.9803052729048</v>
      </c>
      <c r="I19" s="448">
        <v>1.9482692778702296E-2</v>
      </c>
      <c r="J19" s="439"/>
    </row>
    <row r="20" spans="4:10" x14ac:dyDescent="0.2">
      <c r="D20" s="446" t="s">
        <v>462</v>
      </c>
      <c r="E20" s="446" t="s">
        <v>550</v>
      </c>
      <c r="F20" s="446" t="s">
        <v>537</v>
      </c>
      <c r="G20" s="447">
        <v>2.691911752276567</v>
      </c>
      <c r="H20" s="310">
        <v>1620.8471332797044</v>
      </c>
      <c r="I20" s="448">
        <v>0.36359812055995161</v>
      </c>
      <c r="J20" s="439"/>
    </row>
    <row r="21" spans="4:10" x14ac:dyDescent="0.2">
      <c r="D21" s="446" t="s">
        <v>462</v>
      </c>
      <c r="E21" s="446" t="s">
        <v>551</v>
      </c>
      <c r="F21" s="446" t="s">
        <v>537</v>
      </c>
      <c r="G21" s="447">
        <v>4.9810112873983139E-2</v>
      </c>
      <c r="H21" s="310">
        <v>244.02973913043473</v>
      </c>
      <c r="I21" s="448">
        <v>1.0129290708913012E-3</v>
      </c>
      <c r="J21" s="439"/>
    </row>
    <row r="22" spans="4:10" x14ac:dyDescent="0.2">
      <c r="D22" s="446" t="s">
        <v>462</v>
      </c>
      <c r="E22" s="446" t="s">
        <v>552</v>
      </c>
      <c r="F22" s="446" t="s">
        <v>537</v>
      </c>
      <c r="G22" s="447">
        <v>9.7454568666488744E-2</v>
      </c>
      <c r="H22" s="310">
        <v>151.12888888888887</v>
      </c>
      <c r="I22" s="448">
        <v>1.2273500566426974E-3</v>
      </c>
      <c r="J22" s="439"/>
    </row>
    <row r="23" spans="4:10" x14ac:dyDescent="0.2">
      <c r="D23" s="446" t="s">
        <v>462</v>
      </c>
      <c r="E23" s="446" t="s">
        <v>553</v>
      </c>
      <c r="F23" s="446" t="s">
        <v>554</v>
      </c>
      <c r="G23" s="447">
        <v>1.5881485264168536E-3</v>
      </c>
      <c r="H23" s="310">
        <v>12.181818181818182</v>
      </c>
      <c r="I23" s="448">
        <v>1.612211382877715E-6</v>
      </c>
      <c r="J23" s="439"/>
    </row>
    <row r="24" spans="4:10" x14ac:dyDescent="0.2">
      <c r="D24" s="446" t="s">
        <v>462</v>
      </c>
      <c r="E24" s="446" t="s">
        <v>555</v>
      </c>
      <c r="F24" s="446" t="s">
        <v>537</v>
      </c>
      <c r="G24" s="447">
        <v>5.0531998567808984E-3</v>
      </c>
      <c r="H24" s="310">
        <v>164.29742857142853</v>
      </c>
      <c r="I24" s="448">
        <v>6.9185645210551052E-5</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2.6354602910193856</v>
      </c>
      <c r="H28" s="310">
        <v>858.77766188232192</v>
      </c>
      <c r="I28" s="448">
        <v>0.1886062022254443</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1.544835384787303E-2</v>
      </c>
      <c r="H41" s="310">
        <v>488.85420560747667</v>
      </c>
      <c r="I41" s="448">
        <v>6.2933272902043129E-4</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0.23836665610129318</v>
      </c>
      <c r="H43" s="310">
        <v>793.49121744397337</v>
      </c>
      <c r="I43" s="448">
        <v>1.576182067898867E-2</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1.4437713876516849E-4</v>
      </c>
      <c r="H45" s="310">
        <v>9515</v>
      </c>
      <c r="I45" s="448">
        <v>1.1447903961254819E-4</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15.302921671012596</v>
      </c>
      <c r="H52" s="310">
        <v>2504.5917886813359</v>
      </c>
      <c r="I52" s="448">
        <v>3.1939643300043179</v>
      </c>
      <c r="J52" s="439"/>
    </row>
    <row r="53" spans="4:10" x14ac:dyDescent="0.2">
      <c r="D53" s="446" t="s">
        <v>462</v>
      </c>
      <c r="E53" s="446" t="s">
        <v>584</v>
      </c>
      <c r="F53" s="446" t="s">
        <v>554</v>
      </c>
      <c r="G53" s="447">
        <v>0.84573430975523223</v>
      </c>
      <c r="H53" s="310">
        <v>2504.5917886813368</v>
      </c>
      <c r="I53" s="448">
        <v>0.17651826730158604</v>
      </c>
      <c r="J53" s="439"/>
    </row>
    <row r="54" spans="4:10" x14ac:dyDescent="0.2">
      <c r="D54" s="446" t="s">
        <v>462</v>
      </c>
      <c r="E54" s="446" t="s">
        <v>585</v>
      </c>
      <c r="F54" s="446" t="s">
        <v>554</v>
      </c>
      <c r="G54" s="447">
        <v>3.7448710905844411</v>
      </c>
      <c r="H54" s="310">
        <v>2504.5917886813363</v>
      </c>
      <c r="I54" s="448">
        <v>0.78161444859565932</v>
      </c>
      <c r="J54" s="439"/>
    </row>
    <row r="55" spans="4:10" x14ac:dyDescent="0.2">
      <c r="D55" s="446" t="s">
        <v>462</v>
      </c>
      <c r="E55" s="446" t="s">
        <v>586</v>
      </c>
      <c r="F55" s="446" t="s">
        <v>537</v>
      </c>
      <c r="G55" s="447">
        <v>2.0470853765154984</v>
      </c>
      <c r="H55" s="310">
        <v>2504.5917886813359</v>
      </c>
      <c r="I55" s="448">
        <v>0.4272594353958632</v>
      </c>
      <c r="J55" s="439"/>
    </row>
    <row r="56" spans="4:10" x14ac:dyDescent="0.2">
      <c r="D56" s="446" t="s">
        <v>462</v>
      </c>
      <c r="E56" s="446" t="s">
        <v>5</v>
      </c>
      <c r="F56" s="446" t="s">
        <v>537</v>
      </c>
      <c r="G56" s="447">
        <v>1.7553971156530925</v>
      </c>
      <c r="H56" s="310">
        <v>2504.5917886813354</v>
      </c>
      <c r="I56" s="448">
        <v>0.36637943347830304</v>
      </c>
      <c r="J56" s="439"/>
    </row>
    <row r="57" spans="4:10" x14ac:dyDescent="0.2">
      <c r="D57" s="446" t="s">
        <v>462</v>
      </c>
      <c r="E57" s="446" t="s">
        <v>587</v>
      </c>
      <c r="F57" s="446" t="s">
        <v>537</v>
      </c>
      <c r="G57" s="447">
        <v>4.6358182011956863</v>
      </c>
      <c r="H57" s="310">
        <v>2504.5917886813363</v>
      </c>
      <c r="I57" s="448">
        <v>0.96756935004451661</v>
      </c>
      <c r="J57" s="439"/>
    </row>
    <row r="58" spans="4:10" x14ac:dyDescent="0.2">
      <c r="D58" s="446" t="s">
        <v>462</v>
      </c>
      <c r="E58" s="446" t="s">
        <v>588</v>
      </c>
      <c r="F58" s="446" t="s">
        <v>537</v>
      </c>
      <c r="G58" s="447">
        <v>3.1315911198961022</v>
      </c>
      <c r="H58" s="310">
        <v>2504.5917886813363</v>
      </c>
      <c r="I58" s="448">
        <v>0.65361311703326397</v>
      </c>
      <c r="J58" s="439"/>
    </row>
    <row r="59" spans="4:10" x14ac:dyDescent="0.2">
      <c r="D59" s="446" t="s">
        <v>462</v>
      </c>
      <c r="E59" s="446" t="s">
        <v>589</v>
      </c>
      <c r="F59" s="446" t="s">
        <v>537</v>
      </c>
      <c r="G59" s="447">
        <v>1.2105021059530523</v>
      </c>
      <c r="H59" s="310">
        <v>2504.5917886813363</v>
      </c>
      <c r="I59" s="448">
        <v>0.25265113622928997</v>
      </c>
      <c r="J59" s="439"/>
    </row>
    <row r="60" spans="4:10" x14ac:dyDescent="0.2">
      <c r="D60" s="446" t="s">
        <v>462</v>
      </c>
      <c r="E60" s="446" t="s">
        <v>590</v>
      </c>
      <c r="F60" s="446" t="s">
        <v>537</v>
      </c>
      <c r="G60" s="447">
        <v>1.1554020240345726</v>
      </c>
      <c r="H60" s="310">
        <v>2504.5917886813359</v>
      </c>
      <c r="I60" s="448">
        <v>0.24115086850189885</v>
      </c>
      <c r="J60" s="439"/>
    </row>
    <row r="61" spans="4:10" x14ac:dyDescent="0.2">
      <c r="D61" s="446" t="s">
        <v>462</v>
      </c>
      <c r="E61" s="446" t="s">
        <v>591</v>
      </c>
      <c r="F61" s="446" t="s">
        <v>537</v>
      </c>
      <c r="G61" s="447">
        <v>1.915698541218144</v>
      </c>
      <c r="H61" s="310">
        <v>2504.5917886813363</v>
      </c>
      <c r="I61" s="448">
        <v>0.39983690299364816</v>
      </c>
      <c r="J61" s="439"/>
    </row>
    <row r="62" spans="4:10" x14ac:dyDescent="0.2">
      <c r="D62" s="446" t="s">
        <v>462</v>
      </c>
      <c r="E62" s="446" t="s">
        <v>592</v>
      </c>
      <c r="F62" s="446" t="s">
        <v>537</v>
      </c>
      <c r="G62" s="447">
        <v>1.8457321787746737</v>
      </c>
      <c r="H62" s="310">
        <v>2504.5917886813363</v>
      </c>
      <c r="I62" s="448">
        <v>0.38523380492199666</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43.486394196068744</v>
      </c>
      <c r="H64" s="463"/>
      <c r="I64" s="464">
        <v>8.4364033068845448</v>
      </c>
      <c r="J64" s="439"/>
    </row>
    <row r="65" spans="4:10" x14ac:dyDescent="0.2">
      <c r="D65" s="446" t="s">
        <v>595</v>
      </c>
      <c r="E65" s="446" t="s">
        <v>596</v>
      </c>
      <c r="F65" s="446" t="s">
        <v>554</v>
      </c>
      <c r="G65" s="447">
        <v>1.645899381922921E-2</v>
      </c>
      <c r="H65" s="310">
        <v>18.375438596491225</v>
      </c>
      <c r="I65" s="448">
        <v>2.5203435857106248E-5</v>
      </c>
      <c r="J65" s="439"/>
    </row>
    <row r="66" spans="4:10" x14ac:dyDescent="0.2">
      <c r="D66" s="446" t="s">
        <v>595</v>
      </c>
      <c r="E66" s="446" t="s">
        <v>563</v>
      </c>
      <c r="F66" s="446" t="s">
        <v>554</v>
      </c>
      <c r="G66" s="447">
        <v>7.3632340770235935E-2</v>
      </c>
      <c r="H66" s="310">
        <v>663.38182352941169</v>
      </c>
      <c r="I66" s="448">
        <v>4.0705297075748466E-3</v>
      </c>
      <c r="J66" s="439"/>
    </row>
    <row r="67" spans="4:10" x14ac:dyDescent="0.2">
      <c r="D67" s="446" t="s">
        <v>595</v>
      </c>
      <c r="E67" s="446" t="s">
        <v>564</v>
      </c>
      <c r="F67" s="446" t="s">
        <v>554</v>
      </c>
      <c r="G67" s="447">
        <v>0.15953673833551119</v>
      </c>
      <c r="H67" s="310">
        <v>96.228597285067892</v>
      </c>
      <c r="I67" s="448">
        <v>1.2793330454550966E-3</v>
      </c>
      <c r="J67" s="439"/>
    </row>
    <row r="68" spans="4:10" x14ac:dyDescent="0.2">
      <c r="D68" s="446" t="s">
        <v>595</v>
      </c>
      <c r="E68" s="446" t="s">
        <v>597</v>
      </c>
      <c r="F68" s="446" t="s">
        <v>554</v>
      </c>
      <c r="G68" s="447">
        <v>1.2127679656274154E-2</v>
      </c>
      <c r="H68" s="310">
        <v>55.023809523809533</v>
      </c>
      <c r="I68" s="448">
        <v>5.5609261281050739E-5</v>
      </c>
      <c r="J68" s="439"/>
    </row>
    <row r="69" spans="4:10" x14ac:dyDescent="0.2">
      <c r="D69" s="446" t="s">
        <v>595</v>
      </c>
      <c r="E69" s="446" t="s">
        <v>572</v>
      </c>
      <c r="F69" s="446" t="s">
        <v>554</v>
      </c>
      <c r="G69" s="447">
        <v>9.9620225747966265E-2</v>
      </c>
      <c r="H69" s="310">
        <v>492.86626086956522</v>
      </c>
      <c r="I69" s="448">
        <v>4.0916206809485101E-3</v>
      </c>
      <c r="J69" s="439"/>
    </row>
    <row r="70" spans="4:10" x14ac:dyDescent="0.2">
      <c r="D70" s="446" t="s">
        <v>595</v>
      </c>
      <c r="E70" s="446" t="s">
        <v>567</v>
      </c>
      <c r="F70" s="446" t="s">
        <v>554</v>
      </c>
      <c r="G70" s="447">
        <v>3.6094284691292121E-3</v>
      </c>
      <c r="H70" s="310">
        <v>86.429600000000008</v>
      </c>
      <c r="I70" s="448">
        <v>2.5996788234620847E-5</v>
      </c>
      <c r="J70" s="439"/>
    </row>
    <row r="71" spans="4:10" x14ac:dyDescent="0.2">
      <c r="D71" s="446" t="s">
        <v>595</v>
      </c>
      <c r="E71" s="446" t="s">
        <v>568</v>
      </c>
      <c r="F71" s="446" t="s">
        <v>554</v>
      </c>
      <c r="G71" s="447">
        <v>3.4650513303640441E-3</v>
      </c>
      <c r="H71" s="310">
        <v>134.9029166666667</v>
      </c>
      <c r="I71" s="448">
        <v>3.8953794238818598E-5</v>
      </c>
      <c r="J71" s="439"/>
    </row>
    <row r="72" spans="4:10" x14ac:dyDescent="0.2">
      <c r="D72" s="446" t="s">
        <v>595</v>
      </c>
      <c r="E72" s="446" t="s">
        <v>548</v>
      </c>
      <c r="F72" s="446" t="s">
        <v>554</v>
      </c>
      <c r="G72" s="447">
        <v>0.16921000663277749</v>
      </c>
      <c r="H72" s="310">
        <v>292.65127986348119</v>
      </c>
      <c r="I72" s="448">
        <v>4.1266270838992061E-3</v>
      </c>
      <c r="J72" s="439"/>
    </row>
    <row r="73" spans="4:10" x14ac:dyDescent="0.2">
      <c r="D73" s="446" t="s">
        <v>595</v>
      </c>
      <c r="E73" s="446" t="s">
        <v>598</v>
      </c>
      <c r="F73" s="446" t="s">
        <v>554</v>
      </c>
      <c r="G73" s="447">
        <v>4.5045667294732583E-2</v>
      </c>
      <c r="H73" s="310">
        <v>85.442532051282029</v>
      </c>
      <c r="I73" s="448">
        <v>3.2073465596679795E-4</v>
      </c>
      <c r="J73" s="439"/>
    </row>
    <row r="74" spans="4:10" x14ac:dyDescent="0.2">
      <c r="D74" s="446" t="s">
        <v>595</v>
      </c>
      <c r="E74" s="446" t="s">
        <v>549</v>
      </c>
      <c r="F74" s="446" t="s">
        <v>554</v>
      </c>
      <c r="G74" s="447">
        <v>0.9352751049207616</v>
      </c>
      <c r="H74" s="310">
        <v>722.67420345785729</v>
      </c>
      <c r="I74" s="448">
        <v>5.6324932621881277E-2</v>
      </c>
      <c r="J74" s="439"/>
    </row>
    <row r="75" spans="4:10" x14ac:dyDescent="0.2">
      <c r="D75" s="446" t="s">
        <v>595</v>
      </c>
      <c r="E75" s="446" t="s">
        <v>571</v>
      </c>
      <c r="F75" s="446" t="s">
        <v>554</v>
      </c>
      <c r="G75" s="447">
        <v>3.5372398997466289E-2</v>
      </c>
      <c r="H75" s="310">
        <v>120.32424489795916</v>
      </c>
      <c r="I75" s="448">
        <v>3.5467976663328826E-4</v>
      </c>
      <c r="J75" s="439"/>
    </row>
    <row r="76" spans="4:10" x14ac:dyDescent="0.2">
      <c r="D76" s="446" t="s">
        <v>595</v>
      </c>
      <c r="E76" s="446" t="s">
        <v>561</v>
      </c>
      <c r="F76" s="446" t="s">
        <v>554</v>
      </c>
      <c r="G76" s="447">
        <v>0.16025862402933702</v>
      </c>
      <c r="H76" s="310">
        <v>408.35318918918921</v>
      </c>
      <c r="I76" s="448">
        <v>5.453510018120917E-3</v>
      </c>
      <c r="J76" s="439"/>
    </row>
    <row r="77" spans="4:10" x14ac:dyDescent="0.2">
      <c r="D77" s="446" t="s">
        <v>595</v>
      </c>
      <c r="E77" s="446" t="s">
        <v>599</v>
      </c>
      <c r="F77" s="446" t="s">
        <v>554</v>
      </c>
      <c r="G77" s="447">
        <v>9.1281002212890137</v>
      </c>
      <c r="H77" s="310">
        <v>290.29360416929961</v>
      </c>
      <c r="I77" s="448">
        <v>0.22081909270471409</v>
      </c>
      <c r="J77" s="439"/>
    </row>
    <row r="78" spans="4:10" x14ac:dyDescent="0.2">
      <c r="D78" s="446" t="s">
        <v>595</v>
      </c>
      <c r="E78" s="446" t="s">
        <v>600</v>
      </c>
      <c r="F78" s="446" t="s">
        <v>554</v>
      </c>
      <c r="G78" s="447">
        <v>4.6633815821149421E-2</v>
      </c>
      <c r="H78" s="310">
        <v>108.40557275541796</v>
      </c>
      <c r="I78" s="448">
        <v>4.2128045948853127E-4</v>
      </c>
      <c r="J78" s="439"/>
    </row>
    <row r="79" spans="4:10" x14ac:dyDescent="0.2">
      <c r="D79" s="446" t="s">
        <v>595</v>
      </c>
      <c r="E79" s="446" t="s">
        <v>555</v>
      </c>
      <c r="F79" s="446" t="s">
        <v>554</v>
      </c>
      <c r="G79" s="447">
        <v>1.3172970140933975</v>
      </c>
      <c r="H79" s="310">
        <v>121.62699693116943</v>
      </c>
      <c r="I79" s="448">
        <v>1.3351573324214694E-2</v>
      </c>
      <c r="J79" s="439"/>
    </row>
    <row r="80" spans="4:10" x14ac:dyDescent="0.2">
      <c r="D80" s="446" t="s">
        <v>595</v>
      </c>
      <c r="E80" s="446" t="s">
        <v>552</v>
      </c>
      <c r="F80" s="446" t="s">
        <v>554</v>
      </c>
      <c r="G80" s="447">
        <v>6.7857255219629202E-3</v>
      </c>
      <c r="H80" s="310">
        <v>117.08744680851063</v>
      </c>
      <c r="I80" s="448">
        <v>6.6210273009165545E-5</v>
      </c>
      <c r="J80" s="439"/>
    </row>
    <row r="81" spans="4:10" x14ac:dyDescent="0.2">
      <c r="D81" s="446" t="s">
        <v>595</v>
      </c>
      <c r="E81" s="446" t="s">
        <v>581</v>
      </c>
      <c r="F81" s="446" t="s">
        <v>554</v>
      </c>
      <c r="G81" s="447">
        <v>1.6603370957994378E-2</v>
      </c>
      <c r="H81" s="310">
        <v>182.5557391304348</v>
      </c>
      <c r="I81" s="448">
        <v>2.5258672144112159E-4</v>
      </c>
      <c r="J81" s="439"/>
    </row>
    <row r="82" spans="4:10" x14ac:dyDescent="0.2">
      <c r="D82" s="446" t="s">
        <v>595</v>
      </c>
      <c r="E82" s="446" t="s">
        <v>574</v>
      </c>
      <c r="F82" s="446" t="s">
        <v>554</v>
      </c>
      <c r="G82" s="447">
        <v>4.0519443994444542</v>
      </c>
      <c r="H82" s="310">
        <v>218.35711134865778</v>
      </c>
      <c r="I82" s="448">
        <v>7.3730906200671908E-2</v>
      </c>
      <c r="J82" s="439"/>
    </row>
    <row r="83" spans="4:10" x14ac:dyDescent="0.2">
      <c r="D83" s="446" t="s">
        <v>595</v>
      </c>
      <c r="E83" s="446" t="s">
        <v>601</v>
      </c>
      <c r="F83" s="446" t="s">
        <v>554</v>
      </c>
      <c r="G83" s="447">
        <v>2.3100342202426959E-3</v>
      </c>
      <c r="H83" s="310">
        <v>111.46312500000002</v>
      </c>
      <c r="I83" s="448">
        <v>2.145696942043243E-5</v>
      </c>
      <c r="J83" s="439"/>
    </row>
    <row r="84" spans="4:10" x14ac:dyDescent="0.2">
      <c r="D84" s="446" t="s">
        <v>595</v>
      </c>
      <c r="E84" s="446" t="s">
        <v>559</v>
      </c>
      <c r="F84" s="446" t="s">
        <v>554</v>
      </c>
      <c r="G84" s="447">
        <v>0.16170239541698872</v>
      </c>
      <c r="H84" s="310">
        <v>151.55197321428571</v>
      </c>
      <c r="I84" s="448">
        <v>2.042193091576776E-3</v>
      </c>
      <c r="J84" s="439"/>
    </row>
    <row r="85" spans="4:10" x14ac:dyDescent="0.2">
      <c r="D85" s="446" t="s">
        <v>595</v>
      </c>
      <c r="E85" s="446" t="s">
        <v>573</v>
      </c>
      <c r="F85" s="446" t="s">
        <v>554</v>
      </c>
      <c r="G85" s="447">
        <v>1.2560811072569662E-2</v>
      </c>
      <c r="H85" s="310">
        <v>104.28160919540227</v>
      </c>
      <c r="I85" s="448">
        <v>1.091551326205826E-4</v>
      </c>
      <c r="J85" s="439"/>
    </row>
    <row r="86" spans="4:10" x14ac:dyDescent="0.2">
      <c r="D86" s="446" t="s">
        <v>595</v>
      </c>
      <c r="E86" s="446" t="s">
        <v>562</v>
      </c>
      <c r="F86" s="446" t="s">
        <v>554</v>
      </c>
      <c r="G86" s="447">
        <v>0.21425567392751008</v>
      </c>
      <c r="H86" s="310">
        <v>118.02217654986522</v>
      </c>
      <c r="I86" s="448">
        <v>2.1072434145902458E-3</v>
      </c>
      <c r="J86" s="439"/>
    </row>
    <row r="87" spans="4:10" x14ac:dyDescent="0.2">
      <c r="D87" s="446" t="s">
        <v>595</v>
      </c>
      <c r="E87" s="446" t="s">
        <v>550</v>
      </c>
      <c r="F87" s="446" t="s">
        <v>554</v>
      </c>
      <c r="G87" s="447">
        <v>6.2785286334808834</v>
      </c>
      <c r="H87" s="310">
        <v>526.21407823027778</v>
      </c>
      <c r="I87" s="448">
        <v>0.27532084645912902</v>
      </c>
      <c r="J87" s="439"/>
    </row>
    <row r="88" spans="4:10" x14ac:dyDescent="0.2">
      <c r="D88" s="446" t="s">
        <v>595</v>
      </c>
      <c r="E88" s="446" t="s">
        <v>579</v>
      </c>
      <c r="F88" s="446" t="s">
        <v>554</v>
      </c>
      <c r="G88" s="447">
        <v>4.6200684404853918E-3</v>
      </c>
      <c r="H88" s="310">
        <v>137.295625</v>
      </c>
      <c r="I88" s="448">
        <v>5.2859598673268101E-5</v>
      </c>
      <c r="J88" s="439"/>
    </row>
    <row r="89" spans="4:10" x14ac:dyDescent="0.2">
      <c r="D89" s="446" t="s">
        <v>595</v>
      </c>
      <c r="E89" s="446" t="s">
        <v>556</v>
      </c>
      <c r="F89" s="446" t="s">
        <v>554</v>
      </c>
      <c r="G89" s="447">
        <v>5.3419541343112352E-3</v>
      </c>
      <c r="H89" s="310">
        <v>73.871621621621614</v>
      </c>
      <c r="I89" s="448">
        <v>3.2884901210824736E-5</v>
      </c>
      <c r="J89" s="439"/>
    </row>
    <row r="90" spans="4:10" x14ac:dyDescent="0.2">
      <c r="D90" s="446" t="s">
        <v>595</v>
      </c>
      <c r="E90" s="446" t="s">
        <v>602</v>
      </c>
      <c r="F90" s="446" t="s">
        <v>554</v>
      </c>
      <c r="G90" s="447">
        <v>3.8981827466595498E-3</v>
      </c>
      <c r="H90" s="310">
        <v>88.730740740740742</v>
      </c>
      <c r="I90" s="448">
        <v>2.8824053554489762E-5</v>
      </c>
      <c r="J90" s="439"/>
    </row>
    <row r="91" spans="4:10" x14ac:dyDescent="0.2">
      <c r="D91" s="446" t="s">
        <v>595</v>
      </c>
      <c r="E91" s="446" t="s">
        <v>577</v>
      </c>
      <c r="F91" s="446" t="s">
        <v>554</v>
      </c>
      <c r="G91" s="447">
        <v>2.5130284773465235</v>
      </c>
      <c r="H91" s="310">
        <v>213.96166379409698</v>
      </c>
      <c r="I91" s="448">
        <v>4.4807646181250695E-2</v>
      </c>
      <c r="J91" s="439"/>
    </row>
    <row r="92" spans="4:10" x14ac:dyDescent="0.2">
      <c r="D92" s="446" t="s">
        <v>595</v>
      </c>
      <c r="E92" s="446" t="s">
        <v>576</v>
      </c>
      <c r="F92" s="446" t="s">
        <v>554</v>
      </c>
      <c r="G92" s="447">
        <v>6.5114089583091006E-2</v>
      </c>
      <c r="H92" s="310">
        <v>590.96062084257187</v>
      </c>
      <c r="I92" s="448">
        <v>3.2066552338018586E-3</v>
      </c>
      <c r="J92" s="439"/>
    </row>
    <row r="93" spans="4:10" x14ac:dyDescent="0.2">
      <c r="D93" s="446" t="s">
        <v>595</v>
      </c>
      <c r="E93" s="446" t="s">
        <v>603</v>
      </c>
      <c r="F93" s="446" t="s">
        <v>554</v>
      </c>
      <c r="G93" s="447">
        <v>8.6626283259101102E-4</v>
      </c>
      <c r="H93" s="310">
        <v>98.19</v>
      </c>
      <c r="I93" s="448">
        <v>7.088195627675948E-6</v>
      </c>
      <c r="J93" s="439"/>
    </row>
    <row r="94" spans="4:10" x14ac:dyDescent="0.2">
      <c r="D94" s="446" t="s">
        <v>595</v>
      </c>
      <c r="E94" s="446" t="s">
        <v>557</v>
      </c>
      <c r="F94" s="446" t="s">
        <v>554</v>
      </c>
      <c r="G94" s="447">
        <v>2.685414781032134E-2</v>
      </c>
      <c r="H94" s="310">
        <v>84.765752688172043</v>
      </c>
      <c r="I94" s="448">
        <v>1.8969267099510964E-4</v>
      </c>
      <c r="J94" s="439"/>
    </row>
    <row r="95" spans="4:10" x14ac:dyDescent="0.2">
      <c r="D95" s="446" t="s">
        <v>595</v>
      </c>
      <c r="E95" s="446" t="s">
        <v>582</v>
      </c>
      <c r="F95" s="446" t="s">
        <v>554</v>
      </c>
      <c r="G95" s="447">
        <v>1.155017110121348E-3</v>
      </c>
      <c r="H95" s="310">
        <v>75.680000000000021</v>
      </c>
      <c r="I95" s="448">
        <v>7.2843079078319692E-6</v>
      </c>
      <c r="J95" s="439"/>
    </row>
    <row r="96" spans="4:10" x14ac:dyDescent="0.2">
      <c r="D96" s="446" t="s">
        <v>595</v>
      </c>
      <c r="E96" s="446" t="s">
        <v>565</v>
      </c>
      <c r="F96" s="446" t="s">
        <v>554</v>
      </c>
      <c r="G96" s="447">
        <v>2.4544113590078648E-3</v>
      </c>
      <c r="H96" s="310">
        <v>139.42941176470586</v>
      </c>
      <c r="I96" s="448">
        <v>2.8518094334589907E-5</v>
      </c>
      <c r="J96" s="439"/>
    </row>
    <row r="97" spans="4:13" x14ac:dyDescent="0.2">
      <c r="D97" s="446" t="s">
        <v>595</v>
      </c>
      <c r="E97" s="446" t="s">
        <v>604</v>
      </c>
      <c r="F97" s="446" t="s">
        <v>554</v>
      </c>
      <c r="G97" s="447">
        <v>2.5699130700199996E-2</v>
      </c>
      <c r="H97" s="310">
        <v>145.07567415730338</v>
      </c>
      <c r="I97" s="448">
        <v>3.1069322596568054E-4</v>
      </c>
      <c r="J97" s="439"/>
    </row>
    <row r="98" spans="4:13" x14ac:dyDescent="0.2">
      <c r="D98" s="446" t="s">
        <v>595</v>
      </c>
      <c r="E98" s="446" t="s">
        <v>569</v>
      </c>
      <c r="F98" s="446" t="s">
        <v>554</v>
      </c>
      <c r="G98" s="447">
        <v>1.7758388068115725E-2</v>
      </c>
      <c r="H98" s="310">
        <v>76.013983739837371</v>
      </c>
      <c r="I98" s="448">
        <v>1.1249048515462257E-4</v>
      </c>
      <c r="J98" s="439"/>
    </row>
    <row r="99" spans="4:13" x14ac:dyDescent="0.2">
      <c r="D99" s="446" t="s">
        <v>595</v>
      </c>
      <c r="E99" s="446" t="s">
        <v>553</v>
      </c>
      <c r="F99" s="446" t="s">
        <v>554</v>
      </c>
      <c r="G99" s="447">
        <v>0.45319983858386392</v>
      </c>
      <c r="H99" s="310">
        <v>207.16640968461297</v>
      </c>
      <c r="I99" s="448">
        <v>7.8239819524221019E-3</v>
      </c>
      <c r="J99" s="439"/>
    </row>
    <row r="100" spans="4:13" x14ac:dyDescent="0.2">
      <c r="D100" s="446" t="s">
        <v>595</v>
      </c>
      <c r="E100" s="446" t="s">
        <v>570</v>
      </c>
      <c r="F100" s="446" t="s">
        <v>554</v>
      </c>
      <c r="G100" s="447">
        <v>5.3130787065582018E-2</v>
      </c>
      <c r="H100" s="310">
        <v>73.146820652173901</v>
      </c>
      <c r="I100" s="448">
        <v>3.2386234604958077E-4</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0.11911113948126402</v>
      </c>
      <c r="H102" s="310">
        <v>121.00861818181818</v>
      </c>
      <c r="I102" s="448">
        <v>1.2011228665574638E-3</v>
      </c>
      <c r="J102" s="439"/>
    </row>
    <row r="103" spans="4:13" x14ac:dyDescent="0.2">
      <c r="D103" s="446" t="s">
        <v>595</v>
      </c>
      <c r="E103" s="446" t="s">
        <v>560</v>
      </c>
      <c r="F103" s="446" t="s">
        <v>554</v>
      </c>
      <c r="G103" s="447">
        <v>2.4544113590078648E-3</v>
      </c>
      <c r="H103" s="310">
        <v>30.70588235294117</v>
      </c>
      <c r="I103" s="448">
        <v>6.2804055362848299E-6</v>
      </c>
      <c r="J103" s="439"/>
    </row>
    <row r="104" spans="4:13" x14ac:dyDescent="0.2">
      <c r="D104" s="446" t="s">
        <v>595</v>
      </c>
      <c r="E104" s="446" t="s">
        <v>575</v>
      </c>
      <c r="F104" s="446" t="s">
        <v>554</v>
      </c>
      <c r="G104" s="447">
        <v>4.4756913017202238E-3</v>
      </c>
      <c r="H104" s="310">
        <v>125.07709677419355</v>
      </c>
      <c r="I104" s="448">
        <v>4.6650539506389727E-5</v>
      </c>
      <c r="J104" s="439"/>
    </row>
    <row r="105" spans="4:13" x14ac:dyDescent="0.2">
      <c r="D105" s="446" t="s">
        <v>595</v>
      </c>
      <c r="E105" s="446" t="s">
        <v>566</v>
      </c>
      <c r="F105" s="446" t="s">
        <v>554</v>
      </c>
      <c r="G105" s="447">
        <v>3.3495496193519089E-2</v>
      </c>
      <c r="H105" s="310">
        <v>106.42943965517243</v>
      </c>
      <c r="I105" s="448">
        <v>2.9707557423734978E-4</v>
      </c>
      <c r="J105" s="439"/>
    </row>
    <row r="106" spans="4:13" x14ac:dyDescent="0.2">
      <c r="D106" s="446" t="s">
        <v>595</v>
      </c>
      <c r="E106" s="446" t="s">
        <v>580</v>
      </c>
      <c r="F106" s="446" t="s">
        <v>554</v>
      </c>
      <c r="G106" s="447">
        <v>4.33131416295506E-4</v>
      </c>
      <c r="H106" s="310">
        <v>202.45200000000003</v>
      </c>
      <c r="I106" s="448">
        <v>1.217893354053579E-5</v>
      </c>
      <c r="J106" s="439"/>
    </row>
    <row r="107" spans="4:13" x14ac:dyDescent="0.2">
      <c r="D107" s="451" t="s">
        <v>595</v>
      </c>
      <c r="E107" s="451" t="s">
        <v>558</v>
      </c>
      <c r="F107" s="451" t="s">
        <v>554</v>
      </c>
      <c r="G107" s="452">
        <v>3.1088729290303725</v>
      </c>
      <c r="H107" s="310">
        <v>0.40065062926670703</v>
      </c>
      <c r="I107" s="454">
        <v>1.0379765794385411E-4</v>
      </c>
      <c r="J107" s="439"/>
    </row>
    <row r="108" spans="4:13" ht="16" x14ac:dyDescent="0.2">
      <c r="D108" s="461" t="s">
        <v>605</v>
      </c>
      <c r="E108" s="460"/>
      <c r="F108" s="460"/>
      <c r="G108" s="465">
        <v>29.392586664090537</v>
      </c>
      <c r="H108" s="466"/>
      <c r="I108" s="467">
        <v>0.72300986283523827</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9.1594131697197838</v>
      </c>
      <c r="J118" s="439"/>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785</v>
      </c>
      <c r="G3"/>
      <c r="H3"/>
      <c r="I3"/>
    </row>
    <row r="4" spans="2:19" x14ac:dyDescent="0.2">
      <c r="G4"/>
      <c r="H4"/>
      <c r="I4"/>
    </row>
    <row r="5" spans="2:19" ht="16" x14ac:dyDescent="0.2">
      <c r="D5" s="438" t="s">
        <v>786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4.331314162955055E-3</v>
      </c>
      <c r="O9" s="310">
        <v>300.56666666666666</v>
      </c>
      <c r="P9" s="388">
        <v>1.084873883537937E-4</v>
      </c>
      <c r="Q9" s="29">
        <f>'Assumptions-Output Override'!E19</f>
        <v>250</v>
      </c>
      <c r="R9" s="388">
        <f>N9*Q9/12000</f>
        <v>9.0235711728230299E-5</v>
      </c>
      <c r="S9" s="388">
        <f>P9-R9</f>
        <v>1.8251676625563398E-5</v>
      </c>
    </row>
    <row r="10" spans="2:19" x14ac:dyDescent="0.2">
      <c r="D10" s="446" t="s">
        <v>1</v>
      </c>
      <c r="E10" s="446" t="s">
        <v>46</v>
      </c>
      <c r="F10" s="446" t="s">
        <v>534</v>
      </c>
      <c r="G10" s="447">
        <v>0</v>
      </c>
      <c r="H10" s="310" t="s">
        <v>446</v>
      </c>
      <c r="I10" s="448">
        <v>0</v>
      </c>
      <c r="J10" s="439"/>
      <c r="K10" s="446" t="s">
        <v>462</v>
      </c>
      <c r="L10" s="446" t="s">
        <v>538</v>
      </c>
      <c r="M10" s="446" t="s">
        <v>539</v>
      </c>
      <c r="N10" s="449">
        <v>43.48206288190579</v>
      </c>
      <c r="O10" s="310">
        <v>2328.2137765382208</v>
      </c>
      <c r="P10" s="388">
        <v>8.4362948194961902</v>
      </c>
      <c r="Q10" s="29">
        <v>0</v>
      </c>
      <c r="R10" s="388">
        <f>N10*Q10/12000</f>
        <v>0</v>
      </c>
      <c r="S10" s="388">
        <f>P10-R10</f>
        <v>8.4362948194961902</v>
      </c>
    </row>
    <row r="11" spans="2:19" x14ac:dyDescent="0.2">
      <c r="D11" s="446" t="s">
        <v>1</v>
      </c>
      <c r="E11" s="446" t="s">
        <v>540</v>
      </c>
      <c r="F11" s="446" t="s">
        <v>534</v>
      </c>
      <c r="G11" s="447">
        <v>0</v>
      </c>
      <c r="H11" s="310" t="s">
        <v>446</v>
      </c>
      <c r="I11" s="448">
        <v>0</v>
      </c>
      <c r="J11" s="439"/>
      <c r="K11" s="320" t="s">
        <v>463</v>
      </c>
      <c r="L11" s="450" t="s">
        <v>541</v>
      </c>
      <c r="M11" s="446" t="s">
        <v>539</v>
      </c>
      <c r="N11" s="449">
        <v>2.4793886040142388</v>
      </c>
      <c r="O11" s="310">
        <v>362.631436557386</v>
      </c>
      <c r="P11" s="388">
        <v>7.4925354271474606E-2</v>
      </c>
      <c r="Q11" s="29">
        <f>'Assumptions-Output Override'!G19</f>
        <v>30</v>
      </c>
      <c r="R11" s="388">
        <f>N11*Q11/12000</f>
        <v>6.1984715100355968E-3</v>
      </c>
      <c r="S11" s="388">
        <f>P11-R11</f>
        <v>6.8726882761439012E-2</v>
      </c>
    </row>
    <row r="12" spans="2:19" x14ac:dyDescent="0.2">
      <c r="D12" s="446" t="s">
        <v>1</v>
      </c>
      <c r="E12" s="446" t="s">
        <v>542</v>
      </c>
      <c r="F12" s="446" t="s">
        <v>534</v>
      </c>
      <c r="G12" s="447">
        <v>0</v>
      </c>
      <c r="H12" s="310" t="s">
        <v>446</v>
      </c>
      <c r="I12" s="448">
        <v>0</v>
      </c>
      <c r="J12" s="439"/>
      <c r="K12" s="320" t="s">
        <v>464</v>
      </c>
      <c r="L12" s="450" t="s">
        <v>541</v>
      </c>
      <c r="M12" s="446" t="s">
        <v>539</v>
      </c>
      <c r="N12" s="449">
        <v>26.913198060076297</v>
      </c>
      <c r="O12" s="310">
        <v>288.96655408268919</v>
      </c>
      <c r="P12" s="388">
        <v>0.64808450856376365</v>
      </c>
      <c r="Q12" s="29">
        <f>'Assumptions-Output Override'!H19</f>
        <v>60</v>
      </c>
      <c r="R12" s="388">
        <f>N12*Q12/12000</f>
        <v>0.13456599030038149</v>
      </c>
      <c r="S12" s="388">
        <f>P12-R12</f>
        <v>0.51351851826338213</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9.1594131697197838</v>
      </c>
      <c r="R15" s="388">
        <f>SUM(R8:R13)</f>
        <v>0.14085469752214533</v>
      </c>
      <c r="S15" s="388">
        <f>SUM(S8:S13)</f>
        <v>9.0185584721976362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4.331314162955055E-3</v>
      </c>
      <c r="H18" s="310">
        <v>300.56666666666666</v>
      </c>
      <c r="I18" s="448">
        <v>1.084873883537937E-4</v>
      </c>
      <c r="J18" s="439"/>
    </row>
    <row r="19" spans="4:10" x14ac:dyDescent="0.2">
      <c r="D19" s="446" t="s">
        <v>462</v>
      </c>
      <c r="E19" s="446" t="s">
        <v>549</v>
      </c>
      <c r="F19" s="446" t="s">
        <v>537</v>
      </c>
      <c r="G19" s="447">
        <v>0.15607168700514712</v>
      </c>
      <c r="H19" s="310">
        <v>1497.9803052729048</v>
      </c>
      <c r="I19" s="448">
        <v>1.9482692778702296E-2</v>
      </c>
      <c r="J19" s="439"/>
    </row>
    <row r="20" spans="4:10" x14ac:dyDescent="0.2">
      <c r="D20" s="446" t="s">
        <v>462</v>
      </c>
      <c r="E20" s="446" t="s">
        <v>550</v>
      </c>
      <c r="F20" s="446" t="s">
        <v>537</v>
      </c>
      <c r="G20" s="447">
        <v>2.691911752276567</v>
      </c>
      <c r="H20" s="310">
        <v>1620.8471332797044</v>
      </c>
      <c r="I20" s="448">
        <v>0.36359812055995161</v>
      </c>
      <c r="J20" s="439"/>
    </row>
    <row r="21" spans="4:10" x14ac:dyDescent="0.2">
      <c r="D21" s="446" t="s">
        <v>462</v>
      </c>
      <c r="E21" s="446" t="s">
        <v>551</v>
      </c>
      <c r="F21" s="446" t="s">
        <v>537</v>
      </c>
      <c r="G21" s="447">
        <v>4.9810112873983139E-2</v>
      </c>
      <c r="H21" s="310">
        <v>244.02973913043473</v>
      </c>
      <c r="I21" s="448">
        <v>1.0129290708913012E-3</v>
      </c>
      <c r="J21" s="439"/>
    </row>
    <row r="22" spans="4:10" x14ac:dyDescent="0.2">
      <c r="D22" s="446" t="s">
        <v>462</v>
      </c>
      <c r="E22" s="446" t="s">
        <v>552</v>
      </c>
      <c r="F22" s="446" t="s">
        <v>537</v>
      </c>
      <c r="G22" s="447">
        <v>9.7454568666488744E-2</v>
      </c>
      <c r="H22" s="310">
        <v>151.12888888888887</v>
      </c>
      <c r="I22" s="448">
        <v>1.2273500566426974E-3</v>
      </c>
      <c r="J22" s="439"/>
    </row>
    <row r="23" spans="4:10" x14ac:dyDescent="0.2">
      <c r="D23" s="446" t="s">
        <v>462</v>
      </c>
      <c r="E23" s="446" t="s">
        <v>553</v>
      </c>
      <c r="F23" s="446" t="s">
        <v>554</v>
      </c>
      <c r="G23" s="447">
        <v>1.5881485264168536E-3</v>
      </c>
      <c r="H23" s="310">
        <v>12.181818181818182</v>
      </c>
      <c r="I23" s="448">
        <v>1.612211382877715E-6</v>
      </c>
      <c r="J23" s="439"/>
    </row>
    <row r="24" spans="4:10" x14ac:dyDescent="0.2">
      <c r="D24" s="446" t="s">
        <v>462</v>
      </c>
      <c r="E24" s="446" t="s">
        <v>555</v>
      </c>
      <c r="F24" s="446" t="s">
        <v>537</v>
      </c>
      <c r="G24" s="447">
        <v>5.0531998567808984E-3</v>
      </c>
      <c r="H24" s="310">
        <v>164.29742857142853</v>
      </c>
      <c r="I24" s="448">
        <v>6.9185645210551052E-5</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2.6354602910193856</v>
      </c>
      <c r="H28" s="310">
        <v>858.77766188232192</v>
      </c>
      <c r="I28" s="448">
        <v>0.1886062022254443</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1.544835384787303E-2</v>
      </c>
      <c r="H41" s="310">
        <v>488.85420560747667</v>
      </c>
      <c r="I41" s="448">
        <v>6.2933272902043129E-4</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0.23836665610129318</v>
      </c>
      <c r="H43" s="310">
        <v>793.49121744397337</v>
      </c>
      <c r="I43" s="448">
        <v>1.576182067898867E-2</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1.4437713876516849E-4</v>
      </c>
      <c r="H45" s="310">
        <v>9515</v>
      </c>
      <c r="I45" s="448">
        <v>1.1447903961254819E-4</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15.302921671012596</v>
      </c>
      <c r="H52" s="310">
        <v>2504.5917886813359</v>
      </c>
      <c r="I52" s="448">
        <v>3.1939643300043179</v>
      </c>
      <c r="J52" s="439"/>
    </row>
    <row r="53" spans="4:10" x14ac:dyDescent="0.2">
      <c r="D53" s="446" t="s">
        <v>462</v>
      </c>
      <c r="E53" s="446" t="s">
        <v>584</v>
      </c>
      <c r="F53" s="446" t="s">
        <v>554</v>
      </c>
      <c r="G53" s="447">
        <v>0.84573430975523223</v>
      </c>
      <c r="H53" s="310">
        <v>2504.5917886813368</v>
      </c>
      <c r="I53" s="448">
        <v>0.17651826730158604</v>
      </c>
      <c r="J53" s="439"/>
    </row>
    <row r="54" spans="4:10" x14ac:dyDescent="0.2">
      <c r="D54" s="446" t="s">
        <v>462</v>
      </c>
      <c r="E54" s="446" t="s">
        <v>585</v>
      </c>
      <c r="F54" s="446" t="s">
        <v>554</v>
      </c>
      <c r="G54" s="447">
        <v>3.7448710905844411</v>
      </c>
      <c r="H54" s="310">
        <v>2504.5917886813363</v>
      </c>
      <c r="I54" s="448">
        <v>0.78161444859565932</v>
      </c>
      <c r="J54" s="439"/>
    </row>
    <row r="55" spans="4:10" x14ac:dyDescent="0.2">
      <c r="D55" s="446" t="s">
        <v>462</v>
      </c>
      <c r="E55" s="446" t="s">
        <v>586</v>
      </c>
      <c r="F55" s="446" t="s">
        <v>537</v>
      </c>
      <c r="G55" s="447">
        <v>2.0470853765154984</v>
      </c>
      <c r="H55" s="310">
        <v>2504.5917886813359</v>
      </c>
      <c r="I55" s="448">
        <v>0.4272594353958632</v>
      </c>
      <c r="J55" s="439"/>
    </row>
    <row r="56" spans="4:10" x14ac:dyDescent="0.2">
      <c r="D56" s="446" t="s">
        <v>462</v>
      </c>
      <c r="E56" s="446" t="s">
        <v>5</v>
      </c>
      <c r="F56" s="446" t="s">
        <v>537</v>
      </c>
      <c r="G56" s="447">
        <v>1.7553971156530925</v>
      </c>
      <c r="H56" s="310">
        <v>2504.5917886813354</v>
      </c>
      <c r="I56" s="448">
        <v>0.36637943347830304</v>
      </c>
      <c r="J56" s="439"/>
    </row>
    <row r="57" spans="4:10" x14ac:dyDescent="0.2">
      <c r="D57" s="446" t="s">
        <v>462</v>
      </c>
      <c r="E57" s="446" t="s">
        <v>587</v>
      </c>
      <c r="F57" s="446" t="s">
        <v>537</v>
      </c>
      <c r="G57" s="447">
        <v>4.6358182011956863</v>
      </c>
      <c r="H57" s="310">
        <v>2504.5917886813363</v>
      </c>
      <c r="I57" s="448">
        <v>0.96756935004451661</v>
      </c>
      <c r="J57" s="439"/>
    </row>
    <row r="58" spans="4:10" x14ac:dyDescent="0.2">
      <c r="D58" s="446" t="s">
        <v>462</v>
      </c>
      <c r="E58" s="446" t="s">
        <v>588</v>
      </c>
      <c r="F58" s="446" t="s">
        <v>537</v>
      </c>
      <c r="G58" s="447">
        <v>3.1315911198961022</v>
      </c>
      <c r="H58" s="310">
        <v>2504.5917886813363</v>
      </c>
      <c r="I58" s="448">
        <v>0.65361311703326397</v>
      </c>
      <c r="J58" s="439"/>
    </row>
    <row r="59" spans="4:10" x14ac:dyDescent="0.2">
      <c r="D59" s="446" t="s">
        <v>462</v>
      </c>
      <c r="E59" s="446" t="s">
        <v>589</v>
      </c>
      <c r="F59" s="446" t="s">
        <v>537</v>
      </c>
      <c r="G59" s="447">
        <v>1.2105021059530523</v>
      </c>
      <c r="H59" s="310">
        <v>2504.5917886813363</v>
      </c>
      <c r="I59" s="448">
        <v>0.25265113622928997</v>
      </c>
      <c r="J59" s="439"/>
    </row>
    <row r="60" spans="4:10" x14ac:dyDescent="0.2">
      <c r="D60" s="446" t="s">
        <v>462</v>
      </c>
      <c r="E60" s="446" t="s">
        <v>590</v>
      </c>
      <c r="F60" s="446" t="s">
        <v>537</v>
      </c>
      <c r="G60" s="447">
        <v>1.1554020240345726</v>
      </c>
      <c r="H60" s="310">
        <v>2504.5917886813359</v>
      </c>
      <c r="I60" s="448">
        <v>0.24115086850189885</v>
      </c>
      <c r="J60" s="439"/>
    </row>
    <row r="61" spans="4:10" x14ac:dyDescent="0.2">
      <c r="D61" s="446" t="s">
        <v>462</v>
      </c>
      <c r="E61" s="446" t="s">
        <v>591</v>
      </c>
      <c r="F61" s="446" t="s">
        <v>537</v>
      </c>
      <c r="G61" s="447">
        <v>1.915698541218144</v>
      </c>
      <c r="H61" s="310">
        <v>2504.5917886813363</v>
      </c>
      <c r="I61" s="448">
        <v>0.39983690299364816</v>
      </c>
      <c r="J61" s="439"/>
    </row>
    <row r="62" spans="4:10" x14ac:dyDescent="0.2">
      <c r="D62" s="446" t="s">
        <v>462</v>
      </c>
      <c r="E62" s="446" t="s">
        <v>592</v>
      </c>
      <c r="F62" s="446" t="s">
        <v>537</v>
      </c>
      <c r="G62" s="447">
        <v>1.8457321787746737</v>
      </c>
      <c r="H62" s="310">
        <v>2504.5917886813363</v>
      </c>
      <c r="I62" s="448">
        <v>0.38523380492199666</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43.486394196068744</v>
      </c>
      <c r="H64" s="463"/>
      <c r="I64" s="464">
        <v>8.4364033068845448</v>
      </c>
      <c r="J64" s="439"/>
    </row>
    <row r="65" spans="4:10" x14ac:dyDescent="0.2">
      <c r="D65" s="446" t="s">
        <v>595</v>
      </c>
      <c r="E65" s="446" t="s">
        <v>596</v>
      </c>
      <c r="F65" s="446" t="s">
        <v>554</v>
      </c>
      <c r="G65" s="447">
        <v>1.645899381922921E-2</v>
      </c>
      <c r="H65" s="310">
        <v>18.375438596491225</v>
      </c>
      <c r="I65" s="448">
        <v>2.5203435857106248E-5</v>
      </c>
      <c r="J65" s="439"/>
    </row>
    <row r="66" spans="4:10" x14ac:dyDescent="0.2">
      <c r="D66" s="446" t="s">
        <v>595</v>
      </c>
      <c r="E66" s="446" t="s">
        <v>563</v>
      </c>
      <c r="F66" s="446" t="s">
        <v>554</v>
      </c>
      <c r="G66" s="447">
        <v>7.3632340770235935E-2</v>
      </c>
      <c r="H66" s="310">
        <v>663.38182352941169</v>
      </c>
      <c r="I66" s="448">
        <v>4.0705297075748466E-3</v>
      </c>
      <c r="J66" s="439"/>
    </row>
    <row r="67" spans="4:10" x14ac:dyDescent="0.2">
      <c r="D67" s="446" t="s">
        <v>595</v>
      </c>
      <c r="E67" s="446" t="s">
        <v>564</v>
      </c>
      <c r="F67" s="446" t="s">
        <v>554</v>
      </c>
      <c r="G67" s="447">
        <v>0.15953673833551119</v>
      </c>
      <c r="H67" s="310">
        <v>96.228597285067892</v>
      </c>
      <c r="I67" s="448">
        <v>1.2793330454550966E-3</v>
      </c>
      <c r="J67" s="439"/>
    </row>
    <row r="68" spans="4:10" x14ac:dyDescent="0.2">
      <c r="D68" s="446" t="s">
        <v>595</v>
      </c>
      <c r="E68" s="446" t="s">
        <v>597</v>
      </c>
      <c r="F68" s="446" t="s">
        <v>554</v>
      </c>
      <c r="G68" s="447">
        <v>1.2127679656274154E-2</v>
      </c>
      <c r="H68" s="310">
        <v>55.023809523809533</v>
      </c>
      <c r="I68" s="448">
        <v>5.5609261281050739E-5</v>
      </c>
      <c r="J68" s="439"/>
    </row>
    <row r="69" spans="4:10" x14ac:dyDescent="0.2">
      <c r="D69" s="446" t="s">
        <v>595</v>
      </c>
      <c r="E69" s="446" t="s">
        <v>572</v>
      </c>
      <c r="F69" s="446" t="s">
        <v>554</v>
      </c>
      <c r="G69" s="447">
        <v>9.9620225747966265E-2</v>
      </c>
      <c r="H69" s="310">
        <v>492.86626086956522</v>
      </c>
      <c r="I69" s="448">
        <v>4.0916206809485101E-3</v>
      </c>
      <c r="J69" s="439"/>
    </row>
    <row r="70" spans="4:10" x14ac:dyDescent="0.2">
      <c r="D70" s="446" t="s">
        <v>595</v>
      </c>
      <c r="E70" s="446" t="s">
        <v>567</v>
      </c>
      <c r="F70" s="446" t="s">
        <v>554</v>
      </c>
      <c r="G70" s="447">
        <v>3.6094284691292121E-3</v>
      </c>
      <c r="H70" s="310">
        <v>86.429600000000008</v>
      </c>
      <c r="I70" s="448">
        <v>2.5996788234620847E-5</v>
      </c>
      <c r="J70" s="439"/>
    </row>
    <row r="71" spans="4:10" x14ac:dyDescent="0.2">
      <c r="D71" s="446" t="s">
        <v>595</v>
      </c>
      <c r="E71" s="446" t="s">
        <v>568</v>
      </c>
      <c r="F71" s="446" t="s">
        <v>554</v>
      </c>
      <c r="G71" s="447">
        <v>3.4650513303640441E-3</v>
      </c>
      <c r="H71" s="310">
        <v>134.9029166666667</v>
      </c>
      <c r="I71" s="448">
        <v>3.8953794238818598E-5</v>
      </c>
      <c r="J71" s="439"/>
    </row>
    <row r="72" spans="4:10" x14ac:dyDescent="0.2">
      <c r="D72" s="446" t="s">
        <v>595</v>
      </c>
      <c r="E72" s="446" t="s">
        <v>548</v>
      </c>
      <c r="F72" s="446" t="s">
        <v>554</v>
      </c>
      <c r="G72" s="447">
        <v>0.16921000663277749</v>
      </c>
      <c r="H72" s="310">
        <v>292.65127986348119</v>
      </c>
      <c r="I72" s="448">
        <v>4.1266270838992061E-3</v>
      </c>
      <c r="J72" s="439"/>
    </row>
    <row r="73" spans="4:10" x14ac:dyDescent="0.2">
      <c r="D73" s="446" t="s">
        <v>595</v>
      </c>
      <c r="E73" s="446" t="s">
        <v>598</v>
      </c>
      <c r="F73" s="446" t="s">
        <v>554</v>
      </c>
      <c r="G73" s="447">
        <v>4.5045667294732583E-2</v>
      </c>
      <c r="H73" s="310">
        <v>85.442532051282029</v>
      </c>
      <c r="I73" s="448">
        <v>3.2073465596679795E-4</v>
      </c>
      <c r="J73" s="439"/>
    </row>
    <row r="74" spans="4:10" x14ac:dyDescent="0.2">
      <c r="D74" s="446" t="s">
        <v>595</v>
      </c>
      <c r="E74" s="446" t="s">
        <v>549</v>
      </c>
      <c r="F74" s="446" t="s">
        <v>554</v>
      </c>
      <c r="G74" s="447">
        <v>0.9352751049207616</v>
      </c>
      <c r="H74" s="310">
        <v>722.67420345785729</v>
      </c>
      <c r="I74" s="448">
        <v>5.6324932621881277E-2</v>
      </c>
      <c r="J74" s="439"/>
    </row>
    <row r="75" spans="4:10" x14ac:dyDescent="0.2">
      <c r="D75" s="446" t="s">
        <v>595</v>
      </c>
      <c r="E75" s="446" t="s">
        <v>571</v>
      </c>
      <c r="F75" s="446" t="s">
        <v>554</v>
      </c>
      <c r="G75" s="447">
        <v>3.5372398997466289E-2</v>
      </c>
      <c r="H75" s="310">
        <v>120.32424489795916</v>
      </c>
      <c r="I75" s="448">
        <v>3.5467976663328826E-4</v>
      </c>
      <c r="J75" s="439"/>
    </row>
    <row r="76" spans="4:10" x14ac:dyDescent="0.2">
      <c r="D76" s="446" t="s">
        <v>595</v>
      </c>
      <c r="E76" s="446" t="s">
        <v>561</v>
      </c>
      <c r="F76" s="446" t="s">
        <v>554</v>
      </c>
      <c r="G76" s="447">
        <v>0.16025862402933702</v>
      </c>
      <c r="H76" s="310">
        <v>408.35318918918921</v>
      </c>
      <c r="I76" s="448">
        <v>5.453510018120917E-3</v>
      </c>
      <c r="J76" s="439"/>
    </row>
    <row r="77" spans="4:10" x14ac:dyDescent="0.2">
      <c r="D77" s="446" t="s">
        <v>595</v>
      </c>
      <c r="E77" s="446" t="s">
        <v>599</v>
      </c>
      <c r="F77" s="446" t="s">
        <v>554</v>
      </c>
      <c r="G77" s="447">
        <v>9.1281002212890137</v>
      </c>
      <c r="H77" s="310">
        <v>290.29360416929961</v>
      </c>
      <c r="I77" s="448">
        <v>0.22081909270471409</v>
      </c>
      <c r="J77" s="439"/>
    </row>
    <row r="78" spans="4:10" x14ac:dyDescent="0.2">
      <c r="D78" s="446" t="s">
        <v>595</v>
      </c>
      <c r="E78" s="446" t="s">
        <v>600</v>
      </c>
      <c r="F78" s="446" t="s">
        <v>554</v>
      </c>
      <c r="G78" s="447">
        <v>4.6633815821149421E-2</v>
      </c>
      <c r="H78" s="310">
        <v>108.40557275541796</v>
      </c>
      <c r="I78" s="448">
        <v>4.2128045948853127E-4</v>
      </c>
      <c r="J78" s="439"/>
    </row>
    <row r="79" spans="4:10" x14ac:dyDescent="0.2">
      <c r="D79" s="446" t="s">
        <v>595</v>
      </c>
      <c r="E79" s="446" t="s">
        <v>555</v>
      </c>
      <c r="F79" s="446" t="s">
        <v>554</v>
      </c>
      <c r="G79" s="447">
        <v>1.3172970140933975</v>
      </c>
      <c r="H79" s="310">
        <v>121.62699693116943</v>
      </c>
      <c r="I79" s="448">
        <v>1.3351573324214694E-2</v>
      </c>
      <c r="J79" s="439"/>
    </row>
    <row r="80" spans="4:10" x14ac:dyDescent="0.2">
      <c r="D80" s="446" t="s">
        <v>595</v>
      </c>
      <c r="E80" s="446" t="s">
        <v>552</v>
      </c>
      <c r="F80" s="446" t="s">
        <v>554</v>
      </c>
      <c r="G80" s="447">
        <v>6.7857255219629202E-3</v>
      </c>
      <c r="H80" s="310">
        <v>117.08744680851063</v>
      </c>
      <c r="I80" s="448">
        <v>6.6210273009165545E-5</v>
      </c>
      <c r="J80" s="439"/>
    </row>
    <row r="81" spans="4:10" x14ac:dyDescent="0.2">
      <c r="D81" s="446" t="s">
        <v>595</v>
      </c>
      <c r="E81" s="446" t="s">
        <v>581</v>
      </c>
      <c r="F81" s="446" t="s">
        <v>554</v>
      </c>
      <c r="G81" s="447">
        <v>1.6603370957994378E-2</v>
      </c>
      <c r="H81" s="310">
        <v>182.5557391304348</v>
      </c>
      <c r="I81" s="448">
        <v>2.5258672144112159E-4</v>
      </c>
      <c r="J81" s="439"/>
    </row>
    <row r="82" spans="4:10" x14ac:dyDescent="0.2">
      <c r="D82" s="446" t="s">
        <v>595</v>
      </c>
      <c r="E82" s="446" t="s">
        <v>574</v>
      </c>
      <c r="F82" s="446" t="s">
        <v>554</v>
      </c>
      <c r="G82" s="447">
        <v>4.0519443994444542</v>
      </c>
      <c r="H82" s="310">
        <v>218.35711134865778</v>
      </c>
      <c r="I82" s="448">
        <v>7.3730906200671908E-2</v>
      </c>
      <c r="J82" s="439"/>
    </row>
    <row r="83" spans="4:10" x14ac:dyDescent="0.2">
      <c r="D83" s="446" t="s">
        <v>595</v>
      </c>
      <c r="E83" s="446" t="s">
        <v>601</v>
      </c>
      <c r="F83" s="446" t="s">
        <v>554</v>
      </c>
      <c r="G83" s="447">
        <v>2.3100342202426959E-3</v>
      </c>
      <c r="H83" s="310">
        <v>111.46312500000002</v>
      </c>
      <c r="I83" s="448">
        <v>2.145696942043243E-5</v>
      </c>
      <c r="J83" s="439"/>
    </row>
    <row r="84" spans="4:10" x14ac:dyDescent="0.2">
      <c r="D84" s="446" t="s">
        <v>595</v>
      </c>
      <c r="E84" s="446" t="s">
        <v>559</v>
      </c>
      <c r="F84" s="446" t="s">
        <v>554</v>
      </c>
      <c r="G84" s="447">
        <v>0.16170239541698872</v>
      </c>
      <c r="H84" s="310">
        <v>151.55197321428571</v>
      </c>
      <c r="I84" s="448">
        <v>2.042193091576776E-3</v>
      </c>
      <c r="J84" s="439"/>
    </row>
    <row r="85" spans="4:10" x14ac:dyDescent="0.2">
      <c r="D85" s="446" t="s">
        <v>595</v>
      </c>
      <c r="E85" s="446" t="s">
        <v>573</v>
      </c>
      <c r="F85" s="446" t="s">
        <v>554</v>
      </c>
      <c r="G85" s="447">
        <v>1.2560811072569662E-2</v>
      </c>
      <c r="H85" s="310">
        <v>104.28160919540227</v>
      </c>
      <c r="I85" s="448">
        <v>1.091551326205826E-4</v>
      </c>
      <c r="J85" s="439"/>
    </row>
    <row r="86" spans="4:10" x14ac:dyDescent="0.2">
      <c r="D86" s="446" t="s">
        <v>595</v>
      </c>
      <c r="E86" s="446" t="s">
        <v>562</v>
      </c>
      <c r="F86" s="446" t="s">
        <v>554</v>
      </c>
      <c r="G86" s="447">
        <v>0.21425567392751008</v>
      </c>
      <c r="H86" s="310">
        <v>118.02217654986522</v>
      </c>
      <c r="I86" s="448">
        <v>2.1072434145902458E-3</v>
      </c>
      <c r="J86" s="439"/>
    </row>
    <row r="87" spans="4:10" x14ac:dyDescent="0.2">
      <c r="D87" s="446" t="s">
        <v>595</v>
      </c>
      <c r="E87" s="446" t="s">
        <v>550</v>
      </c>
      <c r="F87" s="446" t="s">
        <v>554</v>
      </c>
      <c r="G87" s="447">
        <v>6.2785286334808834</v>
      </c>
      <c r="H87" s="310">
        <v>526.21407823027778</v>
      </c>
      <c r="I87" s="448">
        <v>0.27532084645912902</v>
      </c>
      <c r="J87" s="439"/>
    </row>
    <row r="88" spans="4:10" x14ac:dyDescent="0.2">
      <c r="D88" s="446" t="s">
        <v>595</v>
      </c>
      <c r="E88" s="446" t="s">
        <v>579</v>
      </c>
      <c r="F88" s="446" t="s">
        <v>554</v>
      </c>
      <c r="G88" s="447">
        <v>4.6200684404853918E-3</v>
      </c>
      <c r="H88" s="310">
        <v>137.295625</v>
      </c>
      <c r="I88" s="448">
        <v>5.2859598673268101E-5</v>
      </c>
      <c r="J88" s="439"/>
    </row>
    <row r="89" spans="4:10" x14ac:dyDescent="0.2">
      <c r="D89" s="446" t="s">
        <v>595</v>
      </c>
      <c r="E89" s="446" t="s">
        <v>556</v>
      </c>
      <c r="F89" s="446" t="s">
        <v>554</v>
      </c>
      <c r="G89" s="447">
        <v>5.3419541343112352E-3</v>
      </c>
      <c r="H89" s="310">
        <v>73.871621621621614</v>
      </c>
      <c r="I89" s="448">
        <v>3.2884901210824736E-5</v>
      </c>
      <c r="J89" s="439"/>
    </row>
    <row r="90" spans="4:10" x14ac:dyDescent="0.2">
      <c r="D90" s="446" t="s">
        <v>595</v>
      </c>
      <c r="E90" s="446" t="s">
        <v>602</v>
      </c>
      <c r="F90" s="446" t="s">
        <v>554</v>
      </c>
      <c r="G90" s="447">
        <v>3.8981827466595498E-3</v>
      </c>
      <c r="H90" s="310">
        <v>88.730740740740742</v>
      </c>
      <c r="I90" s="448">
        <v>2.8824053554489762E-5</v>
      </c>
      <c r="J90" s="439"/>
    </row>
    <row r="91" spans="4:10" x14ac:dyDescent="0.2">
      <c r="D91" s="446" t="s">
        <v>595</v>
      </c>
      <c r="E91" s="446" t="s">
        <v>577</v>
      </c>
      <c r="F91" s="446" t="s">
        <v>554</v>
      </c>
      <c r="G91" s="447">
        <v>2.5130284773465235</v>
      </c>
      <c r="H91" s="310">
        <v>213.96166379409698</v>
      </c>
      <c r="I91" s="448">
        <v>4.4807646181250695E-2</v>
      </c>
      <c r="J91" s="439"/>
    </row>
    <row r="92" spans="4:10" x14ac:dyDescent="0.2">
      <c r="D92" s="446" t="s">
        <v>595</v>
      </c>
      <c r="E92" s="446" t="s">
        <v>576</v>
      </c>
      <c r="F92" s="446" t="s">
        <v>554</v>
      </c>
      <c r="G92" s="447">
        <v>6.5114089583091006E-2</v>
      </c>
      <c r="H92" s="310">
        <v>590.96062084257187</v>
      </c>
      <c r="I92" s="448">
        <v>3.2066552338018586E-3</v>
      </c>
      <c r="J92" s="439"/>
    </row>
    <row r="93" spans="4:10" x14ac:dyDescent="0.2">
      <c r="D93" s="446" t="s">
        <v>595</v>
      </c>
      <c r="E93" s="446" t="s">
        <v>603</v>
      </c>
      <c r="F93" s="446" t="s">
        <v>554</v>
      </c>
      <c r="G93" s="447">
        <v>8.6626283259101102E-4</v>
      </c>
      <c r="H93" s="310">
        <v>98.19</v>
      </c>
      <c r="I93" s="448">
        <v>7.088195627675948E-6</v>
      </c>
      <c r="J93" s="439"/>
    </row>
    <row r="94" spans="4:10" x14ac:dyDescent="0.2">
      <c r="D94" s="446" t="s">
        <v>595</v>
      </c>
      <c r="E94" s="446" t="s">
        <v>557</v>
      </c>
      <c r="F94" s="446" t="s">
        <v>554</v>
      </c>
      <c r="G94" s="447">
        <v>2.685414781032134E-2</v>
      </c>
      <c r="H94" s="310">
        <v>84.765752688172043</v>
      </c>
      <c r="I94" s="448">
        <v>1.8969267099510964E-4</v>
      </c>
      <c r="J94" s="439"/>
    </row>
    <row r="95" spans="4:10" x14ac:dyDescent="0.2">
      <c r="D95" s="446" t="s">
        <v>595</v>
      </c>
      <c r="E95" s="446" t="s">
        <v>582</v>
      </c>
      <c r="F95" s="446" t="s">
        <v>554</v>
      </c>
      <c r="G95" s="447">
        <v>1.155017110121348E-3</v>
      </c>
      <c r="H95" s="310">
        <v>75.680000000000021</v>
      </c>
      <c r="I95" s="448">
        <v>7.2843079078319692E-6</v>
      </c>
      <c r="J95" s="439"/>
    </row>
    <row r="96" spans="4:10" x14ac:dyDescent="0.2">
      <c r="D96" s="446" t="s">
        <v>595</v>
      </c>
      <c r="E96" s="446" t="s">
        <v>565</v>
      </c>
      <c r="F96" s="446" t="s">
        <v>554</v>
      </c>
      <c r="G96" s="447">
        <v>2.4544113590078648E-3</v>
      </c>
      <c r="H96" s="310">
        <v>139.42941176470586</v>
      </c>
      <c r="I96" s="448">
        <v>2.8518094334589907E-5</v>
      </c>
      <c r="J96" s="439"/>
    </row>
    <row r="97" spans="4:13" x14ac:dyDescent="0.2">
      <c r="D97" s="446" t="s">
        <v>595</v>
      </c>
      <c r="E97" s="446" t="s">
        <v>604</v>
      </c>
      <c r="F97" s="446" t="s">
        <v>554</v>
      </c>
      <c r="G97" s="447">
        <v>2.5699130700199996E-2</v>
      </c>
      <c r="H97" s="310">
        <v>145.07567415730338</v>
      </c>
      <c r="I97" s="448">
        <v>3.1069322596568054E-4</v>
      </c>
      <c r="J97" s="439"/>
    </row>
    <row r="98" spans="4:13" x14ac:dyDescent="0.2">
      <c r="D98" s="446" t="s">
        <v>595</v>
      </c>
      <c r="E98" s="446" t="s">
        <v>569</v>
      </c>
      <c r="F98" s="446" t="s">
        <v>554</v>
      </c>
      <c r="G98" s="447">
        <v>1.7758388068115725E-2</v>
      </c>
      <c r="H98" s="310">
        <v>76.013983739837371</v>
      </c>
      <c r="I98" s="448">
        <v>1.1249048515462257E-4</v>
      </c>
      <c r="J98" s="439"/>
    </row>
    <row r="99" spans="4:13" x14ac:dyDescent="0.2">
      <c r="D99" s="446" t="s">
        <v>595</v>
      </c>
      <c r="E99" s="446" t="s">
        <v>553</v>
      </c>
      <c r="F99" s="446" t="s">
        <v>554</v>
      </c>
      <c r="G99" s="447">
        <v>0.45319983858386392</v>
      </c>
      <c r="H99" s="310">
        <v>207.16640968461297</v>
      </c>
      <c r="I99" s="448">
        <v>7.8239819524221019E-3</v>
      </c>
      <c r="J99" s="439"/>
    </row>
    <row r="100" spans="4:13" x14ac:dyDescent="0.2">
      <c r="D100" s="446" t="s">
        <v>595</v>
      </c>
      <c r="E100" s="446" t="s">
        <v>570</v>
      </c>
      <c r="F100" s="446" t="s">
        <v>554</v>
      </c>
      <c r="G100" s="447">
        <v>5.3130787065582018E-2</v>
      </c>
      <c r="H100" s="310">
        <v>73.146820652173901</v>
      </c>
      <c r="I100" s="448">
        <v>3.2386234604958077E-4</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0.11911113948126402</v>
      </c>
      <c r="H102" s="310">
        <v>121.00861818181818</v>
      </c>
      <c r="I102" s="448">
        <v>1.2011228665574638E-3</v>
      </c>
      <c r="J102" s="439"/>
    </row>
    <row r="103" spans="4:13" x14ac:dyDescent="0.2">
      <c r="D103" s="446" t="s">
        <v>595</v>
      </c>
      <c r="E103" s="446" t="s">
        <v>560</v>
      </c>
      <c r="F103" s="446" t="s">
        <v>554</v>
      </c>
      <c r="G103" s="447">
        <v>2.4544113590078648E-3</v>
      </c>
      <c r="H103" s="310">
        <v>30.70588235294117</v>
      </c>
      <c r="I103" s="448">
        <v>6.2804055362848299E-6</v>
      </c>
      <c r="J103" s="439"/>
    </row>
    <row r="104" spans="4:13" x14ac:dyDescent="0.2">
      <c r="D104" s="446" t="s">
        <v>595</v>
      </c>
      <c r="E104" s="446" t="s">
        <v>575</v>
      </c>
      <c r="F104" s="446" t="s">
        <v>554</v>
      </c>
      <c r="G104" s="447">
        <v>4.4756913017202238E-3</v>
      </c>
      <c r="H104" s="310">
        <v>125.07709677419355</v>
      </c>
      <c r="I104" s="448">
        <v>4.6650539506389727E-5</v>
      </c>
      <c r="J104" s="439"/>
    </row>
    <row r="105" spans="4:13" x14ac:dyDescent="0.2">
      <c r="D105" s="446" t="s">
        <v>595</v>
      </c>
      <c r="E105" s="446" t="s">
        <v>566</v>
      </c>
      <c r="F105" s="446" t="s">
        <v>554</v>
      </c>
      <c r="G105" s="447">
        <v>3.3495496193519089E-2</v>
      </c>
      <c r="H105" s="310">
        <v>106.42943965517243</v>
      </c>
      <c r="I105" s="448">
        <v>2.9707557423734978E-4</v>
      </c>
      <c r="J105" s="439"/>
    </row>
    <row r="106" spans="4:13" x14ac:dyDescent="0.2">
      <c r="D106" s="446" t="s">
        <v>595</v>
      </c>
      <c r="E106" s="446" t="s">
        <v>580</v>
      </c>
      <c r="F106" s="446" t="s">
        <v>554</v>
      </c>
      <c r="G106" s="447">
        <v>4.33131416295506E-4</v>
      </c>
      <c r="H106" s="310">
        <v>202.45200000000003</v>
      </c>
      <c r="I106" s="448">
        <v>1.217893354053579E-5</v>
      </c>
      <c r="J106" s="439"/>
    </row>
    <row r="107" spans="4:13" x14ac:dyDescent="0.2">
      <c r="D107" s="451" t="s">
        <v>595</v>
      </c>
      <c r="E107" s="451" t="s">
        <v>558</v>
      </c>
      <c r="F107" s="451" t="s">
        <v>554</v>
      </c>
      <c r="G107" s="452">
        <v>3.1088729290303725</v>
      </c>
      <c r="H107" s="310">
        <v>0.40065062926670703</v>
      </c>
      <c r="I107" s="454">
        <v>1.0379765794385411E-4</v>
      </c>
      <c r="J107" s="439"/>
    </row>
    <row r="108" spans="4:13" ht="16" x14ac:dyDescent="0.2">
      <c r="D108" s="461" t="s">
        <v>605</v>
      </c>
      <c r="E108" s="460"/>
      <c r="F108" s="460"/>
      <c r="G108" s="465">
        <v>29.392586664090537</v>
      </c>
      <c r="H108" s="466"/>
      <c r="I108" s="467">
        <v>0.72300986283523827</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9.1594131697197838</v>
      </c>
      <c r="J118" s="439"/>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c r="H2" s="436">
        <v>39795383</v>
      </c>
      <c r="I2"/>
    </row>
    <row r="3" spans="2:19" ht="16" thickBot="1" x14ac:dyDescent="0.25">
      <c r="B3" s="437" t="s">
        <v>787</v>
      </c>
      <c r="G3"/>
      <c r="H3"/>
      <c r="I3"/>
    </row>
    <row r="4" spans="2:19" x14ac:dyDescent="0.2">
      <c r="G4"/>
      <c r="H4"/>
      <c r="I4"/>
    </row>
    <row r="5" spans="2:19" ht="16" x14ac:dyDescent="0.2">
      <c r="D5" s="438" t="s">
        <v>788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2.9249624259175995E-2</v>
      </c>
      <c r="H8" s="310">
        <v>778.88309278350505</v>
      </c>
      <c r="I8" s="448">
        <v>1.8985031504785365E-3</v>
      </c>
      <c r="J8" s="439"/>
      <c r="K8" s="446" t="s">
        <v>1</v>
      </c>
      <c r="L8" s="446" t="s">
        <v>535</v>
      </c>
      <c r="M8" s="446" t="s">
        <v>534</v>
      </c>
      <c r="N8" s="449">
        <v>1.3183438892898705</v>
      </c>
      <c r="O8" s="310">
        <v>6164.5078225068628</v>
      </c>
      <c r="P8" s="388">
        <v>0.67724510152346062</v>
      </c>
      <c r="Q8" s="29">
        <f>'Assumptions-Output Target'!D17</f>
        <v>1018.5185313926721</v>
      </c>
      <c r="R8" s="388">
        <f>N8*Q8/12000</f>
        <v>0.11189647349916852</v>
      </c>
      <c r="S8" s="388">
        <f>P8-R8</f>
        <v>0.56534862802429209</v>
      </c>
    </row>
    <row r="9" spans="2:19" x14ac:dyDescent="0.2">
      <c r="D9" s="446" t="s">
        <v>1</v>
      </c>
      <c r="E9" s="446" t="s">
        <v>536</v>
      </c>
      <c r="F9" s="446" t="s">
        <v>534</v>
      </c>
      <c r="G9" s="447">
        <v>1.4775583388655915E-2</v>
      </c>
      <c r="H9" s="310">
        <v>448.14061224489791</v>
      </c>
      <c r="I9" s="448">
        <v>5.5179491550565044E-4</v>
      </c>
      <c r="J9" s="439"/>
      <c r="K9" s="446" t="s">
        <v>462</v>
      </c>
      <c r="L9" s="446" t="s">
        <v>0</v>
      </c>
      <c r="M9" s="446" t="s">
        <v>537</v>
      </c>
      <c r="N9" s="449">
        <v>4.6200684404853918E-3</v>
      </c>
      <c r="O9" s="310">
        <v>106.46906250000002</v>
      </c>
      <c r="P9" s="388">
        <v>4.0991196295359735E-5</v>
      </c>
      <c r="Q9" s="29">
        <f>'Assumptions-Output Target'!E17</f>
        <v>254.62963284816803</v>
      </c>
      <c r="R9" s="388">
        <f>N9*Q9/12000</f>
        <v>9.8033860894516971E-5</v>
      </c>
      <c r="S9" s="388">
        <f>P9-R9</f>
        <v>-5.7042664599157236E-5</v>
      </c>
    </row>
    <row r="10" spans="2:19" x14ac:dyDescent="0.2">
      <c r="D10" s="446" t="s">
        <v>1</v>
      </c>
      <c r="E10" s="446" t="s">
        <v>46</v>
      </c>
      <c r="F10" s="446" t="s">
        <v>534</v>
      </c>
      <c r="G10" s="447">
        <v>0.82351261702896539</v>
      </c>
      <c r="H10" s="310">
        <v>6446.7089015012807</v>
      </c>
      <c r="I10" s="448">
        <v>0.44241217655827053</v>
      </c>
      <c r="J10" s="439"/>
      <c r="K10" s="446" t="s">
        <v>462</v>
      </c>
      <c r="L10" s="446" t="s">
        <v>538</v>
      </c>
      <c r="M10" s="446" t="s">
        <v>539</v>
      </c>
      <c r="N10" s="449">
        <v>29.587351424284744</v>
      </c>
      <c r="O10" s="310">
        <v>491.31071741222854</v>
      </c>
      <c r="P10" s="388">
        <v>1.2113819045494216</v>
      </c>
      <c r="Q10" s="29">
        <v>0</v>
      </c>
      <c r="R10" s="388">
        <f>N10*Q10/12000</f>
        <v>0</v>
      </c>
      <c r="S10" s="388">
        <f>P10-R10</f>
        <v>1.2113819045494216</v>
      </c>
    </row>
    <row r="11" spans="2:19" x14ac:dyDescent="0.2">
      <c r="D11" s="446" t="s">
        <v>1</v>
      </c>
      <c r="E11" s="446" t="s">
        <v>540</v>
      </c>
      <c r="F11" s="446" t="s">
        <v>534</v>
      </c>
      <c r="G11" s="447">
        <v>0.42517495057152732</v>
      </c>
      <c r="H11" s="310">
        <v>6028.5300283687957</v>
      </c>
      <c r="I11" s="448">
        <v>0.21359832973588924</v>
      </c>
      <c r="J11" s="439"/>
      <c r="K11" s="320" t="s">
        <v>463</v>
      </c>
      <c r="L11" s="450" t="s">
        <v>541</v>
      </c>
      <c r="M11" s="446" t="s">
        <v>539</v>
      </c>
      <c r="N11" s="449">
        <v>48.330535955917682</v>
      </c>
      <c r="O11" s="310">
        <v>61.402942924910839</v>
      </c>
      <c r="P11" s="388">
        <v>0.24730309506929704</v>
      </c>
      <c r="Q11" s="29">
        <f>'Assumptions-Output Target'!G17</f>
        <v>30.555555941780163</v>
      </c>
      <c r="R11" s="388">
        <f>N11*Q11/12000</f>
        <v>0.12306386625810503</v>
      </c>
      <c r="S11" s="388">
        <f>P11-R11</f>
        <v>0.12423922881119201</v>
      </c>
    </row>
    <row r="12" spans="2:19" x14ac:dyDescent="0.2">
      <c r="D12" s="446" t="s">
        <v>1</v>
      </c>
      <c r="E12" s="446" t="s">
        <v>542</v>
      </c>
      <c r="F12" s="446" t="s">
        <v>534</v>
      </c>
      <c r="G12" s="447">
        <v>0</v>
      </c>
      <c r="H12" s="310" t="s">
        <v>446</v>
      </c>
      <c r="I12" s="448">
        <v>0</v>
      </c>
      <c r="J12" s="439"/>
      <c r="K12" s="320" t="s">
        <v>464</v>
      </c>
      <c r="L12" s="450" t="s">
        <v>541</v>
      </c>
      <c r="M12" s="446" t="s">
        <v>539</v>
      </c>
      <c r="N12" s="449">
        <v>100.38094889212003</v>
      </c>
      <c r="O12" s="310">
        <v>76.849661310944597</v>
      </c>
      <c r="P12" s="388">
        <v>0.64285349370255529</v>
      </c>
      <c r="Q12" s="29">
        <f>'Assumptions-Output Target'!H17</f>
        <v>55.000000695204292</v>
      </c>
      <c r="R12" s="388">
        <f>N12*Q12/12000</f>
        <v>0.46007935490432239</v>
      </c>
      <c r="S12" s="388">
        <f>P12-R12</f>
        <v>0.1827741387982329</v>
      </c>
    </row>
    <row r="13" spans="2:19" x14ac:dyDescent="0.2">
      <c r="D13" s="446" t="s">
        <v>1</v>
      </c>
      <c r="E13" s="446" t="s">
        <v>543</v>
      </c>
      <c r="F13" s="446" t="s">
        <v>534</v>
      </c>
      <c r="G13" s="447">
        <v>9.0462755440750501E-3</v>
      </c>
      <c r="H13" s="310">
        <v>6448.8863333333338</v>
      </c>
      <c r="I13" s="448">
        <v>4.8615335603127627E-3</v>
      </c>
      <c r="J13" s="439"/>
      <c r="K13" s="446" t="s">
        <v>465</v>
      </c>
      <c r="P13" s="388">
        <f>I117</f>
        <v>8.2491125498067692</v>
      </c>
      <c r="R13" s="388">
        <f>L117</f>
        <v>1.6310298201173454</v>
      </c>
      <c r="S13" s="388">
        <f>M117</f>
        <v>6.6180827296894229</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1.1157073171025895E-2</v>
      </c>
      <c r="H15" s="310">
        <v>729.48351351351357</v>
      </c>
      <c r="I15" s="448">
        <v>6.7824174477727729E-4</v>
      </c>
      <c r="J15" s="439"/>
      <c r="K15" s="446" t="s">
        <v>403</v>
      </c>
      <c r="P15" s="388">
        <f>SUM(P8:P13)</f>
        <v>11.0279371358478</v>
      </c>
      <c r="R15" s="388">
        <f>SUM(R8:R13)</f>
        <v>2.3261675486398357</v>
      </c>
      <c r="S15" s="388">
        <f>SUM(S8:S13)</f>
        <v>8.7017695872079628</v>
      </c>
    </row>
    <row r="16" spans="2:19" x14ac:dyDescent="0.2">
      <c r="D16" s="451" t="s">
        <v>1</v>
      </c>
      <c r="E16" s="451" t="s">
        <v>546</v>
      </c>
      <c r="F16" s="451" t="s">
        <v>534</v>
      </c>
      <c r="G16" s="452">
        <v>5.4277653264450301E-3</v>
      </c>
      <c r="H16" s="453">
        <v>29281.712222222217</v>
      </c>
      <c r="I16" s="454">
        <v>1.3244521858226617E-2</v>
      </c>
      <c r="J16" s="439"/>
    </row>
    <row r="17" spans="4:10" ht="16" x14ac:dyDescent="0.2">
      <c r="D17" s="456" t="s">
        <v>547</v>
      </c>
      <c r="E17" s="456"/>
      <c r="F17" s="456"/>
      <c r="G17" s="457">
        <v>1.3183438892898705</v>
      </c>
      <c r="H17" s="458"/>
      <c r="I17" s="459">
        <v>0.67724510152346062</v>
      </c>
      <c r="J17" s="439"/>
    </row>
    <row r="18" spans="4:10" x14ac:dyDescent="0.2">
      <c r="D18" s="446" t="s">
        <v>462</v>
      </c>
      <c r="E18" s="446" t="s">
        <v>548</v>
      </c>
      <c r="F18" s="446" t="s">
        <v>537</v>
      </c>
      <c r="G18" s="447">
        <v>4.6200684404853918E-3</v>
      </c>
      <c r="H18" s="310">
        <v>106.46906250000002</v>
      </c>
      <c r="I18" s="448">
        <v>4.0991196295359735E-5</v>
      </c>
      <c r="J18" s="439"/>
    </row>
    <row r="19" spans="4:10" x14ac:dyDescent="0.2">
      <c r="D19" s="446" t="s">
        <v>462</v>
      </c>
      <c r="E19" s="446" t="s">
        <v>549</v>
      </c>
      <c r="F19" s="446" t="s">
        <v>537</v>
      </c>
      <c r="G19" s="447">
        <v>7.4931735019122453E-2</v>
      </c>
      <c r="H19" s="310">
        <v>252.23531791907513</v>
      </c>
      <c r="I19" s="448">
        <v>1.5750358337313539E-3</v>
      </c>
      <c r="J19" s="439"/>
    </row>
    <row r="20" spans="4:10" x14ac:dyDescent="0.2">
      <c r="D20" s="446" t="s">
        <v>462</v>
      </c>
      <c r="E20" s="446" t="s">
        <v>550</v>
      </c>
      <c r="F20" s="446" t="s">
        <v>537</v>
      </c>
      <c r="G20" s="447">
        <v>2.3634537615858084</v>
      </c>
      <c r="H20" s="310">
        <v>296.89485522296962</v>
      </c>
      <c r="I20" s="448">
        <v>5.8474771864350128E-2</v>
      </c>
      <c r="J20" s="439"/>
    </row>
    <row r="21" spans="4:10" x14ac:dyDescent="0.2">
      <c r="D21" s="446" t="s">
        <v>462</v>
      </c>
      <c r="E21" s="446" t="s">
        <v>551</v>
      </c>
      <c r="F21" s="446" t="s">
        <v>537</v>
      </c>
      <c r="G21" s="447">
        <v>0.1178117452323775</v>
      </c>
      <c r="H21" s="310">
        <v>302.71632352941299</v>
      </c>
      <c r="I21" s="448">
        <v>2.9719615321107638E-3</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1.4437713876516849E-4</v>
      </c>
      <c r="H23" s="310">
        <v>7.0000000000000009</v>
      </c>
      <c r="I23" s="448">
        <v>8.4219997613014961E-8</v>
      </c>
      <c r="J23" s="439"/>
    </row>
    <row r="24" spans="4:10" x14ac:dyDescent="0.2">
      <c r="D24" s="446" t="s">
        <v>462</v>
      </c>
      <c r="E24" s="446" t="s">
        <v>555</v>
      </c>
      <c r="F24" s="446" t="s">
        <v>537</v>
      </c>
      <c r="G24" s="447">
        <v>1.1983302517508987E-2</v>
      </c>
      <c r="H24" s="310">
        <v>445.51686746987951</v>
      </c>
      <c r="I24" s="448">
        <v>4.4489694996204372E-4</v>
      </c>
      <c r="J24" s="439"/>
    </row>
    <row r="25" spans="4:10" x14ac:dyDescent="0.2">
      <c r="D25" s="446" t="s">
        <v>462</v>
      </c>
      <c r="E25" s="446" t="s">
        <v>556</v>
      </c>
      <c r="F25" s="446" t="s">
        <v>537</v>
      </c>
      <c r="G25" s="447">
        <v>1.8769028039471905E-3</v>
      </c>
      <c r="H25" s="310">
        <v>1318.9700000000003</v>
      </c>
      <c r="I25" s="448">
        <v>2.0629820761018552E-4</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2.88754277530337E-3</v>
      </c>
      <c r="H28" s="310">
        <v>31.644999999999996</v>
      </c>
      <c r="I28" s="448">
        <v>7.6146909270395945E-6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1.0106399713561795E-3</v>
      </c>
      <c r="H32" s="310">
        <v>376.82714285714286</v>
      </c>
      <c r="I32" s="448">
        <v>3.1736381071947823E-5</v>
      </c>
      <c r="J32" s="439"/>
    </row>
    <row r="33" spans="4:10" x14ac:dyDescent="0.2">
      <c r="D33" s="446" t="s">
        <v>462</v>
      </c>
      <c r="E33" s="446" t="s">
        <v>564</v>
      </c>
      <c r="F33" s="446" t="s">
        <v>537</v>
      </c>
      <c r="G33" s="447">
        <v>5.7750855506067398E-4</v>
      </c>
      <c r="H33" s="310">
        <v>125.03000000000002</v>
      </c>
      <c r="I33" s="448">
        <v>6.0171578866030066E-6</v>
      </c>
      <c r="J33" s="439"/>
    </row>
    <row r="34" spans="4:10" x14ac:dyDescent="0.2">
      <c r="D34" s="446" t="s">
        <v>462</v>
      </c>
      <c r="E34" s="446" t="s">
        <v>565</v>
      </c>
      <c r="F34" s="446" t="s">
        <v>537</v>
      </c>
      <c r="G34" s="447">
        <v>5.4863312730764032E-3</v>
      </c>
      <c r="H34" s="310">
        <v>247.21947368421053</v>
      </c>
      <c r="I34" s="448">
        <v>1.1302732748226442E-4</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10.994429081403476</v>
      </c>
      <c r="H52" s="310">
        <v>509.88669164976699</v>
      </c>
      <c r="I52" s="448">
        <v>0.46715942257456705</v>
      </c>
      <c r="J52" s="439"/>
    </row>
    <row r="53" spans="4:10" x14ac:dyDescent="0.2">
      <c r="D53" s="446" t="s">
        <v>462</v>
      </c>
      <c r="E53" s="446" t="s">
        <v>584</v>
      </c>
      <c r="F53" s="446" t="s">
        <v>554</v>
      </c>
      <c r="G53" s="447">
        <v>0.60762030220196173</v>
      </c>
      <c r="H53" s="310">
        <v>509.88669164976687</v>
      </c>
      <c r="I53" s="448">
        <v>2.5818125472415819E-2</v>
      </c>
      <c r="J53" s="439"/>
    </row>
    <row r="54" spans="4:10" x14ac:dyDescent="0.2">
      <c r="D54" s="446" t="s">
        <v>462</v>
      </c>
      <c r="E54" s="446" t="s">
        <v>585</v>
      </c>
      <c r="F54" s="446" t="s">
        <v>554</v>
      </c>
      <c r="G54" s="447">
        <v>2.6905136489340946</v>
      </c>
      <c r="H54" s="310">
        <v>509.88669164976699</v>
      </c>
      <c r="I54" s="448">
        <v>0.11432142527446235</v>
      </c>
      <c r="J54" s="439"/>
    </row>
    <row r="55" spans="4:10" x14ac:dyDescent="0.2">
      <c r="D55" s="446" t="s">
        <v>462</v>
      </c>
      <c r="E55" s="446" t="s">
        <v>586</v>
      </c>
      <c r="F55" s="446" t="s">
        <v>537</v>
      </c>
      <c r="G55" s="447">
        <v>1.4707345093656561</v>
      </c>
      <c r="H55" s="310">
        <v>509.88669164976704</v>
      </c>
      <c r="I55" s="448">
        <v>6.2492329439633142E-2</v>
      </c>
      <c r="J55" s="439"/>
    </row>
    <row r="56" spans="4:10" x14ac:dyDescent="0.2">
      <c r="D56" s="446" t="s">
        <v>462</v>
      </c>
      <c r="E56" s="446" t="s">
        <v>5</v>
      </c>
      <c r="F56" s="446" t="s">
        <v>537</v>
      </c>
      <c r="G56" s="447">
        <v>1.2611702204753614</v>
      </c>
      <c r="H56" s="310">
        <v>509.88669164976693</v>
      </c>
      <c r="I56" s="448">
        <v>5.3587825943782433E-2</v>
      </c>
      <c r="J56" s="439"/>
    </row>
    <row r="57" spans="4:10" x14ac:dyDescent="0.2">
      <c r="D57" s="446" t="s">
        <v>462</v>
      </c>
      <c r="E57" s="446" t="s">
        <v>587</v>
      </c>
      <c r="F57" s="446" t="s">
        <v>537</v>
      </c>
      <c r="G57" s="447">
        <v>3.3306172208847782</v>
      </c>
      <c r="H57" s="310">
        <v>509.88669164976693</v>
      </c>
      <c r="I57" s="448">
        <v>0.14151978299239004</v>
      </c>
      <c r="J57" s="439"/>
    </row>
    <row r="58" spans="4:10" x14ac:dyDescent="0.2">
      <c r="D58" s="446" t="s">
        <v>462</v>
      </c>
      <c r="E58" s="446" t="s">
        <v>588</v>
      </c>
      <c r="F58" s="446" t="s">
        <v>537</v>
      </c>
      <c r="G58" s="447">
        <v>2.2499008502977165</v>
      </c>
      <c r="H58" s="310">
        <v>509.88669164976693</v>
      </c>
      <c r="I58" s="448">
        <v>9.5599541758191686E-2</v>
      </c>
      <c r="J58" s="439"/>
    </row>
    <row r="59" spans="4:10" x14ac:dyDescent="0.2">
      <c r="D59" s="446" t="s">
        <v>462</v>
      </c>
      <c r="E59" s="446" t="s">
        <v>589</v>
      </c>
      <c r="F59" s="446" t="s">
        <v>537</v>
      </c>
      <c r="G59" s="447">
        <v>0.86968879818553946</v>
      </c>
      <c r="H59" s="310">
        <v>509.88669164976687</v>
      </c>
      <c r="I59" s="448">
        <v>3.6953562005973876E-2</v>
      </c>
      <c r="J59" s="439"/>
    </row>
    <row r="60" spans="4:10" x14ac:dyDescent="0.2">
      <c r="D60" s="446" t="s">
        <v>462</v>
      </c>
      <c r="E60" s="446" t="s">
        <v>590</v>
      </c>
      <c r="F60" s="446" t="s">
        <v>537</v>
      </c>
      <c r="G60" s="447">
        <v>0.83010198227836751</v>
      </c>
      <c r="H60" s="310">
        <v>509.88669164976693</v>
      </c>
      <c r="I60" s="448">
        <v>3.5271496122985857E-2</v>
      </c>
      <c r="J60" s="439"/>
    </row>
    <row r="61" spans="4:10" x14ac:dyDescent="0.2">
      <c r="D61" s="446" t="s">
        <v>462</v>
      </c>
      <c r="E61" s="446" t="s">
        <v>591</v>
      </c>
      <c r="F61" s="446" t="s">
        <v>537</v>
      </c>
      <c r="G61" s="447">
        <v>1.3763392511292456</v>
      </c>
      <c r="H61" s="310">
        <v>509.88669164976699</v>
      </c>
      <c r="I61" s="448">
        <v>5.8481422278834072E-2</v>
      </c>
      <c r="J61" s="439"/>
    </row>
    <row r="62" spans="4:10" x14ac:dyDescent="0.2">
      <c r="D62" s="446" t="s">
        <v>462</v>
      </c>
      <c r="E62" s="446" t="s">
        <v>592</v>
      </c>
      <c r="F62" s="446" t="s">
        <v>537</v>
      </c>
      <c r="G62" s="447">
        <v>1.3260717122562191</v>
      </c>
      <c r="H62" s="310">
        <v>509.88669164976699</v>
      </c>
      <c r="I62" s="448">
        <v>5.6345526521055442E-2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29.591971492725229</v>
      </c>
      <c r="H64" s="463"/>
      <c r="I64" s="464">
        <v>1.2114228957457169</v>
      </c>
      <c r="J64" s="439"/>
    </row>
    <row r="65" spans="4:10" x14ac:dyDescent="0.2">
      <c r="D65" s="446" t="s">
        <v>595</v>
      </c>
      <c r="E65" s="446" t="s">
        <v>596</v>
      </c>
      <c r="F65" s="446" t="s">
        <v>554</v>
      </c>
      <c r="G65" s="447">
        <v>1.5015222431577527E-2</v>
      </c>
      <c r="H65" s="310">
        <v>104.79701923076922</v>
      </c>
      <c r="I65" s="448">
        <v>1.3112921282635895E-4</v>
      </c>
      <c r="J65" s="439"/>
    </row>
    <row r="66" spans="4:10" x14ac:dyDescent="0.2">
      <c r="D66" s="446" t="s">
        <v>595</v>
      </c>
      <c r="E66" s="446" t="s">
        <v>563</v>
      </c>
      <c r="F66" s="446" t="s">
        <v>554</v>
      </c>
      <c r="G66" s="447">
        <v>0.1462540415691157</v>
      </c>
      <c r="H66" s="310">
        <v>199.77240868706812</v>
      </c>
      <c r="I66" s="448">
        <v>2.4347935137067358E-3</v>
      </c>
      <c r="J66" s="439"/>
    </row>
    <row r="67" spans="4:10" x14ac:dyDescent="0.2">
      <c r="D67" s="446" t="s">
        <v>595</v>
      </c>
      <c r="E67" s="446" t="s">
        <v>564</v>
      </c>
      <c r="F67" s="446" t="s">
        <v>554</v>
      </c>
      <c r="G67" s="447">
        <v>1.0829729178775291</v>
      </c>
      <c r="H67" s="310">
        <v>125.27506199173416</v>
      </c>
      <c r="I67" s="448">
        <v>1.1305791618539724E-2</v>
      </c>
      <c r="J67" s="439"/>
    </row>
    <row r="68" spans="4:10" x14ac:dyDescent="0.2">
      <c r="D68" s="446" t="s">
        <v>595</v>
      </c>
      <c r="E68" s="446" t="s">
        <v>597</v>
      </c>
      <c r="F68" s="446" t="s">
        <v>554</v>
      </c>
      <c r="G68" s="447">
        <v>3.089670769574606E-2</v>
      </c>
      <c r="H68" s="310">
        <v>40.392009345794392</v>
      </c>
      <c r="I68" s="448">
        <v>1.039983421667377E-4</v>
      </c>
      <c r="J68" s="439"/>
    </row>
    <row r="69" spans="4:10" x14ac:dyDescent="0.2">
      <c r="D69" s="446" t="s">
        <v>595</v>
      </c>
      <c r="E69" s="446" t="s">
        <v>572</v>
      </c>
      <c r="F69" s="446" t="s">
        <v>554</v>
      </c>
      <c r="G69" s="447">
        <v>5.5152067008294364E-2</v>
      </c>
      <c r="H69" s="310">
        <v>116.71950261780106</v>
      </c>
      <c r="I69" s="448">
        <v>5.3644348579597945E-4</v>
      </c>
      <c r="J69" s="439"/>
    </row>
    <row r="70" spans="4:10" x14ac:dyDescent="0.2">
      <c r="D70" s="446" t="s">
        <v>595</v>
      </c>
      <c r="E70" s="446" t="s">
        <v>567</v>
      </c>
      <c r="F70" s="446" t="s">
        <v>554</v>
      </c>
      <c r="G70" s="447">
        <v>4.1147484548073023E-2</v>
      </c>
      <c r="H70" s="310">
        <v>79.360701754385971</v>
      </c>
      <c r="I70" s="448">
        <v>2.721244374302357E-4</v>
      </c>
      <c r="J70" s="439"/>
    </row>
    <row r="71" spans="4:10" x14ac:dyDescent="0.2">
      <c r="D71" s="446" t="s">
        <v>595</v>
      </c>
      <c r="E71" s="446" t="s">
        <v>568</v>
      </c>
      <c r="F71" s="446" t="s">
        <v>554</v>
      </c>
      <c r="G71" s="447">
        <v>0.48265277489195829</v>
      </c>
      <c r="H71" s="310">
        <v>76.645860005982655</v>
      </c>
      <c r="I71" s="448">
        <v>3.0827780846556744E-3</v>
      </c>
      <c r="J71" s="439"/>
    </row>
    <row r="72" spans="4:10" x14ac:dyDescent="0.2">
      <c r="D72" s="446" t="s">
        <v>595</v>
      </c>
      <c r="E72" s="446" t="s">
        <v>548</v>
      </c>
      <c r="F72" s="446" t="s">
        <v>554</v>
      </c>
      <c r="G72" s="447">
        <v>1.0712783696375503</v>
      </c>
      <c r="H72" s="310">
        <v>218.8103423180593</v>
      </c>
      <c r="I72" s="448">
        <v>1.9533898898193739E-2</v>
      </c>
      <c r="J72" s="439"/>
    </row>
    <row r="73" spans="4:10" x14ac:dyDescent="0.2">
      <c r="D73" s="446" t="s">
        <v>595</v>
      </c>
      <c r="E73" s="446" t="s">
        <v>598</v>
      </c>
      <c r="F73" s="446" t="s">
        <v>554</v>
      </c>
      <c r="G73" s="447">
        <v>10.761727546416896</v>
      </c>
      <c r="H73" s="310">
        <v>72.62030789251321</v>
      </c>
      <c r="I73" s="448">
        <v>6.512666398967798E-2</v>
      </c>
      <c r="J73" s="439"/>
    </row>
    <row r="74" spans="4:10" x14ac:dyDescent="0.2">
      <c r="D74" s="446" t="s">
        <v>595</v>
      </c>
      <c r="E74" s="446" t="s">
        <v>549</v>
      </c>
      <c r="F74" s="446" t="s">
        <v>554</v>
      </c>
      <c r="G74" s="447">
        <v>25.279715112087178</v>
      </c>
      <c r="H74" s="310">
        <v>57.110161969215227</v>
      </c>
      <c r="I74" s="448">
        <v>0.12031071871557639</v>
      </c>
      <c r="J74" s="439"/>
    </row>
    <row r="75" spans="4:10" x14ac:dyDescent="0.2">
      <c r="D75" s="446" t="s">
        <v>595</v>
      </c>
      <c r="E75" s="446" t="s">
        <v>571</v>
      </c>
      <c r="F75" s="446" t="s">
        <v>554</v>
      </c>
      <c r="G75" s="447">
        <v>0.22479520505736736</v>
      </c>
      <c r="H75" s="310">
        <v>111.07300578034683</v>
      </c>
      <c r="I75" s="448">
        <v>2.0807232592276012E-3</v>
      </c>
      <c r="J75" s="439"/>
    </row>
    <row r="76" spans="4:10" x14ac:dyDescent="0.2">
      <c r="D76" s="446" t="s">
        <v>595</v>
      </c>
      <c r="E76" s="446" t="s">
        <v>561</v>
      </c>
      <c r="F76" s="446" t="s">
        <v>554</v>
      </c>
      <c r="G76" s="447">
        <v>0.30405825423944488</v>
      </c>
      <c r="H76" s="310">
        <v>128.18433048433047</v>
      </c>
      <c r="I76" s="448">
        <v>3.2479586456597982E-3</v>
      </c>
      <c r="J76" s="439"/>
    </row>
    <row r="77" spans="4:10" x14ac:dyDescent="0.2">
      <c r="D77" s="446" t="s">
        <v>595</v>
      </c>
      <c r="E77" s="446" t="s">
        <v>599</v>
      </c>
      <c r="F77" s="446" t="s">
        <v>554</v>
      </c>
      <c r="G77" s="447">
        <v>38.793704054784484</v>
      </c>
      <c r="H77" s="310">
        <v>70.905416510045143</v>
      </c>
      <c r="I77" s="448">
        <v>0.22922364533099343</v>
      </c>
      <c r="J77" s="439"/>
    </row>
    <row r="78" spans="4:10" x14ac:dyDescent="0.2">
      <c r="D78" s="446" t="s">
        <v>595</v>
      </c>
      <c r="E78" s="446" t="s">
        <v>600</v>
      </c>
      <c r="F78" s="446" t="s">
        <v>554</v>
      </c>
      <c r="G78" s="447">
        <v>0.16487869246982242</v>
      </c>
      <c r="H78" s="310">
        <v>100.64047285464099</v>
      </c>
      <c r="I78" s="448">
        <v>1.3827891311514885E-3</v>
      </c>
      <c r="J78" s="439"/>
    </row>
    <row r="79" spans="4:10" x14ac:dyDescent="0.2">
      <c r="D79" s="446" t="s">
        <v>595</v>
      </c>
      <c r="E79" s="446" t="s">
        <v>555</v>
      </c>
      <c r="F79" s="446" t="s">
        <v>554</v>
      </c>
      <c r="G79" s="447">
        <v>19.701271224478596</v>
      </c>
      <c r="H79" s="310">
        <v>65.705952644422879</v>
      </c>
      <c r="I79" s="448">
        <v>0.10787423284254348</v>
      </c>
      <c r="J79" s="439"/>
    </row>
    <row r="80" spans="4:10" x14ac:dyDescent="0.2">
      <c r="D80" s="446" t="s">
        <v>595</v>
      </c>
      <c r="E80" s="446" t="s">
        <v>552</v>
      </c>
      <c r="F80" s="446" t="s">
        <v>554</v>
      </c>
      <c r="G80" s="447">
        <v>3.2340479083397745E-2</v>
      </c>
      <c r="H80" s="310">
        <v>100.00142857142858</v>
      </c>
      <c r="I80" s="448">
        <v>2.6950784241868163E-4</v>
      </c>
      <c r="J80" s="439"/>
    </row>
    <row r="81" spans="4:10" x14ac:dyDescent="0.2">
      <c r="D81" s="446" t="s">
        <v>595</v>
      </c>
      <c r="E81" s="446" t="s">
        <v>581</v>
      </c>
      <c r="F81" s="446" t="s">
        <v>554</v>
      </c>
      <c r="G81" s="447">
        <v>0.17917202920757413</v>
      </c>
      <c r="H81" s="310">
        <v>136.08083803384363</v>
      </c>
      <c r="I81" s="448">
        <v>2.0318233238992497E-3</v>
      </c>
      <c r="J81" s="439"/>
    </row>
    <row r="82" spans="4:10" x14ac:dyDescent="0.2">
      <c r="D82" s="446" t="s">
        <v>595</v>
      </c>
      <c r="E82" s="446" t="s">
        <v>574</v>
      </c>
      <c r="F82" s="446" t="s">
        <v>554</v>
      </c>
      <c r="G82" s="447">
        <v>0.40844292556666162</v>
      </c>
      <c r="H82" s="310">
        <v>79.726171792152741</v>
      </c>
      <c r="I82" s="448">
        <v>2.7136325709180929E-3</v>
      </c>
      <c r="J82" s="439"/>
    </row>
    <row r="83" spans="4:10" x14ac:dyDescent="0.2">
      <c r="D83" s="446" t="s">
        <v>595</v>
      </c>
      <c r="E83" s="446" t="s">
        <v>601</v>
      </c>
      <c r="F83" s="446" t="s">
        <v>554</v>
      </c>
      <c r="G83" s="447">
        <v>1.5015222431577524E-2</v>
      </c>
      <c r="H83" s="310">
        <v>99.770576923076931</v>
      </c>
      <c r="I83" s="448">
        <v>1.2483978371890129E-4</v>
      </c>
      <c r="J83" s="439"/>
    </row>
    <row r="84" spans="4:10" x14ac:dyDescent="0.2">
      <c r="D84" s="446" t="s">
        <v>595</v>
      </c>
      <c r="E84" s="446" t="s">
        <v>559</v>
      </c>
      <c r="F84" s="446" t="s">
        <v>554</v>
      </c>
      <c r="G84" s="447">
        <v>2.5762656641256667</v>
      </c>
      <c r="H84" s="310">
        <v>66.028783904954054</v>
      </c>
      <c r="I84" s="448">
        <v>1.4175640734858882E-2</v>
      </c>
      <c r="J84" s="439"/>
    </row>
    <row r="85" spans="4:10" x14ac:dyDescent="0.2">
      <c r="D85" s="446" t="s">
        <v>595</v>
      </c>
      <c r="E85" s="446" t="s">
        <v>573</v>
      </c>
      <c r="F85" s="446" t="s">
        <v>554</v>
      </c>
      <c r="G85" s="447">
        <v>0.27532720362517638</v>
      </c>
      <c r="H85" s="310">
        <v>87.394572627163072</v>
      </c>
      <c r="I85" s="448">
        <v>2.0051752744545161E-3</v>
      </c>
      <c r="J85" s="439"/>
    </row>
    <row r="86" spans="4:10" x14ac:dyDescent="0.2">
      <c r="D86" s="446" t="s">
        <v>595</v>
      </c>
      <c r="E86" s="446" t="s">
        <v>562</v>
      </c>
      <c r="F86" s="446" t="s">
        <v>554</v>
      </c>
      <c r="G86" s="447">
        <v>0.21988638233935165</v>
      </c>
      <c r="H86" s="310">
        <v>47.17395929087327</v>
      </c>
      <c r="I86" s="448">
        <v>8.6440927075783088E-4</v>
      </c>
      <c r="J86" s="439"/>
    </row>
    <row r="87" spans="4:10" x14ac:dyDescent="0.2">
      <c r="D87" s="446" t="s">
        <v>595</v>
      </c>
      <c r="E87" s="446" t="s">
        <v>550</v>
      </c>
      <c r="F87" s="446" t="s">
        <v>554</v>
      </c>
      <c r="G87" s="447">
        <v>25.529487562150926</v>
      </c>
      <c r="H87" s="310">
        <v>104.11067021065782</v>
      </c>
      <c r="I87" s="448">
        <v>0.22149100501918212</v>
      </c>
      <c r="J87" s="439"/>
    </row>
    <row r="88" spans="4:10" x14ac:dyDescent="0.2">
      <c r="D88" s="446" t="s">
        <v>595</v>
      </c>
      <c r="E88" s="446" t="s">
        <v>579</v>
      </c>
      <c r="F88" s="446" t="s">
        <v>554</v>
      </c>
      <c r="G88" s="447">
        <v>1.5607168700514713</v>
      </c>
      <c r="H88" s="310">
        <v>128.70172895467161</v>
      </c>
      <c r="I88" s="448">
        <v>1.6738913298695656E-2</v>
      </c>
      <c r="J88" s="439"/>
    </row>
    <row r="89" spans="4:10" x14ac:dyDescent="0.2">
      <c r="D89" s="446" t="s">
        <v>595</v>
      </c>
      <c r="E89" s="446" t="s">
        <v>556</v>
      </c>
      <c r="F89" s="446" t="s">
        <v>554</v>
      </c>
      <c r="G89" s="447">
        <v>0.30044882577031568</v>
      </c>
      <c r="H89" s="310">
        <v>91.417054300816915</v>
      </c>
      <c r="I89" s="448">
        <v>2.2888455516718023E-3</v>
      </c>
      <c r="J89" s="439"/>
    </row>
    <row r="90" spans="4:10" x14ac:dyDescent="0.2">
      <c r="D90" s="446" t="s">
        <v>595</v>
      </c>
      <c r="E90" s="446" t="s">
        <v>602</v>
      </c>
      <c r="F90" s="446" t="s">
        <v>554</v>
      </c>
      <c r="G90" s="447">
        <v>2.1512193676010108E-2</v>
      </c>
      <c r="H90" s="310">
        <v>217.62785234899329</v>
      </c>
      <c r="I90" s="448">
        <v>3.9013770908547288E-4</v>
      </c>
      <c r="J90" s="439"/>
    </row>
    <row r="91" spans="4:10" x14ac:dyDescent="0.2">
      <c r="D91" s="446" t="s">
        <v>595</v>
      </c>
      <c r="E91" s="446" t="s">
        <v>577</v>
      </c>
      <c r="F91" s="446" t="s">
        <v>554</v>
      </c>
      <c r="G91" s="447">
        <v>11.163529123600361</v>
      </c>
      <c r="H91" s="310">
        <v>22.47800651819627</v>
      </c>
      <c r="I91" s="448">
        <v>2.0911156700530235E-2</v>
      </c>
      <c r="J91" s="439"/>
    </row>
    <row r="92" spans="4:10" x14ac:dyDescent="0.2">
      <c r="D92" s="446" t="s">
        <v>595</v>
      </c>
      <c r="E92" s="446" t="s">
        <v>576</v>
      </c>
      <c r="F92" s="446" t="s">
        <v>554</v>
      </c>
      <c r="G92" s="447">
        <v>0.7732839552262426</v>
      </c>
      <c r="H92" s="310">
        <v>76.698905899925506</v>
      </c>
      <c r="I92" s="448">
        <v>4.9425027763183157E-3</v>
      </c>
      <c r="J92" s="439"/>
    </row>
    <row r="93" spans="4:10" x14ac:dyDescent="0.2">
      <c r="D93" s="446" t="s">
        <v>595</v>
      </c>
      <c r="E93" s="446" t="s">
        <v>603</v>
      </c>
      <c r="F93" s="446" t="s">
        <v>554</v>
      </c>
      <c r="G93" s="447">
        <v>1.7902765206880895E-2</v>
      </c>
      <c r="H93" s="310">
        <v>67.89959677419354</v>
      </c>
      <c r="I93" s="448">
        <v>1.0129921155752286E-4</v>
      </c>
      <c r="J93" s="439"/>
    </row>
    <row r="94" spans="4:10" x14ac:dyDescent="0.2">
      <c r="D94" s="446" t="s">
        <v>595</v>
      </c>
      <c r="E94" s="446" t="s">
        <v>557</v>
      </c>
      <c r="F94" s="446" t="s">
        <v>554</v>
      </c>
      <c r="G94" s="447">
        <v>6.0060889726310095E-2</v>
      </c>
      <c r="H94" s="310">
        <v>101.79947115384616</v>
      </c>
      <c r="I94" s="448">
        <v>5.0951390093065328E-4</v>
      </c>
      <c r="J94" s="439"/>
    </row>
    <row r="95" spans="4:10" x14ac:dyDescent="0.2">
      <c r="D95" s="446" t="s">
        <v>595</v>
      </c>
      <c r="E95" s="446" t="s">
        <v>582</v>
      </c>
      <c r="F95" s="446" t="s">
        <v>554</v>
      </c>
      <c r="G95" s="447">
        <v>1.4124415485396433</v>
      </c>
      <c r="H95" s="310">
        <v>83.550735970561291</v>
      </c>
      <c r="I95" s="448">
        <v>9.8342109079905381E-3</v>
      </c>
      <c r="J95" s="439"/>
    </row>
    <row r="96" spans="4:10" x14ac:dyDescent="0.2">
      <c r="D96" s="446" t="s">
        <v>595</v>
      </c>
      <c r="E96" s="446" t="s">
        <v>565</v>
      </c>
      <c r="F96" s="446" t="s">
        <v>554</v>
      </c>
      <c r="G96" s="447">
        <v>0.10727221410252019</v>
      </c>
      <c r="H96" s="310">
        <v>66.878667563930009</v>
      </c>
      <c r="I96" s="448">
        <v>5.9785189548409773E-4</v>
      </c>
      <c r="J96" s="439"/>
    </row>
    <row r="97" spans="4:13" x14ac:dyDescent="0.2">
      <c r="D97" s="446" t="s">
        <v>595</v>
      </c>
      <c r="E97" s="446" t="s">
        <v>604</v>
      </c>
      <c r="F97" s="446" t="s">
        <v>554</v>
      </c>
      <c r="G97" s="447">
        <v>0.13282696766395502</v>
      </c>
      <c r="H97" s="310">
        <v>115.01404347826087</v>
      </c>
      <c r="I97" s="448">
        <v>1.2730805528323062E-3</v>
      </c>
      <c r="J97" s="439"/>
    </row>
    <row r="98" spans="4:13" x14ac:dyDescent="0.2">
      <c r="D98" s="446" t="s">
        <v>595</v>
      </c>
      <c r="E98" s="446" t="s">
        <v>569</v>
      </c>
      <c r="F98" s="446" t="s">
        <v>554</v>
      </c>
      <c r="G98" s="447">
        <v>7.0600420856167398E-2</v>
      </c>
      <c r="H98" s="310">
        <v>75.556012269938648</v>
      </c>
      <c r="I98" s="448">
        <v>4.4452385537261806E-4</v>
      </c>
      <c r="J98" s="439"/>
    </row>
    <row r="99" spans="4:13" x14ac:dyDescent="0.2">
      <c r="D99" s="446" t="s">
        <v>595</v>
      </c>
      <c r="E99" s="446" t="s">
        <v>553</v>
      </c>
      <c r="F99" s="446" t="s">
        <v>554</v>
      </c>
      <c r="G99" s="447">
        <v>0.69864097448465035</v>
      </c>
      <c r="H99" s="310">
        <v>109.74687125439141</v>
      </c>
      <c r="I99" s="448">
        <v>6.3894717566507896E-3</v>
      </c>
      <c r="J99" s="439"/>
    </row>
    <row r="100" spans="4:13" x14ac:dyDescent="0.2">
      <c r="D100" s="446" t="s">
        <v>595</v>
      </c>
      <c r="E100" s="446" t="s">
        <v>570</v>
      </c>
      <c r="F100" s="446" t="s">
        <v>554</v>
      </c>
      <c r="G100" s="447">
        <v>0.21945325092305612</v>
      </c>
      <c r="H100" s="310">
        <v>60.210888157894736</v>
      </c>
      <c r="I100" s="448">
        <v>1.1011229289345451E-3</v>
      </c>
      <c r="J100" s="439"/>
    </row>
    <row r="101" spans="4:13" x14ac:dyDescent="0.2">
      <c r="D101" s="446" t="s">
        <v>595</v>
      </c>
      <c r="E101" s="446" t="s">
        <v>551</v>
      </c>
      <c r="F101" s="446" t="s">
        <v>554</v>
      </c>
      <c r="G101" s="447">
        <v>8.5182511871449412E-3</v>
      </c>
      <c r="H101" s="310">
        <v>43.203389830508478</v>
      </c>
      <c r="I101" s="448">
        <v>3.0668110559367873E-5</v>
      </c>
      <c r="J101" s="439"/>
    </row>
    <row r="102" spans="4:13" x14ac:dyDescent="0.2">
      <c r="D102" s="446" t="s">
        <v>595</v>
      </c>
      <c r="E102" s="446" t="s">
        <v>578</v>
      </c>
      <c r="F102" s="446" t="s">
        <v>554</v>
      </c>
      <c r="G102" s="447">
        <v>0.24168733029289211</v>
      </c>
      <c r="H102" s="310">
        <v>89.340698924731157</v>
      </c>
      <c r="I102" s="448">
        <v>1.7993762508016109E-3</v>
      </c>
      <c r="J102" s="439"/>
    </row>
    <row r="103" spans="4:13" x14ac:dyDescent="0.2">
      <c r="D103" s="446" t="s">
        <v>595</v>
      </c>
      <c r="E103" s="446" t="s">
        <v>560</v>
      </c>
      <c r="F103" s="446" t="s">
        <v>554</v>
      </c>
      <c r="G103" s="447">
        <v>0.99706852031225379</v>
      </c>
      <c r="H103" s="310">
        <v>85.318774978279905</v>
      </c>
      <c r="I103" s="448">
        <v>7.0890553935373073E-3</v>
      </c>
      <c r="J103" s="439"/>
    </row>
    <row r="104" spans="4:13" x14ac:dyDescent="0.2">
      <c r="D104" s="446" t="s">
        <v>595</v>
      </c>
      <c r="E104" s="446" t="s">
        <v>575</v>
      </c>
      <c r="F104" s="446" t="s">
        <v>554</v>
      </c>
      <c r="G104" s="447">
        <v>0.29380747738711788</v>
      </c>
      <c r="H104" s="310">
        <v>123.71920393120395</v>
      </c>
      <c r="I104" s="448">
        <v>3.0291356009474525E-3</v>
      </c>
      <c r="J104" s="439"/>
    </row>
    <row r="105" spans="4:13" x14ac:dyDescent="0.2">
      <c r="D105" s="446" t="s">
        <v>595</v>
      </c>
      <c r="E105" s="446" t="s">
        <v>566</v>
      </c>
      <c r="F105" s="446" t="s">
        <v>554</v>
      </c>
      <c r="G105" s="447">
        <v>0.11954427089755952</v>
      </c>
      <c r="H105" s="310">
        <v>106.4730797101453</v>
      </c>
      <c r="I105" s="448">
        <v>1.0606872236805882E-3</v>
      </c>
      <c r="J105" s="439"/>
    </row>
    <row r="106" spans="4:13" x14ac:dyDescent="0.2">
      <c r="D106" s="446" t="s">
        <v>595</v>
      </c>
      <c r="E106" s="446" t="s">
        <v>580</v>
      </c>
      <c r="F106" s="446" t="s">
        <v>554</v>
      </c>
      <c r="G106" s="447">
        <v>4.33131416295506E-4</v>
      </c>
      <c r="H106" s="310">
        <v>178.14329268292681</v>
      </c>
      <c r="I106" s="448">
        <v>1.7575209573307416E-4</v>
      </c>
      <c r="J106" s="439"/>
    </row>
    <row r="107" spans="4:13" x14ac:dyDescent="0.2">
      <c r="D107" s="451" t="s">
        <v>595</v>
      </c>
      <c r="E107" s="451" t="s">
        <v>558</v>
      </c>
      <c r="F107" s="451" t="s">
        <v>554</v>
      </c>
      <c r="G107" s="452">
        <v>3.1088729290303725</v>
      </c>
      <c r="H107" s="310">
        <v>4.3445701945850566</v>
      </c>
      <c r="I107" s="454">
        <v>1.1255597221848084E-3</v>
      </c>
      <c r="J107" s="439"/>
    </row>
    <row r="108" spans="4:13" ht="16" x14ac:dyDescent="0.2">
      <c r="D108" s="461" t="s">
        <v>605</v>
      </c>
      <c r="E108" s="460"/>
      <c r="F108" s="460"/>
      <c r="G108" s="465">
        <v>148.71148484803771</v>
      </c>
      <c r="H108" s="466"/>
      <c r="I108" s="467">
        <v>0.89015658877185233</v>
      </c>
      <c r="J108" s="439"/>
      <c r="K108" s="313" t="s">
        <v>311</v>
      </c>
      <c r="L108" s="313" t="s">
        <v>606</v>
      </c>
      <c r="M108" s="313" t="s">
        <v>528</v>
      </c>
    </row>
    <row r="109" spans="4:13" x14ac:dyDescent="0.2">
      <c r="D109" s="446" t="s">
        <v>607</v>
      </c>
      <c r="E109" s="446" t="s">
        <v>608</v>
      </c>
      <c r="F109" s="468" t="s">
        <v>609</v>
      </c>
      <c r="G109" s="469">
        <v>324.25620831441677</v>
      </c>
      <c r="H109" s="310">
        <v>42.062272686215778</v>
      </c>
      <c r="I109" s="470">
        <v>1.136579421193282</v>
      </c>
      <c r="J109" s="439"/>
      <c r="K109">
        <f>'Assumptions-Output Target'!$J$17</f>
        <v>10.185185313926722</v>
      </c>
      <c r="L109" s="470">
        <f>G109*K109/12000</f>
        <v>0.27521746423946347</v>
      </c>
      <c r="M109" s="388">
        <f>I109-L109</f>
        <v>0.86136195695381856</v>
      </c>
    </row>
    <row r="110" spans="4:13" x14ac:dyDescent="0.2">
      <c r="D110" s="446" t="s">
        <v>607</v>
      </c>
      <c r="E110" s="446" t="s">
        <v>610</v>
      </c>
      <c r="F110" s="468" t="s">
        <v>609</v>
      </c>
      <c r="G110" s="469">
        <v>70.709609705226356</v>
      </c>
      <c r="H110" s="310">
        <v>305.35697544001096</v>
      </c>
      <c r="I110" s="470">
        <v>1.7993060461776305</v>
      </c>
      <c r="J110" s="439"/>
      <c r="K110">
        <f>'Assumptions-Output Target'!$K$17</f>
        <v>50.92592656963361</v>
      </c>
      <c r="L110" s="470">
        <f t="shared" ref="L110:L116" si="0">G110*K110/12000</f>
        <v>0.30007936596798412</v>
      </c>
      <c r="M110" s="388">
        <f t="shared" ref="M110:M116" si="1">I110-L110</f>
        <v>1.4992266802096463</v>
      </c>
    </row>
    <row r="111" spans="4:13" x14ac:dyDescent="0.2">
      <c r="D111" s="446" t="s">
        <v>607</v>
      </c>
      <c r="E111" s="446" t="s">
        <v>611</v>
      </c>
      <c r="F111" s="468" t="s">
        <v>609</v>
      </c>
      <c r="G111" s="469">
        <v>27.192199657935191</v>
      </c>
      <c r="H111" s="310">
        <v>350.63217302678737</v>
      </c>
      <c r="I111" s="470">
        <v>0.79453833795334006</v>
      </c>
      <c r="J111" s="439"/>
      <c r="K111">
        <f>'Assumptions-Output Target'!$L$17</f>
        <v>81.481482511413773</v>
      </c>
      <c r="L111" s="470">
        <f t="shared" si="0"/>
        <v>0.18463839507290983</v>
      </c>
      <c r="M111" s="388">
        <f t="shared" si="1"/>
        <v>0.60989994288043026</v>
      </c>
    </row>
    <row r="112" spans="4:13" x14ac:dyDescent="0.2">
      <c r="D112" s="446" t="s">
        <v>607</v>
      </c>
      <c r="E112" s="446" t="s">
        <v>612</v>
      </c>
      <c r="F112" s="468" t="s">
        <v>609</v>
      </c>
      <c r="G112" s="469">
        <v>24.179186816721931</v>
      </c>
      <c r="H112" s="310">
        <v>1109.4239755921733</v>
      </c>
      <c r="I112" s="470">
        <v>2.2354141303994592</v>
      </c>
      <c r="J112" s="439"/>
      <c r="K112">
        <f>'Assumptions-Output Target'!$M$17</f>
        <v>203.70370627853444</v>
      </c>
      <c r="L112" s="470">
        <f t="shared" si="0"/>
        <v>0.41044916411394472</v>
      </c>
      <c r="M112" s="388">
        <f t="shared" si="1"/>
        <v>1.8249649662855145</v>
      </c>
    </row>
    <row r="113" spans="4:13" x14ac:dyDescent="0.2">
      <c r="D113" s="446" t="s">
        <v>607</v>
      </c>
      <c r="E113" s="446" t="s">
        <v>613</v>
      </c>
      <c r="F113" s="468" t="s">
        <v>609</v>
      </c>
      <c r="G113" s="469">
        <v>70.673123060531921</v>
      </c>
      <c r="H113" s="310">
        <v>87.872231491740294</v>
      </c>
      <c r="I113" s="470">
        <v>0.51751708581827582</v>
      </c>
      <c r="J113" s="439"/>
      <c r="K113">
        <f>2*K109</f>
        <v>20.370370627853443</v>
      </c>
      <c r="L113" s="470">
        <f t="shared" si="0"/>
        <v>0.11996980918091095</v>
      </c>
      <c r="M113" s="388">
        <f t="shared" si="1"/>
        <v>0.39754727663736489</v>
      </c>
    </row>
    <row r="114" spans="4:13" x14ac:dyDescent="0.2">
      <c r="D114" s="446" t="s">
        <v>607</v>
      </c>
      <c r="E114" s="446" t="s">
        <v>614</v>
      </c>
      <c r="F114" s="468" t="s">
        <v>609</v>
      </c>
      <c r="G114" s="469">
        <v>18.874450837676321</v>
      </c>
      <c r="H114" s="310">
        <v>621.74529210311243</v>
      </c>
      <c r="I114" s="470">
        <v>0.97792507911307491</v>
      </c>
      <c r="J114" s="439"/>
      <c r="K114">
        <f>2*K110</f>
        <v>101.85185313926722</v>
      </c>
      <c r="L114" s="470">
        <f t="shared" si="0"/>
        <v>0.16019981623361065</v>
      </c>
      <c r="M114" s="388">
        <f t="shared" si="1"/>
        <v>0.81772526287946423</v>
      </c>
    </row>
    <row r="115" spans="4:13" x14ac:dyDescent="0.2">
      <c r="D115" s="446" t="s">
        <v>607</v>
      </c>
      <c r="E115" s="446" t="s">
        <v>615</v>
      </c>
      <c r="F115" s="468" t="s">
        <v>609</v>
      </c>
      <c r="G115" s="469">
        <v>4.7529131708570311</v>
      </c>
      <c r="H115" s="310">
        <v>738.16007920054096</v>
      </c>
      <c r="I115" s="470">
        <v>0.29236756355276006</v>
      </c>
      <c r="J115" s="439"/>
      <c r="K115">
        <f>2*K111</f>
        <v>162.96296502282755</v>
      </c>
      <c r="L115" s="470">
        <f t="shared" si="0"/>
        <v>6.4545735234909224E-2</v>
      </c>
      <c r="M115" s="388">
        <f t="shared" si="1"/>
        <v>0.22782182831785083</v>
      </c>
    </row>
    <row r="116" spans="4:13" x14ac:dyDescent="0.2">
      <c r="D116" s="446" t="s">
        <v>607</v>
      </c>
      <c r="E116" s="446" t="s">
        <v>616</v>
      </c>
      <c r="F116" s="468" t="s">
        <v>609</v>
      </c>
      <c r="G116" s="447">
        <v>3.4146674753701958</v>
      </c>
      <c r="H116" s="310">
        <v>1741.1881742724506</v>
      </c>
      <c r="I116" s="448">
        <v>0.49546488559894575</v>
      </c>
      <c r="J116" s="439"/>
      <c r="K116">
        <f>2*K112</f>
        <v>407.40741255706888</v>
      </c>
      <c r="L116" s="470">
        <f t="shared" si="0"/>
        <v>0.11593007007361252</v>
      </c>
      <c r="M116" s="388">
        <f t="shared" si="1"/>
        <v>0.37953481552533325</v>
      </c>
    </row>
    <row r="117" spans="4:13" x14ac:dyDescent="0.2">
      <c r="D117" s="460" t="s">
        <v>617</v>
      </c>
      <c r="E117" s="460"/>
      <c r="F117" s="460"/>
      <c r="G117" s="471">
        <v>544.05235903873574</v>
      </c>
      <c r="H117" s="472"/>
      <c r="I117" s="473">
        <v>8.2491125498067692</v>
      </c>
      <c r="J117" s="439"/>
      <c r="L117" s="470">
        <f>SUM(L109:L116)</f>
        <v>1.6310298201173454</v>
      </c>
      <c r="M117" s="388">
        <f>SUM(M109:M116)</f>
        <v>6.6180827296894229</v>
      </c>
    </row>
    <row r="118" spans="4:13" ht="16" x14ac:dyDescent="0.2">
      <c r="D118" s="461" t="s">
        <v>618</v>
      </c>
      <c r="E118" s="461"/>
      <c r="F118" s="461"/>
      <c r="G118" s="474"/>
      <c r="H118" s="474"/>
      <c r="I118" s="473">
        <v>11.027937135847798</v>
      </c>
      <c r="J118" s="439"/>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c r="H2" s="436">
        <v>39795383</v>
      </c>
      <c r="I2"/>
    </row>
    <row r="3" spans="2:19" ht="16" thickBot="1" x14ac:dyDescent="0.25">
      <c r="B3" s="437" t="s">
        <v>787</v>
      </c>
      <c r="G3"/>
      <c r="H3"/>
      <c r="I3"/>
    </row>
    <row r="4" spans="2:19" x14ac:dyDescent="0.2">
      <c r="G4"/>
      <c r="H4"/>
      <c r="I4"/>
    </row>
    <row r="5" spans="2:19" ht="16" x14ac:dyDescent="0.2">
      <c r="D5" s="438" t="s">
        <v>788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2.9249624259175995E-2</v>
      </c>
      <c r="H8" s="310">
        <v>778.88309278350505</v>
      </c>
      <c r="I8" s="448">
        <v>1.8985031504785365E-3</v>
      </c>
      <c r="J8" s="439"/>
      <c r="K8" s="446" t="s">
        <v>1</v>
      </c>
      <c r="L8" s="446" t="s">
        <v>535</v>
      </c>
      <c r="M8" s="446" t="s">
        <v>534</v>
      </c>
      <c r="N8" s="449">
        <v>1.3183438892898705</v>
      </c>
      <c r="O8" s="310">
        <v>6164.5078225068628</v>
      </c>
      <c r="P8" s="388">
        <v>0.67724510152346062</v>
      </c>
      <c r="Q8" s="29">
        <f>'Assumptions-Output Override'!D19</f>
        <v>1000</v>
      </c>
      <c r="R8" s="388">
        <f>N8*Q8/12000</f>
        <v>0.10986199077415587</v>
      </c>
      <c r="S8" s="388">
        <f>P8-R8</f>
        <v>0.56738311074930481</v>
      </c>
    </row>
    <row r="9" spans="2:19" x14ac:dyDescent="0.2">
      <c r="D9" s="446" t="s">
        <v>1</v>
      </c>
      <c r="E9" s="446" t="s">
        <v>536</v>
      </c>
      <c r="F9" s="446" t="s">
        <v>534</v>
      </c>
      <c r="G9" s="447">
        <v>1.4775583388655915E-2</v>
      </c>
      <c r="H9" s="310">
        <v>448.14061224489791</v>
      </c>
      <c r="I9" s="448">
        <v>5.5179491550565044E-4</v>
      </c>
      <c r="J9" s="439"/>
      <c r="K9" s="446" t="s">
        <v>462</v>
      </c>
      <c r="L9" s="446" t="s">
        <v>0</v>
      </c>
      <c r="M9" s="446" t="s">
        <v>537</v>
      </c>
      <c r="N9" s="449">
        <v>4.6200684404853918E-3</v>
      </c>
      <c r="O9" s="310">
        <v>106.46906250000002</v>
      </c>
      <c r="P9" s="388">
        <v>4.0991196295359735E-5</v>
      </c>
      <c r="Q9" s="29">
        <f>'Assumptions-Output Override'!E19</f>
        <v>250</v>
      </c>
      <c r="R9" s="388">
        <f>N9*Q9/12000</f>
        <v>9.6251425843445668E-5</v>
      </c>
      <c r="S9" s="388">
        <f>P9-R9</f>
        <v>-5.5260229548085932E-5</v>
      </c>
    </row>
    <row r="10" spans="2:19" x14ac:dyDescent="0.2">
      <c r="D10" s="446" t="s">
        <v>1</v>
      </c>
      <c r="E10" s="446" t="s">
        <v>46</v>
      </c>
      <c r="F10" s="446" t="s">
        <v>534</v>
      </c>
      <c r="G10" s="447">
        <v>0.82351261702896539</v>
      </c>
      <c r="H10" s="310">
        <v>6446.7089015012807</v>
      </c>
      <c r="I10" s="448">
        <v>0.44241217655827053</v>
      </c>
      <c r="J10" s="439"/>
      <c r="K10" s="446" t="s">
        <v>462</v>
      </c>
      <c r="L10" s="446" t="s">
        <v>538</v>
      </c>
      <c r="M10" s="446" t="s">
        <v>539</v>
      </c>
      <c r="N10" s="449">
        <v>29.587351424284744</v>
      </c>
      <c r="O10" s="310">
        <v>491.31071741222854</v>
      </c>
      <c r="P10" s="388">
        <v>1.2113819045494216</v>
      </c>
      <c r="Q10" s="29">
        <v>0</v>
      </c>
      <c r="R10" s="388">
        <f>N10*Q10/12000</f>
        <v>0</v>
      </c>
      <c r="S10" s="388">
        <f>P10-R10</f>
        <v>1.2113819045494216</v>
      </c>
    </row>
    <row r="11" spans="2:19" x14ac:dyDescent="0.2">
      <c r="D11" s="446" t="s">
        <v>1</v>
      </c>
      <c r="E11" s="446" t="s">
        <v>540</v>
      </c>
      <c r="F11" s="446" t="s">
        <v>534</v>
      </c>
      <c r="G11" s="447">
        <v>0.42517495057152732</v>
      </c>
      <c r="H11" s="310">
        <v>6028.5300283687957</v>
      </c>
      <c r="I11" s="448">
        <v>0.21359832973588924</v>
      </c>
      <c r="J11" s="439"/>
      <c r="K11" s="320" t="s">
        <v>463</v>
      </c>
      <c r="L11" s="450" t="s">
        <v>541</v>
      </c>
      <c r="M11" s="446" t="s">
        <v>539</v>
      </c>
      <c r="N11" s="449">
        <v>48.330535955917682</v>
      </c>
      <c r="O11" s="310">
        <v>61.402942924910839</v>
      </c>
      <c r="P11" s="388">
        <v>0.24730309506929704</v>
      </c>
      <c r="Q11" s="29">
        <f>'Assumptions-Output Override'!G19</f>
        <v>30</v>
      </c>
      <c r="R11" s="388">
        <f>N11*Q11/12000</f>
        <v>0.12082633988979422</v>
      </c>
      <c r="S11" s="388">
        <f>P11-R11</f>
        <v>0.12647675517950283</v>
      </c>
    </row>
    <row r="12" spans="2:19" x14ac:dyDescent="0.2">
      <c r="D12" s="446" t="s">
        <v>1</v>
      </c>
      <c r="E12" s="446" t="s">
        <v>542</v>
      </c>
      <c r="F12" s="446" t="s">
        <v>534</v>
      </c>
      <c r="G12" s="447">
        <v>0</v>
      </c>
      <c r="H12" s="310" t="s">
        <v>446</v>
      </c>
      <c r="I12" s="448">
        <v>0</v>
      </c>
      <c r="J12" s="439"/>
      <c r="K12" s="320" t="s">
        <v>464</v>
      </c>
      <c r="L12" s="450" t="s">
        <v>541</v>
      </c>
      <c r="M12" s="446" t="s">
        <v>539</v>
      </c>
      <c r="N12" s="449">
        <v>100.38094889212003</v>
      </c>
      <c r="O12" s="310">
        <v>76.849661310944597</v>
      </c>
      <c r="P12" s="388">
        <v>0.64285349370255529</v>
      </c>
      <c r="Q12" s="29">
        <f>'Assumptions-Output Override'!H19</f>
        <v>60</v>
      </c>
      <c r="R12" s="388">
        <f>N12*Q12/12000</f>
        <v>0.50190474446060018</v>
      </c>
      <c r="S12" s="388">
        <f>P12-R12</f>
        <v>0.14094874924195511</v>
      </c>
    </row>
    <row r="13" spans="2:19" x14ac:dyDescent="0.2">
      <c r="D13" s="446" t="s">
        <v>1</v>
      </c>
      <c r="E13" s="446" t="s">
        <v>543</v>
      </c>
      <c r="F13" s="446" t="s">
        <v>534</v>
      </c>
      <c r="G13" s="447">
        <v>9.0462755440750501E-3</v>
      </c>
      <c r="H13" s="310">
        <v>6448.8863333333338</v>
      </c>
      <c r="I13" s="448">
        <v>4.8615335603127627E-3</v>
      </c>
      <c r="J13" s="439"/>
      <c r="K13" s="446" t="s">
        <v>465</v>
      </c>
      <c r="P13" s="388">
        <f>I117</f>
        <v>8.2491125498067692</v>
      </c>
      <c r="R13" s="388">
        <f>L117</f>
        <v>1.6013747122373467</v>
      </c>
      <c r="S13" s="388">
        <f>M117</f>
        <v>6.6477378375694212</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1.1157073171025895E-2</v>
      </c>
      <c r="H15" s="310">
        <v>729.48351351351357</v>
      </c>
      <c r="I15" s="448">
        <v>6.7824174477727729E-4</v>
      </c>
      <c r="J15" s="439"/>
      <c r="K15" s="446" t="s">
        <v>403</v>
      </c>
      <c r="P15" s="388">
        <f>SUM(P8:P13)</f>
        <v>11.0279371358478</v>
      </c>
      <c r="R15" s="388">
        <f>SUM(R8:R13)</f>
        <v>2.3340640387877407</v>
      </c>
      <c r="S15" s="388">
        <f>SUM(S8:S13)</f>
        <v>8.6938730970600577</v>
      </c>
    </row>
    <row r="16" spans="2:19" x14ac:dyDescent="0.2">
      <c r="D16" s="451" t="s">
        <v>1</v>
      </c>
      <c r="E16" s="451" t="s">
        <v>546</v>
      </c>
      <c r="F16" s="451" t="s">
        <v>534</v>
      </c>
      <c r="G16" s="452">
        <v>5.4277653264450301E-3</v>
      </c>
      <c r="H16" s="453">
        <v>29281.712222222217</v>
      </c>
      <c r="I16" s="454">
        <v>1.3244521858226617E-2</v>
      </c>
      <c r="J16" s="439"/>
    </row>
    <row r="17" spans="4:10" ht="16" x14ac:dyDescent="0.2">
      <c r="D17" s="456" t="s">
        <v>547</v>
      </c>
      <c r="E17" s="456"/>
      <c r="F17" s="456"/>
      <c r="G17" s="457">
        <v>1.3183438892898705</v>
      </c>
      <c r="H17" s="458"/>
      <c r="I17" s="459">
        <v>0.67724510152346062</v>
      </c>
      <c r="J17" s="439"/>
    </row>
    <row r="18" spans="4:10" x14ac:dyDescent="0.2">
      <c r="D18" s="446" t="s">
        <v>462</v>
      </c>
      <c r="E18" s="446" t="s">
        <v>548</v>
      </c>
      <c r="F18" s="446" t="s">
        <v>537</v>
      </c>
      <c r="G18" s="447">
        <v>4.6200684404853918E-3</v>
      </c>
      <c r="H18" s="310">
        <v>106.46906250000002</v>
      </c>
      <c r="I18" s="448">
        <v>4.0991196295359735E-5</v>
      </c>
      <c r="J18" s="439"/>
    </row>
    <row r="19" spans="4:10" x14ac:dyDescent="0.2">
      <c r="D19" s="446" t="s">
        <v>462</v>
      </c>
      <c r="E19" s="446" t="s">
        <v>549</v>
      </c>
      <c r="F19" s="446" t="s">
        <v>537</v>
      </c>
      <c r="G19" s="447">
        <v>7.4931735019122453E-2</v>
      </c>
      <c r="H19" s="310">
        <v>252.23531791907513</v>
      </c>
      <c r="I19" s="448">
        <v>1.5750358337313539E-3</v>
      </c>
      <c r="J19" s="439"/>
    </row>
    <row r="20" spans="4:10" x14ac:dyDescent="0.2">
      <c r="D20" s="446" t="s">
        <v>462</v>
      </c>
      <c r="E20" s="446" t="s">
        <v>550</v>
      </c>
      <c r="F20" s="446" t="s">
        <v>537</v>
      </c>
      <c r="G20" s="447">
        <v>2.3634537615858084</v>
      </c>
      <c r="H20" s="310">
        <v>296.89485522296962</v>
      </c>
      <c r="I20" s="448">
        <v>5.8474771864350128E-2</v>
      </c>
      <c r="J20" s="439"/>
    </row>
    <row r="21" spans="4:10" x14ac:dyDescent="0.2">
      <c r="D21" s="446" t="s">
        <v>462</v>
      </c>
      <c r="E21" s="446" t="s">
        <v>551</v>
      </c>
      <c r="F21" s="446" t="s">
        <v>537</v>
      </c>
      <c r="G21" s="447">
        <v>0.1178117452323775</v>
      </c>
      <c r="H21" s="310">
        <v>302.71632352941299</v>
      </c>
      <c r="I21" s="448">
        <v>2.9719615321107638E-3</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1.4437713876516849E-4</v>
      </c>
      <c r="H23" s="310">
        <v>7.0000000000000009</v>
      </c>
      <c r="I23" s="448">
        <v>8.4219997613014961E-8</v>
      </c>
      <c r="J23" s="439"/>
    </row>
    <row r="24" spans="4:10" x14ac:dyDescent="0.2">
      <c r="D24" s="446" t="s">
        <v>462</v>
      </c>
      <c r="E24" s="446" t="s">
        <v>555</v>
      </c>
      <c r="F24" s="446" t="s">
        <v>537</v>
      </c>
      <c r="G24" s="447">
        <v>1.1983302517508987E-2</v>
      </c>
      <c r="H24" s="310">
        <v>445.51686746987951</v>
      </c>
      <c r="I24" s="448">
        <v>4.4489694996204372E-4</v>
      </c>
      <c r="J24" s="439"/>
    </row>
    <row r="25" spans="4:10" x14ac:dyDescent="0.2">
      <c r="D25" s="446" t="s">
        <v>462</v>
      </c>
      <c r="E25" s="446" t="s">
        <v>556</v>
      </c>
      <c r="F25" s="446" t="s">
        <v>537</v>
      </c>
      <c r="G25" s="447">
        <v>1.8769028039471905E-3</v>
      </c>
      <c r="H25" s="310">
        <v>1318.9700000000003</v>
      </c>
      <c r="I25" s="448">
        <v>2.0629820761018552E-4</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2.88754277530337E-3</v>
      </c>
      <c r="H28" s="310">
        <v>31.644999999999996</v>
      </c>
      <c r="I28" s="448">
        <v>7.6146909270395945E-6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1.0106399713561795E-3</v>
      </c>
      <c r="H32" s="310">
        <v>376.82714285714286</v>
      </c>
      <c r="I32" s="448">
        <v>3.1736381071947823E-5</v>
      </c>
      <c r="J32" s="439"/>
    </row>
    <row r="33" spans="4:10" x14ac:dyDescent="0.2">
      <c r="D33" s="446" t="s">
        <v>462</v>
      </c>
      <c r="E33" s="446" t="s">
        <v>564</v>
      </c>
      <c r="F33" s="446" t="s">
        <v>537</v>
      </c>
      <c r="G33" s="447">
        <v>5.7750855506067398E-4</v>
      </c>
      <c r="H33" s="310">
        <v>125.03000000000002</v>
      </c>
      <c r="I33" s="448">
        <v>6.0171578866030066E-6</v>
      </c>
      <c r="J33" s="439"/>
    </row>
    <row r="34" spans="4:10" x14ac:dyDescent="0.2">
      <c r="D34" s="446" t="s">
        <v>462</v>
      </c>
      <c r="E34" s="446" t="s">
        <v>565</v>
      </c>
      <c r="F34" s="446" t="s">
        <v>537</v>
      </c>
      <c r="G34" s="447">
        <v>5.4863312730764032E-3</v>
      </c>
      <c r="H34" s="310">
        <v>247.21947368421053</v>
      </c>
      <c r="I34" s="448">
        <v>1.1302732748226442E-4</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10.994429081403476</v>
      </c>
      <c r="H52" s="310">
        <v>509.88669164976699</v>
      </c>
      <c r="I52" s="448">
        <v>0.46715942257456705</v>
      </c>
      <c r="J52" s="439"/>
    </row>
    <row r="53" spans="4:10" x14ac:dyDescent="0.2">
      <c r="D53" s="446" t="s">
        <v>462</v>
      </c>
      <c r="E53" s="446" t="s">
        <v>584</v>
      </c>
      <c r="F53" s="446" t="s">
        <v>554</v>
      </c>
      <c r="G53" s="447">
        <v>0.60762030220196173</v>
      </c>
      <c r="H53" s="310">
        <v>509.88669164976687</v>
      </c>
      <c r="I53" s="448">
        <v>2.5818125472415819E-2</v>
      </c>
      <c r="J53" s="439"/>
    </row>
    <row r="54" spans="4:10" x14ac:dyDescent="0.2">
      <c r="D54" s="446" t="s">
        <v>462</v>
      </c>
      <c r="E54" s="446" t="s">
        <v>585</v>
      </c>
      <c r="F54" s="446" t="s">
        <v>554</v>
      </c>
      <c r="G54" s="447">
        <v>2.6905136489340946</v>
      </c>
      <c r="H54" s="310">
        <v>509.88669164976699</v>
      </c>
      <c r="I54" s="448">
        <v>0.11432142527446235</v>
      </c>
      <c r="J54" s="439"/>
    </row>
    <row r="55" spans="4:10" x14ac:dyDescent="0.2">
      <c r="D55" s="446" t="s">
        <v>462</v>
      </c>
      <c r="E55" s="446" t="s">
        <v>586</v>
      </c>
      <c r="F55" s="446" t="s">
        <v>537</v>
      </c>
      <c r="G55" s="447">
        <v>1.4707345093656561</v>
      </c>
      <c r="H55" s="310">
        <v>509.88669164976704</v>
      </c>
      <c r="I55" s="448">
        <v>6.2492329439633142E-2</v>
      </c>
      <c r="J55" s="439"/>
    </row>
    <row r="56" spans="4:10" x14ac:dyDescent="0.2">
      <c r="D56" s="446" t="s">
        <v>462</v>
      </c>
      <c r="E56" s="446" t="s">
        <v>5</v>
      </c>
      <c r="F56" s="446" t="s">
        <v>537</v>
      </c>
      <c r="G56" s="447">
        <v>1.2611702204753614</v>
      </c>
      <c r="H56" s="310">
        <v>509.88669164976693</v>
      </c>
      <c r="I56" s="448">
        <v>5.3587825943782433E-2</v>
      </c>
      <c r="J56" s="439"/>
    </row>
    <row r="57" spans="4:10" x14ac:dyDescent="0.2">
      <c r="D57" s="446" t="s">
        <v>462</v>
      </c>
      <c r="E57" s="446" t="s">
        <v>587</v>
      </c>
      <c r="F57" s="446" t="s">
        <v>537</v>
      </c>
      <c r="G57" s="447">
        <v>3.3306172208847782</v>
      </c>
      <c r="H57" s="310">
        <v>509.88669164976693</v>
      </c>
      <c r="I57" s="448">
        <v>0.14151978299239004</v>
      </c>
      <c r="J57" s="439"/>
    </row>
    <row r="58" spans="4:10" x14ac:dyDescent="0.2">
      <c r="D58" s="446" t="s">
        <v>462</v>
      </c>
      <c r="E58" s="446" t="s">
        <v>588</v>
      </c>
      <c r="F58" s="446" t="s">
        <v>537</v>
      </c>
      <c r="G58" s="447">
        <v>2.2499008502977165</v>
      </c>
      <c r="H58" s="310">
        <v>509.88669164976693</v>
      </c>
      <c r="I58" s="448">
        <v>9.5599541758191686E-2</v>
      </c>
      <c r="J58" s="439"/>
    </row>
    <row r="59" spans="4:10" x14ac:dyDescent="0.2">
      <c r="D59" s="446" t="s">
        <v>462</v>
      </c>
      <c r="E59" s="446" t="s">
        <v>589</v>
      </c>
      <c r="F59" s="446" t="s">
        <v>537</v>
      </c>
      <c r="G59" s="447">
        <v>0.86968879818553946</v>
      </c>
      <c r="H59" s="310">
        <v>509.88669164976687</v>
      </c>
      <c r="I59" s="448">
        <v>3.6953562005973876E-2</v>
      </c>
      <c r="J59" s="439"/>
    </row>
    <row r="60" spans="4:10" x14ac:dyDescent="0.2">
      <c r="D60" s="446" t="s">
        <v>462</v>
      </c>
      <c r="E60" s="446" t="s">
        <v>590</v>
      </c>
      <c r="F60" s="446" t="s">
        <v>537</v>
      </c>
      <c r="G60" s="447">
        <v>0.83010198227836751</v>
      </c>
      <c r="H60" s="310">
        <v>509.88669164976693</v>
      </c>
      <c r="I60" s="448">
        <v>3.5271496122985857E-2</v>
      </c>
      <c r="J60" s="439"/>
    </row>
    <row r="61" spans="4:10" x14ac:dyDescent="0.2">
      <c r="D61" s="446" t="s">
        <v>462</v>
      </c>
      <c r="E61" s="446" t="s">
        <v>591</v>
      </c>
      <c r="F61" s="446" t="s">
        <v>537</v>
      </c>
      <c r="G61" s="447">
        <v>1.3763392511292456</v>
      </c>
      <c r="H61" s="310">
        <v>509.88669164976699</v>
      </c>
      <c r="I61" s="448">
        <v>5.8481422278834072E-2</v>
      </c>
      <c r="J61" s="439"/>
    </row>
    <row r="62" spans="4:10" x14ac:dyDescent="0.2">
      <c r="D62" s="446" t="s">
        <v>462</v>
      </c>
      <c r="E62" s="446" t="s">
        <v>592</v>
      </c>
      <c r="F62" s="446" t="s">
        <v>537</v>
      </c>
      <c r="G62" s="447">
        <v>1.3260717122562191</v>
      </c>
      <c r="H62" s="310">
        <v>509.88669164976699</v>
      </c>
      <c r="I62" s="448">
        <v>5.6345526521055442E-2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29.591971492725229</v>
      </c>
      <c r="H64" s="463"/>
      <c r="I64" s="464">
        <v>1.2114228957457169</v>
      </c>
      <c r="J64" s="439"/>
    </row>
    <row r="65" spans="4:10" x14ac:dyDescent="0.2">
      <c r="D65" s="446" t="s">
        <v>595</v>
      </c>
      <c r="E65" s="446" t="s">
        <v>596</v>
      </c>
      <c r="F65" s="446" t="s">
        <v>554</v>
      </c>
      <c r="G65" s="447">
        <v>1.5015222431577527E-2</v>
      </c>
      <c r="H65" s="310">
        <v>104.79701923076922</v>
      </c>
      <c r="I65" s="448">
        <v>1.3112921282635895E-4</v>
      </c>
      <c r="J65" s="439"/>
    </row>
    <row r="66" spans="4:10" x14ac:dyDescent="0.2">
      <c r="D66" s="446" t="s">
        <v>595</v>
      </c>
      <c r="E66" s="446" t="s">
        <v>563</v>
      </c>
      <c r="F66" s="446" t="s">
        <v>554</v>
      </c>
      <c r="G66" s="447">
        <v>0.1462540415691157</v>
      </c>
      <c r="H66" s="310">
        <v>199.77240868706812</v>
      </c>
      <c r="I66" s="448">
        <v>2.4347935137067358E-3</v>
      </c>
      <c r="J66" s="439"/>
    </row>
    <row r="67" spans="4:10" x14ac:dyDescent="0.2">
      <c r="D67" s="446" t="s">
        <v>595</v>
      </c>
      <c r="E67" s="446" t="s">
        <v>564</v>
      </c>
      <c r="F67" s="446" t="s">
        <v>554</v>
      </c>
      <c r="G67" s="447">
        <v>1.0829729178775291</v>
      </c>
      <c r="H67" s="310">
        <v>125.27506199173416</v>
      </c>
      <c r="I67" s="448">
        <v>1.1305791618539724E-2</v>
      </c>
      <c r="J67" s="439"/>
    </row>
    <row r="68" spans="4:10" x14ac:dyDescent="0.2">
      <c r="D68" s="446" t="s">
        <v>595</v>
      </c>
      <c r="E68" s="446" t="s">
        <v>597</v>
      </c>
      <c r="F68" s="446" t="s">
        <v>554</v>
      </c>
      <c r="G68" s="447">
        <v>3.089670769574606E-2</v>
      </c>
      <c r="H68" s="310">
        <v>40.392009345794392</v>
      </c>
      <c r="I68" s="448">
        <v>1.039983421667377E-4</v>
      </c>
      <c r="J68" s="439"/>
    </row>
    <row r="69" spans="4:10" x14ac:dyDescent="0.2">
      <c r="D69" s="446" t="s">
        <v>595</v>
      </c>
      <c r="E69" s="446" t="s">
        <v>572</v>
      </c>
      <c r="F69" s="446" t="s">
        <v>554</v>
      </c>
      <c r="G69" s="447">
        <v>5.5152067008294364E-2</v>
      </c>
      <c r="H69" s="310">
        <v>116.71950261780106</v>
      </c>
      <c r="I69" s="448">
        <v>5.3644348579597945E-4</v>
      </c>
      <c r="J69" s="439"/>
    </row>
    <row r="70" spans="4:10" x14ac:dyDescent="0.2">
      <c r="D70" s="446" t="s">
        <v>595</v>
      </c>
      <c r="E70" s="446" t="s">
        <v>567</v>
      </c>
      <c r="F70" s="446" t="s">
        <v>554</v>
      </c>
      <c r="G70" s="447">
        <v>4.1147484548073023E-2</v>
      </c>
      <c r="H70" s="310">
        <v>79.360701754385971</v>
      </c>
      <c r="I70" s="448">
        <v>2.721244374302357E-4</v>
      </c>
      <c r="J70" s="439"/>
    </row>
    <row r="71" spans="4:10" x14ac:dyDescent="0.2">
      <c r="D71" s="446" t="s">
        <v>595</v>
      </c>
      <c r="E71" s="446" t="s">
        <v>568</v>
      </c>
      <c r="F71" s="446" t="s">
        <v>554</v>
      </c>
      <c r="G71" s="447">
        <v>0.48265277489195829</v>
      </c>
      <c r="H71" s="310">
        <v>76.645860005982655</v>
      </c>
      <c r="I71" s="448">
        <v>3.0827780846556744E-3</v>
      </c>
      <c r="J71" s="439"/>
    </row>
    <row r="72" spans="4:10" x14ac:dyDescent="0.2">
      <c r="D72" s="446" t="s">
        <v>595</v>
      </c>
      <c r="E72" s="446" t="s">
        <v>548</v>
      </c>
      <c r="F72" s="446" t="s">
        <v>554</v>
      </c>
      <c r="G72" s="447">
        <v>1.0712783696375503</v>
      </c>
      <c r="H72" s="310">
        <v>218.8103423180593</v>
      </c>
      <c r="I72" s="448">
        <v>1.9533898898193739E-2</v>
      </c>
      <c r="J72" s="439"/>
    </row>
    <row r="73" spans="4:10" x14ac:dyDescent="0.2">
      <c r="D73" s="446" t="s">
        <v>595</v>
      </c>
      <c r="E73" s="446" t="s">
        <v>598</v>
      </c>
      <c r="F73" s="446" t="s">
        <v>554</v>
      </c>
      <c r="G73" s="447">
        <v>10.761727546416896</v>
      </c>
      <c r="H73" s="310">
        <v>72.62030789251321</v>
      </c>
      <c r="I73" s="448">
        <v>6.512666398967798E-2</v>
      </c>
      <c r="J73" s="439"/>
    </row>
    <row r="74" spans="4:10" x14ac:dyDescent="0.2">
      <c r="D74" s="446" t="s">
        <v>595</v>
      </c>
      <c r="E74" s="446" t="s">
        <v>549</v>
      </c>
      <c r="F74" s="446" t="s">
        <v>554</v>
      </c>
      <c r="G74" s="447">
        <v>25.279715112087178</v>
      </c>
      <c r="H74" s="310">
        <v>57.110161969215227</v>
      </c>
      <c r="I74" s="448">
        <v>0.12031071871557639</v>
      </c>
      <c r="J74" s="439"/>
    </row>
    <row r="75" spans="4:10" x14ac:dyDescent="0.2">
      <c r="D75" s="446" t="s">
        <v>595</v>
      </c>
      <c r="E75" s="446" t="s">
        <v>571</v>
      </c>
      <c r="F75" s="446" t="s">
        <v>554</v>
      </c>
      <c r="G75" s="447">
        <v>0.22479520505736736</v>
      </c>
      <c r="H75" s="310">
        <v>111.07300578034683</v>
      </c>
      <c r="I75" s="448">
        <v>2.0807232592276012E-3</v>
      </c>
      <c r="J75" s="439"/>
    </row>
    <row r="76" spans="4:10" x14ac:dyDescent="0.2">
      <c r="D76" s="446" t="s">
        <v>595</v>
      </c>
      <c r="E76" s="446" t="s">
        <v>561</v>
      </c>
      <c r="F76" s="446" t="s">
        <v>554</v>
      </c>
      <c r="G76" s="447">
        <v>0.30405825423944488</v>
      </c>
      <c r="H76" s="310">
        <v>128.18433048433047</v>
      </c>
      <c r="I76" s="448">
        <v>3.2479586456597982E-3</v>
      </c>
      <c r="J76" s="439"/>
    </row>
    <row r="77" spans="4:10" x14ac:dyDescent="0.2">
      <c r="D77" s="446" t="s">
        <v>595</v>
      </c>
      <c r="E77" s="446" t="s">
        <v>599</v>
      </c>
      <c r="F77" s="446" t="s">
        <v>554</v>
      </c>
      <c r="G77" s="447">
        <v>38.793704054784484</v>
      </c>
      <c r="H77" s="310">
        <v>70.905416510045143</v>
      </c>
      <c r="I77" s="448">
        <v>0.22922364533099343</v>
      </c>
      <c r="J77" s="439"/>
    </row>
    <row r="78" spans="4:10" x14ac:dyDescent="0.2">
      <c r="D78" s="446" t="s">
        <v>595</v>
      </c>
      <c r="E78" s="446" t="s">
        <v>600</v>
      </c>
      <c r="F78" s="446" t="s">
        <v>554</v>
      </c>
      <c r="G78" s="447">
        <v>0.16487869246982242</v>
      </c>
      <c r="H78" s="310">
        <v>100.64047285464099</v>
      </c>
      <c r="I78" s="448">
        <v>1.3827891311514885E-3</v>
      </c>
      <c r="J78" s="439"/>
    </row>
    <row r="79" spans="4:10" x14ac:dyDescent="0.2">
      <c r="D79" s="446" t="s">
        <v>595</v>
      </c>
      <c r="E79" s="446" t="s">
        <v>555</v>
      </c>
      <c r="F79" s="446" t="s">
        <v>554</v>
      </c>
      <c r="G79" s="447">
        <v>19.701271224478596</v>
      </c>
      <c r="H79" s="310">
        <v>65.705952644422879</v>
      </c>
      <c r="I79" s="448">
        <v>0.10787423284254348</v>
      </c>
      <c r="J79" s="439"/>
    </row>
    <row r="80" spans="4:10" x14ac:dyDescent="0.2">
      <c r="D80" s="446" t="s">
        <v>595</v>
      </c>
      <c r="E80" s="446" t="s">
        <v>552</v>
      </c>
      <c r="F80" s="446" t="s">
        <v>554</v>
      </c>
      <c r="G80" s="447">
        <v>3.2340479083397745E-2</v>
      </c>
      <c r="H80" s="310">
        <v>100.00142857142858</v>
      </c>
      <c r="I80" s="448">
        <v>2.6950784241868163E-4</v>
      </c>
      <c r="J80" s="439"/>
    </row>
    <row r="81" spans="4:10" x14ac:dyDescent="0.2">
      <c r="D81" s="446" t="s">
        <v>595</v>
      </c>
      <c r="E81" s="446" t="s">
        <v>581</v>
      </c>
      <c r="F81" s="446" t="s">
        <v>554</v>
      </c>
      <c r="G81" s="447">
        <v>0.17917202920757413</v>
      </c>
      <c r="H81" s="310">
        <v>136.08083803384363</v>
      </c>
      <c r="I81" s="448">
        <v>2.0318233238992497E-3</v>
      </c>
      <c r="J81" s="439"/>
    </row>
    <row r="82" spans="4:10" x14ac:dyDescent="0.2">
      <c r="D82" s="446" t="s">
        <v>595</v>
      </c>
      <c r="E82" s="446" t="s">
        <v>574</v>
      </c>
      <c r="F82" s="446" t="s">
        <v>554</v>
      </c>
      <c r="G82" s="447">
        <v>0.40844292556666162</v>
      </c>
      <c r="H82" s="310">
        <v>79.726171792152741</v>
      </c>
      <c r="I82" s="448">
        <v>2.7136325709180929E-3</v>
      </c>
      <c r="J82" s="439"/>
    </row>
    <row r="83" spans="4:10" x14ac:dyDescent="0.2">
      <c r="D83" s="446" t="s">
        <v>595</v>
      </c>
      <c r="E83" s="446" t="s">
        <v>601</v>
      </c>
      <c r="F83" s="446" t="s">
        <v>554</v>
      </c>
      <c r="G83" s="447">
        <v>1.5015222431577524E-2</v>
      </c>
      <c r="H83" s="310">
        <v>99.770576923076931</v>
      </c>
      <c r="I83" s="448">
        <v>1.2483978371890129E-4</v>
      </c>
      <c r="J83" s="439"/>
    </row>
    <row r="84" spans="4:10" x14ac:dyDescent="0.2">
      <c r="D84" s="446" t="s">
        <v>595</v>
      </c>
      <c r="E84" s="446" t="s">
        <v>559</v>
      </c>
      <c r="F84" s="446" t="s">
        <v>554</v>
      </c>
      <c r="G84" s="447">
        <v>2.5762656641256667</v>
      </c>
      <c r="H84" s="310">
        <v>66.028783904954054</v>
      </c>
      <c r="I84" s="448">
        <v>1.4175640734858882E-2</v>
      </c>
      <c r="J84" s="439"/>
    </row>
    <row r="85" spans="4:10" x14ac:dyDescent="0.2">
      <c r="D85" s="446" t="s">
        <v>595</v>
      </c>
      <c r="E85" s="446" t="s">
        <v>573</v>
      </c>
      <c r="F85" s="446" t="s">
        <v>554</v>
      </c>
      <c r="G85" s="447">
        <v>0.27532720362517638</v>
      </c>
      <c r="H85" s="310">
        <v>87.394572627163072</v>
      </c>
      <c r="I85" s="448">
        <v>2.0051752744545161E-3</v>
      </c>
      <c r="J85" s="439"/>
    </row>
    <row r="86" spans="4:10" x14ac:dyDescent="0.2">
      <c r="D86" s="446" t="s">
        <v>595</v>
      </c>
      <c r="E86" s="446" t="s">
        <v>562</v>
      </c>
      <c r="F86" s="446" t="s">
        <v>554</v>
      </c>
      <c r="G86" s="447">
        <v>0.21988638233935165</v>
      </c>
      <c r="H86" s="310">
        <v>47.17395929087327</v>
      </c>
      <c r="I86" s="448">
        <v>8.6440927075783088E-4</v>
      </c>
      <c r="J86" s="439"/>
    </row>
    <row r="87" spans="4:10" x14ac:dyDescent="0.2">
      <c r="D87" s="446" t="s">
        <v>595</v>
      </c>
      <c r="E87" s="446" t="s">
        <v>550</v>
      </c>
      <c r="F87" s="446" t="s">
        <v>554</v>
      </c>
      <c r="G87" s="447">
        <v>25.529487562150926</v>
      </c>
      <c r="H87" s="310">
        <v>104.11067021065782</v>
      </c>
      <c r="I87" s="448">
        <v>0.22149100501918212</v>
      </c>
      <c r="J87" s="439"/>
    </row>
    <row r="88" spans="4:10" x14ac:dyDescent="0.2">
      <c r="D88" s="446" t="s">
        <v>595</v>
      </c>
      <c r="E88" s="446" t="s">
        <v>579</v>
      </c>
      <c r="F88" s="446" t="s">
        <v>554</v>
      </c>
      <c r="G88" s="447">
        <v>1.5607168700514713</v>
      </c>
      <c r="H88" s="310">
        <v>128.70172895467161</v>
      </c>
      <c r="I88" s="448">
        <v>1.6738913298695656E-2</v>
      </c>
      <c r="J88" s="439"/>
    </row>
    <row r="89" spans="4:10" x14ac:dyDescent="0.2">
      <c r="D89" s="446" t="s">
        <v>595</v>
      </c>
      <c r="E89" s="446" t="s">
        <v>556</v>
      </c>
      <c r="F89" s="446" t="s">
        <v>554</v>
      </c>
      <c r="G89" s="447">
        <v>0.30044882577031568</v>
      </c>
      <c r="H89" s="310">
        <v>91.417054300816915</v>
      </c>
      <c r="I89" s="448">
        <v>2.2888455516718023E-3</v>
      </c>
      <c r="J89" s="439"/>
    </row>
    <row r="90" spans="4:10" x14ac:dyDescent="0.2">
      <c r="D90" s="446" t="s">
        <v>595</v>
      </c>
      <c r="E90" s="446" t="s">
        <v>602</v>
      </c>
      <c r="F90" s="446" t="s">
        <v>554</v>
      </c>
      <c r="G90" s="447">
        <v>2.1512193676010108E-2</v>
      </c>
      <c r="H90" s="310">
        <v>217.62785234899329</v>
      </c>
      <c r="I90" s="448">
        <v>3.9013770908547288E-4</v>
      </c>
      <c r="J90" s="439"/>
    </row>
    <row r="91" spans="4:10" x14ac:dyDescent="0.2">
      <c r="D91" s="446" t="s">
        <v>595</v>
      </c>
      <c r="E91" s="446" t="s">
        <v>577</v>
      </c>
      <c r="F91" s="446" t="s">
        <v>554</v>
      </c>
      <c r="G91" s="447">
        <v>11.163529123600361</v>
      </c>
      <c r="H91" s="310">
        <v>22.47800651819627</v>
      </c>
      <c r="I91" s="448">
        <v>2.0911156700530235E-2</v>
      </c>
      <c r="J91" s="439"/>
    </row>
    <row r="92" spans="4:10" x14ac:dyDescent="0.2">
      <c r="D92" s="446" t="s">
        <v>595</v>
      </c>
      <c r="E92" s="446" t="s">
        <v>576</v>
      </c>
      <c r="F92" s="446" t="s">
        <v>554</v>
      </c>
      <c r="G92" s="447">
        <v>0.7732839552262426</v>
      </c>
      <c r="H92" s="310">
        <v>76.698905899925506</v>
      </c>
      <c r="I92" s="448">
        <v>4.9425027763183157E-3</v>
      </c>
      <c r="J92" s="439"/>
    </row>
    <row r="93" spans="4:10" x14ac:dyDescent="0.2">
      <c r="D93" s="446" t="s">
        <v>595</v>
      </c>
      <c r="E93" s="446" t="s">
        <v>603</v>
      </c>
      <c r="F93" s="446" t="s">
        <v>554</v>
      </c>
      <c r="G93" s="447">
        <v>1.7902765206880895E-2</v>
      </c>
      <c r="H93" s="310">
        <v>67.89959677419354</v>
      </c>
      <c r="I93" s="448">
        <v>1.0129921155752286E-4</v>
      </c>
      <c r="J93" s="439"/>
    </row>
    <row r="94" spans="4:10" x14ac:dyDescent="0.2">
      <c r="D94" s="446" t="s">
        <v>595</v>
      </c>
      <c r="E94" s="446" t="s">
        <v>557</v>
      </c>
      <c r="F94" s="446" t="s">
        <v>554</v>
      </c>
      <c r="G94" s="447">
        <v>6.0060889726310095E-2</v>
      </c>
      <c r="H94" s="310">
        <v>101.79947115384616</v>
      </c>
      <c r="I94" s="448">
        <v>5.0951390093065328E-4</v>
      </c>
      <c r="J94" s="439"/>
    </row>
    <row r="95" spans="4:10" x14ac:dyDescent="0.2">
      <c r="D95" s="446" t="s">
        <v>595</v>
      </c>
      <c r="E95" s="446" t="s">
        <v>582</v>
      </c>
      <c r="F95" s="446" t="s">
        <v>554</v>
      </c>
      <c r="G95" s="447">
        <v>1.4124415485396433</v>
      </c>
      <c r="H95" s="310">
        <v>83.550735970561291</v>
      </c>
      <c r="I95" s="448">
        <v>9.8342109079905381E-3</v>
      </c>
      <c r="J95" s="439"/>
    </row>
    <row r="96" spans="4:10" x14ac:dyDescent="0.2">
      <c r="D96" s="446" t="s">
        <v>595</v>
      </c>
      <c r="E96" s="446" t="s">
        <v>565</v>
      </c>
      <c r="F96" s="446" t="s">
        <v>554</v>
      </c>
      <c r="G96" s="447">
        <v>0.10727221410252019</v>
      </c>
      <c r="H96" s="310">
        <v>66.878667563930009</v>
      </c>
      <c r="I96" s="448">
        <v>5.9785189548409773E-4</v>
      </c>
      <c r="J96" s="439"/>
    </row>
    <row r="97" spans="4:13" x14ac:dyDescent="0.2">
      <c r="D97" s="446" t="s">
        <v>595</v>
      </c>
      <c r="E97" s="446" t="s">
        <v>604</v>
      </c>
      <c r="F97" s="446" t="s">
        <v>554</v>
      </c>
      <c r="G97" s="447">
        <v>0.13282696766395502</v>
      </c>
      <c r="H97" s="310">
        <v>115.01404347826087</v>
      </c>
      <c r="I97" s="448">
        <v>1.2730805528323062E-3</v>
      </c>
      <c r="J97" s="439"/>
    </row>
    <row r="98" spans="4:13" x14ac:dyDescent="0.2">
      <c r="D98" s="446" t="s">
        <v>595</v>
      </c>
      <c r="E98" s="446" t="s">
        <v>569</v>
      </c>
      <c r="F98" s="446" t="s">
        <v>554</v>
      </c>
      <c r="G98" s="447">
        <v>7.0600420856167398E-2</v>
      </c>
      <c r="H98" s="310">
        <v>75.556012269938648</v>
      </c>
      <c r="I98" s="448">
        <v>4.4452385537261806E-4</v>
      </c>
      <c r="J98" s="439"/>
    </row>
    <row r="99" spans="4:13" x14ac:dyDescent="0.2">
      <c r="D99" s="446" t="s">
        <v>595</v>
      </c>
      <c r="E99" s="446" t="s">
        <v>553</v>
      </c>
      <c r="F99" s="446" t="s">
        <v>554</v>
      </c>
      <c r="G99" s="447">
        <v>0.69864097448465035</v>
      </c>
      <c r="H99" s="310">
        <v>109.74687125439141</v>
      </c>
      <c r="I99" s="448">
        <v>6.3894717566507896E-3</v>
      </c>
      <c r="J99" s="439"/>
    </row>
    <row r="100" spans="4:13" x14ac:dyDescent="0.2">
      <c r="D100" s="446" t="s">
        <v>595</v>
      </c>
      <c r="E100" s="446" t="s">
        <v>570</v>
      </c>
      <c r="F100" s="446" t="s">
        <v>554</v>
      </c>
      <c r="G100" s="447">
        <v>0.21945325092305612</v>
      </c>
      <c r="H100" s="310">
        <v>60.210888157894736</v>
      </c>
      <c r="I100" s="448">
        <v>1.1011229289345451E-3</v>
      </c>
      <c r="J100" s="439"/>
    </row>
    <row r="101" spans="4:13" x14ac:dyDescent="0.2">
      <c r="D101" s="446" t="s">
        <v>595</v>
      </c>
      <c r="E101" s="446" t="s">
        <v>551</v>
      </c>
      <c r="F101" s="446" t="s">
        <v>554</v>
      </c>
      <c r="G101" s="447">
        <v>8.5182511871449412E-3</v>
      </c>
      <c r="H101" s="310">
        <v>43.203389830508478</v>
      </c>
      <c r="I101" s="448">
        <v>3.0668110559367873E-5</v>
      </c>
      <c r="J101" s="439"/>
    </row>
    <row r="102" spans="4:13" x14ac:dyDescent="0.2">
      <c r="D102" s="446" t="s">
        <v>595</v>
      </c>
      <c r="E102" s="446" t="s">
        <v>578</v>
      </c>
      <c r="F102" s="446" t="s">
        <v>554</v>
      </c>
      <c r="G102" s="447">
        <v>0.24168733029289211</v>
      </c>
      <c r="H102" s="310">
        <v>89.340698924731157</v>
      </c>
      <c r="I102" s="448">
        <v>1.7993762508016109E-3</v>
      </c>
      <c r="J102" s="439"/>
    </row>
    <row r="103" spans="4:13" x14ac:dyDescent="0.2">
      <c r="D103" s="446" t="s">
        <v>595</v>
      </c>
      <c r="E103" s="446" t="s">
        <v>560</v>
      </c>
      <c r="F103" s="446" t="s">
        <v>554</v>
      </c>
      <c r="G103" s="447">
        <v>0.99706852031225379</v>
      </c>
      <c r="H103" s="310">
        <v>85.318774978279905</v>
      </c>
      <c r="I103" s="448">
        <v>7.0890553935373073E-3</v>
      </c>
      <c r="J103" s="439"/>
    </row>
    <row r="104" spans="4:13" x14ac:dyDescent="0.2">
      <c r="D104" s="446" t="s">
        <v>595</v>
      </c>
      <c r="E104" s="446" t="s">
        <v>575</v>
      </c>
      <c r="F104" s="446" t="s">
        <v>554</v>
      </c>
      <c r="G104" s="447">
        <v>0.29380747738711788</v>
      </c>
      <c r="H104" s="310">
        <v>123.71920393120395</v>
      </c>
      <c r="I104" s="448">
        <v>3.0291356009474525E-3</v>
      </c>
      <c r="J104" s="439"/>
    </row>
    <row r="105" spans="4:13" x14ac:dyDescent="0.2">
      <c r="D105" s="446" t="s">
        <v>595</v>
      </c>
      <c r="E105" s="446" t="s">
        <v>566</v>
      </c>
      <c r="F105" s="446" t="s">
        <v>554</v>
      </c>
      <c r="G105" s="447">
        <v>0.11954427089755952</v>
      </c>
      <c r="H105" s="310">
        <v>106.4730797101453</v>
      </c>
      <c r="I105" s="448">
        <v>1.0606872236805882E-3</v>
      </c>
      <c r="J105" s="439"/>
    </row>
    <row r="106" spans="4:13" x14ac:dyDescent="0.2">
      <c r="D106" s="446" t="s">
        <v>595</v>
      </c>
      <c r="E106" s="446" t="s">
        <v>580</v>
      </c>
      <c r="F106" s="446" t="s">
        <v>554</v>
      </c>
      <c r="G106" s="447">
        <v>4.33131416295506E-4</v>
      </c>
      <c r="H106" s="310">
        <v>178.14329268292681</v>
      </c>
      <c r="I106" s="448">
        <v>1.7575209573307416E-4</v>
      </c>
      <c r="J106" s="439"/>
    </row>
    <row r="107" spans="4:13" x14ac:dyDescent="0.2">
      <c r="D107" s="451" t="s">
        <v>595</v>
      </c>
      <c r="E107" s="451" t="s">
        <v>558</v>
      </c>
      <c r="F107" s="451" t="s">
        <v>554</v>
      </c>
      <c r="G107" s="452">
        <v>3.1088729290303725</v>
      </c>
      <c r="H107" s="310">
        <v>4.3445701945850566</v>
      </c>
      <c r="I107" s="454">
        <v>1.1255597221848084E-3</v>
      </c>
      <c r="J107" s="439"/>
    </row>
    <row r="108" spans="4:13" ht="16" x14ac:dyDescent="0.2">
      <c r="D108" s="461" t="s">
        <v>605</v>
      </c>
      <c r="E108" s="460"/>
      <c r="F108" s="460"/>
      <c r="G108" s="465">
        <v>148.71148484803771</v>
      </c>
      <c r="H108" s="466"/>
      <c r="I108" s="467">
        <v>0.89015658877185233</v>
      </c>
      <c r="J108" s="439"/>
      <c r="K108" s="313" t="s">
        <v>311</v>
      </c>
      <c r="L108" s="313" t="s">
        <v>606</v>
      </c>
      <c r="M108" s="313" t="s">
        <v>528</v>
      </c>
    </row>
    <row r="109" spans="4:13" x14ac:dyDescent="0.2">
      <c r="D109" s="446" t="s">
        <v>607</v>
      </c>
      <c r="E109" s="446" t="s">
        <v>608</v>
      </c>
      <c r="F109" s="468" t="s">
        <v>609</v>
      </c>
      <c r="G109" s="469">
        <v>324.25620831441677</v>
      </c>
      <c r="H109" s="310">
        <v>42.062272686215778</v>
      </c>
      <c r="I109" s="470">
        <v>1.136579421193282</v>
      </c>
      <c r="J109" s="439"/>
      <c r="K109">
        <f>'Assumptions-Output Override'!$J$19</f>
        <v>10</v>
      </c>
      <c r="L109" s="470">
        <f>G109*K109/12000</f>
        <v>0.27021350692868062</v>
      </c>
      <c r="M109" s="388">
        <f>I109-L109</f>
        <v>0.86636591426460141</v>
      </c>
    </row>
    <row r="110" spans="4:13" x14ac:dyDescent="0.2">
      <c r="D110" s="446" t="s">
        <v>607</v>
      </c>
      <c r="E110" s="446" t="s">
        <v>610</v>
      </c>
      <c r="F110" s="468" t="s">
        <v>609</v>
      </c>
      <c r="G110" s="469">
        <v>70.709609705226356</v>
      </c>
      <c r="H110" s="310">
        <v>305.35697544001096</v>
      </c>
      <c r="I110" s="470">
        <v>1.7993060461776305</v>
      </c>
      <c r="J110" s="439"/>
      <c r="K110">
        <f>'Assumptions-Output Override'!$K$19</f>
        <v>50</v>
      </c>
      <c r="L110" s="470">
        <f t="shared" ref="L110:L116" si="0">G110*K110/12000</f>
        <v>0.2946233737717765</v>
      </c>
      <c r="M110" s="388">
        <f t="shared" ref="M110:M116" si="1">I110-L110</f>
        <v>1.504682672405854</v>
      </c>
    </row>
    <row r="111" spans="4:13" x14ac:dyDescent="0.2">
      <c r="D111" s="446" t="s">
        <v>607</v>
      </c>
      <c r="E111" s="446" t="s">
        <v>611</v>
      </c>
      <c r="F111" s="468" t="s">
        <v>609</v>
      </c>
      <c r="G111" s="469">
        <v>27.192199657935191</v>
      </c>
      <c r="H111" s="310">
        <v>350.63217302678737</v>
      </c>
      <c r="I111" s="470">
        <v>0.79453833795334006</v>
      </c>
      <c r="J111" s="439"/>
      <c r="K111">
        <f>'Assumptions-Output Override'!$L$19</f>
        <v>80</v>
      </c>
      <c r="L111" s="470">
        <f t="shared" si="0"/>
        <v>0.18128133105290128</v>
      </c>
      <c r="M111" s="388">
        <f t="shared" si="1"/>
        <v>0.61325700690043883</v>
      </c>
    </row>
    <row r="112" spans="4:13" x14ac:dyDescent="0.2">
      <c r="D112" s="446" t="s">
        <v>607</v>
      </c>
      <c r="E112" s="446" t="s">
        <v>612</v>
      </c>
      <c r="F112" s="468" t="s">
        <v>609</v>
      </c>
      <c r="G112" s="469">
        <v>24.179186816721931</v>
      </c>
      <c r="H112" s="310">
        <v>1109.4239755921733</v>
      </c>
      <c r="I112" s="470">
        <v>2.2354141303994592</v>
      </c>
      <c r="J112" s="439"/>
      <c r="K112">
        <f>'Assumptions-Output Override'!$M$19</f>
        <v>200</v>
      </c>
      <c r="L112" s="470">
        <f t="shared" si="0"/>
        <v>0.40298644694536551</v>
      </c>
      <c r="M112" s="388">
        <f t="shared" si="1"/>
        <v>1.8324276834540938</v>
      </c>
    </row>
    <row r="113" spans="4:13" x14ac:dyDescent="0.2">
      <c r="D113" s="446" t="s">
        <v>607</v>
      </c>
      <c r="E113" s="446" t="s">
        <v>613</v>
      </c>
      <c r="F113" s="468" t="s">
        <v>609</v>
      </c>
      <c r="G113" s="469">
        <v>70.673123060531921</v>
      </c>
      <c r="H113" s="310">
        <v>87.872231491740294</v>
      </c>
      <c r="I113" s="470">
        <v>0.51751708581827582</v>
      </c>
      <c r="J113" s="439"/>
      <c r="K113">
        <f>2*K109</f>
        <v>20</v>
      </c>
      <c r="L113" s="470">
        <f t="shared" si="0"/>
        <v>0.11778853843421987</v>
      </c>
      <c r="M113" s="388">
        <f t="shared" si="1"/>
        <v>0.39972854738405594</v>
      </c>
    </row>
    <row r="114" spans="4:13" x14ac:dyDescent="0.2">
      <c r="D114" s="446" t="s">
        <v>607</v>
      </c>
      <c r="E114" s="446" t="s">
        <v>614</v>
      </c>
      <c r="F114" s="468" t="s">
        <v>609</v>
      </c>
      <c r="G114" s="469">
        <v>18.874450837676321</v>
      </c>
      <c r="H114" s="310">
        <v>621.74529210311243</v>
      </c>
      <c r="I114" s="470">
        <v>0.97792507911307491</v>
      </c>
      <c r="J114" s="439"/>
      <c r="K114">
        <f>2*K110</f>
        <v>100</v>
      </c>
      <c r="L114" s="470">
        <f t="shared" si="0"/>
        <v>0.15728709031396934</v>
      </c>
      <c r="M114" s="388">
        <f t="shared" si="1"/>
        <v>0.82063798879910554</v>
      </c>
    </row>
    <row r="115" spans="4:13" x14ac:dyDescent="0.2">
      <c r="D115" s="446" t="s">
        <v>607</v>
      </c>
      <c r="E115" s="446" t="s">
        <v>615</v>
      </c>
      <c r="F115" s="468" t="s">
        <v>609</v>
      </c>
      <c r="G115" s="469">
        <v>4.7529131708570311</v>
      </c>
      <c r="H115" s="310">
        <v>738.16007920054096</v>
      </c>
      <c r="I115" s="470">
        <v>0.29236756355276006</v>
      </c>
      <c r="J115" s="439"/>
      <c r="K115">
        <f>2*K111</f>
        <v>160</v>
      </c>
      <c r="L115" s="470">
        <f t="shared" si="0"/>
        <v>6.3372175611427078E-2</v>
      </c>
      <c r="M115" s="388">
        <f t="shared" si="1"/>
        <v>0.22899538794133298</v>
      </c>
    </row>
    <row r="116" spans="4:13" x14ac:dyDescent="0.2">
      <c r="D116" s="446" t="s">
        <v>607</v>
      </c>
      <c r="E116" s="446" t="s">
        <v>616</v>
      </c>
      <c r="F116" s="468" t="s">
        <v>609</v>
      </c>
      <c r="G116" s="447">
        <v>3.4146674753701958</v>
      </c>
      <c r="H116" s="310">
        <v>1741.1881742724506</v>
      </c>
      <c r="I116" s="448">
        <v>0.49546488559894575</v>
      </c>
      <c r="J116" s="439"/>
      <c r="K116">
        <f>2*K112</f>
        <v>400</v>
      </c>
      <c r="L116" s="470">
        <f t="shared" si="0"/>
        <v>0.11382224917900652</v>
      </c>
      <c r="M116" s="388">
        <f t="shared" si="1"/>
        <v>0.38164263641993923</v>
      </c>
    </row>
    <row r="117" spans="4:13" x14ac:dyDescent="0.2">
      <c r="D117" s="460" t="s">
        <v>617</v>
      </c>
      <c r="E117" s="460"/>
      <c r="F117" s="460"/>
      <c r="G117" s="471">
        <v>544.05235903873574</v>
      </c>
      <c r="H117" s="472"/>
      <c r="I117" s="473">
        <v>8.2491125498067692</v>
      </c>
      <c r="J117" s="439"/>
      <c r="L117" s="470">
        <f>SUM(L109:L116)</f>
        <v>1.6013747122373467</v>
      </c>
      <c r="M117" s="388">
        <f>SUM(M109:M116)</f>
        <v>6.6477378375694212</v>
      </c>
    </row>
    <row r="118" spans="4:13" ht="16" x14ac:dyDescent="0.2">
      <c r="D118" s="461" t="s">
        <v>618</v>
      </c>
      <c r="E118" s="461"/>
      <c r="F118" s="461"/>
      <c r="G118" s="474"/>
      <c r="H118" s="474"/>
      <c r="I118" s="473">
        <v>11.027937135847798</v>
      </c>
      <c r="J118" s="439"/>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789</v>
      </c>
      <c r="G3"/>
      <c r="H3"/>
      <c r="I3"/>
    </row>
    <row r="4" spans="2:19" x14ac:dyDescent="0.2">
      <c r="G4"/>
      <c r="H4"/>
      <c r="I4"/>
    </row>
    <row r="5" spans="2:19" ht="16" x14ac:dyDescent="0.2">
      <c r="D5" s="438" t="s">
        <v>790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v>
      </c>
      <c r="O10" s="310" t="s">
        <v>446</v>
      </c>
      <c r="P10" s="388">
        <v>0</v>
      </c>
      <c r="Q10" s="29">
        <v>0</v>
      </c>
      <c r="R10" s="388">
        <f>N10*Q10/12000</f>
        <v>0</v>
      </c>
      <c r="S10" s="388">
        <f>P10-R10</f>
        <v>0</v>
      </c>
    </row>
    <row r="11" spans="2:19" x14ac:dyDescent="0.2">
      <c r="D11" s="446" t="s">
        <v>1</v>
      </c>
      <c r="E11" s="446" t="s">
        <v>540</v>
      </c>
      <c r="F11" s="446" t="s">
        <v>534</v>
      </c>
      <c r="G11" s="447">
        <v>0</v>
      </c>
      <c r="H11" s="310" t="s">
        <v>446</v>
      </c>
      <c r="I11" s="448">
        <v>0</v>
      </c>
      <c r="J11" s="439"/>
      <c r="K11" s="320" t="s">
        <v>463</v>
      </c>
      <c r="L11" s="450" t="s">
        <v>541</v>
      </c>
      <c r="M11" s="446" t="s">
        <v>539</v>
      </c>
      <c r="N11" s="449">
        <v>2.7431656365382016E-3</v>
      </c>
      <c r="O11" s="310">
        <v>12.71105263157895</v>
      </c>
      <c r="P11" s="388">
        <v>2.9057102319313207E-6</v>
      </c>
      <c r="Q11" s="29">
        <f>'Assumptions-Output Target'!G17</f>
        <v>30.555555941780163</v>
      </c>
      <c r="R11" s="388">
        <f>N11*Q11/12000</f>
        <v>6.9849125887343337E-6</v>
      </c>
      <c r="S11" s="388">
        <f>P11-R11</f>
        <v>-4.079202356803013E-6</v>
      </c>
    </row>
    <row r="12" spans="2:19" x14ac:dyDescent="0.2">
      <c r="D12" s="446" t="s">
        <v>1</v>
      </c>
      <c r="E12" s="446" t="s">
        <v>542</v>
      </c>
      <c r="F12" s="446" t="s">
        <v>534</v>
      </c>
      <c r="G12" s="447">
        <v>0</v>
      </c>
      <c r="H12" s="310" t="s">
        <v>446</v>
      </c>
      <c r="I12" s="448">
        <v>0</v>
      </c>
      <c r="J12" s="439"/>
      <c r="K12" s="320" t="s">
        <v>464</v>
      </c>
      <c r="L12" s="450" t="s">
        <v>541</v>
      </c>
      <c r="M12" s="446" t="s">
        <v>539</v>
      </c>
      <c r="N12" s="449">
        <v>3.4169737431552423</v>
      </c>
      <c r="O12" s="310">
        <v>5.2050023239109544</v>
      </c>
      <c r="P12" s="388">
        <v>1.4821130228221456E-3</v>
      </c>
      <c r="Q12" s="29">
        <f>'Assumptions-Output Target'!H17</f>
        <v>55.000000695204292</v>
      </c>
      <c r="R12" s="388">
        <f>N12*Q12/12000</f>
        <v>1.5661129854086093E-2</v>
      </c>
      <c r="S12" s="388">
        <f>P12-R12</f>
        <v>-1.4179016831263947E-2</v>
      </c>
    </row>
    <row r="13" spans="2:19" x14ac:dyDescent="0.2">
      <c r="D13" s="446" t="s">
        <v>1</v>
      </c>
      <c r="E13" s="446" t="s">
        <v>543</v>
      </c>
      <c r="F13" s="446" t="s">
        <v>534</v>
      </c>
      <c r="G13" s="447">
        <v>0</v>
      </c>
      <c r="H13" s="310" t="s">
        <v>446</v>
      </c>
      <c r="I13" s="448">
        <v>0</v>
      </c>
      <c r="J13" s="439"/>
      <c r="K13" s="446" t="s">
        <v>465</v>
      </c>
      <c r="P13" s="388">
        <f>I117</f>
        <v>0.52171551656556914</v>
      </c>
      <c r="R13" s="388">
        <f>L117</f>
        <v>0.12025031818126566</v>
      </c>
      <c r="S13" s="388">
        <f>M117</f>
        <v>0.40146519838430345</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0.5232005352986232</v>
      </c>
      <c r="R15" s="388">
        <f>SUM(R8:R13)</f>
        <v>0.13591843294794048</v>
      </c>
      <c r="S15" s="388">
        <f>SUM(S8:S13)</f>
        <v>0.38728210235068272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0</v>
      </c>
      <c r="H20" s="310" t="s">
        <v>446</v>
      </c>
      <c r="I20" s="448">
        <v>0</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v>
      </c>
      <c r="H52" s="310" t="s">
        <v>446</v>
      </c>
      <c r="I52" s="448">
        <v>0</v>
      </c>
      <c r="J52" s="439"/>
    </row>
    <row r="53" spans="4:10" x14ac:dyDescent="0.2">
      <c r="D53" s="446" t="s">
        <v>462</v>
      </c>
      <c r="E53" s="446" t="s">
        <v>584</v>
      </c>
      <c r="F53" s="446" t="s">
        <v>554</v>
      </c>
      <c r="G53" s="447">
        <v>0</v>
      </c>
      <c r="H53" s="310" t="s">
        <v>446</v>
      </c>
      <c r="I53" s="448">
        <v>0</v>
      </c>
      <c r="J53" s="439"/>
    </row>
    <row r="54" spans="4:10" x14ac:dyDescent="0.2">
      <c r="D54" s="446" t="s">
        <v>462</v>
      </c>
      <c r="E54" s="446" t="s">
        <v>585</v>
      </c>
      <c r="F54" s="446" t="s">
        <v>554</v>
      </c>
      <c r="G54" s="447">
        <v>0</v>
      </c>
      <c r="H54" s="310" t="s">
        <v>446</v>
      </c>
      <c r="I54" s="448">
        <v>0</v>
      </c>
      <c r="J54" s="439"/>
    </row>
    <row r="55" spans="4:10" x14ac:dyDescent="0.2">
      <c r="D55" s="446" t="s">
        <v>462</v>
      </c>
      <c r="E55" s="446" t="s">
        <v>586</v>
      </c>
      <c r="F55" s="446" t="s">
        <v>537</v>
      </c>
      <c r="G55" s="447">
        <v>0</v>
      </c>
      <c r="H55" s="310" t="s">
        <v>446</v>
      </c>
      <c r="I55" s="448">
        <v>0</v>
      </c>
      <c r="J55" s="439"/>
    </row>
    <row r="56" spans="4:10" x14ac:dyDescent="0.2">
      <c r="D56" s="446" t="s">
        <v>462</v>
      </c>
      <c r="E56" s="446" t="s">
        <v>5</v>
      </c>
      <c r="F56" s="446" t="s">
        <v>537</v>
      </c>
      <c r="G56" s="447">
        <v>0</v>
      </c>
      <c r="H56" s="310" t="s">
        <v>446</v>
      </c>
      <c r="I56" s="448">
        <v>0</v>
      </c>
      <c r="J56" s="439"/>
    </row>
    <row r="57" spans="4:10" x14ac:dyDescent="0.2">
      <c r="D57" s="446" t="s">
        <v>462</v>
      </c>
      <c r="E57" s="446" t="s">
        <v>587</v>
      </c>
      <c r="F57" s="446" t="s">
        <v>537</v>
      </c>
      <c r="G57" s="447">
        <v>0</v>
      </c>
      <c r="H57" s="310" t="s">
        <v>446</v>
      </c>
      <c r="I57" s="448">
        <v>0</v>
      </c>
      <c r="J57" s="439"/>
    </row>
    <row r="58" spans="4:10" x14ac:dyDescent="0.2">
      <c r="D58" s="446" t="s">
        <v>462</v>
      </c>
      <c r="E58" s="446" t="s">
        <v>588</v>
      </c>
      <c r="F58" s="446" t="s">
        <v>537</v>
      </c>
      <c r="G58" s="447">
        <v>0</v>
      </c>
      <c r="H58" s="310" t="s">
        <v>446</v>
      </c>
      <c r="I58" s="448">
        <v>0</v>
      </c>
      <c r="J58" s="439"/>
    </row>
    <row r="59" spans="4:10" x14ac:dyDescent="0.2">
      <c r="D59" s="446" t="s">
        <v>462</v>
      </c>
      <c r="E59" s="446" t="s">
        <v>589</v>
      </c>
      <c r="F59" s="446" t="s">
        <v>537</v>
      </c>
      <c r="G59" s="447">
        <v>0</v>
      </c>
      <c r="H59" s="310" t="s">
        <v>446</v>
      </c>
      <c r="I59" s="448">
        <v>0</v>
      </c>
      <c r="J59" s="439"/>
    </row>
    <row r="60" spans="4:10" x14ac:dyDescent="0.2">
      <c r="D60" s="446" t="s">
        <v>462</v>
      </c>
      <c r="E60" s="446" t="s">
        <v>590</v>
      </c>
      <c r="F60" s="446" t="s">
        <v>537</v>
      </c>
      <c r="G60" s="447">
        <v>0</v>
      </c>
      <c r="H60" s="310" t="s">
        <v>446</v>
      </c>
      <c r="I60" s="448">
        <v>0</v>
      </c>
      <c r="J60" s="439"/>
    </row>
    <row r="61" spans="4:10" x14ac:dyDescent="0.2">
      <c r="D61" s="446" t="s">
        <v>462</v>
      </c>
      <c r="E61" s="446" t="s">
        <v>591</v>
      </c>
      <c r="F61" s="446" t="s">
        <v>537</v>
      </c>
      <c r="G61" s="447">
        <v>0</v>
      </c>
      <c r="H61" s="310" t="s">
        <v>446</v>
      </c>
      <c r="I61" s="448">
        <v>0</v>
      </c>
      <c r="J61" s="439"/>
    </row>
    <row r="62" spans="4:10" x14ac:dyDescent="0.2">
      <c r="D62" s="446" t="s">
        <v>462</v>
      </c>
      <c r="E62" s="446" t="s">
        <v>592</v>
      </c>
      <c r="F62" s="446" t="s">
        <v>537</v>
      </c>
      <c r="G62" s="447">
        <v>0</v>
      </c>
      <c r="H62" s="310" t="s">
        <v>446</v>
      </c>
      <c r="I62" s="448">
        <v>0</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v>
      </c>
      <c r="H64" s="463"/>
      <c r="I64" s="464">
        <v>0</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0</v>
      </c>
      <c r="H66" s="310" t="s">
        <v>446</v>
      </c>
      <c r="I66" s="448">
        <v>0</v>
      </c>
      <c r="J66" s="439"/>
    </row>
    <row r="67" spans="4:10" x14ac:dyDescent="0.2">
      <c r="D67" s="446" t="s">
        <v>595</v>
      </c>
      <c r="E67" s="446" t="s">
        <v>564</v>
      </c>
      <c r="F67" s="446" t="s">
        <v>554</v>
      </c>
      <c r="G67" s="447">
        <v>2.8875427753033699E-4</v>
      </c>
      <c r="H67" s="310">
        <v>11.500000000000002</v>
      </c>
      <c r="I67" s="448">
        <v>2.7672284929990633E-7</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1.4437713876516849E-4</v>
      </c>
      <c r="H72" s="310">
        <v>142</v>
      </c>
      <c r="I72" s="448">
        <v>1.7084628087211607E-6</v>
      </c>
      <c r="J72" s="439"/>
    </row>
    <row r="73" spans="4:10" x14ac:dyDescent="0.2">
      <c r="D73" s="446" t="s">
        <v>595</v>
      </c>
      <c r="E73" s="446" t="s">
        <v>598</v>
      </c>
      <c r="F73" s="446" t="s">
        <v>554</v>
      </c>
      <c r="G73" s="447">
        <v>1.4437713876516849E-4</v>
      </c>
      <c r="H73" s="310">
        <v>1</v>
      </c>
      <c r="I73" s="448">
        <v>1.2031428230430709E-8</v>
      </c>
      <c r="J73" s="439"/>
    </row>
    <row r="74" spans="4:10" x14ac:dyDescent="0.2">
      <c r="D74" s="446" t="s">
        <v>595</v>
      </c>
      <c r="E74" s="446" t="s">
        <v>549</v>
      </c>
      <c r="F74" s="446" t="s">
        <v>554</v>
      </c>
      <c r="G74" s="447">
        <v>1.155017110121348E-3</v>
      </c>
      <c r="H74" s="310">
        <v>18.796250000000004</v>
      </c>
      <c r="I74" s="448">
        <v>1.8091658630098657E-6</v>
      </c>
      <c r="J74" s="439"/>
    </row>
    <row r="75" spans="4:10" x14ac:dyDescent="0.2">
      <c r="D75" s="446" t="s">
        <v>595</v>
      </c>
      <c r="E75" s="446" t="s">
        <v>571</v>
      </c>
      <c r="F75" s="446" t="s">
        <v>554</v>
      </c>
      <c r="G75" s="447">
        <v>0</v>
      </c>
      <c r="H75" s="310" t="s">
        <v>446</v>
      </c>
      <c r="I75" s="448">
        <v>0</v>
      </c>
      <c r="J75" s="439"/>
    </row>
    <row r="76" spans="4:10" x14ac:dyDescent="0.2">
      <c r="D76" s="446" t="s">
        <v>595</v>
      </c>
      <c r="E76" s="446" t="s">
        <v>561</v>
      </c>
      <c r="F76" s="446" t="s">
        <v>554</v>
      </c>
      <c r="G76" s="447">
        <v>0</v>
      </c>
      <c r="H76" s="310" t="s">
        <v>446</v>
      </c>
      <c r="I76" s="448">
        <v>0</v>
      </c>
      <c r="J76" s="439"/>
    </row>
    <row r="77" spans="4:10" x14ac:dyDescent="0.2">
      <c r="D77" s="446" t="s">
        <v>595</v>
      </c>
      <c r="E77" s="446" t="s">
        <v>599</v>
      </c>
      <c r="F77" s="446" t="s">
        <v>554</v>
      </c>
      <c r="G77" s="447">
        <v>6.9878535162341562E-2</v>
      </c>
      <c r="H77" s="310">
        <v>59.522954545454546</v>
      </c>
      <c r="I77" s="448">
        <v>3.4661473934758367E-4</v>
      </c>
      <c r="J77" s="439"/>
    </row>
    <row r="78" spans="4:10" x14ac:dyDescent="0.2">
      <c r="D78" s="446" t="s">
        <v>595</v>
      </c>
      <c r="E78" s="446" t="s">
        <v>600</v>
      </c>
      <c r="F78" s="446" t="s">
        <v>554</v>
      </c>
      <c r="G78" s="447">
        <v>0</v>
      </c>
      <c r="H78" s="310" t="s">
        <v>446</v>
      </c>
      <c r="I78" s="448">
        <v>0</v>
      </c>
      <c r="J78" s="439"/>
    </row>
    <row r="79" spans="4:10" x14ac:dyDescent="0.2">
      <c r="D79" s="446" t="s">
        <v>595</v>
      </c>
      <c r="E79" s="446" t="s">
        <v>555</v>
      </c>
      <c r="F79" s="446" t="s">
        <v>554</v>
      </c>
      <c r="G79" s="447">
        <v>4.3313141629550551E-4</v>
      </c>
      <c r="H79" s="310">
        <v>17.38</v>
      </c>
      <c r="I79" s="448">
        <v>6.2731866793465709E-7</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0</v>
      </c>
      <c r="H81" s="310" t="s">
        <v>446</v>
      </c>
      <c r="I81" s="448">
        <v>0</v>
      </c>
      <c r="J81" s="439"/>
    </row>
    <row r="82" spans="4:10" x14ac:dyDescent="0.2">
      <c r="D82" s="446" t="s">
        <v>595</v>
      </c>
      <c r="E82" s="446" t="s">
        <v>574</v>
      </c>
      <c r="F82" s="446" t="s">
        <v>554</v>
      </c>
      <c r="G82" s="447">
        <v>0</v>
      </c>
      <c r="H82" s="310" t="s">
        <v>446</v>
      </c>
      <c r="I82" s="448">
        <v>0</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0</v>
      </c>
      <c r="H84" s="310" t="s">
        <v>446</v>
      </c>
      <c r="I84" s="448">
        <v>0</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0</v>
      </c>
      <c r="H86" s="310" t="s">
        <v>446</v>
      </c>
      <c r="I86" s="448">
        <v>0</v>
      </c>
      <c r="J86" s="439"/>
    </row>
    <row r="87" spans="4:10" x14ac:dyDescent="0.2">
      <c r="D87" s="446" t="s">
        <v>595</v>
      </c>
      <c r="E87" s="446" t="s">
        <v>550</v>
      </c>
      <c r="F87" s="446" t="s">
        <v>554</v>
      </c>
      <c r="G87" s="447">
        <v>0.23634537615858081</v>
      </c>
      <c r="H87" s="310">
        <v>56.558821014050409</v>
      </c>
      <c r="I87" s="448">
        <v>1.1139513189709657E-3</v>
      </c>
      <c r="J87" s="439"/>
    </row>
    <row r="88" spans="4:10" x14ac:dyDescent="0.2">
      <c r="D88" s="446" t="s">
        <v>595</v>
      </c>
      <c r="E88" s="446" t="s">
        <v>579</v>
      </c>
      <c r="F88" s="446" t="s">
        <v>554</v>
      </c>
      <c r="G88" s="447">
        <v>0</v>
      </c>
      <c r="H88" s="310" t="s">
        <v>446</v>
      </c>
      <c r="I88" s="448">
        <v>0</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0</v>
      </c>
      <c r="H90" s="310" t="s">
        <v>446</v>
      </c>
      <c r="I90" s="448">
        <v>0</v>
      </c>
      <c r="J90" s="439"/>
    </row>
    <row r="91" spans="4:10" x14ac:dyDescent="0.2">
      <c r="D91" s="446" t="s">
        <v>595</v>
      </c>
      <c r="E91" s="446" t="s">
        <v>577</v>
      </c>
      <c r="F91" s="446" t="s">
        <v>554</v>
      </c>
      <c r="G91" s="447">
        <v>1.4437713876516849E-4</v>
      </c>
      <c r="H91" s="310">
        <v>10</v>
      </c>
      <c r="I91" s="448">
        <v>1.2031428230430709E-7</v>
      </c>
      <c r="J91" s="439"/>
    </row>
    <row r="92" spans="4:10" x14ac:dyDescent="0.2">
      <c r="D92" s="446" t="s">
        <v>595</v>
      </c>
      <c r="E92" s="446" t="s">
        <v>576</v>
      </c>
      <c r="F92" s="446" t="s">
        <v>554</v>
      </c>
      <c r="G92" s="447">
        <v>1.155017110121348E-3</v>
      </c>
      <c r="H92" s="310">
        <v>4.875</v>
      </c>
      <c r="I92" s="448">
        <v>4.6922570098679761E-7</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0</v>
      </c>
      <c r="H96" s="310" t="s">
        <v>446</v>
      </c>
      <c r="I96" s="448">
        <v>0</v>
      </c>
      <c r="J96" s="439"/>
    </row>
    <row r="97" spans="4:13" x14ac:dyDescent="0.2">
      <c r="D97" s="446" t="s">
        <v>595</v>
      </c>
      <c r="E97" s="446" t="s">
        <v>604</v>
      </c>
      <c r="F97" s="446" t="s">
        <v>554</v>
      </c>
      <c r="G97" s="447">
        <v>0</v>
      </c>
      <c r="H97" s="310" t="s">
        <v>446</v>
      </c>
      <c r="I97" s="448">
        <v>0</v>
      </c>
      <c r="J97" s="439"/>
    </row>
    <row r="98" spans="4:13" x14ac:dyDescent="0.2">
      <c r="D98" s="446" t="s">
        <v>595</v>
      </c>
      <c r="E98" s="446" t="s">
        <v>569</v>
      </c>
      <c r="F98" s="446" t="s">
        <v>554</v>
      </c>
      <c r="G98" s="447">
        <v>0</v>
      </c>
      <c r="H98" s="310" t="s">
        <v>446</v>
      </c>
      <c r="I98" s="448">
        <v>0</v>
      </c>
      <c r="J98" s="439"/>
    </row>
    <row r="99" spans="4:13" x14ac:dyDescent="0.2">
      <c r="D99" s="446" t="s">
        <v>595</v>
      </c>
      <c r="E99" s="446" t="s">
        <v>553</v>
      </c>
      <c r="F99" s="446" t="s">
        <v>554</v>
      </c>
      <c r="G99" s="447">
        <v>0</v>
      </c>
      <c r="H99" s="310" t="s">
        <v>446</v>
      </c>
      <c r="I99" s="448">
        <v>0</v>
      </c>
      <c r="J99" s="439"/>
    </row>
    <row r="100" spans="4:13" x14ac:dyDescent="0.2">
      <c r="D100" s="446" t="s">
        <v>595</v>
      </c>
      <c r="E100" s="446" t="s">
        <v>570</v>
      </c>
      <c r="F100" s="446" t="s">
        <v>554</v>
      </c>
      <c r="G100" s="447">
        <v>1.4437713876516849E-4</v>
      </c>
      <c r="H100" s="310">
        <v>36.729999999999997</v>
      </c>
      <c r="I100" s="448">
        <v>4.4191435890371988E-7</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0</v>
      </c>
      <c r="H103" s="310" t="s">
        <v>446</v>
      </c>
      <c r="I103" s="448">
        <v>0</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1.0106399713561795E-3</v>
      </c>
      <c r="H105" s="310">
        <v>16.52</v>
      </c>
      <c r="I105" s="448">
        <v>1.3913143605670072E-6</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6.7919936841127598E-2</v>
      </c>
      <c r="I107" s="454">
        <v>1.7596204415569519E-5</v>
      </c>
      <c r="J107" s="439"/>
    </row>
    <row r="108" spans="4:13" ht="16" x14ac:dyDescent="0.2">
      <c r="D108" s="461" t="s">
        <v>605</v>
      </c>
      <c r="E108" s="460"/>
      <c r="F108" s="460"/>
      <c r="G108" s="465">
        <v>3.4197169087917803</v>
      </c>
      <c r="H108" s="466"/>
      <c r="I108" s="467">
        <v>1.4850187330540769E-3</v>
      </c>
      <c r="J108" s="439"/>
      <c r="K108" s="313" t="s">
        <v>311</v>
      </c>
      <c r="L108" s="313" t="s">
        <v>606</v>
      </c>
      <c r="M108" s="313" t="s">
        <v>528</v>
      </c>
    </row>
    <row r="109" spans="4:13" x14ac:dyDescent="0.2">
      <c r="D109" s="446" t="s">
        <v>607</v>
      </c>
      <c r="E109" s="446" t="s">
        <v>608</v>
      </c>
      <c r="F109" s="468" t="s">
        <v>609</v>
      </c>
      <c r="G109" s="469">
        <v>35.891098221117765</v>
      </c>
      <c r="H109" s="310">
        <v>31.78152560248822</v>
      </c>
      <c r="I109" s="470">
        <v>9.5056154751322799E-2</v>
      </c>
      <c r="J109" s="439"/>
      <c r="K109">
        <f>'Assumptions-Output Target'!$J$17</f>
        <v>10.185185313926722</v>
      </c>
      <c r="L109" s="470">
        <f>G109*K109/12000</f>
        <v>3.0463123875202513E-2</v>
      </c>
      <c r="M109" s="388">
        <f>I109-L109</f>
        <v>6.4593030876120283E-2</v>
      </c>
    </row>
    <row r="110" spans="4:13" x14ac:dyDescent="0.2">
      <c r="D110" s="446" t="s">
        <v>607</v>
      </c>
      <c r="E110" s="446" t="s">
        <v>610</v>
      </c>
      <c r="F110" s="468" t="s">
        <v>609</v>
      </c>
      <c r="G110" s="469">
        <v>6.0522598815043445</v>
      </c>
      <c r="H110" s="310">
        <v>285.96766452583978</v>
      </c>
      <c r="I110" s="470">
        <v>0.14422921861810276</v>
      </c>
      <c r="J110" s="439"/>
      <c r="K110">
        <f>'Assumptions-Output Target'!$K$17</f>
        <v>50.92592656963361</v>
      </c>
      <c r="L110" s="470">
        <f t="shared" ref="L110:L116" si="0">G110*K110/12000</f>
        <v>2.5684745192152473E-2</v>
      </c>
      <c r="M110" s="388">
        <f t="shared" ref="M110:M116" si="1">I110-L110</f>
        <v>0.11854447342595029</v>
      </c>
    </row>
    <row r="111" spans="4:13" x14ac:dyDescent="0.2">
      <c r="D111" s="446" t="s">
        <v>607</v>
      </c>
      <c r="E111" s="446" t="s">
        <v>611</v>
      </c>
      <c r="F111" s="468" t="s">
        <v>609</v>
      </c>
      <c r="G111" s="469">
        <v>1.6883365590425401</v>
      </c>
      <c r="H111" s="310">
        <v>311.33777091320803</v>
      </c>
      <c r="I111" s="470">
        <v>4.3803578403631693E-2</v>
      </c>
      <c r="J111" s="439"/>
      <c r="K111">
        <f>'Assumptions-Output Target'!$L$17</f>
        <v>81.481482511413773</v>
      </c>
      <c r="L111" s="470">
        <f t="shared" si="0"/>
        <v>1.1464013817417105E-2</v>
      </c>
      <c r="M111" s="388">
        <f t="shared" si="1"/>
        <v>3.2339564586214592E-2</v>
      </c>
    </row>
    <row r="112" spans="4:13" x14ac:dyDescent="0.2">
      <c r="D112" s="446" t="s">
        <v>607</v>
      </c>
      <c r="E112" s="446" t="s">
        <v>612</v>
      </c>
      <c r="F112" s="468" t="s">
        <v>609</v>
      </c>
      <c r="G112" s="469">
        <v>1.1702865128851756</v>
      </c>
      <c r="H112" s="310">
        <v>842.30831091178629</v>
      </c>
      <c r="I112" s="470">
        <v>8.214517132926305E-2</v>
      </c>
      <c r="J112" s="439"/>
      <c r="K112">
        <f>'Assumptions-Output Target'!$M$17</f>
        <v>203.70370627853444</v>
      </c>
      <c r="L112" s="470">
        <f t="shared" si="0"/>
        <v>1.9865975006874342E-2</v>
      </c>
      <c r="M112" s="388">
        <f t="shared" si="1"/>
        <v>6.2279196322388708E-2</v>
      </c>
    </row>
    <row r="113" spans="4:13" x14ac:dyDescent="0.2">
      <c r="D113" s="446" t="s">
        <v>607</v>
      </c>
      <c r="E113" s="446" t="s">
        <v>613</v>
      </c>
      <c r="F113" s="468" t="s">
        <v>609</v>
      </c>
      <c r="G113" s="469">
        <v>6.2898753857953826</v>
      </c>
      <c r="H113" s="310">
        <v>69.714077007266908</v>
      </c>
      <c r="I113" s="470">
        <v>3.6541071417620995E-2</v>
      </c>
      <c r="J113" s="439"/>
      <c r="K113">
        <f>2*K109</f>
        <v>20.370370627853443</v>
      </c>
      <c r="L113" s="470">
        <f t="shared" si="0"/>
        <v>1.0677257734305383E-2</v>
      </c>
      <c r="M113" s="388">
        <f t="shared" si="1"/>
        <v>2.5863813683315612E-2</v>
      </c>
    </row>
    <row r="114" spans="4:13" x14ac:dyDescent="0.2">
      <c r="D114" s="446" t="s">
        <v>607</v>
      </c>
      <c r="E114" s="446" t="s">
        <v>614</v>
      </c>
      <c r="F114" s="468" t="s">
        <v>609</v>
      </c>
      <c r="G114" s="469">
        <v>1.3343256427510699</v>
      </c>
      <c r="H114" s="310">
        <v>657.19505473755305</v>
      </c>
      <c r="I114" s="470">
        <v>7.3076017818792499E-2</v>
      </c>
      <c r="J114" s="439"/>
      <c r="K114">
        <f>2*K110</f>
        <v>101.85185313926722</v>
      </c>
      <c r="L114" s="470">
        <f t="shared" si="0"/>
        <v>1.132529495045336E-2</v>
      </c>
      <c r="M114" s="388">
        <f t="shared" si="1"/>
        <v>6.1750722868339138E-2</v>
      </c>
    </row>
    <row r="115" spans="4:13" x14ac:dyDescent="0.2">
      <c r="D115" s="446" t="s">
        <v>607</v>
      </c>
      <c r="E115" s="446" t="s">
        <v>615</v>
      </c>
      <c r="F115" s="468" t="s">
        <v>609</v>
      </c>
      <c r="G115" s="469">
        <v>0.30606565590787255</v>
      </c>
      <c r="H115" s="310">
        <v>674.04033560004098</v>
      </c>
      <c r="I115" s="470">
        <v>1.7191716451982423E-2</v>
      </c>
      <c r="J115" s="439"/>
      <c r="K115">
        <f>2*K111</f>
        <v>162.96296502282755</v>
      </c>
      <c r="L115" s="470">
        <f t="shared" si="0"/>
        <v>4.1564472315336175E-3</v>
      </c>
      <c r="M115" s="388">
        <f t="shared" si="1"/>
        <v>1.3035269220448805E-2</v>
      </c>
    </row>
    <row r="116" spans="4:13" x14ac:dyDescent="0.2">
      <c r="D116" s="446" t="s">
        <v>607</v>
      </c>
      <c r="E116" s="446" t="s">
        <v>616</v>
      </c>
      <c r="F116" s="468" t="s">
        <v>609</v>
      </c>
      <c r="G116" s="447">
        <v>0.19479646671574941</v>
      </c>
      <c r="H116" s="310">
        <v>1827.9133051105114</v>
      </c>
      <c r="I116" s="448">
        <v>2.9672587774852932E-2</v>
      </c>
      <c r="J116" s="439"/>
      <c r="K116">
        <f>2*K112</f>
        <v>407.40741255706888</v>
      </c>
      <c r="L116" s="470">
        <f t="shared" si="0"/>
        <v>6.6134603733268875E-3</v>
      </c>
      <c r="M116" s="388">
        <f t="shared" si="1"/>
        <v>2.3059127401526044E-2</v>
      </c>
    </row>
    <row r="117" spans="4:13" x14ac:dyDescent="0.2">
      <c r="D117" s="460" t="s">
        <v>617</v>
      </c>
      <c r="E117" s="460"/>
      <c r="F117" s="460"/>
      <c r="G117" s="471">
        <v>52.927044325719905</v>
      </c>
      <c r="H117" s="472"/>
      <c r="I117" s="473">
        <v>0.52171551656556914</v>
      </c>
      <c r="J117" s="439"/>
      <c r="L117" s="470">
        <f>SUM(L109:L116)</f>
        <v>0.12025031818126566</v>
      </c>
      <c r="M117" s="388">
        <f>SUM(M109:M116)</f>
        <v>0.40146519838430345</v>
      </c>
    </row>
    <row r="118" spans="4:13" ht="16" x14ac:dyDescent="0.2">
      <c r="D118" s="461" t="s">
        <v>618</v>
      </c>
      <c r="E118" s="461"/>
      <c r="F118" s="461"/>
      <c r="G118" s="474"/>
      <c r="H118" s="474"/>
      <c r="I118" s="473">
        <v>0.5232005352986232</v>
      </c>
      <c r="J118" s="439"/>
    </row>
  </sheetData>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789</v>
      </c>
      <c r="G3"/>
      <c r="H3"/>
      <c r="I3"/>
    </row>
    <row r="4" spans="2:19" x14ac:dyDescent="0.2">
      <c r="G4"/>
      <c r="H4"/>
      <c r="I4"/>
    </row>
    <row r="5" spans="2:19" ht="16" x14ac:dyDescent="0.2">
      <c r="D5" s="438" t="s">
        <v>790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v>
      </c>
      <c r="O10" s="310" t="s">
        <v>446</v>
      </c>
      <c r="P10" s="388">
        <v>0</v>
      </c>
      <c r="Q10" s="29">
        <v>0</v>
      </c>
      <c r="R10" s="388">
        <f>N10*Q10/12000</f>
        <v>0</v>
      </c>
      <c r="S10" s="388">
        <f>P10-R10</f>
        <v>0</v>
      </c>
    </row>
    <row r="11" spans="2:19" x14ac:dyDescent="0.2">
      <c r="D11" s="446" t="s">
        <v>1</v>
      </c>
      <c r="E11" s="446" t="s">
        <v>540</v>
      </c>
      <c r="F11" s="446" t="s">
        <v>534</v>
      </c>
      <c r="G11" s="447">
        <v>0</v>
      </c>
      <c r="H11" s="310" t="s">
        <v>446</v>
      </c>
      <c r="I11" s="448">
        <v>0</v>
      </c>
      <c r="J11" s="439"/>
      <c r="K11" s="320" t="s">
        <v>463</v>
      </c>
      <c r="L11" s="450" t="s">
        <v>541</v>
      </c>
      <c r="M11" s="446" t="s">
        <v>539</v>
      </c>
      <c r="N11" s="449">
        <v>2.7431656365382016E-3</v>
      </c>
      <c r="O11" s="310">
        <v>12.71105263157895</v>
      </c>
      <c r="P11" s="388">
        <v>2.9057102319313207E-6</v>
      </c>
      <c r="Q11" s="29">
        <f>'Assumptions-Output Override'!G19</f>
        <v>30</v>
      </c>
      <c r="R11" s="388">
        <f>N11*Q11/12000</f>
        <v>6.8579140913455035E-6</v>
      </c>
      <c r="S11" s="388">
        <f>P11-R11</f>
        <v>-3.9522038594141828E-6</v>
      </c>
    </row>
    <row r="12" spans="2:19" x14ac:dyDescent="0.2">
      <c r="D12" s="446" t="s">
        <v>1</v>
      </c>
      <c r="E12" s="446" t="s">
        <v>542</v>
      </c>
      <c r="F12" s="446" t="s">
        <v>534</v>
      </c>
      <c r="G12" s="447">
        <v>0</v>
      </c>
      <c r="H12" s="310" t="s">
        <v>446</v>
      </c>
      <c r="I12" s="448">
        <v>0</v>
      </c>
      <c r="J12" s="439"/>
      <c r="K12" s="320" t="s">
        <v>464</v>
      </c>
      <c r="L12" s="450" t="s">
        <v>541</v>
      </c>
      <c r="M12" s="446" t="s">
        <v>539</v>
      </c>
      <c r="N12" s="449">
        <v>3.4169737431552423</v>
      </c>
      <c r="O12" s="310">
        <v>5.2050023239109544</v>
      </c>
      <c r="P12" s="388">
        <v>1.4821130228221456E-3</v>
      </c>
      <c r="Q12" s="29">
        <f>'Assumptions-Output Override'!H19</f>
        <v>60</v>
      </c>
      <c r="R12" s="388">
        <f>N12*Q12/12000</f>
        <v>1.7084868715776212E-2</v>
      </c>
      <c r="S12" s="388">
        <f>P12-R12</f>
        <v>-1.5602755692954067E-2</v>
      </c>
    </row>
    <row r="13" spans="2:19" x14ac:dyDescent="0.2">
      <c r="D13" s="446" t="s">
        <v>1</v>
      </c>
      <c r="E13" s="446" t="s">
        <v>543</v>
      </c>
      <c r="F13" s="446" t="s">
        <v>534</v>
      </c>
      <c r="G13" s="447">
        <v>0</v>
      </c>
      <c r="H13" s="310" t="s">
        <v>446</v>
      </c>
      <c r="I13" s="448">
        <v>0</v>
      </c>
      <c r="J13" s="439"/>
      <c r="K13" s="446" t="s">
        <v>465</v>
      </c>
      <c r="P13" s="388">
        <f>I117</f>
        <v>0.52171551656556914</v>
      </c>
      <c r="R13" s="388">
        <f>L117</f>
        <v>0.11806394726745061</v>
      </c>
      <c r="S13" s="388">
        <f>M117</f>
        <v>0.40365156929811857</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0.5232005352986232</v>
      </c>
      <c r="R15" s="388">
        <f>SUM(R8:R13)</f>
        <v>0.13515567389731817</v>
      </c>
      <c r="S15" s="388">
        <f>SUM(S8:S13)</f>
        <v>0.38804486140130512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0</v>
      </c>
      <c r="H20" s="310" t="s">
        <v>446</v>
      </c>
      <c r="I20" s="448">
        <v>0</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v>
      </c>
      <c r="H52" s="310" t="s">
        <v>446</v>
      </c>
      <c r="I52" s="448">
        <v>0</v>
      </c>
      <c r="J52" s="439"/>
    </row>
    <row r="53" spans="4:10" x14ac:dyDescent="0.2">
      <c r="D53" s="446" t="s">
        <v>462</v>
      </c>
      <c r="E53" s="446" t="s">
        <v>584</v>
      </c>
      <c r="F53" s="446" t="s">
        <v>554</v>
      </c>
      <c r="G53" s="447">
        <v>0</v>
      </c>
      <c r="H53" s="310" t="s">
        <v>446</v>
      </c>
      <c r="I53" s="448">
        <v>0</v>
      </c>
      <c r="J53" s="439"/>
    </row>
    <row r="54" spans="4:10" x14ac:dyDescent="0.2">
      <c r="D54" s="446" t="s">
        <v>462</v>
      </c>
      <c r="E54" s="446" t="s">
        <v>585</v>
      </c>
      <c r="F54" s="446" t="s">
        <v>554</v>
      </c>
      <c r="G54" s="447">
        <v>0</v>
      </c>
      <c r="H54" s="310" t="s">
        <v>446</v>
      </c>
      <c r="I54" s="448">
        <v>0</v>
      </c>
      <c r="J54" s="439"/>
    </row>
    <row r="55" spans="4:10" x14ac:dyDescent="0.2">
      <c r="D55" s="446" t="s">
        <v>462</v>
      </c>
      <c r="E55" s="446" t="s">
        <v>586</v>
      </c>
      <c r="F55" s="446" t="s">
        <v>537</v>
      </c>
      <c r="G55" s="447">
        <v>0</v>
      </c>
      <c r="H55" s="310" t="s">
        <v>446</v>
      </c>
      <c r="I55" s="448">
        <v>0</v>
      </c>
      <c r="J55" s="439"/>
    </row>
    <row r="56" spans="4:10" x14ac:dyDescent="0.2">
      <c r="D56" s="446" t="s">
        <v>462</v>
      </c>
      <c r="E56" s="446" t="s">
        <v>5</v>
      </c>
      <c r="F56" s="446" t="s">
        <v>537</v>
      </c>
      <c r="G56" s="447">
        <v>0</v>
      </c>
      <c r="H56" s="310" t="s">
        <v>446</v>
      </c>
      <c r="I56" s="448">
        <v>0</v>
      </c>
      <c r="J56" s="439"/>
    </row>
    <row r="57" spans="4:10" x14ac:dyDescent="0.2">
      <c r="D57" s="446" t="s">
        <v>462</v>
      </c>
      <c r="E57" s="446" t="s">
        <v>587</v>
      </c>
      <c r="F57" s="446" t="s">
        <v>537</v>
      </c>
      <c r="G57" s="447">
        <v>0</v>
      </c>
      <c r="H57" s="310" t="s">
        <v>446</v>
      </c>
      <c r="I57" s="448">
        <v>0</v>
      </c>
      <c r="J57" s="439"/>
    </row>
    <row r="58" spans="4:10" x14ac:dyDescent="0.2">
      <c r="D58" s="446" t="s">
        <v>462</v>
      </c>
      <c r="E58" s="446" t="s">
        <v>588</v>
      </c>
      <c r="F58" s="446" t="s">
        <v>537</v>
      </c>
      <c r="G58" s="447">
        <v>0</v>
      </c>
      <c r="H58" s="310" t="s">
        <v>446</v>
      </c>
      <c r="I58" s="448">
        <v>0</v>
      </c>
      <c r="J58" s="439"/>
    </row>
    <row r="59" spans="4:10" x14ac:dyDescent="0.2">
      <c r="D59" s="446" t="s">
        <v>462</v>
      </c>
      <c r="E59" s="446" t="s">
        <v>589</v>
      </c>
      <c r="F59" s="446" t="s">
        <v>537</v>
      </c>
      <c r="G59" s="447">
        <v>0</v>
      </c>
      <c r="H59" s="310" t="s">
        <v>446</v>
      </c>
      <c r="I59" s="448">
        <v>0</v>
      </c>
      <c r="J59" s="439"/>
    </row>
    <row r="60" spans="4:10" x14ac:dyDescent="0.2">
      <c r="D60" s="446" t="s">
        <v>462</v>
      </c>
      <c r="E60" s="446" t="s">
        <v>590</v>
      </c>
      <c r="F60" s="446" t="s">
        <v>537</v>
      </c>
      <c r="G60" s="447">
        <v>0</v>
      </c>
      <c r="H60" s="310" t="s">
        <v>446</v>
      </c>
      <c r="I60" s="448">
        <v>0</v>
      </c>
      <c r="J60" s="439"/>
    </row>
    <row r="61" spans="4:10" x14ac:dyDescent="0.2">
      <c r="D61" s="446" t="s">
        <v>462</v>
      </c>
      <c r="E61" s="446" t="s">
        <v>591</v>
      </c>
      <c r="F61" s="446" t="s">
        <v>537</v>
      </c>
      <c r="G61" s="447">
        <v>0</v>
      </c>
      <c r="H61" s="310" t="s">
        <v>446</v>
      </c>
      <c r="I61" s="448">
        <v>0</v>
      </c>
      <c r="J61" s="439"/>
    </row>
    <row r="62" spans="4:10" x14ac:dyDescent="0.2">
      <c r="D62" s="446" t="s">
        <v>462</v>
      </c>
      <c r="E62" s="446" t="s">
        <v>592</v>
      </c>
      <c r="F62" s="446" t="s">
        <v>537</v>
      </c>
      <c r="G62" s="447">
        <v>0</v>
      </c>
      <c r="H62" s="310" t="s">
        <v>446</v>
      </c>
      <c r="I62" s="448">
        <v>0</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v>
      </c>
      <c r="H64" s="463"/>
      <c r="I64" s="464">
        <v>0</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0</v>
      </c>
      <c r="H66" s="310" t="s">
        <v>446</v>
      </c>
      <c r="I66" s="448">
        <v>0</v>
      </c>
      <c r="J66" s="439"/>
    </row>
    <row r="67" spans="4:10" x14ac:dyDescent="0.2">
      <c r="D67" s="446" t="s">
        <v>595</v>
      </c>
      <c r="E67" s="446" t="s">
        <v>564</v>
      </c>
      <c r="F67" s="446" t="s">
        <v>554</v>
      </c>
      <c r="G67" s="447">
        <v>2.8875427753033699E-4</v>
      </c>
      <c r="H67" s="310">
        <v>11.500000000000002</v>
      </c>
      <c r="I67" s="448">
        <v>2.7672284929990633E-7</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1.4437713876516849E-4</v>
      </c>
      <c r="H72" s="310">
        <v>142</v>
      </c>
      <c r="I72" s="448">
        <v>1.7084628087211607E-6</v>
      </c>
      <c r="J72" s="439"/>
    </row>
    <row r="73" spans="4:10" x14ac:dyDescent="0.2">
      <c r="D73" s="446" t="s">
        <v>595</v>
      </c>
      <c r="E73" s="446" t="s">
        <v>598</v>
      </c>
      <c r="F73" s="446" t="s">
        <v>554</v>
      </c>
      <c r="G73" s="447">
        <v>1.4437713876516849E-4</v>
      </c>
      <c r="H73" s="310">
        <v>1</v>
      </c>
      <c r="I73" s="448">
        <v>1.2031428230430709E-8</v>
      </c>
      <c r="J73" s="439"/>
    </row>
    <row r="74" spans="4:10" x14ac:dyDescent="0.2">
      <c r="D74" s="446" t="s">
        <v>595</v>
      </c>
      <c r="E74" s="446" t="s">
        <v>549</v>
      </c>
      <c r="F74" s="446" t="s">
        <v>554</v>
      </c>
      <c r="G74" s="447">
        <v>1.155017110121348E-3</v>
      </c>
      <c r="H74" s="310">
        <v>18.796250000000004</v>
      </c>
      <c r="I74" s="448">
        <v>1.8091658630098657E-6</v>
      </c>
      <c r="J74" s="439"/>
    </row>
    <row r="75" spans="4:10" x14ac:dyDescent="0.2">
      <c r="D75" s="446" t="s">
        <v>595</v>
      </c>
      <c r="E75" s="446" t="s">
        <v>571</v>
      </c>
      <c r="F75" s="446" t="s">
        <v>554</v>
      </c>
      <c r="G75" s="447">
        <v>0</v>
      </c>
      <c r="H75" s="310" t="s">
        <v>446</v>
      </c>
      <c r="I75" s="448">
        <v>0</v>
      </c>
      <c r="J75" s="439"/>
    </row>
    <row r="76" spans="4:10" x14ac:dyDescent="0.2">
      <c r="D76" s="446" t="s">
        <v>595</v>
      </c>
      <c r="E76" s="446" t="s">
        <v>561</v>
      </c>
      <c r="F76" s="446" t="s">
        <v>554</v>
      </c>
      <c r="G76" s="447">
        <v>0</v>
      </c>
      <c r="H76" s="310" t="s">
        <v>446</v>
      </c>
      <c r="I76" s="448">
        <v>0</v>
      </c>
      <c r="J76" s="439"/>
    </row>
    <row r="77" spans="4:10" x14ac:dyDescent="0.2">
      <c r="D77" s="446" t="s">
        <v>595</v>
      </c>
      <c r="E77" s="446" t="s">
        <v>599</v>
      </c>
      <c r="F77" s="446" t="s">
        <v>554</v>
      </c>
      <c r="G77" s="447">
        <v>6.9878535162341562E-2</v>
      </c>
      <c r="H77" s="310">
        <v>59.522954545454546</v>
      </c>
      <c r="I77" s="448">
        <v>3.4661473934758367E-4</v>
      </c>
      <c r="J77" s="439"/>
    </row>
    <row r="78" spans="4:10" x14ac:dyDescent="0.2">
      <c r="D78" s="446" t="s">
        <v>595</v>
      </c>
      <c r="E78" s="446" t="s">
        <v>600</v>
      </c>
      <c r="F78" s="446" t="s">
        <v>554</v>
      </c>
      <c r="G78" s="447">
        <v>0</v>
      </c>
      <c r="H78" s="310" t="s">
        <v>446</v>
      </c>
      <c r="I78" s="448">
        <v>0</v>
      </c>
      <c r="J78" s="439"/>
    </row>
    <row r="79" spans="4:10" x14ac:dyDescent="0.2">
      <c r="D79" s="446" t="s">
        <v>595</v>
      </c>
      <c r="E79" s="446" t="s">
        <v>555</v>
      </c>
      <c r="F79" s="446" t="s">
        <v>554</v>
      </c>
      <c r="G79" s="447">
        <v>4.3313141629550551E-4</v>
      </c>
      <c r="H79" s="310">
        <v>17.38</v>
      </c>
      <c r="I79" s="448">
        <v>6.2731866793465709E-7</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0</v>
      </c>
      <c r="H81" s="310" t="s">
        <v>446</v>
      </c>
      <c r="I81" s="448">
        <v>0</v>
      </c>
      <c r="J81" s="439"/>
    </row>
    <row r="82" spans="4:10" x14ac:dyDescent="0.2">
      <c r="D82" s="446" t="s">
        <v>595</v>
      </c>
      <c r="E82" s="446" t="s">
        <v>574</v>
      </c>
      <c r="F82" s="446" t="s">
        <v>554</v>
      </c>
      <c r="G82" s="447">
        <v>0</v>
      </c>
      <c r="H82" s="310" t="s">
        <v>446</v>
      </c>
      <c r="I82" s="448">
        <v>0</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0</v>
      </c>
      <c r="H84" s="310" t="s">
        <v>446</v>
      </c>
      <c r="I84" s="448">
        <v>0</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0</v>
      </c>
      <c r="H86" s="310" t="s">
        <v>446</v>
      </c>
      <c r="I86" s="448">
        <v>0</v>
      </c>
      <c r="J86" s="439"/>
    </row>
    <row r="87" spans="4:10" x14ac:dyDescent="0.2">
      <c r="D87" s="446" t="s">
        <v>595</v>
      </c>
      <c r="E87" s="446" t="s">
        <v>550</v>
      </c>
      <c r="F87" s="446" t="s">
        <v>554</v>
      </c>
      <c r="G87" s="447">
        <v>0.23634537615858081</v>
      </c>
      <c r="H87" s="310">
        <v>56.558821014050409</v>
      </c>
      <c r="I87" s="448">
        <v>1.1139513189709657E-3</v>
      </c>
      <c r="J87" s="439"/>
    </row>
    <row r="88" spans="4:10" x14ac:dyDescent="0.2">
      <c r="D88" s="446" t="s">
        <v>595</v>
      </c>
      <c r="E88" s="446" t="s">
        <v>579</v>
      </c>
      <c r="F88" s="446" t="s">
        <v>554</v>
      </c>
      <c r="G88" s="447">
        <v>0</v>
      </c>
      <c r="H88" s="310" t="s">
        <v>446</v>
      </c>
      <c r="I88" s="448">
        <v>0</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0</v>
      </c>
      <c r="H90" s="310" t="s">
        <v>446</v>
      </c>
      <c r="I90" s="448">
        <v>0</v>
      </c>
      <c r="J90" s="439"/>
    </row>
    <row r="91" spans="4:10" x14ac:dyDescent="0.2">
      <c r="D91" s="446" t="s">
        <v>595</v>
      </c>
      <c r="E91" s="446" t="s">
        <v>577</v>
      </c>
      <c r="F91" s="446" t="s">
        <v>554</v>
      </c>
      <c r="G91" s="447">
        <v>1.4437713876516849E-4</v>
      </c>
      <c r="H91" s="310">
        <v>10</v>
      </c>
      <c r="I91" s="448">
        <v>1.2031428230430709E-7</v>
      </c>
      <c r="J91" s="439"/>
    </row>
    <row r="92" spans="4:10" x14ac:dyDescent="0.2">
      <c r="D92" s="446" t="s">
        <v>595</v>
      </c>
      <c r="E92" s="446" t="s">
        <v>576</v>
      </c>
      <c r="F92" s="446" t="s">
        <v>554</v>
      </c>
      <c r="G92" s="447">
        <v>1.155017110121348E-3</v>
      </c>
      <c r="H92" s="310">
        <v>4.875</v>
      </c>
      <c r="I92" s="448">
        <v>4.6922570098679761E-7</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0</v>
      </c>
      <c r="H96" s="310" t="s">
        <v>446</v>
      </c>
      <c r="I96" s="448">
        <v>0</v>
      </c>
      <c r="J96" s="439"/>
    </row>
    <row r="97" spans="4:13" x14ac:dyDescent="0.2">
      <c r="D97" s="446" t="s">
        <v>595</v>
      </c>
      <c r="E97" s="446" t="s">
        <v>604</v>
      </c>
      <c r="F97" s="446" t="s">
        <v>554</v>
      </c>
      <c r="G97" s="447">
        <v>0</v>
      </c>
      <c r="H97" s="310" t="s">
        <v>446</v>
      </c>
      <c r="I97" s="448">
        <v>0</v>
      </c>
      <c r="J97" s="439"/>
    </row>
    <row r="98" spans="4:13" x14ac:dyDescent="0.2">
      <c r="D98" s="446" t="s">
        <v>595</v>
      </c>
      <c r="E98" s="446" t="s">
        <v>569</v>
      </c>
      <c r="F98" s="446" t="s">
        <v>554</v>
      </c>
      <c r="G98" s="447">
        <v>0</v>
      </c>
      <c r="H98" s="310" t="s">
        <v>446</v>
      </c>
      <c r="I98" s="448">
        <v>0</v>
      </c>
      <c r="J98" s="439"/>
    </row>
    <row r="99" spans="4:13" x14ac:dyDescent="0.2">
      <c r="D99" s="446" t="s">
        <v>595</v>
      </c>
      <c r="E99" s="446" t="s">
        <v>553</v>
      </c>
      <c r="F99" s="446" t="s">
        <v>554</v>
      </c>
      <c r="G99" s="447">
        <v>0</v>
      </c>
      <c r="H99" s="310" t="s">
        <v>446</v>
      </c>
      <c r="I99" s="448">
        <v>0</v>
      </c>
      <c r="J99" s="439"/>
    </row>
    <row r="100" spans="4:13" x14ac:dyDescent="0.2">
      <c r="D100" s="446" t="s">
        <v>595</v>
      </c>
      <c r="E100" s="446" t="s">
        <v>570</v>
      </c>
      <c r="F100" s="446" t="s">
        <v>554</v>
      </c>
      <c r="G100" s="447">
        <v>1.4437713876516849E-4</v>
      </c>
      <c r="H100" s="310">
        <v>36.729999999999997</v>
      </c>
      <c r="I100" s="448">
        <v>4.4191435890371988E-7</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0</v>
      </c>
      <c r="H103" s="310" t="s">
        <v>446</v>
      </c>
      <c r="I103" s="448">
        <v>0</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1.0106399713561795E-3</v>
      </c>
      <c r="H105" s="310">
        <v>16.52</v>
      </c>
      <c r="I105" s="448">
        <v>1.3913143605670072E-6</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6.7919936841127598E-2</v>
      </c>
      <c r="I107" s="454">
        <v>1.7596204415569519E-5</v>
      </c>
      <c r="J107" s="439"/>
    </row>
    <row r="108" spans="4:13" ht="16" x14ac:dyDescent="0.2">
      <c r="D108" s="461" t="s">
        <v>605</v>
      </c>
      <c r="E108" s="460"/>
      <c r="F108" s="460"/>
      <c r="G108" s="465">
        <v>3.4197169087917803</v>
      </c>
      <c r="H108" s="466"/>
      <c r="I108" s="467">
        <v>1.4850187330540769E-3</v>
      </c>
      <c r="J108" s="439"/>
      <c r="K108" s="313" t="s">
        <v>311</v>
      </c>
      <c r="L108" s="313" t="s">
        <v>606</v>
      </c>
      <c r="M108" s="313" t="s">
        <v>528</v>
      </c>
    </row>
    <row r="109" spans="4:13" x14ac:dyDescent="0.2">
      <c r="D109" s="446" t="s">
        <v>607</v>
      </c>
      <c r="E109" s="446" t="s">
        <v>608</v>
      </c>
      <c r="F109" s="468" t="s">
        <v>609</v>
      </c>
      <c r="G109" s="469">
        <v>35.891098221117765</v>
      </c>
      <c r="H109" s="310">
        <v>31.78152560248822</v>
      </c>
      <c r="I109" s="470">
        <v>9.5056154751322799E-2</v>
      </c>
      <c r="J109" s="439"/>
      <c r="K109">
        <f>'Assumptions-Output Override'!$J$19</f>
        <v>10</v>
      </c>
      <c r="L109" s="470">
        <f>G109*K109/12000</f>
        <v>2.9909248517598137E-2</v>
      </c>
      <c r="M109" s="388">
        <f>I109-L109</f>
        <v>6.5146906233724655E-2</v>
      </c>
    </row>
    <row r="110" spans="4:13" x14ac:dyDescent="0.2">
      <c r="D110" s="446" t="s">
        <v>607</v>
      </c>
      <c r="E110" s="446" t="s">
        <v>610</v>
      </c>
      <c r="F110" s="468" t="s">
        <v>609</v>
      </c>
      <c r="G110" s="469">
        <v>6.0522598815043445</v>
      </c>
      <c r="H110" s="310">
        <v>285.96766452583978</v>
      </c>
      <c r="I110" s="470">
        <v>0.14422921861810276</v>
      </c>
      <c r="J110" s="439"/>
      <c r="K110">
        <f>'Assumptions-Output Override'!$K$19</f>
        <v>50</v>
      </c>
      <c r="L110" s="470">
        <f t="shared" ref="L110:L116" si="0">G110*K110/12000</f>
        <v>2.5217749506268101E-2</v>
      </c>
      <c r="M110" s="388">
        <f t="shared" ref="M110:M116" si="1">I110-L110</f>
        <v>0.11901146911183466</v>
      </c>
    </row>
    <row r="111" spans="4:13" x14ac:dyDescent="0.2">
      <c r="D111" s="446" t="s">
        <v>607</v>
      </c>
      <c r="E111" s="446" t="s">
        <v>611</v>
      </c>
      <c r="F111" s="468" t="s">
        <v>609</v>
      </c>
      <c r="G111" s="469">
        <v>1.6883365590425401</v>
      </c>
      <c r="H111" s="310">
        <v>311.33777091320803</v>
      </c>
      <c r="I111" s="470">
        <v>4.3803578403631693E-2</v>
      </c>
      <c r="J111" s="439"/>
      <c r="K111">
        <f>'Assumptions-Output Override'!$L$19</f>
        <v>80</v>
      </c>
      <c r="L111" s="470">
        <f t="shared" si="0"/>
        <v>1.1255577060283602E-2</v>
      </c>
      <c r="M111" s="388">
        <f t="shared" si="1"/>
        <v>3.2548001343348093E-2</v>
      </c>
    </row>
    <row r="112" spans="4:13" x14ac:dyDescent="0.2">
      <c r="D112" s="446" t="s">
        <v>607</v>
      </c>
      <c r="E112" s="446" t="s">
        <v>612</v>
      </c>
      <c r="F112" s="468" t="s">
        <v>609</v>
      </c>
      <c r="G112" s="469">
        <v>1.1702865128851756</v>
      </c>
      <c r="H112" s="310">
        <v>842.30831091178629</v>
      </c>
      <c r="I112" s="470">
        <v>8.214517132926305E-2</v>
      </c>
      <c r="J112" s="439"/>
      <c r="K112">
        <f>'Assumptions-Output Override'!$M$19</f>
        <v>200</v>
      </c>
      <c r="L112" s="470">
        <f t="shared" si="0"/>
        <v>1.9504775214752929E-2</v>
      </c>
      <c r="M112" s="388">
        <f t="shared" si="1"/>
        <v>6.2640396114510125E-2</v>
      </c>
    </row>
    <row r="113" spans="4:13" x14ac:dyDescent="0.2">
      <c r="D113" s="446" t="s">
        <v>607</v>
      </c>
      <c r="E113" s="446" t="s">
        <v>613</v>
      </c>
      <c r="F113" s="468" t="s">
        <v>609</v>
      </c>
      <c r="G113" s="469">
        <v>6.2898753857953826</v>
      </c>
      <c r="H113" s="310">
        <v>69.714077007266908</v>
      </c>
      <c r="I113" s="470">
        <v>3.6541071417620995E-2</v>
      </c>
      <c r="J113" s="439"/>
      <c r="K113">
        <f>2*K109</f>
        <v>20</v>
      </c>
      <c r="L113" s="470">
        <f t="shared" si="0"/>
        <v>1.0483125642992305E-2</v>
      </c>
      <c r="M113" s="388">
        <f t="shared" si="1"/>
        <v>2.605794577462869E-2</v>
      </c>
    </row>
    <row r="114" spans="4:13" x14ac:dyDescent="0.2">
      <c r="D114" s="446" t="s">
        <v>607</v>
      </c>
      <c r="E114" s="446" t="s">
        <v>614</v>
      </c>
      <c r="F114" s="468" t="s">
        <v>609</v>
      </c>
      <c r="G114" s="469">
        <v>1.3343256427510699</v>
      </c>
      <c r="H114" s="310">
        <v>657.19505473755305</v>
      </c>
      <c r="I114" s="470">
        <v>7.3076017818792499E-2</v>
      </c>
      <c r="J114" s="439"/>
      <c r="K114">
        <f>2*K110</f>
        <v>100</v>
      </c>
      <c r="L114" s="470">
        <f t="shared" si="0"/>
        <v>1.1119380356258915E-2</v>
      </c>
      <c r="M114" s="388">
        <f t="shared" si="1"/>
        <v>6.1956637462533583E-2</v>
      </c>
    </row>
    <row r="115" spans="4:13" x14ac:dyDescent="0.2">
      <c r="D115" s="446" t="s">
        <v>607</v>
      </c>
      <c r="E115" s="446" t="s">
        <v>615</v>
      </c>
      <c r="F115" s="468" t="s">
        <v>609</v>
      </c>
      <c r="G115" s="469">
        <v>0.30606565590787255</v>
      </c>
      <c r="H115" s="310">
        <v>674.04033560004098</v>
      </c>
      <c r="I115" s="470">
        <v>1.7191716451982423E-2</v>
      </c>
      <c r="J115" s="439"/>
      <c r="K115">
        <f>2*K111</f>
        <v>160</v>
      </c>
      <c r="L115" s="470">
        <f t="shared" si="0"/>
        <v>4.0808754121049668E-3</v>
      </c>
      <c r="M115" s="388">
        <f t="shared" si="1"/>
        <v>1.3110841039877457E-2</v>
      </c>
    </row>
    <row r="116" spans="4:13" x14ac:dyDescent="0.2">
      <c r="D116" s="446" t="s">
        <v>607</v>
      </c>
      <c r="E116" s="446" t="s">
        <v>616</v>
      </c>
      <c r="F116" s="468" t="s">
        <v>609</v>
      </c>
      <c r="G116" s="447">
        <v>0.19479646671574941</v>
      </c>
      <c r="H116" s="310">
        <v>1827.9133051105114</v>
      </c>
      <c r="I116" s="448">
        <v>2.9672587774852932E-2</v>
      </c>
      <c r="J116" s="439"/>
      <c r="K116">
        <f>2*K112</f>
        <v>400</v>
      </c>
      <c r="L116" s="470">
        <f t="shared" si="0"/>
        <v>6.4932155571916471E-3</v>
      </c>
      <c r="M116" s="388">
        <f t="shared" si="1"/>
        <v>2.3179372217661285E-2</v>
      </c>
    </row>
    <row r="117" spans="4:13" x14ac:dyDescent="0.2">
      <c r="D117" s="460" t="s">
        <v>617</v>
      </c>
      <c r="E117" s="460"/>
      <c r="F117" s="460"/>
      <c r="G117" s="471">
        <v>52.927044325719905</v>
      </c>
      <c r="H117" s="472"/>
      <c r="I117" s="473">
        <v>0.52171551656556914</v>
      </c>
      <c r="J117" s="439"/>
      <c r="L117" s="470">
        <f>SUM(L109:L116)</f>
        <v>0.11806394726745061</v>
      </c>
      <c r="M117" s="388">
        <f>SUM(M109:M116)</f>
        <v>0.40365156929811857</v>
      </c>
    </row>
    <row r="118" spans="4:13" ht="16" x14ac:dyDescent="0.2">
      <c r="D118" s="461" t="s">
        <v>618</v>
      </c>
      <c r="E118" s="461"/>
      <c r="F118" s="461"/>
      <c r="G118" s="474"/>
      <c r="H118" s="474"/>
      <c r="I118" s="473">
        <v>0.5232005352986232</v>
      </c>
      <c r="J118" s="439"/>
    </row>
  </sheetData>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791</v>
      </c>
      <c r="G3"/>
      <c r="H3"/>
      <c r="I3"/>
    </row>
    <row r="4" spans="2:19" x14ac:dyDescent="0.2">
      <c r="G4"/>
      <c r="H4"/>
      <c r="I4"/>
    </row>
    <row r="5" spans="2:19" ht="16" x14ac:dyDescent="0.2">
      <c r="D5" s="438" t="s">
        <v>792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1.80925510881501E-2</v>
      </c>
      <c r="H8" s="310">
        <v>5891.2285000000011</v>
      </c>
      <c r="I8" s="448">
        <v>8.8822793840179909E-3</v>
      </c>
      <c r="J8" s="439"/>
      <c r="K8" s="446" t="s">
        <v>1</v>
      </c>
      <c r="L8" s="446" t="s">
        <v>535</v>
      </c>
      <c r="M8" s="446" t="s">
        <v>534</v>
      </c>
      <c r="N8" s="449">
        <v>0.35250320370079113</v>
      </c>
      <c r="O8" s="310">
        <v>15074.966039349869</v>
      </c>
      <c r="P8" s="388">
        <v>0.44283115204595463</v>
      </c>
      <c r="Q8" s="29">
        <f>'Assumptions-Output Target'!D17</f>
        <v>1018.5185313926721</v>
      </c>
      <c r="R8" s="388">
        <f>N8*Q8/12000</f>
        <v>2.991925377871181E-2</v>
      </c>
      <c r="S8" s="388">
        <f>P8-R8</f>
        <v>0.41291189826724284</v>
      </c>
    </row>
    <row r="9" spans="2:19" x14ac:dyDescent="0.2">
      <c r="D9" s="446" t="s">
        <v>1</v>
      </c>
      <c r="E9" s="446" t="s">
        <v>536</v>
      </c>
      <c r="F9" s="446" t="s">
        <v>534</v>
      </c>
      <c r="G9" s="447">
        <v>3.0154251813583502E-3</v>
      </c>
      <c r="H9" s="310">
        <v>9711.5</v>
      </c>
      <c r="I9" s="448">
        <v>2.4403584707301347E-3</v>
      </c>
      <c r="J9" s="439"/>
      <c r="K9" s="446" t="s">
        <v>462</v>
      </c>
      <c r="L9" s="446" t="s">
        <v>0</v>
      </c>
      <c r="M9" s="446" t="s">
        <v>537</v>
      </c>
      <c r="N9" s="449">
        <v>1.4437713876516849E-4</v>
      </c>
      <c r="O9" s="310">
        <v>249.00000000000003</v>
      </c>
      <c r="P9" s="388">
        <v>2.9958256293772463E-6</v>
      </c>
      <c r="Q9" s="29">
        <f>'Assumptions-Output Target'!E17</f>
        <v>254.62963284816803</v>
      </c>
      <c r="R9" s="388">
        <f>N9*Q9/12000</f>
        <v>3.0635581529536553E-6</v>
      </c>
      <c r="S9" s="388">
        <f>P9-R9</f>
        <v>-6.7732523576409023E-8</v>
      </c>
    </row>
    <row r="10" spans="2:19" x14ac:dyDescent="0.2">
      <c r="D10" s="446" t="s">
        <v>1</v>
      </c>
      <c r="E10" s="446" t="s">
        <v>46</v>
      </c>
      <c r="F10" s="446" t="s">
        <v>534</v>
      </c>
      <c r="G10" s="447">
        <v>0.27470523402174568</v>
      </c>
      <c r="H10" s="310">
        <v>13751.872799121844</v>
      </c>
      <c r="I10" s="448">
        <v>0.3148092862933371</v>
      </c>
      <c r="J10" s="439"/>
      <c r="K10" s="446" t="s">
        <v>462</v>
      </c>
      <c r="L10" s="446" t="s">
        <v>538</v>
      </c>
      <c r="M10" s="446" t="s">
        <v>539</v>
      </c>
      <c r="N10" s="449">
        <v>4.7614136593364904</v>
      </c>
      <c r="O10" s="310">
        <v>699.71933108948735</v>
      </c>
      <c r="P10" s="388">
        <v>0.27763776506260646</v>
      </c>
      <c r="Q10" s="29">
        <v>0</v>
      </c>
      <c r="R10" s="388">
        <f>N10*Q10/12000</f>
        <v>0</v>
      </c>
      <c r="S10" s="388">
        <f>P10-R10</f>
        <v>0.27763776506260646</v>
      </c>
    </row>
    <row r="11" spans="2:19" x14ac:dyDescent="0.2">
      <c r="D11" s="446" t="s">
        <v>1</v>
      </c>
      <c r="E11" s="446" t="s">
        <v>540</v>
      </c>
      <c r="F11" s="446" t="s">
        <v>534</v>
      </c>
      <c r="G11" s="447">
        <v>4.1914410020881067E-2</v>
      </c>
      <c r="H11" s="310">
        <v>32226.393309352501</v>
      </c>
      <c r="I11" s="448">
        <v>0.11256252188853159</v>
      </c>
      <c r="J11" s="439"/>
      <c r="K11" s="320" t="s">
        <v>463</v>
      </c>
      <c r="L11" s="450" t="s">
        <v>541</v>
      </c>
      <c r="M11" s="446" t="s">
        <v>539</v>
      </c>
      <c r="N11" s="449">
        <v>0.93570823633705702</v>
      </c>
      <c r="O11" s="310">
        <v>118.88051843851258</v>
      </c>
      <c r="P11" s="388">
        <v>9.2697900202446323E-3</v>
      </c>
      <c r="Q11" s="29">
        <f>'Assumptions-Output Target'!G17</f>
        <v>30.555555941780163</v>
      </c>
      <c r="R11" s="388">
        <f>N11*Q11/12000</f>
        <v>2.3825904467151167E-3</v>
      </c>
      <c r="S11" s="388">
        <f>P11-R11</f>
        <v>6.8871995735295156E-3</v>
      </c>
    </row>
    <row r="12" spans="2:19" x14ac:dyDescent="0.2">
      <c r="D12" s="446" t="s">
        <v>1</v>
      </c>
      <c r="E12" s="446" t="s">
        <v>542</v>
      </c>
      <c r="F12" s="446" t="s">
        <v>534</v>
      </c>
      <c r="G12" s="447">
        <v>6.0308503627167008E-4</v>
      </c>
      <c r="H12" s="310">
        <v>7759.9999999999982</v>
      </c>
      <c r="I12" s="448">
        <v>3.8999499012234659E-4</v>
      </c>
      <c r="J12" s="439"/>
      <c r="K12" s="320" t="s">
        <v>464</v>
      </c>
      <c r="L12" s="450" t="s">
        <v>541</v>
      </c>
      <c r="M12" s="446" t="s">
        <v>539</v>
      </c>
      <c r="N12" s="449">
        <v>9.016352315884772</v>
      </c>
      <c r="O12" s="310">
        <v>163.28723154523635</v>
      </c>
      <c r="P12" s="388">
        <v>0.1226879340247754</v>
      </c>
      <c r="Q12" s="29">
        <f>'Assumptions-Output Target'!H17</f>
        <v>55.000000695204292</v>
      </c>
      <c r="R12" s="388">
        <f>N12*Q12/12000</f>
        <v>4.1324948636822442E-2</v>
      </c>
      <c r="S12" s="388">
        <f>P12-R12</f>
        <v>8.136298538795296E-2</v>
      </c>
    </row>
    <row r="13" spans="2:19" x14ac:dyDescent="0.2">
      <c r="D13" s="446" t="s">
        <v>1</v>
      </c>
      <c r="E13" s="446" t="s">
        <v>543</v>
      </c>
      <c r="F13" s="446" t="s">
        <v>534</v>
      </c>
      <c r="G13" s="447">
        <v>1.0553988134754225E-2</v>
      </c>
      <c r="H13" s="310">
        <v>1126.7865714285715</v>
      </c>
      <c r="I13" s="448">
        <v>9.9100767543812808E-4</v>
      </c>
      <c r="J13" s="439"/>
      <c r="K13" s="446" t="s">
        <v>465</v>
      </c>
      <c r="P13" s="388">
        <f>I117</f>
        <v>0.74751058923071467</v>
      </c>
      <c r="R13" s="388">
        <f>L117</f>
        <v>0.10802846937292669</v>
      </c>
      <c r="S13" s="388">
        <f>M117</f>
        <v>0.6394821198577878</v>
      </c>
    </row>
    <row r="14" spans="2:19" x14ac:dyDescent="0.2">
      <c r="D14" s="446" t="s">
        <v>1</v>
      </c>
      <c r="E14" s="446" t="s">
        <v>544</v>
      </c>
      <c r="F14" s="446" t="s">
        <v>534</v>
      </c>
      <c r="G14" s="447">
        <v>2.1107976269508452E-3</v>
      </c>
      <c r="H14" s="310">
        <v>13676.552857142855</v>
      </c>
      <c r="I14" s="448">
        <v>2.4057029429770784E-3</v>
      </c>
      <c r="J14" s="439"/>
    </row>
    <row r="15" spans="2:19" x14ac:dyDescent="0.2">
      <c r="D15" s="446" t="s">
        <v>1</v>
      </c>
      <c r="E15" s="446" t="s">
        <v>545</v>
      </c>
      <c r="F15" s="446" t="s">
        <v>534</v>
      </c>
      <c r="G15" s="447">
        <v>1.2061700725433402E-3</v>
      </c>
      <c r="H15" s="310">
        <v>3432.0999999999995</v>
      </c>
      <c r="I15" s="448">
        <v>3.4497469216466641E-4</v>
      </c>
      <c r="J15" s="439"/>
      <c r="K15" s="446" t="s">
        <v>403</v>
      </c>
      <c r="P15" s="388">
        <f>SUM(P8:P13)</f>
        <v>1.5999402262099252</v>
      </c>
      <c r="R15" s="388">
        <f>SUM(R8:R13)</f>
        <v>0.18165832579332902</v>
      </c>
      <c r="S15" s="388">
        <f>SUM(S8:S13)</f>
        <v>1.4182819004165961</v>
      </c>
    </row>
    <row r="16" spans="2:19" x14ac:dyDescent="0.2">
      <c r="D16" s="451" t="s">
        <v>1</v>
      </c>
      <c r="E16" s="451" t="s">
        <v>546</v>
      </c>
      <c r="F16" s="451" t="s">
        <v>534</v>
      </c>
      <c r="G16" s="452">
        <v>3.0154251813583504E-4</v>
      </c>
      <c r="H16" s="453">
        <v>199.99999999999997</v>
      </c>
      <c r="I16" s="454">
        <v>5.0257086355972498E-6</v>
      </c>
      <c r="J16" s="439"/>
    </row>
    <row r="17" spans="4:10" ht="16" x14ac:dyDescent="0.2">
      <c r="D17" s="456" t="s">
        <v>547</v>
      </c>
      <c r="E17" s="456"/>
      <c r="F17" s="456"/>
      <c r="G17" s="457">
        <v>0.35250320370079113</v>
      </c>
      <c r="H17" s="458"/>
      <c r="I17" s="459">
        <v>0.44283115204595463</v>
      </c>
      <c r="J17" s="439"/>
    </row>
    <row r="18" spans="4:10" x14ac:dyDescent="0.2">
      <c r="D18" s="446" t="s">
        <v>462</v>
      </c>
      <c r="E18" s="446" t="s">
        <v>548</v>
      </c>
      <c r="F18" s="446" t="s">
        <v>537</v>
      </c>
      <c r="G18" s="447">
        <v>1.4437713876516849E-4</v>
      </c>
      <c r="H18" s="310">
        <v>249.00000000000003</v>
      </c>
      <c r="I18" s="448">
        <v>2.9958256293772463E-6</v>
      </c>
      <c r="J18" s="439"/>
    </row>
    <row r="19" spans="4:10" x14ac:dyDescent="0.2">
      <c r="D19" s="446" t="s">
        <v>462</v>
      </c>
      <c r="E19" s="446" t="s">
        <v>549</v>
      </c>
      <c r="F19" s="446" t="s">
        <v>537</v>
      </c>
      <c r="G19" s="447">
        <v>3.0030444863155047E-2</v>
      </c>
      <c r="H19" s="310">
        <v>451.09942307692262</v>
      </c>
      <c r="I19" s="448">
        <v>1.128893029376048E-3</v>
      </c>
      <c r="J19" s="439"/>
    </row>
    <row r="20" spans="4:10" x14ac:dyDescent="0.2">
      <c r="D20" s="446" t="s">
        <v>462</v>
      </c>
      <c r="E20" s="446" t="s">
        <v>550</v>
      </c>
      <c r="F20" s="446" t="s">
        <v>537</v>
      </c>
      <c r="G20" s="447">
        <v>0.48900536899762581</v>
      </c>
      <c r="H20" s="310">
        <v>238.23654266312363</v>
      </c>
      <c r="I20" s="448">
        <v>9.7082457044749496E-3</v>
      </c>
      <c r="J20" s="439"/>
    </row>
    <row r="21" spans="4:10" x14ac:dyDescent="0.2">
      <c r="D21" s="446" t="s">
        <v>462</v>
      </c>
      <c r="E21" s="446" t="s">
        <v>551</v>
      </c>
      <c r="F21" s="446" t="s">
        <v>537</v>
      </c>
      <c r="G21" s="447">
        <v>3.1185461973276398E-2</v>
      </c>
      <c r="H21" s="310">
        <v>188.53180555555559</v>
      </c>
      <c r="I21" s="448">
        <v>4.8995428774215987E-4</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2.3100342202426959E-3</v>
      </c>
      <c r="H23" s="310">
        <v>345.81250000000011</v>
      </c>
      <c r="I23" s="448">
        <v>6.6569892398973124E-5</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1.0106399713561795E-3</v>
      </c>
      <c r="H25" s="310">
        <v>-463.71857142857147</v>
      </c>
      <c r="I25" s="448">
        <v>-3.9054376978824997E-5</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9.0957597422056165E-3</v>
      </c>
      <c r="H46" s="310">
        <v>654.57333333333327</v>
      </c>
      <c r="I46" s="448">
        <v>4.9615348113788923E-4</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1.709291064606949</v>
      </c>
      <c r="H52" s="310">
        <v>759.61281926965819</v>
      </c>
      <c r="I52" s="448">
        <v>0.10819995037820999</v>
      </c>
      <c r="J52" s="439"/>
    </row>
    <row r="53" spans="4:10" x14ac:dyDescent="0.2">
      <c r="D53" s="446" t="s">
        <v>462</v>
      </c>
      <c r="E53" s="446" t="s">
        <v>584</v>
      </c>
      <c r="F53" s="446" t="s">
        <v>554</v>
      </c>
      <c r="G53" s="447">
        <v>9.4466019612089419E-2</v>
      </c>
      <c r="H53" s="310">
        <v>759.61281926965819</v>
      </c>
      <c r="I53" s="448">
        <v>5.9797999568935063E-3</v>
      </c>
      <c r="J53" s="439"/>
    </row>
    <row r="54" spans="4:10" x14ac:dyDescent="0.2">
      <c r="D54" s="446" t="s">
        <v>462</v>
      </c>
      <c r="E54" s="446" t="s">
        <v>585</v>
      </c>
      <c r="F54" s="446" t="s">
        <v>554</v>
      </c>
      <c r="G54" s="447">
        <v>0.41829101859457568</v>
      </c>
      <c r="H54" s="310">
        <v>759.61281926965819</v>
      </c>
      <c r="I54" s="448">
        <v>2.647826832581689E-2</v>
      </c>
      <c r="J54" s="439"/>
    </row>
    <row r="55" spans="4:10" x14ac:dyDescent="0.2">
      <c r="D55" s="446" t="s">
        <v>462</v>
      </c>
      <c r="E55" s="446" t="s">
        <v>586</v>
      </c>
      <c r="F55" s="446" t="s">
        <v>537</v>
      </c>
      <c r="G55" s="447">
        <v>0.22865337860243776</v>
      </c>
      <c r="H55" s="310">
        <v>759.6128192696583</v>
      </c>
      <c r="I55" s="448">
        <v>1.4474003129644192E-2</v>
      </c>
      <c r="J55" s="439"/>
    </row>
    <row r="56" spans="4:10" x14ac:dyDescent="0.2">
      <c r="D56" s="446" t="s">
        <v>462</v>
      </c>
      <c r="E56" s="446" t="s">
        <v>5</v>
      </c>
      <c r="F56" s="446" t="s">
        <v>537</v>
      </c>
      <c r="G56" s="447">
        <v>0.19607266305925616</v>
      </c>
      <c r="H56" s="310">
        <v>759.61281926965819</v>
      </c>
      <c r="I56" s="448">
        <v>1.2411609030679277E-2</v>
      </c>
      <c r="J56" s="439"/>
    </row>
    <row r="57" spans="4:10" x14ac:dyDescent="0.2">
      <c r="D57" s="446" t="s">
        <v>462</v>
      </c>
      <c r="E57" s="446" t="s">
        <v>587</v>
      </c>
      <c r="F57" s="446" t="s">
        <v>537</v>
      </c>
      <c r="G57" s="447">
        <v>0.51780717426371803</v>
      </c>
      <c r="H57" s="310">
        <v>759.61281926965819</v>
      </c>
      <c r="I57" s="448">
        <v>3.2777747290043173E-2</v>
      </c>
      <c r="J57" s="439"/>
    </row>
    <row r="58" spans="4:10" x14ac:dyDescent="0.2">
      <c r="D58" s="446" t="s">
        <v>462</v>
      </c>
      <c r="E58" s="446" t="s">
        <v>588</v>
      </c>
      <c r="F58" s="446" t="s">
        <v>537</v>
      </c>
      <c r="G58" s="447">
        <v>0.34978946075247613</v>
      </c>
      <c r="H58" s="310">
        <v>759.61281926965819</v>
      </c>
      <c r="I58" s="448">
        <v>2.2142046536083489E-2</v>
      </c>
      <c r="J58" s="439"/>
    </row>
    <row r="59" spans="4:10" x14ac:dyDescent="0.2">
      <c r="D59" s="446" t="s">
        <v>462</v>
      </c>
      <c r="E59" s="446" t="s">
        <v>589</v>
      </c>
      <c r="F59" s="446" t="s">
        <v>537</v>
      </c>
      <c r="G59" s="447">
        <v>0.13520950298744711</v>
      </c>
      <c r="H59" s="310">
        <v>759.61281926965808</v>
      </c>
      <c r="I59" s="448">
        <v>8.5589059796953304E-3</v>
      </c>
      <c r="J59" s="439"/>
    </row>
    <row r="60" spans="4:10" x14ac:dyDescent="0.2">
      <c r="D60" s="446" t="s">
        <v>462</v>
      </c>
      <c r="E60" s="446" t="s">
        <v>590</v>
      </c>
      <c r="F60" s="446" t="s">
        <v>537</v>
      </c>
      <c r="G60" s="447">
        <v>0.12905498689521802</v>
      </c>
      <c r="H60" s="310">
        <v>759.61281926965819</v>
      </c>
      <c r="I60" s="448">
        <v>8.1693185363571133E-3</v>
      </c>
      <c r="J60" s="439"/>
    </row>
    <row r="61" spans="4:10" x14ac:dyDescent="0.2">
      <c r="D61" s="446" t="s">
        <v>462</v>
      </c>
      <c r="E61" s="446" t="s">
        <v>591</v>
      </c>
      <c r="F61" s="446" t="s">
        <v>537</v>
      </c>
      <c r="G61" s="447">
        <v>0.21397785791372134</v>
      </c>
      <c r="H61" s="310">
        <v>759.6128192696583</v>
      </c>
      <c r="I61" s="448">
        <v>1.3545026992593686E-2</v>
      </c>
      <c r="J61" s="439"/>
    </row>
    <row r="62" spans="4:10" x14ac:dyDescent="0.2">
      <c r="D62" s="446" t="s">
        <v>462</v>
      </c>
      <c r="E62" s="446" t="s">
        <v>592</v>
      </c>
      <c r="F62" s="446" t="s">
        <v>537</v>
      </c>
      <c r="G62" s="447">
        <v>0.2061628222807407</v>
      </c>
      <c r="H62" s="310">
        <v>759.6128192696583</v>
      </c>
      <c r="I62" s="448">
        <v>1.3050326888438581E-2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4.7615580364752557</v>
      </c>
      <c r="H64" s="463"/>
      <c r="I64" s="464">
        <v>0.27764076088823586</v>
      </c>
      <c r="J64" s="439"/>
    </row>
    <row r="65" spans="4:10" x14ac:dyDescent="0.2">
      <c r="D65" s="446" t="s">
        <v>595</v>
      </c>
      <c r="E65" s="446" t="s">
        <v>596</v>
      </c>
      <c r="F65" s="446" t="s">
        <v>554</v>
      </c>
      <c r="G65" s="447">
        <v>1.732525665182022E-3</v>
      </c>
      <c r="H65" s="310">
        <v>136.16666666666669</v>
      </c>
      <c r="I65" s="448">
        <v>1.965935372852378E-5</v>
      </c>
      <c r="J65" s="439"/>
    </row>
    <row r="66" spans="4:10" x14ac:dyDescent="0.2">
      <c r="D66" s="446" t="s">
        <v>595</v>
      </c>
      <c r="E66" s="446" t="s">
        <v>563</v>
      </c>
      <c r="F66" s="446" t="s">
        <v>554</v>
      </c>
      <c r="G66" s="447">
        <v>1.1405793962448311E-2</v>
      </c>
      <c r="H66" s="310">
        <v>197.44227848101266</v>
      </c>
      <c r="I66" s="448">
        <v>1.8766549565256437E-4</v>
      </c>
      <c r="J66" s="439"/>
    </row>
    <row r="67" spans="4:10" x14ac:dyDescent="0.2">
      <c r="D67" s="446" t="s">
        <v>595</v>
      </c>
      <c r="E67" s="446" t="s">
        <v>564</v>
      </c>
      <c r="F67" s="446" t="s">
        <v>554</v>
      </c>
      <c r="G67" s="447">
        <v>4.4901290155967402E-2</v>
      </c>
      <c r="H67" s="310">
        <v>169.66938906752415</v>
      </c>
      <c r="I67" s="448">
        <v>6.3486453909221874E-4</v>
      </c>
      <c r="J67" s="439"/>
    </row>
    <row r="68" spans="4:10" x14ac:dyDescent="0.2">
      <c r="D68" s="446" t="s">
        <v>595</v>
      </c>
      <c r="E68" s="446" t="s">
        <v>597</v>
      </c>
      <c r="F68" s="446" t="s">
        <v>554</v>
      </c>
      <c r="G68" s="447">
        <v>1.732525665182022E-3</v>
      </c>
      <c r="H68" s="310">
        <v>93.666666666666657</v>
      </c>
      <c r="I68" s="448">
        <v>1.3523325331004116E-5</v>
      </c>
      <c r="J68" s="439"/>
    </row>
    <row r="69" spans="4:10" x14ac:dyDescent="0.2">
      <c r="D69" s="446" t="s">
        <v>595</v>
      </c>
      <c r="E69" s="446" t="s">
        <v>572</v>
      </c>
      <c r="F69" s="446" t="s">
        <v>554</v>
      </c>
      <c r="G69" s="447">
        <v>5.7750855506067398E-4</v>
      </c>
      <c r="H69" s="310">
        <v>118.00000000000003</v>
      </c>
      <c r="I69" s="448">
        <v>5.6788341247632947E-6</v>
      </c>
      <c r="J69" s="439"/>
    </row>
    <row r="70" spans="4:10" x14ac:dyDescent="0.2">
      <c r="D70" s="446" t="s">
        <v>595</v>
      </c>
      <c r="E70" s="446" t="s">
        <v>567</v>
      </c>
      <c r="F70" s="446" t="s">
        <v>554</v>
      </c>
      <c r="G70" s="447">
        <v>2.7431656365382016E-3</v>
      </c>
      <c r="H70" s="310">
        <v>95.734736842105278</v>
      </c>
      <c r="I70" s="448">
        <v>2.1884686694024244E-5</v>
      </c>
      <c r="J70" s="439"/>
    </row>
    <row r="71" spans="4:10" x14ac:dyDescent="0.2">
      <c r="D71" s="446" t="s">
        <v>595</v>
      </c>
      <c r="E71" s="446" t="s">
        <v>568</v>
      </c>
      <c r="F71" s="446" t="s">
        <v>554</v>
      </c>
      <c r="G71" s="447">
        <v>5.3419541343112352E-3</v>
      </c>
      <c r="H71" s="310">
        <v>319.05405405405406</v>
      </c>
      <c r="I71" s="448">
        <v>1.4203101026023454E-4</v>
      </c>
      <c r="J71" s="439"/>
    </row>
    <row r="72" spans="4:10" x14ac:dyDescent="0.2">
      <c r="D72" s="446" t="s">
        <v>595</v>
      </c>
      <c r="E72" s="446" t="s">
        <v>548</v>
      </c>
      <c r="F72" s="446" t="s">
        <v>554</v>
      </c>
      <c r="G72" s="447">
        <v>0.16949876091030783</v>
      </c>
      <c r="H72" s="310">
        <v>273.85818568994887</v>
      </c>
      <c r="I72" s="448">
        <v>3.8682185949659438E-3</v>
      </c>
      <c r="J72" s="439"/>
    </row>
    <row r="73" spans="4:10" x14ac:dyDescent="0.2">
      <c r="D73" s="446" t="s">
        <v>595</v>
      </c>
      <c r="E73" s="446" t="s">
        <v>598</v>
      </c>
      <c r="F73" s="446" t="s">
        <v>554</v>
      </c>
      <c r="G73" s="447">
        <v>4.9088227180157295E-3</v>
      </c>
      <c r="H73" s="310">
        <v>132.40529411764703</v>
      </c>
      <c r="I73" s="448">
        <v>5.4162842979188353E-5</v>
      </c>
      <c r="J73" s="439"/>
    </row>
    <row r="74" spans="4:10" x14ac:dyDescent="0.2">
      <c r="D74" s="446" t="s">
        <v>595</v>
      </c>
      <c r="E74" s="446" t="s">
        <v>549</v>
      </c>
      <c r="F74" s="446" t="s">
        <v>554</v>
      </c>
      <c r="G74" s="447">
        <v>0.3762468236220291</v>
      </c>
      <c r="H74" s="310">
        <v>91.708841135840402</v>
      </c>
      <c r="I74" s="448">
        <v>2.8754300146181023E-3</v>
      </c>
      <c r="J74" s="439"/>
    </row>
    <row r="75" spans="4:10" x14ac:dyDescent="0.2">
      <c r="D75" s="446" t="s">
        <v>595</v>
      </c>
      <c r="E75" s="446" t="s">
        <v>571</v>
      </c>
      <c r="F75" s="446" t="s">
        <v>554</v>
      </c>
      <c r="G75" s="447">
        <v>7.5076112157887618E-3</v>
      </c>
      <c r="H75" s="310">
        <v>151.97461538461539</v>
      </c>
      <c r="I75" s="448">
        <v>9.5080527248060157E-5</v>
      </c>
      <c r="J75" s="439"/>
    </row>
    <row r="76" spans="4:10" x14ac:dyDescent="0.2">
      <c r="D76" s="446" t="s">
        <v>595</v>
      </c>
      <c r="E76" s="446" t="s">
        <v>561</v>
      </c>
      <c r="F76" s="446" t="s">
        <v>554</v>
      </c>
      <c r="G76" s="447">
        <v>1.1405793962448313E-2</v>
      </c>
      <c r="H76" s="310">
        <v>233.30531645569619</v>
      </c>
      <c r="I76" s="448">
        <v>2.2175269748645607E-4</v>
      </c>
      <c r="J76" s="439"/>
    </row>
    <row r="77" spans="4:10" x14ac:dyDescent="0.2">
      <c r="D77" s="446" t="s">
        <v>595</v>
      </c>
      <c r="E77" s="446" t="s">
        <v>599</v>
      </c>
      <c r="F77" s="446" t="s">
        <v>554</v>
      </c>
      <c r="G77" s="447">
        <v>1.6704434955129994</v>
      </c>
      <c r="H77" s="310">
        <v>240.96860501296453</v>
      </c>
      <c r="I77" s="448">
        <v>3.3543703238895647E-2</v>
      </c>
      <c r="J77" s="439"/>
    </row>
    <row r="78" spans="4:10" x14ac:dyDescent="0.2">
      <c r="D78" s="446" t="s">
        <v>595</v>
      </c>
      <c r="E78" s="446" t="s">
        <v>600</v>
      </c>
      <c r="F78" s="446" t="s">
        <v>554</v>
      </c>
      <c r="G78" s="447">
        <v>5.0531998567808975E-3</v>
      </c>
      <c r="H78" s="310">
        <v>66.129714285714286</v>
      </c>
      <c r="I78" s="448">
        <v>2.7847221896461091E-5</v>
      </c>
      <c r="J78" s="439"/>
    </row>
    <row r="79" spans="4:10" x14ac:dyDescent="0.2">
      <c r="D79" s="446" t="s">
        <v>595</v>
      </c>
      <c r="E79" s="446" t="s">
        <v>555</v>
      </c>
      <c r="F79" s="446" t="s">
        <v>554</v>
      </c>
      <c r="G79" s="447">
        <v>0.25020558148003702</v>
      </c>
      <c r="H79" s="310">
        <v>97.955689555683776</v>
      </c>
      <c r="I79" s="448">
        <v>2.0424216887131542E-3</v>
      </c>
      <c r="J79" s="439"/>
    </row>
    <row r="80" spans="4:10" x14ac:dyDescent="0.2">
      <c r="D80" s="446" t="s">
        <v>595</v>
      </c>
      <c r="E80" s="446" t="s">
        <v>552</v>
      </c>
      <c r="F80" s="446" t="s">
        <v>554</v>
      </c>
      <c r="G80" s="447">
        <v>1.2272056795039323E-2</v>
      </c>
      <c r="H80" s="310">
        <v>326.44611764705883</v>
      </c>
      <c r="I80" s="448">
        <v>3.3384710802373288E-4</v>
      </c>
      <c r="J80" s="439"/>
    </row>
    <row r="81" spans="4:10" x14ac:dyDescent="0.2">
      <c r="D81" s="446" t="s">
        <v>595</v>
      </c>
      <c r="E81" s="446" t="s">
        <v>581</v>
      </c>
      <c r="F81" s="446" t="s">
        <v>554</v>
      </c>
      <c r="G81" s="447">
        <v>1.5435359905384167</v>
      </c>
      <c r="H81" s="310">
        <v>216.87656159386393</v>
      </c>
      <c r="I81" s="448">
        <v>2.7896398193695892E-2</v>
      </c>
      <c r="J81" s="439"/>
    </row>
    <row r="82" spans="4:10" x14ac:dyDescent="0.2">
      <c r="D82" s="446" t="s">
        <v>595</v>
      </c>
      <c r="E82" s="446" t="s">
        <v>574</v>
      </c>
      <c r="F82" s="446" t="s">
        <v>554</v>
      </c>
      <c r="G82" s="447">
        <v>7.5076112157887618E-3</v>
      </c>
      <c r="H82" s="310">
        <v>338.43942307692311</v>
      </c>
      <c r="I82" s="448">
        <v>2.117393007131155E-4</v>
      </c>
      <c r="J82" s="439"/>
    </row>
    <row r="83" spans="4:10" x14ac:dyDescent="0.2">
      <c r="D83" s="446" t="s">
        <v>595</v>
      </c>
      <c r="E83" s="446" t="s">
        <v>601</v>
      </c>
      <c r="F83" s="446" t="s">
        <v>554</v>
      </c>
      <c r="G83" s="447">
        <v>4.3890650184611225E-2</v>
      </c>
      <c r="H83" s="310">
        <v>352.61388157894737</v>
      </c>
      <c r="I83" s="448">
        <v>1.2897043772182922E-3</v>
      </c>
      <c r="J83" s="439"/>
    </row>
    <row r="84" spans="4:10" x14ac:dyDescent="0.2">
      <c r="D84" s="446" t="s">
        <v>595</v>
      </c>
      <c r="E84" s="446" t="s">
        <v>559</v>
      </c>
      <c r="F84" s="446" t="s">
        <v>554</v>
      </c>
      <c r="G84" s="447">
        <v>8.2150591957380892E-2</v>
      </c>
      <c r="H84" s="310">
        <v>229.04666080843583</v>
      </c>
      <c r="I84" s="448">
        <v>1.5680265642728699E-3</v>
      </c>
      <c r="J84" s="439"/>
    </row>
    <row r="85" spans="4:10" x14ac:dyDescent="0.2">
      <c r="D85" s="446" t="s">
        <v>595</v>
      </c>
      <c r="E85" s="446" t="s">
        <v>573</v>
      </c>
      <c r="F85" s="446" t="s">
        <v>554</v>
      </c>
      <c r="G85" s="447">
        <v>1.2127679656274155E-2</v>
      </c>
      <c r="H85" s="310">
        <v>72.463928571428568</v>
      </c>
      <c r="I85" s="448">
        <v>7.3234942695784807E-5</v>
      </c>
      <c r="J85" s="439"/>
    </row>
    <row r="86" spans="4:10" x14ac:dyDescent="0.2">
      <c r="D86" s="446" t="s">
        <v>595</v>
      </c>
      <c r="E86" s="446" t="s">
        <v>562</v>
      </c>
      <c r="F86" s="446" t="s">
        <v>554</v>
      </c>
      <c r="G86" s="447">
        <v>7.9407426320842675E-3</v>
      </c>
      <c r="H86" s="310">
        <v>99.008181818181825</v>
      </c>
      <c r="I86" s="448">
        <v>6.5516540857398907E-5</v>
      </c>
      <c r="J86" s="439"/>
    </row>
    <row r="87" spans="4:10" x14ac:dyDescent="0.2">
      <c r="D87" s="446" t="s">
        <v>595</v>
      </c>
      <c r="E87" s="446" t="s">
        <v>550</v>
      </c>
      <c r="F87" s="446" t="s">
        <v>554</v>
      </c>
      <c r="G87" s="447">
        <v>1.5452685162035986</v>
      </c>
      <c r="H87" s="310">
        <v>328.0046874708035</v>
      </c>
      <c r="I87" s="448">
        <v>4.2237943059652804E-2</v>
      </c>
      <c r="J87" s="439"/>
    </row>
    <row r="88" spans="4:10" x14ac:dyDescent="0.2">
      <c r="D88" s="446" t="s">
        <v>595</v>
      </c>
      <c r="E88" s="446" t="s">
        <v>579</v>
      </c>
      <c r="F88" s="446" t="s">
        <v>554</v>
      </c>
      <c r="G88" s="447">
        <v>6.3525941056674145E-3</v>
      </c>
      <c r="H88" s="310">
        <v>172.99159090909089</v>
      </c>
      <c r="I88" s="448">
        <v>9.1578780061593292E-5</v>
      </c>
      <c r="J88" s="439"/>
    </row>
    <row r="89" spans="4:10" x14ac:dyDescent="0.2">
      <c r="D89" s="446" t="s">
        <v>595</v>
      </c>
      <c r="E89" s="446" t="s">
        <v>556</v>
      </c>
      <c r="F89" s="446" t="s">
        <v>554</v>
      </c>
      <c r="G89" s="447">
        <v>2.88754277530337E-3</v>
      </c>
      <c r="H89" s="310">
        <v>133.05199999999999</v>
      </c>
      <c r="I89" s="448">
        <v>3.2016111778305334E-5</v>
      </c>
      <c r="J89" s="439"/>
    </row>
    <row r="90" spans="4:10" x14ac:dyDescent="0.2">
      <c r="D90" s="446" t="s">
        <v>595</v>
      </c>
      <c r="E90" s="446" t="s">
        <v>602</v>
      </c>
      <c r="F90" s="446" t="s">
        <v>554</v>
      </c>
      <c r="G90" s="447">
        <v>9.2401368809707837E-3</v>
      </c>
      <c r="H90" s="310">
        <v>158.06734375000002</v>
      </c>
      <c r="I90" s="448">
        <v>1.217136577217885E-4</v>
      </c>
      <c r="J90" s="439"/>
    </row>
    <row r="91" spans="4:10" x14ac:dyDescent="0.2">
      <c r="D91" s="446" t="s">
        <v>595</v>
      </c>
      <c r="E91" s="446" t="s">
        <v>577</v>
      </c>
      <c r="F91" s="446" t="s">
        <v>554</v>
      </c>
      <c r="G91" s="447">
        <v>0.39241706316372799</v>
      </c>
      <c r="H91" s="310">
        <v>112.25532008830025</v>
      </c>
      <c r="I91" s="448">
        <v>3.6709085861295855E-3</v>
      </c>
      <c r="J91" s="439"/>
    </row>
    <row r="92" spans="4:10" x14ac:dyDescent="0.2">
      <c r="D92" s="446" t="s">
        <v>595</v>
      </c>
      <c r="E92" s="446" t="s">
        <v>576</v>
      </c>
      <c r="F92" s="446" t="s">
        <v>554</v>
      </c>
      <c r="G92" s="447">
        <v>0.22710523927761006</v>
      </c>
      <c r="H92" s="310">
        <v>147.09894469167199</v>
      </c>
      <c r="I92" s="448">
        <v>2.7839117526405077E-3</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4.331314162955055E-3</v>
      </c>
      <c r="H94" s="310">
        <v>171.63566666666665</v>
      </c>
      <c r="I94" s="448">
        <v>6.1950666158463842E-5</v>
      </c>
      <c r="J94" s="439"/>
    </row>
    <row r="95" spans="4:10" x14ac:dyDescent="0.2">
      <c r="D95" s="446" t="s">
        <v>595</v>
      </c>
      <c r="E95" s="446" t="s">
        <v>582</v>
      </c>
      <c r="F95" s="446" t="s">
        <v>554</v>
      </c>
      <c r="G95" s="447">
        <v>1.4437713876516849E-4</v>
      </c>
      <c r="H95" s="310">
        <v>147</v>
      </c>
      <c r="I95" s="448">
        <v>1.7686199498733142E-6</v>
      </c>
      <c r="J95" s="439"/>
    </row>
    <row r="96" spans="4:10" x14ac:dyDescent="0.2">
      <c r="D96" s="446" t="s">
        <v>595</v>
      </c>
      <c r="E96" s="446" t="s">
        <v>565</v>
      </c>
      <c r="F96" s="446" t="s">
        <v>554</v>
      </c>
      <c r="G96" s="447">
        <v>8.4171871900093231E-2</v>
      </c>
      <c r="H96" s="310">
        <v>82.247324185248715</v>
      </c>
      <c r="I96" s="448">
        <v>5.7690926962051625E-4</v>
      </c>
      <c r="J96" s="439"/>
    </row>
    <row r="97" spans="4:13" x14ac:dyDescent="0.2">
      <c r="D97" s="446" t="s">
        <v>595</v>
      </c>
      <c r="E97" s="446" t="s">
        <v>604</v>
      </c>
      <c r="F97" s="446" t="s">
        <v>554</v>
      </c>
      <c r="G97" s="447">
        <v>5.1975769955460664E-3</v>
      </c>
      <c r="H97" s="310">
        <v>145.36666666666665</v>
      </c>
      <c r="I97" s="448">
        <v>6.296287021548997E-5</v>
      </c>
      <c r="J97" s="439"/>
    </row>
    <row r="98" spans="4:13" x14ac:dyDescent="0.2">
      <c r="D98" s="446" t="s">
        <v>595</v>
      </c>
      <c r="E98" s="446" t="s">
        <v>569</v>
      </c>
      <c r="F98" s="446" t="s">
        <v>554</v>
      </c>
      <c r="G98" s="447">
        <v>2.9452936308094375E-2</v>
      </c>
      <c r="H98" s="310">
        <v>147.19495098039215</v>
      </c>
      <c r="I98" s="448">
        <v>3.6127695967488031E-4</v>
      </c>
      <c r="J98" s="439"/>
    </row>
    <row r="99" spans="4:13" x14ac:dyDescent="0.2">
      <c r="D99" s="446" t="s">
        <v>595</v>
      </c>
      <c r="E99" s="446" t="s">
        <v>553</v>
      </c>
      <c r="F99" s="446" t="s">
        <v>554</v>
      </c>
      <c r="G99" s="447">
        <v>0.11882238520373364</v>
      </c>
      <c r="H99" s="310">
        <v>281.99091130012164</v>
      </c>
      <c r="I99" s="448">
        <v>2.7922360572045783E-3</v>
      </c>
      <c r="J99" s="439"/>
    </row>
    <row r="100" spans="4:13" x14ac:dyDescent="0.2">
      <c r="D100" s="446" t="s">
        <v>595</v>
      </c>
      <c r="E100" s="446" t="s">
        <v>570</v>
      </c>
      <c r="F100" s="446" t="s">
        <v>554</v>
      </c>
      <c r="G100" s="447">
        <v>5.6307084118415712E-3</v>
      </c>
      <c r="H100" s="310">
        <v>95.646923076923102</v>
      </c>
      <c r="I100" s="448">
        <v>4.4879994527999547E-5</v>
      </c>
      <c r="J100" s="439"/>
    </row>
    <row r="101" spans="4:13" x14ac:dyDescent="0.2">
      <c r="D101" s="446" t="s">
        <v>595</v>
      </c>
      <c r="E101" s="446" t="s">
        <v>551</v>
      </c>
      <c r="F101" s="446" t="s">
        <v>554</v>
      </c>
      <c r="G101" s="447">
        <v>4.9376981457687631E-2</v>
      </c>
      <c r="H101" s="310">
        <v>107.28485380116959</v>
      </c>
      <c r="I101" s="448">
        <v>4.4145018640258989E-4</v>
      </c>
      <c r="J101" s="439"/>
    </row>
    <row r="102" spans="4:13" x14ac:dyDescent="0.2">
      <c r="D102" s="446" t="s">
        <v>595</v>
      </c>
      <c r="E102" s="446" t="s">
        <v>578</v>
      </c>
      <c r="F102" s="446" t="s">
        <v>554</v>
      </c>
      <c r="G102" s="447">
        <v>4.0425598854247182E-3</v>
      </c>
      <c r="H102" s="310">
        <v>119.28285714285715</v>
      </c>
      <c r="I102" s="448">
        <v>4.0184007775380139E-5</v>
      </c>
      <c r="J102" s="439"/>
    </row>
    <row r="103" spans="4:13" x14ac:dyDescent="0.2">
      <c r="D103" s="446" t="s">
        <v>595</v>
      </c>
      <c r="E103" s="446" t="s">
        <v>560</v>
      </c>
      <c r="F103" s="446" t="s">
        <v>554</v>
      </c>
      <c r="G103" s="447">
        <v>1.443771387651685E-3</v>
      </c>
      <c r="H103" s="310">
        <v>90.09</v>
      </c>
      <c r="I103" s="448">
        <v>1.0839113692795025E-5</v>
      </c>
      <c r="J103" s="439"/>
    </row>
    <row r="104" spans="4:13" x14ac:dyDescent="0.2">
      <c r="D104" s="446" t="s">
        <v>595</v>
      </c>
      <c r="E104" s="446" t="s">
        <v>575</v>
      </c>
      <c r="F104" s="446" t="s">
        <v>554</v>
      </c>
      <c r="G104" s="447">
        <v>4.7644455792505607E-3</v>
      </c>
      <c r="H104" s="310">
        <v>15.495454545454546</v>
      </c>
      <c r="I104" s="448">
        <v>6.152270825630743E-6</v>
      </c>
      <c r="J104" s="439"/>
    </row>
    <row r="105" spans="4:13" x14ac:dyDescent="0.2">
      <c r="D105" s="446" t="s">
        <v>595</v>
      </c>
      <c r="E105" s="446" t="s">
        <v>566</v>
      </c>
      <c r="F105" s="446" t="s">
        <v>554</v>
      </c>
      <c r="G105" s="447">
        <v>7.8829917765781993E-2</v>
      </c>
      <c r="H105" s="310">
        <v>507.60184981684625</v>
      </c>
      <c r="I105" s="448">
        <v>3.3345176732350679E-3</v>
      </c>
      <c r="J105" s="439"/>
    </row>
    <row r="106" spans="4:13" x14ac:dyDescent="0.2">
      <c r="D106" s="446" t="s">
        <v>595</v>
      </c>
      <c r="E106" s="446" t="s">
        <v>580</v>
      </c>
      <c r="F106" s="446" t="s">
        <v>554</v>
      </c>
      <c r="G106" s="447">
        <v>4.33131416295506E-4</v>
      </c>
      <c r="H106" s="310">
        <v>150.75000000000003</v>
      </c>
      <c r="I106" s="448">
        <v>7.2549512229497182E-6</v>
      </c>
      <c r="J106" s="439"/>
    </row>
    <row r="107" spans="4:13" x14ac:dyDescent="0.2">
      <c r="D107" s="451" t="s">
        <v>595</v>
      </c>
      <c r="E107" s="451" t="s">
        <v>558</v>
      </c>
      <c r="F107" s="451" t="s">
        <v>554</v>
      </c>
      <c r="G107" s="452">
        <v>3.1088729290303725</v>
      </c>
      <c r="H107" s="310">
        <v>0.32762364742488287</v>
      </c>
      <c r="I107" s="454">
        <v>8.4878357365784137E-5</v>
      </c>
      <c r="J107" s="439"/>
    </row>
    <row r="108" spans="4:13" ht="16" x14ac:dyDescent="0.2">
      <c r="D108" s="461" t="s">
        <v>605</v>
      </c>
      <c r="E108" s="460"/>
      <c r="F108" s="460"/>
      <c r="G108" s="465">
        <v>9.9520605522218286</v>
      </c>
      <c r="H108" s="466"/>
      <c r="I108" s="467">
        <v>0.13195772404502004</v>
      </c>
      <c r="J108" s="439"/>
      <c r="K108" s="313" t="s">
        <v>311</v>
      </c>
      <c r="L108" s="313" t="s">
        <v>606</v>
      </c>
      <c r="M108" s="313" t="s">
        <v>528</v>
      </c>
    </row>
    <row r="109" spans="4:13" x14ac:dyDescent="0.2">
      <c r="D109" s="446" t="s">
        <v>607</v>
      </c>
      <c r="E109" s="446" t="s">
        <v>608</v>
      </c>
      <c r="F109" s="468" t="s">
        <v>609</v>
      </c>
      <c r="G109" s="469">
        <v>32.572019723996625</v>
      </c>
      <c r="H109" s="310">
        <v>63.209930662654287</v>
      </c>
      <c r="I109" s="470">
        <v>0.17157292569136953</v>
      </c>
      <c r="J109" s="439"/>
      <c r="K109">
        <f>'Assumptions-Output Target'!$J$17</f>
        <v>10.185185313926722</v>
      </c>
      <c r="L109" s="470">
        <f>G109*K109/12000</f>
        <v>2.7646004744815163E-2</v>
      </c>
      <c r="M109" s="388">
        <f>I109-L109</f>
        <v>0.14392692094655438</v>
      </c>
    </row>
    <row r="110" spans="4:13" x14ac:dyDescent="0.2">
      <c r="D110" s="446" t="s">
        <v>607</v>
      </c>
      <c r="E110" s="446" t="s">
        <v>610</v>
      </c>
      <c r="F110" s="468" t="s">
        <v>609</v>
      </c>
      <c r="G110" s="469">
        <v>1.0231337640348881</v>
      </c>
      <c r="H110" s="310">
        <v>334.87689203288011</v>
      </c>
      <c r="I110" s="470">
        <v>2.8551987919492119E-2</v>
      </c>
      <c r="J110" s="439"/>
      <c r="K110">
        <f>'Assumptions-Output Target'!$K$17</f>
        <v>50.92592656963361</v>
      </c>
      <c r="L110" s="470">
        <f t="shared" ref="L110:L116" si="0">G110*K110/12000</f>
        <v>4.342002911512796E-3</v>
      </c>
      <c r="M110" s="388">
        <f t="shared" ref="M110:M116" si="1">I110-L110</f>
        <v>2.4209985007979322E-2</v>
      </c>
    </row>
    <row r="111" spans="4:13" x14ac:dyDescent="0.2">
      <c r="D111" s="446" t="s">
        <v>607</v>
      </c>
      <c r="E111" s="446" t="s">
        <v>611</v>
      </c>
      <c r="F111" s="468" t="s">
        <v>609</v>
      </c>
      <c r="G111" s="469">
        <v>0.94955738960974445</v>
      </c>
      <c r="H111" s="310">
        <v>377.26447461795033</v>
      </c>
      <c r="I111" s="470">
        <v>2.9852855809226052E-2</v>
      </c>
      <c r="J111" s="439"/>
      <c r="K111">
        <f>'Assumptions-Output Target'!$L$17</f>
        <v>81.481482511413773</v>
      </c>
      <c r="L111" s="470">
        <f t="shared" si="0"/>
        <v>6.4476119862558424E-3</v>
      </c>
      <c r="M111" s="388">
        <f t="shared" si="1"/>
        <v>2.3405243822970209E-2</v>
      </c>
    </row>
    <row r="112" spans="4:13" x14ac:dyDescent="0.2">
      <c r="D112" s="446" t="s">
        <v>607</v>
      </c>
      <c r="E112" s="446" t="s">
        <v>612</v>
      </c>
      <c r="F112" s="468" t="s">
        <v>609</v>
      </c>
      <c r="G112" s="469">
        <v>2.7093595254504774</v>
      </c>
      <c r="H112" s="310">
        <v>1664.7009862007319</v>
      </c>
      <c r="I112" s="470">
        <v>0.37585612283247971</v>
      </c>
      <c r="J112" s="439"/>
      <c r="K112">
        <f>'Assumptions-Output Target'!$M$17</f>
        <v>203.70370627853444</v>
      </c>
      <c r="L112" s="470">
        <f t="shared" si="0"/>
        <v>4.5992214747942795E-2</v>
      </c>
      <c r="M112" s="388">
        <f t="shared" si="1"/>
        <v>0.32986390808453692</v>
      </c>
    </row>
    <row r="113" spans="4:13" x14ac:dyDescent="0.2">
      <c r="D113" s="446" t="s">
        <v>607</v>
      </c>
      <c r="E113" s="446" t="s">
        <v>613</v>
      </c>
      <c r="F113" s="468" t="s">
        <v>609</v>
      </c>
      <c r="G113" s="469">
        <v>4.0192602242325446</v>
      </c>
      <c r="H113" s="310">
        <v>151.98599304880585</v>
      </c>
      <c r="I113" s="470">
        <v>5.090593804179578E-2</v>
      </c>
      <c r="J113" s="439"/>
      <c r="K113">
        <f>2*K109</f>
        <v>20.370370627853443</v>
      </c>
      <c r="L113" s="470">
        <f t="shared" si="0"/>
        <v>6.8228183681171891E-3</v>
      </c>
      <c r="M113" s="388">
        <f t="shared" si="1"/>
        <v>4.4083119673678589E-2</v>
      </c>
    </row>
    <row r="114" spans="4:13" x14ac:dyDescent="0.2">
      <c r="D114" s="446" t="s">
        <v>607</v>
      </c>
      <c r="E114" s="446" t="s">
        <v>614</v>
      </c>
      <c r="F114" s="468" t="s">
        <v>609</v>
      </c>
      <c r="G114" s="469">
        <v>0.10282599868431973</v>
      </c>
      <c r="H114" s="310">
        <v>589.79656132240382</v>
      </c>
      <c r="I114" s="470">
        <v>5.0538683698794825E-3</v>
      </c>
      <c r="J114" s="439"/>
      <c r="K114">
        <f>2*K110</f>
        <v>101.85185313926722</v>
      </c>
      <c r="L114" s="470">
        <f t="shared" si="0"/>
        <v>8.7275154307448486E-4</v>
      </c>
      <c r="M114" s="388">
        <f t="shared" si="1"/>
        <v>4.1811168268049981E-3</v>
      </c>
    </row>
    <row r="115" spans="4:13" x14ac:dyDescent="0.2">
      <c r="D115" s="446" t="s">
        <v>607</v>
      </c>
      <c r="E115" s="446" t="s">
        <v>615</v>
      </c>
      <c r="F115" s="468" t="s">
        <v>609</v>
      </c>
      <c r="G115" s="469">
        <v>8.2622649969218795E-2</v>
      </c>
      <c r="H115" s="310">
        <v>606.70672686480236</v>
      </c>
      <c r="I115" s="470">
        <v>4.1773097939767495E-3</v>
      </c>
      <c r="J115" s="439"/>
      <c r="K115">
        <f>2*K111</f>
        <v>162.96296502282755</v>
      </c>
      <c r="L115" s="470">
        <f t="shared" si="0"/>
        <v>1.1220360014189271E-3</v>
      </c>
      <c r="M115" s="388">
        <f t="shared" si="1"/>
        <v>3.0552737925578222E-3</v>
      </c>
    </row>
    <row r="116" spans="4:13" x14ac:dyDescent="0.2">
      <c r="D116" s="446" t="s">
        <v>607</v>
      </c>
      <c r="E116" s="446" t="s">
        <v>616</v>
      </c>
      <c r="F116" s="468" t="s">
        <v>609</v>
      </c>
      <c r="G116" s="447">
        <v>0.43542739618814574</v>
      </c>
      <c r="H116" s="310">
        <v>2247.1598659978376</v>
      </c>
      <c r="I116" s="448">
        <v>8.1539580772495082E-2</v>
      </c>
      <c r="J116" s="439"/>
      <c r="K116">
        <f>2*K112</f>
        <v>407.40741255706888</v>
      </c>
      <c r="L116" s="470">
        <f t="shared" si="0"/>
        <v>1.4783029069789514E-2</v>
      </c>
      <c r="M116" s="388">
        <f t="shared" si="1"/>
        <v>6.6756551702705572E-2</v>
      </c>
    </row>
    <row r="117" spans="4:13" x14ac:dyDescent="0.2">
      <c r="D117" s="460" t="s">
        <v>617</v>
      </c>
      <c r="E117" s="460"/>
      <c r="F117" s="460"/>
      <c r="G117" s="471">
        <v>41.894206672165964</v>
      </c>
      <c r="H117" s="472"/>
      <c r="I117" s="473">
        <v>0.74751058923071467</v>
      </c>
      <c r="J117" s="439"/>
      <c r="L117" s="470">
        <f>SUM(L109:L116)</f>
        <v>0.10802846937292669</v>
      </c>
      <c r="M117" s="388">
        <f>SUM(M109:M116)</f>
        <v>0.6394821198577878</v>
      </c>
    </row>
    <row r="118" spans="4:13" ht="16" x14ac:dyDescent="0.2">
      <c r="D118" s="461" t="s">
        <v>618</v>
      </c>
      <c r="E118" s="461"/>
      <c r="F118" s="461"/>
      <c r="G118" s="474"/>
      <c r="H118" s="474"/>
      <c r="I118" s="473">
        <v>1.5999402262099254</v>
      </c>
      <c r="J118" s="439"/>
    </row>
  </sheetData>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791</v>
      </c>
      <c r="G3"/>
      <c r="H3"/>
      <c r="I3"/>
    </row>
    <row r="4" spans="2:19" x14ac:dyDescent="0.2">
      <c r="G4"/>
      <c r="H4"/>
      <c r="I4"/>
    </row>
    <row r="5" spans="2:19" ht="16" x14ac:dyDescent="0.2">
      <c r="D5" s="438" t="s">
        <v>792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1.80925510881501E-2</v>
      </c>
      <c r="H8" s="310">
        <v>5891.2285000000011</v>
      </c>
      <c r="I8" s="448">
        <v>8.8822793840179909E-3</v>
      </c>
      <c r="J8" s="439"/>
      <c r="K8" s="446" t="s">
        <v>1</v>
      </c>
      <c r="L8" s="446" t="s">
        <v>535</v>
      </c>
      <c r="M8" s="446" t="s">
        <v>534</v>
      </c>
      <c r="N8" s="449">
        <v>0.35250320370079113</v>
      </c>
      <c r="O8" s="310">
        <v>15074.966039349869</v>
      </c>
      <c r="P8" s="388">
        <v>0.44283115204595463</v>
      </c>
      <c r="Q8" s="29">
        <f>'Assumptions-Output Override'!D19</f>
        <v>1000</v>
      </c>
      <c r="R8" s="388">
        <f>N8*Q8/12000</f>
        <v>2.9375266975065928E-2</v>
      </c>
      <c r="S8" s="388">
        <f>P8-R8</f>
        <v>0.41345588507088871</v>
      </c>
    </row>
    <row r="9" spans="2:19" x14ac:dyDescent="0.2">
      <c r="D9" s="446" t="s">
        <v>1</v>
      </c>
      <c r="E9" s="446" t="s">
        <v>536</v>
      </c>
      <c r="F9" s="446" t="s">
        <v>534</v>
      </c>
      <c r="G9" s="447">
        <v>3.0154251813583502E-3</v>
      </c>
      <c r="H9" s="310">
        <v>9711.5</v>
      </c>
      <c r="I9" s="448">
        <v>2.4403584707301347E-3</v>
      </c>
      <c r="J9" s="439"/>
      <c r="K9" s="446" t="s">
        <v>462</v>
      </c>
      <c r="L9" s="446" t="s">
        <v>0</v>
      </c>
      <c r="M9" s="446" t="s">
        <v>537</v>
      </c>
      <c r="N9" s="449">
        <v>1.4437713876516849E-4</v>
      </c>
      <c r="O9" s="310">
        <v>249.00000000000003</v>
      </c>
      <c r="P9" s="388">
        <v>2.9958256293772463E-6</v>
      </c>
      <c r="Q9" s="29">
        <f>'Assumptions-Output Override'!E19</f>
        <v>250</v>
      </c>
      <c r="R9" s="388">
        <f>N9*Q9/12000</f>
        <v>3.0078570576076771E-6</v>
      </c>
      <c r="S9" s="388">
        <f>P9-R9</f>
        <v>-1.2031428230430788E-8</v>
      </c>
    </row>
    <row r="10" spans="2:19" x14ac:dyDescent="0.2">
      <c r="D10" s="446" t="s">
        <v>1</v>
      </c>
      <c r="E10" s="446" t="s">
        <v>46</v>
      </c>
      <c r="F10" s="446" t="s">
        <v>534</v>
      </c>
      <c r="G10" s="447">
        <v>0.27470523402174568</v>
      </c>
      <c r="H10" s="310">
        <v>13751.872799121844</v>
      </c>
      <c r="I10" s="448">
        <v>0.3148092862933371</v>
      </c>
      <c r="J10" s="439"/>
      <c r="K10" s="446" t="s">
        <v>462</v>
      </c>
      <c r="L10" s="446" t="s">
        <v>538</v>
      </c>
      <c r="M10" s="446" t="s">
        <v>539</v>
      </c>
      <c r="N10" s="449">
        <v>4.7614136593364904</v>
      </c>
      <c r="O10" s="310">
        <v>699.71933108948735</v>
      </c>
      <c r="P10" s="388">
        <v>0.27763776506260646</v>
      </c>
      <c r="Q10" s="29">
        <v>0</v>
      </c>
      <c r="R10" s="388">
        <f>N10*Q10/12000</f>
        <v>0</v>
      </c>
      <c r="S10" s="388">
        <f>P10-R10</f>
        <v>0.27763776506260646</v>
      </c>
    </row>
    <row r="11" spans="2:19" x14ac:dyDescent="0.2">
      <c r="D11" s="446" t="s">
        <v>1</v>
      </c>
      <c r="E11" s="446" t="s">
        <v>540</v>
      </c>
      <c r="F11" s="446" t="s">
        <v>534</v>
      </c>
      <c r="G11" s="447">
        <v>4.1914410020881067E-2</v>
      </c>
      <c r="H11" s="310">
        <v>32226.393309352501</v>
      </c>
      <c r="I11" s="448">
        <v>0.11256252188853159</v>
      </c>
      <c r="J11" s="439"/>
      <c r="K11" s="320" t="s">
        <v>463</v>
      </c>
      <c r="L11" s="450" t="s">
        <v>541</v>
      </c>
      <c r="M11" s="446" t="s">
        <v>539</v>
      </c>
      <c r="N11" s="449">
        <v>0.93570823633705702</v>
      </c>
      <c r="O11" s="310">
        <v>118.88051843851258</v>
      </c>
      <c r="P11" s="388">
        <v>9.2697900202446323E-3</v>
      </c>
      <c r="Q11" s="29">
        <f>'Assumptions-Output Override'!G19</f>
        <v>30</v>
      </c>
      <c r="R11" s="388">
        <f>N11*Q11/12000</f>
        <v>2.3392705908426427E-3</v>
      </c>
      <c r="S11" s="388">
        <f>P11-R11</f>
        <v>6.9305194294019892E-3</v>
      </c>
    </row>
    <row r="12" spans="2:19" x14ac:dyDescent="0.2">
      <c r="D12" s="446" t="s">
        <v>1</v>
      </c>
      <c r="E12" s="446" t="s">
        <v>542</v>
      </c>
      <c r="F12" s="446" t="s">
        <v>534</v>
      </c>
      <c r="G12" s="447">
        <v>6.0308503627167008E-4</v>
      </c>
      <c r="H12" s="310">
        <v>7759.9999999999982</v>
      </c>
      <c r="I12" s="448">
        <v>3.8999499012234659E-4</v>
      </c>
      <c r="J12" s="439"/>
      <c r="K12" s="320" t="s">
        <v>464</v>
      </c>
      <c r="L12" s="450" t="s">
        <v>541</v>
      </c>
      <c r="M12" s="446" t="s">
        <v>539</v>
      </c>
      <c r="N12" s="449">
        <v>9.016352315884772</v>
      </c>
      <c r="O12" s="310">
        <v>163.28723154523635</v>
      </c>
      <c r="P12" s="388">
        <v>0.1226879340247754</v>
      </c>
      <c r="Q12" s="29">
        <f>'Assumptions-Output Override'!H19</f>
        <v>60</v>
      </c>
      <c r="R12" s="388">
        <f>N12*Q12/12000</f>
        <v>4.5081761579423861E-2</v>
      </c>
      <c r="S12" s="388">
        <f>P12-R12</f>
        <v>7.7606172445351534E-2</v>
      </c>
    </row>
    <row r="13" spans="2:19" x14ac:dyDescent="0.2">
      <c r="D13" s="446" t="s">
        <v>1</v>
      </c>
      <c r="E13" s="446" t="s">
        <v>543</v>
      </c>
      <c r="F13" s="446" t="s">
        <v>534</v>
      </c>
      <c r="G13" s="447">
        <v>1.0553988134754225E-2</v>
      </c>
      <c r="H13" s="310">
        <v>1126.7865714285715</v>
      </c>
      <c r="I13" s="448">
        <v>9.9100767543812808E-4</v>
      </c>
      <c r="J13" s="439"/>
      <c r="K13" s="446" t="s">
        <v>465</v>
      </c>
      <c r="P13" s="388">
        <f>I117</f>
        <v>0.74751058923071467</v>
      </c>
      <c r="R13" s="388">
        <f>L117</f>
        <v>0.10606431404366681</v>
      </c>
      <c r="S13" s="388">
        <f>M117</f>
        <v>0.64144627518704778</v>
      </c>
    </row>
    <row r="14" spans="2:19" x14ac:dyDescent="0.2">
      <c r="D14" s="446" t="s">
        <v>1</v>
      </c>
      <c r="E14" s="446" t="s">
        <v>544</v>
      </c>
      <c r="F14" s="446" t="s">
        <v>534</v>
      </c>
      <c r="G14" s="447">
        <v>2.1107976269508452E-3</v>
      </c>
      <c r="H14" s="310">
        <v>13676.552857142855</v>
      </c>
      <c r="I14" s="448">
        <v>2.4057029429770784E-3</v>
      </c>
      <c r="J14" s="439"/>
    </row>
    <row r="15" spans="2:19" x14ac:dyDescent="0.2">
      <c r="D15" s="446" t="s">
        <v>1</v>
      </c>
      <c r="E15" s="446" t="s">
        <v>545</v>
      </c>
      <c r="F15" s="446" t="s">
        <v>534</v>
      </c>
      <c r="G15" s="447">
        <v>1.2061700725433402E-3</v>
      </c>
      <c r="H15" s="310">
        <v>3432.0999999999995</v>
      </c>
      <c r="I15" s="448">
        <v>3.4497469216466641E-4</v>
      </c>
      <c r="J15" s="439"/>
      <c r="K15" s="446" t="s">
        <v>403</v>
      </c>
      <c r="P15" s="388">
        <f>SUM(P8:P13)</f>
        <v>1.5999402262099252</v>
      </c>
      <c r="R15" s="388">
        <f>SUM(R8:R13)</f>
        <v>0.18286362104605686</v>
      </c>
      <c r="S15" s="388">
        <f>SUM(S8:S13)</f>
        <v>1.4170766051638681</v>
      </c>
    </row>
    <row r="16" spans="2:19" x14ac:dyDescent="0.2">
      <c r="D16" s="451" t="s">
        <v>1</v>
      </c>
      <c r="E16" s="451" t="s">
        <v>546</v>
      </c>
      <c r="F16" s="451" t="s">
        <v>534</v>
      </c>
      <c r="G16" s="452">
        <v>3.0154251813583504E-4</v>
      </c>
      <c r="H16" s="453">
        <v>199.99999999999997</v>
      </c>
      <c r="I16" s="454">
        <v>5.0257086355972498E-6</v>
      </c>
      <c r="J16" s="439"/>
    </row>
    <row r="17" spans="4:10" ht="16" x14ac:dyDescent="0.2">
      <c r="D17" s="456" t="s">
        <v>547</v>
      </c>
      <c r="E17" s="456"/>
      <c r="F17" s="456"/>
      <c r="G17" s="457">
        <v>0.35250320370079113</v>
      </c>
      <c r="H17" s="458"/>
      <c r="I17" s="459">
        <v>0.44283115204595463</v>
      </c>
      <c r="J17" s="439"/>
    </row>
    <row r="18" spans="4:10" x14ac:dyDescent="0.2">
      <c r="D18" s="446" t="s">
        <v>462</v>
      </c>
      <c r="E18" s="446" t="s">
        <v>548</v>
      </c>
      <c r="F18" s="446" t="s">
        <v>537</v>
      </c>
      <c r="G18" s="447">
        <v>1.4437713876516849E-4</v>
      </c>
      <c r="H18" s="310">
        <v>249.00000000000003</v>
      </c>
      <c r="I18" s="448">
        <v>2.9958256293772463E-6</v>
      </c>
      <c r="J18" s="439"/>
    </row>
    <row r="19" spans="4:10" x14ac:dyDescent="0.2">
      <c r="D19" s="446" t="s">
        <v>462</v>
      </c>
      <c r="E19" s="446" t="s">
        <v>549</v>
      </c>
      <c r="F19" s="446" t="s">
        <v>537</v>
      </c>
      <c r="G19" s="447">
        <v>3.0030444863155047E-2</v>
      </c>
      <c r="H19" s="310">
        <v>451.09942307692262</v>
      </c>
      <c r="I19" s="448">
        <v>1.128893029376048E-3</v>
      </c>
      <c r="J19" s="439"/>
    </row>
    <row r="20" spans="4:10" x14ac:dyDescent="0.2">
      <c r="D20" s="446" t="s">
        <v>462</v>
      </c>
      <c r="E20" s="446" t="s">
        <v>550</v>
      </c>
      <c r="F20" s="446" t="s">
        <v>537</v>
      </c>
      <c r="G20" s="447">
        <v>0.48900536899762581</v>
      </c>
      <c r="H20" s="310">
        <v>238.23654266312363</v>
      </c>
      <c r="I20" s="448">
        <v>9.7082457044749496E-3</v>
      </c>
      <c r="J20" s="439"/>
    </row>
    <row r="21" spans="4:10" x14ac:dyDescent="0.2">
      <c r="D21" s="446" t="s">
        <v>462</v>
      </c>
      <c r="E21" s="446" t="s">
        <v>551</v>
      </c>
      <c r="F21" s="446" t="s">
        <v>537</v>
      </c>
      <c r="G21" s="447">
        <v>3.1185461973276398E-2</v>
      </c>
      <c r="H21" s="310">
        <v>188.53180555555559</v>
      </c>
      <c r="I21" s="448">
        <v>4.8995428774215987E-4</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2.3100342202426959E-3</v>
      </c>
      <c r="H23" s="310">
        <v>345.81250000000011</v>
      </c>
      <c r="I23" s="448">
        <v>6.6569892398973124E-5</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1.0106399713561795E-3</v>
      </c>
      <c r="H25" s="310">
        <v>-463.71857142857147</v>
      </c>
      <c r="I25" s="448">
        <v>-3.9054376978824997E-5</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9.0957597422056165E-3</v>
      </c>
      <c r="H46" s="310">
        <v>654.57333333333327</v>
      </c>
      <c r="I46" s="448">
        <v>4.9615348113788923E-4</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1.709291064606949</v>
      </c>
      <c r="H52" s="310">
        <v>759.61281926965819</v>
      </c>
      <c r="I52" s="448">
        <v>0.10819995037820999</v>
      </c>
      <c r="J52" s="439"/>
    </row>
    <row r="53" spans="4:10" x14ac:dyDescent="0.2">
      <c r="D53" s="446" t="s">
        <v>462</v>
      </c>
      <c r="E53" s="446" t="s">
        <v>584</v>
      </c>
      <c r="F53" s="446" t="s">
        <v>554</v>
      </c>
      <c r="G53" s="447">
        <v>9.4466019612089419E-2</v>
      </c>
      <c r="H53" s="310">
        <v>759.61281926965819</v>
      </c>
      <c r="I53" s="448">
        <v>5.9797999568935063E-3</v>
      </c>
      <c r="J53" s="439"/>
    </row>
    <row r="54" spans="4:10" x14ac:dyDescent="0.2">
      <c r="D54" s="446" t="s">
        <v>462</v>
      </c>
      <c r="E54" s="446" t="s">
        <v>585</v>
      </c>
      <c r="F54" s="446" t="s">
        <v>554</v>
      </c>
      <c r="G54" s="447">
        <v>0.41829101859457568</v>
      </c>
      <c r="H54" s="310">
        <v>759.61281926965819</v>
      </c>
      <c r="I54" s="448">
        <v>2.647826832581689E-2</v>
      </c>
      <c r="J54" s="439"/>
    </row>
    <row r="55" spans="4:10" x14ac:dyDescent="0.2">
      <c r="D55" s="446" t="s">
        <v>462</v>
      </c>
      <c r="E55" s="446" t="s">
        <v>586</v>
      </c>
      <c r="F55" s="446" t="s">
        <v>537</v>
      </c>
      <c r="G55" s="447">
        <v>0.22865337860243776</v>
      </c>
      <c r="H55" s="310">
        <v>759.6128192696583</v>
      </c>
      <c r="I55" s="448">
        <v>1.4474003129644192E-2</v>
      </c>
      <c r="J55" s="439"/>
    </row>
    <row r="56" spans="4:10" x14ac:dyDescent="0.2">
      <c r="D56" s="446" t="s">
        <v>462</v>
      </c>
      <c r="E56" s="446" t="s">
        <v>5</v>
      </c>
      <c r="F56" s="446" t="s">
        <v>537</v>
      </c>
      <c r="G56" s="447">
        <v>0.19607266305925616</v>
      </c>
      <c r="H56" s="310">
        <v>759.61281926965819</v>
      </c>
      <c r="I56" s="448">
        <v>1.2411609030679277E-2</v>
      </c>
      <c r="J56" s="439"/>
    </row>
    <row r="57" spans="4:10" x14ac:dyDescent="0.2">
      <c r="D57" s="446" t="s">
        <v>462</v>
      </c>
      <c r="E57" s="446" t="s">
        <v>587</v>
      </c>
      <c r="F57" s="446" t="s">
        <v>537</v>
      </c>
      <c r="G57" s="447">
        <v>0.51780717426371803</v>
      </c>
      <c r="H57" s="310">
        <v>759.61281926965819</v>
      </c>
      <c r="I57" s="448">
        <v>3.2777747290043173E-2</v>
      </c>
      <c r="J57" s="439"/>
    </row>
    <row r="58" spans="4:10" x14ac:dyDescent="0.2">
      <c r="D58" s="446" t="s">
        <v>462</v>
      </c>
      <c r="E58" s="446" t="s">
        <v>588</v>
      </c>
      <c r="F58" s="446" t="s">
        <v>537</v>
      </c>
      <c r="G58" s="447">
        <v>0.34978946075247613</v>
      </c>
      <c r="H58" s="310">
        <v>759.61281926965819</v>
      </c>
      <c r="I58" s="448">
        <v>2.2142046536083489E-2</v>
      </c>
      <c r="J58" s="439"/>
    </row>
    <row r="59" spans="4:10" x14ac:dyDescent="0.2">
      <c r="D59" s="446" t="s">
        <v>462</v>
      </c>
      <c r="E59" s="446" t="s">
        <v>589</v>
      </c>
      <c r="F59" s="446" t="s">
        <v>537</v>
      </c>
      <c r="G59" s="447">
        <v>0.13520950298744711</v>
      </c>
      <c r="H59" s="310">
        <v>759.61281926965808</v>
      </c>
      <c r="I59" s="448">
        <v>8.5589059796953304E-3</v>
      </c>
      <c r="J59" s="439"/>
    </row>
    <row r="60" spans="4:10" x14ac:dyDescent="0.2">
      <c r="D60" s="446" t="s">
        <v>462</v>
      </c>
      <c r="E60" s="446" t="s">
        <v>590</v>
      </c>
      <c r="F60" s="446" t="s">
        <v>537</v>
      </c>
      <c r="G60" s="447">
        <v>0.12905498689521802</v>
      </c>
      <c r="H60" s="310">
        <v>759.61281926965819</v>
      </c>
      <c r="I60" s="448">
        <v>8.1693185363571133E-3</v>
      </c>
      <c r="J60" s="439"/>
    </row>
    <row r="61" spans="4:10" x14ac:dyDescent="0.2">
      <c r="D61" s="446" t="s">
        <v>462</v>
      </c>
      <c r="E61" s="446" t="s">
        <v>591</v>
      </c>
      <c r="F61" s="446" t="s">
        <v>537</v>
      </c>
      <c r="G61" s="447">
        <v>0.21397785791372134</v>
      </c>
      <c r="H61" s="310">
        <v>759.6128192696583</v>
      </c>
      <c r="I61" s="448">
        <v>1.3545026992593686E-2</v>
      </c>
      <c r="J61" s="439"/>
    </row>
    <row r="62" spans="4:10" x14ac:dyDescent="0.2">
      <c r="D62" s="446" t="s">
        <v>462</v>
      </c>
      <c r="E62" s="446" t="s">
        <v>592</v>
      </c>
      <c r="F62" s="446" t="s">
        <v>537</v>
      </c>
      <c r="G62" s="447">
        <v>0.2061628222807407</v>
      </c>
      <c r="H62" s="310">
        <v>759.6128192696583</v>
      </c>
      <c r="I62" s="448">
        <v>1.3050326888438581E-2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4.7615580364752557</v>
      </c>
      <c r="H64" s="463"/>
      <c r="I64" s="464">
        <v>0.27764076088823586</v>
      </c>
      <c r="J64" s="439"/>
    </row>
    <row r="65" spans="4:10" x14ac:dyDescent="0.2">
      <c r="D65" s="446" t="s">
        <v>595</v>
      </c>
      <c r="E65" s="446" t="s">
        <v>596</v>
      </c>
      <c r="F65" s="446" t="s">
        <v>554</v>
      </c>
      <c r="G65" s="447">
        <v>1.732525665182022E-3</v>
      </c>
      <c r="H65" s="310">
        <v>136.16666666666669</v>
      </c>
      <c r="I65" s="448">
        <v>1.965935372852378E-5</v>
      </c>
      <c r="J65" s="439"/>
    </row>
    <row r="66" spans="4:10" x14ac:dyDescent="0.2">
      <c r="D66" s="446" t="s">
        <v>595</v>
      </c>
      <c r="E66" s="446" t="s">
        <v>563</v>
      </c>
      <c r="F66" s="446" t="s">
        <v>554</v>
      </c>
      <c r="G66" s="447">
        <v>1.1405793962448311E-2</v>
      </c>
      <c r="H66" s="310">
        <v>197.44227848101266</v>
      </c>
      <c r="I66" s="448">
        <v>1.8766549565256437E-4</v>
      </c>
      <c r="J66" s="439"/>
    </row>
    <row r="67" spans="4:10" x14ac:dyDescent="0.2">
      <c r="D67" s="446" t="s">
        <v>595</v>
      </c>
      <c r="E67" s="446" t="s">
        <v>564</v>
      </c>
      <c r="F67" s="446" t="s">
        <v>554</v>
      </c>
      <c r="G67" s="447">
        <v>4.4901290155967402E-2</v>
      </c>
      <c r="H67" s="310">
        <v>169.66938906752415</v>
      </c>
      <c r="I67" s="448">
        <v>6.3486453909221874E-4</v>
      </c>
      <c r="J67" s="439"/>
    </row>
    <row r="68" spans="4:10" x14ac:dyDescent="0.2">
      <c r="D68" s="446" t="s">
        <v>595</v>
      </c>
      <c r="E68" s="446" t="s">
        <v>597</v>
      </c>
      <c r="F68" s="446" t="s">
        <v>554</v>
      </c>
      <c r="G68" s="447">
        <v>1.732525665182022E-3</v>
      </c>
      <c r="H68" s="310">
        <v>93.666666666666657</v>
      </c>
      <c r="I68" s="448">
        <v>1.3523325331004116E-5</v>
      </c>
      <c r="J68" s="439"/>
    </row>
    <row r="69" spans="4:10" x14ac:dyDescent="0.2">
      <c r="D69" s="446" t="s">
        <v>595</v>
      </c>
      <c r="E69" s="446" t="s">
        <v>572</v>
      </c>
      <c r="F69" s="446" t="s">
        <v>554</v>
      </c>
      <c r="G69" s="447">
        <v>5.7750855506067398E-4</v>
      </c>
      <c r="H69" s="310">
        <v>118.00000000000003</v>
      </c>
      <c r="I69" s="448">
        <v>5.6788341247632947E-6</v>
      </c>
      <c r="J69" s="439"/>
    </row>
    <row r="70" spans="4:10" x14ac:dyDescent="0.2">
      <c r="D70" s="446" t="s">
        <v>595</v>
      </c>
      <c r="E70" s="446" t="s">
        <v>567</v>
      </c>
      <c r="F70" s="446" t="s">
        <v>554</v>
      </c>
      <c r="G70" s="447">
        <v>2.7431656365382016E-3</v>
      </c>
      <c r="H70" s="310">
        <v>95.734736842105278</v>
      </c>
      <c r="I70" s="448">
        <v>2.1884686694024244E-5</v>
      </c>
      <c r="J70" s="439"/>
    </row>
    <row r="71" spans="4:10" x14ac:dyDescent="0.2">
      <c r="D71" s="446" t="s">
        <v>595</v>
      </c>
      <c r="E71" s="446" t="s">
        <v>568</v>
      </c>
      <c r="F71" s="446" t="s">
        <v>554</v>
      </c>
      <c r="G71" s="447">
        <v>5.3419541343112352E-3</v>
      </c>
      <c r="H71" s="310">
        <v>319.05405405405406</v>
      </c>
      <c r="I71" s="448">
        <v>1.4203101026023454E-4</v>
      </c>
      <c r="J71" s="439"/>
    </row>
    <row r="72" spans="4:10" x14ac:dyDescent="0.2">
      <c r="D72" s="446" t="s">
        <v>595</v>
      </c>
      <c r="E72" s="446" t="s">
        <v>548</v>
      </c>
      <c r="F72" s="446" t="s">
        <v>554</v>
      </c>
      <c r="G72" s="447">
        <v>0.16949876091030783</v>
      </c>
      <c r="H72" s="310">
        <v>273.85818568994887</v>
      </c>
      <c r="I72" s="448">
        <v>3.8682185949659438E-3</v>
      </c>
      <c r="J72" s="439"/>
    </row>
    <row r="73" spans="4:10" x14ac:dyDescent="0.2">
      <c r="D73" s="446" t="s">
        <v>595</v>
      </c>
      <c r="E73" s="446" t="s">
        <v>598</v>
      </c>
      <c r="F73" s="446" t="s">
        <v>554</v>
      </c>
      <c r="G73" s="447">
        <v>4.9088227180157295E-3</v>
      </c>
      <c r="H73" s="310">
        <v>132.40529411764703</v>
      </c>
      <c r="I73" s="448">
        <v>5.4162842979188353E-5</v>
      </c>
      <c r="J73" s="439"/>
    </row>
    <row r="74" spans="4:10" x14ac:dyDescent="0.2">
      <c r="D74" s="446" t="s">
        <v>595</v>
      </c>
      <c r="E74" s="446" t="s">
        <v>549</v>
      </c>
      <c r="F74" s="446" t="s">
        <v>554</v>
      </c>
      <c r="G74" s="447">
        <v>0.3762468236220291</v>
      </c>
      <c r="H74" s="310">
        <v>91.708841135840402</v>
      </c>
      <c r="I74" s="448">
        <v>2.8754300146181023E-3</v>
      </c>
      <c r="J74" s="439"/>
    </row>
    <row r="75" spans="4:10" x14ac:dyDescent="0.2">
      <c r="D75" s="446" t="s">
        <v>595</v>
      </c>
      <c r="E75" s="446" t="s">
        <v>571</v>
      </c>
      <c r="F75" s="446" t="s">
        <v>554</v>
      </c>
      <c r="G75" s="447">
        <v>7.5076112157887618E-3</v>
      </c>
      <c r="H75" s="310">
        <v>151.97461538461539</v>
      </c>
      <c r="I75" s="448">
        <v>9.5080527248060157E-5</v>
      </c>
      <c r="J75" s="439"/>
    </row>
    <row r="76" spans="4:10" x14ac:dyDescent="0.2">
      <c r="D76" s="446" t="s">
        <v>595</v>
      </c>
      <c r="E76" s="446" t="s">
        <v>561</v>
      </c>
      <c r="F76" s="446" t="s">
        <v>554</v>
      </c>
      <c r="G76" s="447">
        <v>1.1405793962448313E-2</v>
      </c>
      <c r="H76" s="310">
        <v>233.30531645569619</v>
      </c>
      <c r="I76" s="448">
        <v>2.2175269748645607E-4</v>
      </c>
      <c r="J76" s="439"/>
    </row>
    <row r="77" spans="4:10" x14ac:dyDescent="0.2">
      <c r="D77" s="446" t="s">
        <v>595</v>
      </c>
      <c r="E77" s="446" t="s">
        <v>599</v>
      </c>
      <c r="F77" s="446" t="s">
        <v>554</v>
      </c>
      <c r="G77" s="447">
        <v>1.6704434955129994</v>
      </c>
      <c r="H77" s="310">
        <v>240.96860501296453</v>
      </c>
      <c r="I77" s="448">
        <v>3.3543703238895647E-2</v>
      </c>
      <c r="J77" s="439"/>
    </row>
    <row r="78" spans="4:10" x14ac:dyDescent="0.2">
      <c r="D78" s="446" t="s">
        <v>595</v>
      </c>
      <c r="E78" s="446" t="s">
        <v>600</v>
      </c>
      <c r="F78" s="446" t="s">
        <v>554</v>
      </c>
      <c r="G78" s="447">
        <v>5.0531998567808975E-3</v>
      </c>
      <c r="H78" s="310">
        <v>66.129714285714286</v>
      </c>
      <c r="I78" s="448">
        <v>2.7847221896461091E-5</v>
      </c>
      <c r="J78" s="439"/>
    </row>
    <row r="79" spans="4:10" x14ac:dyDescent="0.2">
      <c r="D79" s="446" t="s">
        <v>595</v>
      </c>
      <c r="E79" s="446" t="s">
        <v>555</v>
      </c>
      <c r="F79" s="446" t="s">
        <v>554</v>
      </c>
      <c r="G79" s="447">
        <v>0.25020558148003702</v>
      </c>
      <c r="H79" s="310">
        <v>97.955689555683776</v>
      </c>
      <c r="I79" s="448">
        <v>2.0424216887131542E-3</v>
      </c>
      <c r="J79" s="439"/>
    </row>
    <row r="80" spans="4:10" x14ac:dyDescent="0.2">
      <c r="D80" s="446" t="s">
        <v>595</v>
      </c>
      <c r="E80" s="446" t="s">
        <v>552</v>
      </c>
      <c r="F80" s="446" t="s">
        <v>554</v>
      </c>
      <c r="G80" s="447">
        <v>1.2272056795039323E-2</v>
      </c>
      <c r="H80" s="310">
        <v>326.44611764705883</v>
      </c>
      <c r="I80" s="448">
        <v>3.3384710802373288E-4</v>
      </c>
      <c r="J80" s="439"/>
    </row>
    <row r="81" spans="4:10" x14ac:dyDescent="0.2">
      <c r="D81" s="446" t="s">
        <v>595</v>
      </c>
      <c r="E81" s="446" t="s">
        <v>581</v>
      </c>
      <c r="F81" s="446" t="s">
        <v>554</v>
      </c>
      <c r="G81" s="447">
        <v>1.5435359905384167</v>
      </c>
      <c r="H81" s="310">
        <v>216.87656159386393</v>
      </c>
      <c r="I81" s="448">
        <v>2.7896398193695892E-2</v>
      </c>
      <c r="J81" s="439"/>
    </row>
    <row r="82" spans="4:10" x14ac:dyDescent="0.2">
      <c r="D82" s="446" t="s">
        <v>595</v>
      </c>
      <c r="E82" s="446" t="s">
        <v>574</v>
      </c>
      <c r="F82" s="446" t="s">
        <v>554</v>
      </c>
      <c r="G82" s="447">
        <v>7.5076112157887618E-3</v>
      </c>
      <c r="H82" s="310">
        <v>338.43942307692311</v>
      </c>
      <c r="I82" s="448">
        <v>2.117393007131155E-4</v>
      </c>
      <c r="J82" s="439"/>
    </row>
    <row r="83" spans="4:10" x14ac:dyDescent="0.2">
      <c r="D83" s="446" t="s">
        <v>595</v>
      </c>
      <c r="E83" s="446" t="s">
        <v>601</v>
      </c>
      <c r="F83" s="446" t="s">
        <v>554</v>
      </c>
      <c r="G83" s="447">
        <v>4.3890650184611225E-2</v>
      </c>
      <c r="H83" s="310">
        <v>352.61388157894737</v>
      </c>
      <c r="I83" s="448">
        <v>1.2897043772182922E-3</v>
      </c>
      <c r="J83" s="439"/>
    </row>
    <row r="84" spans="4:10" x14ac:dyDescent="0.2">
      <c r="D84" s="446" t="s">
        <v>595</v>
      </c>
      <c r="E84" s="446" t="s">
        <v>559</v>
      </c>
      <c r="F84" s="446" t="s">
        <v>554</v>
      </c>
      <c r="G84" s="447">
        <v>8.2150591957380892E-2</v>
      </c>
      <c r="H84" s="310">
        <v>229.04666080843583</v>
      </c>
      <c r="I84" s="448">
        <v>1.5680265642728699E-3</v>
      </c>
      <c r="J84" s="439"/>
    </row>
    <row r="85" spans="4:10" x14ac:dyDescent="0.2">
      <c r="D85" s="446" t="s">
        <v>595</v>
      </c>
      <c r="E85" s="446" t="s">
        <v>573</v>
      </c>
      <c r="F85" s="446" t="s">
        <v>554</v>
      </c>
      <c r="G85" s="447">
        <v>1.2127679656274155E-2</v>
      </c>
      <c r="H85" s="310">
        <v>72.463928571428568</v>
      </c>
      <c r="I85" s="448">
        <v>7.3234942695784807E-5</v>
      </c>
      <c r="J85" s="439"/>
    </row>
    <row r="86" spans="4:10" x14ac:dyDescent="0.2">
      <c r="D86" s="446" t="s">
        <v>595</v>
      </c>
      <c r="E86" s="446" t="s">
        <v>562</v>
      </c>
      <c r="F86" s="446" t="s">
        <v>554</v>
      </c>
      <c r="G86" s="447">
        <v>7.9407426320842675E-3</v>
      </c>
      <c r="H86" s="310">
        <v>99.008181818181825</v>
      </c>
      <c r="I86" s="448">
        <v>6.5516540857398907E-5</v>
      </c>
      <c r="J86" s="439"/>
    </row>
    <row r="87" spans="4:10" x14ac:dyDescent="0.2">
      <c r="D87" s="446" t="s">
        <v>595</v>
      </c>
      <c r="E87" s="446" t="s">
        <v>550</v>
      </c>
      <c r="F87" s="446" t="s">
        <v>554</v>
      </c>
      <c r="G87" s="447">
        <v>1.5452685162035986</v>
      </c>
      <c r="H87" s="310">
        <v>328.0046874708035</v>
      </c>
      <c r="I87" s="448">
        <v>4.2237943059652804E-2</v>
      </c>
      <c r="J87" s="439"/>
    </row>
    <row r="88" spans="4:10" x14ac:dyDescent="0.2">
      <c r="D88" s="446" t="s">
        <v>595</v>
      </c>
      <c r="E88" s="446" t="s">
        <v>579</v>
      </c>
      <c r="F88" s="446" t="s">
        <v>554</v>
      </c>
      <c r="G88" s="447">
        <v>6.3525941056674145E-3</v>
      </c>
      <c r="H88" s="310">
        <v>172.99159090909089</v>
      </c>
      <c r="I88" s="448">
        <v>9.1578780061593292E-5</v>
      </c>
      <c r="J88" s="439"/>
    </row>
    <row r="89" spans="4:10" x14ac:dyDescent="0.2">
      <c r="D89" s="446" t="s">
        <v>595</v>
      </c>
      <c r="E89" s="446" t="s">
        <v>556</v>
      </c>
      <c r="F89" s="446" t="s">
        <v>554</v>
      </c>
      <c r="G89" s="447">
        <v>2.88754277530337E-3</v>
      </c>
      <c r="H89" s="310">
        <v>133.05199999999999</v>
      </c>
      <c r="I89" s="448">
        <v>3.2016111778305334E-5</v>
      </c>
      <c r="J89" s="439"/>
    </row>
    <row r="90" spans="4:10" x14ac:dyDescent="0.2">
      <c r="D90" s="446" t="s">
        <v>595</v>
      </c>
      <c r="E90" s="446" t="s">
        <v>602</v>
      </c>
      <c r="F90" s="446" t="s">
        <v>554</v>
      </c>
      <c r="G90" s="447">
        <v>9.2401368809707837E-3</v>
      </c>
      <c r="H90" s="310">
        <v>158.06734375000002</v>
      </c>
      <c r="I90" s="448">
        <v>1.217136577217885E-4</v>
      </c>
      <c r="J90" s="439"/>
    </row>
    <row r="91" spans="4:10" x14ac:dyDescent="0.2">
      <c r="D91" s="446" t="s">
        <v>595</v>
      </c>
      <c r="E91" s="446" t="s">
        <v>577</v>
      </c>
      <c r="F91" s="446" t="s">
        <v>554</v>
      </c>
      <c r="G91" s="447">
        <v>0.39241706316372799</v>
      </c>
      <c r="H91" s="310">
        <v>112.25532008830025</v>
      </c>
      <c r="I91" s="448">
        <v>3.6709085861295855E-3</v>
      </c>
      <c r="J91" s="439"/>
    </row>
    <row r="92" spans="4:10" x14ac:dyDescent="0.2">
      <c r="D92" s="446" t="s">
        <v>595</v>
      </c>
      <c r="E92" s="446" t="s">
        <v>576</v>
      </c>
      <c r="F92" s="446" t="s">
        <v>554</v>
      </c>
      <c r="G92" s="447">
        <v>0.22710523927761006</v>
      </c>
      <c r="H92" s="310">
        <v>147.09894469167199</v>
      </c>
      <c r="I92" s="448">
        <v>2.7839117526405077E-3</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4.331314162955055E-3</v>
      </c>
      <c r="H94" s="310">
        <v>171.63566666666665</v>
      </c>
      <c r="I94" s="448">
        <v>6.1950666158463842E-5</v>
      </c>
      <c r="J94" s="439"/>
    </row>
    <row r="95" spans="4:10" x14ac:dyDescent="0.2">
      <c r="D95" s="446" t="s">
        <v>595</v>
      </c>
      <c r="E95" s="446" t="s">
        <v>582</v>
      </c>
      <c r="F95" s="446" t="s">
        <v>554</v>
      </c>
      <c r="G95" s="447">
        <v>1.4437713876516849E-4</v>
      </c>
      <c r="H95" s="310">
        <v>147</v>
      </c>
      <c r="I95" s="448">
        <v>1.7686199498733142E-6</v>
      </c>
      <c r="J95" s="439"/>
    </row>
    <row r="96" spans="4:10" x14ac:dyDescent="0.2">
      <c r="D96" s="446" t="s">
        <v>595</v>
      </c>
      <c r="E96" s="446" t="s">
        <v>565</v>
      </c>
      <c r="F96" s="446" t="s">
        <v>554</v>
      </c>
      <c r="G96" s="447">
        <v>8.4171871900093231E-2</v>
      </c>
      <c r="H96" s="310">
        <v>82.247324185248715</v>
      </c>
      <c r="I96" s="448">
        <v>5.7690926962051625E-4</v>
      </c>
      <c r="J96" s="439"/>
    </row>
    <row r="97" spans="4:13" x14ac:dyDescent="0.2">
      <c r="D97" s="446" t="s">
        <v>595</v>
      </c>
      <c r="E97" s="446" t="s">
        <v>604</v>
      </c>
      <c r="F97" s="446" t="s">
        <v>554</v>
      </c>
      <c r="G97" s="447">
        <v>5.1975769955460664E-3</v>
      </c>
      <c r="H97" s="310">
        <v>145.36666666666665</v>
      </c>
      <c r="I97" s="448">
        <v>6.296287021548997E-5</v>
      </c>
      <c r="J97" s="439"/>
    </row>
    <row r="98" spans="4:13" x14ac:dyDescent="0.2">
      <c r="D98" s="446" t="s">
        <v>595</v>
      </c>
      <c r="E98" s="446" t="s">
        <v>569</v>
      </c>
      <c r="F98" s="446" t="s">
        <v>554</v>
      </c>
      <c r="G98" s="447">
        <v>2.9452936308094375E-2</v>
      </c>
      <c r="H98" s="310">
        <v>147.19495098039215</v>
      </c>
      <c r="I98" s="448">
        <v>3.6127695967488031E-4</v>
      </c>
      <c r="J98" s="439"/>
    </row>
    <row r="99" spans="4:13" x14ac:dyDescent="0.2">
      <c r="D99" s="446" t="s">
        <v>595</v>
      </c>
      <c r="E99" s="446" t="s">
        <v>553</v>
      </c>
      <c r="F99" s="446" t="s">
        <v>554</v>
      </c>
      <c r="G99" s="447">
        <v>0.11882238520373364</v>
      </c>
      <c r="H99" s="310">
        <v>281.99091130012164</v>
      </c>
      <c r="I99" s="448">
        <v>2.7922360572045783E-3</v>
      </c>
      <c r="J99" s="439"/>
    </row>
    <row r="100" spans="4:13" x14ac:dyDescent="0.2">
      <c r="D100" s="446" t="s">
        <v>595</v>
      </c>
      <c r="E100" s="446" t="s">
        <v>570</v>
      </c>
      <c r="F100" s="446" t="s">
        <v>554</v>
      </c>
      <c r="G100" s="447">
        <v>5.6307084118415712E-3</v>
      </c>
      <c r="H100" s="310">
        <v>95.646923076923102</v>
      </c>
      <c r="I100" s="448">
        <v>4.4879994527999547E-5</v>
      </c>
      <c r="J100" s="439"/>
    </row>
    <row r="101" spans="4:13" x14ac:dyDescent="0.2">
      <c r="D101" s="446" t="s">
        <v>595</v>
      </c>
      <c r="E101" s="446" t="s">
        <v>551</v>
      </c>
      <c r="F101" s="446" t="s">
        <v>554</v>
      </c>
      <c r="G101" s="447">
        <v>4.9376981457687631E-2</v>
      </c>
      <c r="H101" s="310">
        <v>107.28485380116959</v>
      </c>
      <c r="I101" s="448">
        <v>4.4145018640258989E-4</v>
      </c>
      <c r="J101" s="439"/>
    </row>
    <row r="102" spans="4:13" x14ac:dyDescent="0.2">
      <c r="D102" s="446" t="s">
        <v>595</v>
      </c>
      <c r="E102" s="446" t="s">
        <v>578</v>
      </c>
      <c r="F102" s="446" t="s">
        <v>554</v>
      </c>
      <c r="G102" s="447">
        <v>4.0425598854247182E-3</v>
      </c>
      <c r="H102" s="310">
        <v>119.28285714285715</v>
      </c>
      <c r="I102" s="448">
        <v>4.0184007775380139E-5</v>
      </c>
      <c r="J102" s="439"/>
    </row>
    <row r="103" spans="4:13" x14ac:dyDescent="0.2">
      <c r="D103" s="446" t="s">
        <v>595</v>
      </c>
      <c r="E103" s="446" t="s">
        <v>560</v>
      </c>
      <c r="F103" s="446" t="s">
        <v>554</v>
      </c>
      <c r="G103" s="447">
        <v>1.443771387651685E-3</v>
      </c>
      <c r="H103" s="310">
        <v>90.09</v>
      </c>
      <c r="I103" s="448">
        <v>1.0839113692795025E-5</v>
      </c>
      <c r="J103" s="439"/>
    </row>
    <row r="104" spans="4:13" x14ac:dyDescent="0.2">
      <c r="D104" s="446" t="s">
        <v>595</v>
      </c>
      <c r="E104" s="446" t="s">
        <v>575</v>
      </c>
      <c r="F104" s="446" t="s">
        <v>554</v>
      </c>
      <c r="G104" s="447">
        <v>4.7644455792505607E-3</v>
      </c>
      <c r="H104" s="310">
        <v>15.495454545454546</v>
      </c>
      <c r="I104" s="448">
        <v>6.152270825630743E-6</v>
      </c>
      <c r="J104" s="439"/>
    </row>
    <row r="105" spans="4:13" x14ac:dyDescent="0.2">
      <c r="D105" s="446" t="s">
        <v>595</v>
      </c>
      <c r="E105" s="446" t="s">
        <v>566</v>
      </c>
      <c r="F105" s="446" t="s">
        <v>554</v>
      </c>
      <c r="G105" s="447">
        <v>7.8829917765781993E-2</v>
      </c>
      <c r="H105" s="310">
        <v>507.60184981684625</v>
      </c>
      <c r="I105" s="448">
        <v>3.3345176732350679E-3</v>
      </c>
      <c r="J105" s="439"/>
    </row>
    <row r="106" spans="4:13" x14ac:dyDescent="0.2">
      <c r="D106" s="446" t="s">
        <v>595</v>
      </c>
      <c r="E106" s="446" t="s">
        <v>580</v>
      </c>
      <c r="F106" s="446" t="s">
        <v>554</v>
      </c>
      <c r="G106" s="447">
        <v>4.33131416295506E-4</v>
      </c>
      <c r="H106" s="310">
        <v>150.75000000000003</v>
      </c>
      <c r="I106" s="448">
        <v>7.2549512229497182E-6</v>
      </c>
      <c r="J106" s="439"/>
    </row>
    <row r="107" spans="4:13" x14ac:dyDescent="0.2">
      <c r="D107" s="451" t="s">
        <v>595</v>
      </c>
      <c r="E107" s="451" t="s">
        <v>558</v>
      </c>
      <c r="F107" s="451" t="s">
        <v>554</v>
      </c>
      <c r="G107" s="452">
        <v>3.1088729290303725</v>
      </c>
      <c r="H107" s="310">
        <v>0.32762364742488287</v>
      </c>
      <c r="I107" s="454">
        <v>8.4878357365784137E-5</v>
      </c>
      <c r="J107" s="439"/>
    </row>
    <row r="108" spans="4:13" ht="16" x14ac:dyDescent="0.2">
      <c r="D108" s="461" t="s">
        <v>605</v>
      </c>
      <c r="E108" s="460"/>
      <c r="F108" s="460"/>
      <c r="G108" s="465">
        <v>9.9520605522218286</v>
      </c>
      <c r="H108" s="466"/>
      <c r="I108" s="467">
        <v>0.13195772404502004</v>
      </c>
      <c r="J108" s="439"/>
      <c r="K108" s="313" t="s">
        <v>311</v>
      </c>
      <c r="L108" s="313" t="s">
        <v>606</v>
      </c>
      <c r="M108" s="313" t="s">
        <v>528</v>
      </c>
    </row>
    <row r="109" spans="4:13" x14ac:dyDescent="0.2">
      <c r="D109" s="446" t="s">
        <v>607</v>
      </c>
      <c r="E109" s="446" t="s">
        <v>608</v>
      </c>
      <c r="F109" s="468" t="s">
        <v>609</v>
      </c>
      <c r="G109" s="469">
        <v>32.572019723996625</v>
      </c>
      <c r="H109" s="310">
        <v>63.209930662654287</v>
      </c>
      <c r="I109" s="470">
        <v>0.17157292569136953</v>
      </c>
      <c r="J109" s="439"/>
      <c r="K109">
        <f>'Assumptions-Output Override'!$J$19</f>
        <v>10</v>
      </c>
      <c r="L109" s="470">
        <f>G109*K109/12000</f>
        <v>2.7143349769997188E-2</v>
      </c>
      <c r="M109" s="388">
        <f>I109-L109</f>
        <v>0.14442957592137234</v>
      </c>
    </row>
    <row r="110" spans="4:13" x14ac:dyDescent="0.2">
      <c r="D110" s="446" t="s">
        <v>607</v>
      </c>
      <c r="E110" s="446" t="s">
        <v>610</v>
      </c>
      <c r="F110" s="468" t="s">
        <v>609</v>
      </c>
      <c r="G110" s="469">
        <v>1.0231337640348881</v>
      </c>
      <c r="H110" s="310">
        <v>334.87689203288011</v>
      </c>
      <c r="I110" s="470">
        <v>2.8551987919492119E-2</v>
      </c>
      <c r="J110" s="439"/>
      <c r="K110">
        <f>'Assumptions-Output Override'!$K$19</f>
        <v>50</v>
      </c>
      <c r="L110" s="470">
        <f t="shared" ref="L110:L116" si="0">G110*K110/12000</f>
        <v>4.2630573501453665E-3</v>
      </c>
      <c r="M110" s="388">
        <f t="shared" ref="M110:M116" si="1">I110-L110</f>
        <v>2.4288930569346751E-2</v>
      </c>
    </row>
    <row r="111" spans="4:13" x14ac:dyDescent="0.2">
      <c r="D111" s="446" t="s">
        <v>607</v>
      </c>
      <c r="E111" s="446" t="s">
        <v>611</v>
      </c>
      <c r="F111" s="468" t="s">
        <v>609</v>
      </c>
      <c r="G111" s="469">
        <v>0.94955738960974445</v>
      </c>
      <c r="H111" s="310">
        <v>377.26447461795033</v>
      </c>
      <c r="I111" s="470">
        <v>2.9852855809226052E-2</v>
      </c>
      <c r="J111" s="439"/>
      <c r="K111">
        <f>'Assumptions-Output Override'!$L$19</f>
        <v>80</v>
      </c>
      <c r="L111" s="470">
        <f t="shared" si="0"/>
        <v>6.3303825973982956E-3</v>
      </c>
      <c r="M111" s="388">
        <f t="shared" si="1"/>
        <v>2.3522473211827755E-2</v>
      </c>
    </row>
    <row r="112" spans="4:13" x14ac:dyDescent="0.2">
      <c r="D112" s="446" t="s">
        <v>607</v>
      </c>
      <c r="E112" s="446" t="s">
        <v>612</v>
      </c>
      <c r="F112" s="468" t="s">
        <v>609</v>
      </c>
      <c r="G112" s="469">
        <v>2.7093595254504774</v>
      </c>
      <c r="H112" s="310">
        <v>1664.7009862007319</v>
      </c>
      <c r="I112" s="470">
        <v>0.37585612283247971</v>
      </c>
      <c r="J112" s="439"/>
      <c r="K112">
        <f>'Assumptions-Output Override'!$M$19</f>
        <v>200</v>
      </c>
      <c r="L112" s="470">
        <f t="shared" si="0"/>
        <v>4.5155992090841292E-2</v>
      </c>
      <c r="M112" s="388">
        <f t="shared" si="1"/>
        <v>0.3307001307416384</v>
      </c>
    </row>
    <row r="113" spans="4:13" x14ac:dyDescent="0.2">
      <c r="D113" s="446" t="s">
        <v>607</v>
      </c>
      <c r="E113" s="446" t="s">
        <v>613</v>
      </c>
      <c r="F113" s="468" t="s">
        <v>609</v>
      </c>
      <c r="G113" s="469">
        <v>4.0192602242325446</v>
      </c>
      <c r="H113" s="310">
        <v>151.98599304880585</v>
      </c>
      <c r="I113" s="470">
        <v>5.090593804179578E-2</v>
      </c>
      <c r="J113" s="439"/>
      <c r="K113">
        <f>2*K109</f>
        <v>20</v>
      </c>
      <c r="L113" s="470">
        <f t="shared" si="0"/>
        <v>6.6987670403875748E-3</v>
      </c>
      <c r="M113" s="388">
        <f t="shared" si="1"/>
        <v>4.4207171001408203E-2</v>
      </c>
    </row>
    <row r="114" spans="4:13" x14ac:dyDescent="0.2">
      <c r="D114" s="446" t="s">
        <v>607</v>
      </c>
      <c r="E114" s="446" t="s">
        <v>614</v>
      </c>
      <c r="F114" s="468" t="s">
        <v>609</v>
      </c>
      <c r="G114" s="469">
        <v>0.10282599868431973</v>
      </c>
      <c r="H114" s="310">
        <v>589.79656132240382</v>
      </c>
      <c r="I114" s="470">
        <v>5.0538683698794825E-3</v>
      </c>
      <c r="J114" s="439"/>
      <c r="K114">
        <f>2*K110</f>
        <v>100</v>
      </c>
      <c r="L114" s="470">
        <f t="shared" si="0"/>
        <v>8.5688332236933111E-4</v>
      </c>
      <c r="M114" s="388">
        <f t="shared" si="1"/>
        <v>4.1969850475101515E-3</v>
      </c>
    </row>
    <row r="115" spans="4:13" x14ac:dyDescent="0.2">
      <c r="D115" s="446" t="s">
        <v>607</v>
      </c>
      <c r="E115" s="446" t="s">
        <v>615</v>
      </c>
      <c r="F115" s="468" t="s">
        <v>609</v>
      </c>
      <c r="G115" s="469">
        <v>8.2622649969218795E-2</v>
      </c>
      <c r="H115" s="310">
        <v>606.70672686480236</v>
      </c>
      <c r="I115" s="470">
        <v>4.1773097939767495E-3</v>
      </c>
      <c r="J115" s="439"/>
      <c r="K115">
        <f>2*K111</f>
        <v>160</v>
      </c>
      <c r="L115" s="470">
        <f t="shared" si="0"/>
        <v>1.1016353329229172E-3</v>
      </c>
      <c r="M115" s="388">
        <f t="shared" si="1"/>
        <v>3.0756744610538323E-3</v>
      </c>
    </row>
    <row r="116" spans="4:13" x14ac:dyDescent="0.2">
      <c r="D116" s="446" t="s">
        <v>607</v>
      </c>
      <c r="E116" s="446" t="s">
        <v>616</v>
      </c>
      <c r="F116" s="468" t="s">
        <v>609</v>
      </c>
      <c r="G116" s="447">
        <v>0.43542739618814574</v>
      </c>
      <c r="H116" s="310">
        <v>2247.1598659978376</v>
      </c>
      <c r="I116" s="448">
        <v>8.1539580772495082E-2</v>
      </c>
      <c r="J116" s="439"/>
      <c r="K116">
        <f>2*K112</f>
        <v>400</v>
      </c>
      <c r="L116" s="470">
        <f t="shared" si="0"/>
        <v>1.4514246539604857E-2</v>
      </c>
      <c r="M116" s="388">
        <f t="shared" si="1"/>
        <v>6.7025334232890227E-2</v>
      </c>
    </row>
    <row r="117" spans="4:13" x14ac:dyDescent="0.2">
      <c r="D117" s="460" t="s">
        <v>617</v>
      </c>
      <c r="E117" s="460"/>
      <c r="F117" s="460"/>
      <c r="G117" s="471">
        <v>41.894206672165964</v>
      </c>
      <c r="H117" s="472"/>
      <c r="I117" s="473">
        <v>0.74751058923071467</v>
      </c>
      <c r="J117" s="439"/>
      <c r="L117" s="470">
        <f>SUM(L109:L116)</f>
        <v>0.10606431404366681</v>
      </c>
      <c r="M117" s="388">
        <f>SUM(M109:M116)</f>
        <v>0.64144627518704778</v>
      </c>
    </row>
    <row r="118" spans="4:13" ht="16" x14ac:dyDescent="0.2">
      <c r="D118" s="461" t="s">
        <v>618</v>
      </c>
      <c r="E118" s="461"/>
      <c r="F118" s="461"/>
      <c r="G118" s="474"/>
      <c r="H118" s="474"/>
      <c r="I118" s="473">
        <v>1.5999402262099254</v>
      </c>
      <c r="J118" s="439"/>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793</v>
      </c>
      <c r="G3"/>
      <c r="H3"/>
      <c r="I3"/>
    </row>
    <row r="4" spans="2:19" x14ac:dyDescent="0.2">
      <c r="G4"/>
      <c r="H4"/>
      <c r="I4"/>
    </row>
    <row r="5" spans="2:19" ht="16" x14ac:dyDescent="0.2">
      <c r="D5" s="438" t="s">
        <v>794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3.0154251813583504E-4</v>
      </c>
      <c r="H8" s="310">
        <v>453.99999999999994</v>
      </c>
      <c r="I8" s="448">
        <v>1.1408358602805758E-5</v>
      </c>
      <c r="J8" s="439"/>
      <c r="K8" s="446" t="s">
        <v>1</v>
      </c>
      <c r="L8" s="446" t="s">
        <v>535</v>
      </c>
      <c r="M8" s="446" t="s">
        <v>534</v>
      </c>
      <c r="N8" s="449">
        <v>8.4431905078033789E-3</v>
      </c>
      <c r="O8" s="310">
        <v>3737.2078571428574</v>
      </c>
      <c r="P8" s="388">
        <v>2.6294964920930649E-3</v>
      </c>
      <c r="Q8" s="29">
        <f>'Assumptions-Output Target'!D17</f>
        <v>1018.5185313926721</v>
      </c>
      <c r="R8" s="388">
        <f>N8*Q8/12000</f>
        <v>7.1662883302303724E-4</v>
      </c>
      <c r="S8" s="388">
        <f>P8-R8</f>
        <v>1.9128676590700277E-3</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3.6185102176300196E-3</v>
      </c>
      <c r="H10" s="310">
        <v>1787.940833333334</v>
      </c>
      <c r="I10" s="448">
        <v>5.3914018116121669E-4</v>
      </c>
      <c r="J10" s="439"/>
      <c r="K10" s="446" t="s">
        <v>462</v>
      </c>
      <c r="L10" s="446" t="s">
        <v>538</v>
      </c>
      <c r="M10" s="446" t="s">
        <v>539</v>
      </c>
      <c r="N10" s="449">
        <v>0.69257713465651316</v>
      </c>
      <c r="O10" s="310">
        <v>884.88434438190552</v>
      </c>
      <c r="P10" s="388">
        <v>5.1070888644535614E-2</v>
      </c>
      <c r="Q10" s="29">
        <v>0</v>
      </c>
      <c r="R10" s="388">
        <f>N10*Q10/12000</f>
        <v>0</v>
      </c>
      <c r="S10" s="388">
        <f>P10-R10</f>
        <v>5.1070888644535614E-2</v>
      </c>
    </row>
    <row r="11" spans="2:19" x14ac:dyDescent="0.2">
      <c r="D11" s="446" t="s">
        <v>1</v>
      </c>
      <c r="E11" s="446" t="s">
        <v>540</v>
      </c>
      <c r="F11" s="446" t="s">
        <v>534</v>
      </c>
      <c r="G11" s="447">
        <v>3.9200527357658548E-3</v>
      </c>
      <c r="H11" s="310">
        <v>6340.7330769230775</v>
      </c>
      <c r="I11" s="448">
        <v>2.071334003746113E-3</v>
      </c>
      <c r="J11" s="439"/>
      <c r="K11" s="320" t="s">
        <v>463</v>
      </c>
      <c r="L11" s="450" t="s">
        <v>541</v>
      </c>
      <c r="M11" s="446" t="s">
        <v>539</v>
      </c>
      <c r="N11" s="449">
        <v>0.33928627609814599</v>
      </c>
      <c r="O11" s="310">
        <v>104.81305531914894</v>
      </c>
      <c r="P11" s="388">
        <v>2.9634692688085846E-3</v>
      </c>
      <c r="Q11" s="29">
        <f>'Assumptions-Output Target'!G17</f>
        <v>30.555555941780163</v>
      </c>
      <c r="R11" s="388">
        <f>N11*Q11/12000</f>
        <v>8.6392339913293076E-4</v>
      </c>
      <c r="S11" s="388">
        <f>P11-R11</f>
        <v>2.0995458696756539E-3</v>
      </c>
    </row>
    <row r="12" spans="2:19" x14ac:dyDescent="0.2">
      <c r="D12" s="446" t="s">
        <v>1</v>
      </c>
      <c r="E12" s="446" t="s">
        <v>542</v>
      </c>
      <c r="F12" s="446" t="s">
        <v>534</v>
      </c>
      <c r="G12" s="447">
        <v>0</v>
      </c>
      <c r="H12" s="310" t="s">
        <v>446</v>
      </c>
      <c r="I12" s="448">
        <v>0</v>
      </c>
      <c r="J12" s="439"/>
      <c r="K12" s="320" t="s">
        <v>464</v>
      </c>
      <c r="L12" s="450" t="s">
        <v>541</v>
      </c>
      <c r="M12" s="446" t="s">
        <v>539</v>
      </c>
      <c r="N12" s="449">
        <v>22.047255352273822</v>
      </c>
      <c r="O12" s="310">
        <v>75.733822246668083</v>
      </c>
      <c r="P12" s="388">
        <v>0.13914357648966727</v>
      </c>
      <c r="Q12" s="29">
        <f>'Assumptions-Output Target'!H17</f>
        <v>55.000000695204292</v>
      </c>
      <c r="R12" s="388">
        <f>N12*Q12/12000</f>
        <v>0.10104992164186723</v>
      </c>
      <c r="S12" s="388">
        <f>P12-R12</f>
        <v>3.8093654847800043E-2</v>
      </c>
    </row>
    <row r="13" spans="2:19" x14ac:dyDescent="0.2">
      <c r="D13" s="446" t="s">
        <v>1</v>
      </c>
      <c r="E13" s="446" t="s">
        <v>543</v>
      </c>
      <c r="F13" s="446" t="s">
        <v>534</v>
      </c>
      <c r="G13" s="447">
        <v>0</v>
      </c>
      <c r="H13" s="310" t="s">
        <v>446</v>
      </c>
      <c r="I13" s="448">
        <v>0</v>
      </c>
      <c r="J13" s="439"/>
      <c r="K13" s="446" t="s">
        <v>465</v>
      </c>
      <c r="P13" s="388">
        <f>I117</f>
        <v>0.18950353358471697</v>
      </c>
      <c r="R13" s="388">
        <f>L117</f>
        <v>7.0499897081854918E-2</v>
      </c>
      <c r="S13" s="388">
        <f>M117</f>
        <v>0.11900363650286205</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0.38531096447982149</v>
      </c>
      <c r="R15" s="388">
        <f>SUM(R8:R13)</f>
        <v>0.17313037095587813</v>
      </c>
      <c r="S15" s="388">
        <f>SUM(S8:S13)</f>
        <v>0.21218059352394339</v>
      </c>
    </row>
    <row r="16" spans="2:19" x14ac:dyDescent="0.2">
      <c r="D16" s="451" t="s">
        <v>1</v>
      </c>
      <c r="E16" s="451" t="s">
        <v>546</v>
      </c>
      <c r="F16" s="451" t="s">
        <v>534</v>
      </c>
      <c r="G16" s="452">
        <v>6.0308503627167008E-4</v>
      </c>
      <c r="H16" s="453">
        <v>151.5</v>
      </c>
      <c r="I16" s="454">
        <v>7.6139485829298341E-6</v>
      </c>
      <c r="J16" s="439"/>
    </row>
    <row r="17" spans="4:10" ht="16" x14ac:dyDescent="0.2">
      <c r="D17" s="456" t="s">
        <v>547</v>
      </c>
      <c r="E17" s="456"/>
      <c r="F17" s="456"/>
      <c r="G17" s="457">
        <v>8.4431905078033789E-3</v>
      </c>
      <c r="H17" s="458"/>
      <c r="I17" s="459">
        <v>2.6294964920930649E-3</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5.7750855506067398E-4</v>
      </c>
      <c r="H19" s="310">
        <v>206.51499999999996</v>
      </c>
      <c r="I19" s="448">
        <v>9.9386816040295894E-6</v>
      </c>
      <c r="J19" s="439"/>
    </row>
    <row r="20" spans="4:10" x14ac:dyDescent="0.2">
      <c r="D20" s="446" t="s">
        <v>462</v>
      </c>
      <c r="E20" s="446" t="s">
        <v>550</v>
      </c>
      <c r="F20" s="446" t="s">
        <v>537</v>
      </c>
      <c r="G20" s="447">
        <v>4.721132437621009E-2</v>
      </c>
      <c r="H20" s="310">
        <v>485.36418960244663</v>
      </c>
      <c r="I20" s="448">
        <v>1.9095571829931203E-3</v>
      </c>
      <c r="J20" s="439"/>
    </row>
    <row r="21" spans="4:10" x14ac:dyDescent="0.2">
      <c r="D21" s="446" t="s">
        <v>462</v>
      </c>
      <c r="E21" s="446" t="s">
        <v>551</v>
      </c>
      <c r="F21" s="446" t="s">
        <v>537</v>
      </c>
      <c r="G21" s="447">
        <v>1.8769028039471905E-3</v>
      </c>
      <c r="H21" s="310">
        <v>193.9223076923077</v>
      </c>
      <c r="I21" s="448">
        <v>3.0331110254633512E-5</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1.4437713876516849E-4</v>
      </c>
      <c r="H24" s="310">
        <v>95.13000000000001</v>
      </c>
      <c r="I24" s="448">
        <v>1.1445497675608733E-6</v>
      </c>
      <c r="J24" s="439"/>
    </row>
    <row r="25" spans="4:10" x14ac:dyDescent="0.2">
      <c r="D25" s="446" t="s">
        <v>462</v>
      </c>
      <c r="E25" s="446" t="s">
        <v>556</v>
      </c>
      <c r="F25" s="446" t="s">
        <v>537</v>
      </c>
      <c r="G25" s="447">
        <v>1.2993942488865166E-3</v>
      </c>
      <c r="H25" s="310">
        <v>1007.6922222222223</v>
      </c>
      <c r="I25" s="448">
        <v>1.0911578985026911E-4</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1.5881485264168536E-3</v>
      </c>
      <c r="H30" s="310">
        <v>948.81818181818164</v>
      </c>
      <c r="I30" s="448">
        <v>1.2557201644100531E-4</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1.2993942488865166E-3</v>
      </c>
      <c r="H48" s="310">
        <v>1174.0000000000002</v>
      </c>
      <c r="I48" s="448">
        <v>1.2712407068273088E-4</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0.25996129491632403</v>
      </c>
      <c r="H52" s="310">
        <v>916.24727560479312</v>
      </c>
      <c r="I52" s="448">
        <v>1.9849069019148003E-2</v>
      </c>
      <c r="J52" s="439"/>
    </row>
    <row r="53" spans="4:10" x14ac:dyDescent="0.2">
      <c r="D53" s="446" t="s">
        <v>462</v>
      </c>
      <c r="E53" s="446" t="s">
        <v>584</v>
      </c>
      <c r="F53" s="446" t="s">
        <v>554</v>
      </c>
      <c r="G53" s="447">
        <v>1.4367072579061673E-2</v>
      </c>
      <c r="H53" s="310">
        <v>916.24727560479312</v>
      </c>
      <c r="I53" s="448">
        <v>1.0969825924151322E-3</v>
      </c>
      <c r="J53" s="439"/>
    </row>
    <row r="54" spans="4:10" x14ac:dyDescent="0.2">
      <c r="D54" s="446" t="s">
        <v>462</v>
      </c>
      <c r="E54" s="446" t="s">
        <v>585</v>
      </c>
      <c r="F54" s="446" t="s">
        <v>554</v>
      </c>
      <c r="G54" s="447">
        <v>6.3616710516601629E-2</v>
      </c>
      <c r="H54" s="310">
        <v>916.24727560479312</v>
      </c>
      <c r="I54" s="448">
        <v>4.8573864744812529E-3</v>
      </c>
      <c r="J54" s="439"/>
    </row>
    <row r="55" spans="4:10" x14ac:dyDescent="0.2">
      <c r="D55" s="446" t="s">
        <v>462</v>
      </c>
      <c r="E55" s="446" t="s">
        <v>586</v>
      </c>
      <c r="F55" s="446" t="s">
        <v>537</v>
      </c>
      <c r="G55" s="447">
        <v>3.4775252512158114E-2</v>
      </c>
      <c r="H55" s="310">
        <v>916.24727560479323</v>
      </c>
      <c r="I55" s="448">
        <v>2.6552275310611343E-3</v>
      </c>
      <c r="J55" s="439"/>
    </row>
    <row r="56" spans="4:10" x14ac:dyDescent="0.2">
      <c r="D56" s="446" t="s">
        <v>462</v>
      </c>
      <c r="E56" s="446" t="s">
        <v>5</v>
      </c>
      <c r="F56" s="446" t="s">
        <v>537</v>
      </c>
      <c r="G56" s="447">
        <v>2.9820142655632008E-2</v>
      </c>
      <c r="H56" s="310">
        <v>916.24727560479323</v>
      </c>
      <c r="I56" s="448">
        <v>2.2768853721974259E-3</v>
      </c>
      <c r="J56" s="439"/>
    </row>
    <row r="57" spans="4:10" x14ac:dyDescent="0.2">
      <c r="D57" s="446" t="s">
        <v>462</v>
      </c>
      <c r="E57" s="446" t="s">
        <v>587</v>
      </c>
      <c r="F57" s="446" t="s">
        <v>537</v>
      </c>
      <c r="G57" s="447">
        <v>7.8751844156812634E-2</v>
      </c>
      <c r="H57" s="310">
        <v>916.24727560479323</v>
      </c>
      <c r="I57" s="448">
        <v>6.0130135547944025E-3</v>
      </c>
      <c r="J57" s="439"/>
    </row>
    <row r="58" spans="4:10" x14ac:dyDescent="0.2">
      <c r="D58" s="446" t="s">
        <v>462</v>
      </c>
      <c r="E58" s="446" t="s">
        <v>588</v>
      </c>
      <c r="F58" s="446" t="s">
        <v>537</v>
      </c>
      <c r="G58" s="447">
        <v>5.3198500271927719E-2</v>
      </c>
      <c r="H58" s="310">
        <v>916.24727560479323</v>
      </c>
      <c r="I58" s="448">
        <v>4.0619150783678852E-3</v>
      </c>
      <c r="J58" s="439"/>
    </row>
    <row r="59" spans="4:10" x14ac:dyDescent="0.2">
      <c r="D59" s="446" t="s">
        <v>462</v>
      </c>
      <c r="E59" s="446" t="s">
        <v>589</v>
      </c>
      <c r="F59" s="446" t="s">
        <v>537</v>
      </c>
      <c r="G59" s="447">
        <v>2.0563634953355291E-2</v>
      </c>
      <c r="H59" s="310">
        <v>916.24727560479323</v>
      </c>
      <c r="I59" s="448">
        <v>1.5701145418786071E-3</v>
      </c>
      <c r="J59" s="439"/>
    </row>
    <row r="60" spans="4:10" x14ac:dyDescent="0.2">
      <c r="D60" s="446" t="s">
        <v>462</v>
      </c>
      <c r="E60" s="446" t="s">
        <v>590</v>
      </c>
      <c r="F60" s="446" t="s">
        <v>537</v>
      </c>
      <c r="G60" s="447">
        <v>1.9627611823036562E-2</v>
      </c>
      <c r="H60" s="310">
        <v>916.24727560479323</v>
      </c>
      <c r="I60" s="448">
        <v>1.4986454882904732E-3</v>
      </c>
      <c r="J60" s="439"/>
    </row>
    <row r="61" spans="4:10" x14ac:dyDescent="0.2">
      <c r="D61" s="446" t="s">
        <v>462</v>
      </c>
      <c r="E61" s="446" t="s">
        <v>591</v>
      </c>
      <c r="F61" s="446" t="s">
        <v>537</v>
      </c>
      <c r="G61" s="447">
        <v>3.2543293637039734E-2</v>
      </c>
      <c r="H61" s="310">
        <v>916.24727560479323</v>
      </c>
      <c r="I61" s="448">
        <v>2.4848086778453717E-3</v>
      </c>
      <c r="J61" s="439"/>
    </row>
    <row r="62" spans="4:10" x14ac:dyDescent="0.2">
      <c r="D62" s="446" t="s">
        <v>462</v>
      </c>
      <c r="E62" s="446" t="s">
        <v>592</v>
      </c>
      <c r="F62" s="446" t="s">
        <v>537</v>
      </c>
      <c r="G62" s="447">
        <v>3.1354726736390767E-2</v>
      </c>
      <c r="H62" s="310">
        <v>916.24727560479312</v>
      </c>
      <c r="I62" s="448">
        <v>2.3940569124625672E-3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0.69257713465651316</v>
      </c>
      <c r="H64" s="463"/>
      <c r="I64" s="464">
        <v>5.1070888644535614E-2</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3.1474216250806736E-2</v>
      </c>
      <c r="H66" s="310">
        <v>718.17518348623844</v>
      </c>
      <c r="I66" s="448">
        <v>1.8836667525840563E-3</v>
      </c>
      <c r="J66" s="439"/>
    </row>
    <row r="67" spans="4:10" x14ac:dyDescent="0.2">
      <c r="D67" s="446" t="s">
        <v>595</v>
      </c>
      <c r="E67" s="446" t="s">
        <v>564</v>
      </c>
      <c r="F67" s="446" t="s">
        <v>554</v>
      </c>
      <c r="G67" s="447">
        <v>8.2294969096146052E-3</v>
      </c>
      <c r="H67" s="310">
        <v>89.922280701754374</v>
      </c>
      <c r="I67" s="448">
        <v>6.1667927595048723E-5</v>
      </c>
      <c r="J67" s="439"/>
    </row>
    <row r="68" spans="4:10" x14ac:dyDescent="0.2">
      <c r="D68" s="446" t="s">
        <v>595</v>
      </c>
      <c r="E68" s="446" t="s">
        <v>597</v>
      </c>
      <c r="F68" s="446" t="s">
        <v>554</v>
      </c>
      <c r="G68" s="447">
        <v>1.0250776852326964E-2</v>
      </c>
      <c r="H68" s="310">
        <v>39.246760563380271</v>
      </c>
      <c r="I68" s="448">
        <v>3.3525815392659773E-5</v>
      </c>
      <c r="J68" s="439"/>
    </row>
    <row r="69" spans="4:10" x14ac:dyDescent="0.2">
      <c r="D69" s="446" t="s">
        <v>595</v>
      </c>
      <c r="E69" s="446" t="s">
        <v>572</v>
      </c>
      <c r="F69" s="446" t="s">
        <v>554</v>
      </c>
      <c r="G69" s="447">
        <v>2.8875427753033699E-4</v>
      </c>
      <c r="H69" s="310">
        <v>88.5</v>
      </c>
      <c r="I69" s="448">
        <v>2.1295627967862355E-6</v>
      </c>
      <c r="J69" s="439"/>
    </row>
    <row r="70" spans="4:10" x14ac:dyDescent="0.2">
      <c r="D70" s="446" t="s">
        <v>595</v>
      </c>
      <c r="E70" s="446" t="s">
        <v>567</v>
      </c>
      <c r="F70" s="446" t="s">
        <v>554</v>
      </c>
      <c r="G70" s="447">
        <v>1.0106399713561795E-3</v>
      </c>
      <c r="H70" s="310">
        <v>100</v>
      </c>
      <c r="I70" s="448">
        <v>8.4219997613014957E-6</v>
      </c>
      <c r="J70" s="439"/>
    </row>
    <row r="71" spans="4:10" x14ac:dyDescent="0.2">
      <c r="D71" s="446" t="s">
        <v>595</v>
      </c>
      <c r="E71" s="446" t="s">
        <v>568</v>
      </c>
      <c r="F71" s="446" t="s">
        <v>554</v>
      </c>
      <c r="G71" s="447">
        <v>1.8769028039471905E-3</v>
      </c>
      <c r="H71" s="310">
        <v>247.07692307692309</v>
      </c>
      <c r="I71" s="448">
        <v>3.8644947476143439E-5</v>
      </c>
      <c r="J71" s="439"/>
    </row>
    <row r="72" spans="4:10" x14ac:dyDescent="0.2">
      <c r="D72" s="446" t="s">
        <v>595</v>
      </c>
      <c r="E72" s="446" t="s">
        <v>548</v>
      </c>
      <c r="F72" s="446" t="s">
        <v>554</v>
      </c>
      <c r="G72" s="447">
        <v>2.0934685120949436E-2</v>
      </c>
      <c r="H72" s="310">
        <v>278.10096551724138</v>
      </c>
      <c r="I72" s="448">
        <v>4.8516301207795538E-4</v>
      </c>
      <c r="J72" s="439"/>
    </row>
    <row r="73" spans="4:10" x14ac:dyDescent="0.2">
      <c r="D73" s="446" t="s">
        <v>595</v>
      </c>
      <c r="E73" s="446" t="s">
        <v>598</v>
      </c>
      <c r="F73" s="446" t="s">
        <v>554</v>
      </c>
      <c r="G73" s="447">
        <v>1.0106399713561795E-3</v>
      </c>
      <c r="H73" s="310">
        <v>131.95285714285714</v>
      </c>
      <c r="I73" s="448">
        <v>1.1113069313601932E-5</v>
      </c>
      <c r="J73" s="439"/>
    </row>
    <row r="74" spans="4:10" x14ac:dyDescent="0.2">
      <c r="D74" s="446" t="s">
        <v>595</v>
      </c>
      <c r="E74" s="446" t="s">
        <v>549</v>
      </c>
      <c r="F74" s="446" t="s">
        <v>554</v>
      </c>
      <c r="G74" s="447">
        <v>0.2011173542998797</v>
      </c>
      <c r="H74" s="310">
        <v>91.034393395549188</v>
      </c>
      <c r="I74" s="448">
        <v>1.525716362500608E-3</v>
      </c>
      <c r="J74" s="439"/>
    </row>
    <row r="75" spans="4:10" x14ac:dyDescent="0.2">
      <c r="D75" s="446" t="s">
        <v>595</v>
      </c>
      <c r="E75" s="446" t="s">
        <v>571</v>
      </c>
      <c r="F75" s="446" t="s">
        <v>554</v>
      </c>
      <c r="G75" s="447">
        <v>4.0425598854247182E-3</v>
      </c>
      <c r="H75" s="310">
        <v>75.502857142857138</v>
      </c>
      <c r="I75" s="448">
        <v>2.5435401793388951E-5</v>
      </c>
      <c r="J75" s="439"/>
    </row>
    <row r="76" spans="4:10" x14ac:dyDescent="0.2">
      <c r="D76" s="446" t="s">
        <v>595</v>
      </c>
      <c r="E76" s="446" t="s">
        <v>561</v>
      </c>
      <c r="F76" s="446" t="s">
        <v>554</v>
      </c>
      <c r="G76" s="447">
        <v>2.5987884977730327E-3</v>
      </c>
      <c r="H76" s="310">
        <v>92.208333333333343</v>
      </c>
      <c r="I76" s="448">
        <v>1.996916300545737E-5</v>
      </c>
      <c r="J76" s="439"/>
    </row>
    <row r="77" spans="4:10" x14ac:dyDescent="0.2">
      <c r="D77" s="446" t="s">
        <v>595</v>
      </c>
      <c r="E77" s="446" t="s">
        <v>599</v>
      </c>
      <c r="F77" s="446" t="s">
        <v>554</v>
      </c>
      <c r="G77" s="447">
        <v>0.3222497737238561</v>
      </c>
      <c r="H77" s="310">
        <v>62.21248207885305</v>
      </c>
      <c r="I77" s="448">
        <v>1.6706631893924873E-3</v>
      </c>
      <c r="J77" s="439"/>
    </row>
    <row r="78" spans="4:10" x14ac:dyDescent="0.2">
      <c r="D78" s="446" t="s">
        <v>595</v>
      </c>
      <c r="E78" s="446" t="s">
        <v>600</v>
      </c>
      <c r="F78" s="446" t="s">
        <v>554</v>
      </c>
      <c r="G78" s="447">
        <v>4.3313141629550551E-4</v>
      </c>
      <c r="H78" s="310">
        <v>100.66666666666666</v>
      </c>
      <c r="I78" s="448">
        <v>3.6334913255900739E-6</v>
      </c>
      <c r="J78" s="439"/>
    </row>
    <row r="79" spans="4:10" x14ac:dyDescent="0.2">
      <c r="D79" s="446" t="s">
        <v>595</v>
      </c>
      <c r="E79" s="446" t="s">
        <v>555</v>
      </c>
      <c r="F79" s="446" t="s">
        <v>554</v>
      </c>
      <c r="G79" s="447">
        <v>0.11348043106942245</v>
      </c>
      <c r="H79" s="310">
        <v>100.54937659033078</v>
      </c>
      <c r="I79" s="448">
        <v>9.508655499360359E-4</v>
      </c>
      <c r="J79" s="439"/>
    </row>
    <row r="80" spans="4:10" x14ac:dyDescent="0.2">
      <c r="D80" s="446" t="s">
        <v>595</v>
      </c>
      <c r="E80" s="446" t="s">
        <v>552</v>
      </c>
      <c r="F80" s="446" t="s">
        <v>554</v>
      </c>
      <c r="G80" s="447">
        <v>1.443771387651685E-3</v>
      </c>
      <c r="H80" s="310">
        <v>77.899999999999991</v>
      </c>
      <c r="I80" s="448">
        <v>9.3724825915055208E-6</v>
      </c>
      <c r="J80" s="439"/>
    </row>
    <row r="81" spans="4:10" x14ac:dyDescent="0.2">
      <c r="D81" s="446" t="s">
        <v>595</v>
      </c>
      <c r="E81" s="446" t="s">
        <v>581</v>
      </c>
      <c r="F81" s="446" t="s">
        <v>554</v>
      </c>
      <c r="G81" s="447">
        <v>1.7758388068115725E-2</v>
      </c>
      <c r="H81" s="310">
        <v>157.56154471544716</v>
      </c>
      <c r="I81" s="448">
        <v>2.3316992130572326E-4</v>
      </c>
      <c r="J81" s="439"/>
    </row>
    <row r="82" spans="4:10" x14ac:dyDescent="0.2">
      <c r="D82" s="446" t="s">
        <v>595</v>
      </c>
      <c r="E82" s="446" t="s">
        <v>574</v>
      </c>
      <c r="F82" s="446" t="s">
        <v>554</v>
      </c>
      <c r="G82" s="447">
        <v>4.3313141629550551E-4</v>
      </c>
      <c r="H82" s="310">
        <v>164.66666666666669</v>
      </c>
      <c r="I82" s="448">
        <v>5.9435255458327703E-6</v>
      </c>
      <c r="J82" s="439"/>
    </row>
    <row r="83" spans="4:10" x14ac:dyDescent="0.2">
      <c r="D83" s="446" t="s">
        <v>595</v>
      </c>
      <c r="E83" s="446" t="s">
        <v>601</v>
      </c>
      <c r="F83" s="446" t="s">
        <v>554</v>
      </c>
      <c r="G83" s="447">
        <v>8.6626283259101102E-4</v>
      </c>
      <c r="H83" s="310">
        <v>135.76666666666665</v>
      </c>
      <c r="I83" s="448">
        <v>9.800801436508855E-6</v>
      </c>
      <c r="J83" s="439"/>
    </row>
    <row r="84" spans="4:10" x14ac:dyDescent="0.2">
      <c r="D84" s="446" t="s">
        <v>595</v>
      </c>
      <c r="E84" s="446" t="s">
        <v>559</v>
      </c>
      <c r="F84" s="446" t="s">
        <v>554</v>
      </c>
      <c r="G84" s="447">
        <v>1.3860205321456176E-2</v>
      </c>
      <c r="H84" s="310">
        <v>345.66947916666675</v>
      </c>
      <c r="I84" s="448">
        <v>3.9925416288423489E-4</v>
      </c>
      <c r="J84" s="439"/>
    </row>
    <row r="85" spans="4:10" x14ac:dyDescent="0.2">
      <c r="D85" s="446" t="s">
        <v>595</v>
      </c>
      <c r="E85" s="446" t="s">
        <v>573</v>
      </c>
      <c r="F85" s="446" t="s">
        <v>554</v>
      </c>
      <c r="G85" s="447">
        <v>3.4650513303640441E-3</v>
      </c>
      <c r="H85" s="310">
        <v>98.277499999999989</v>
      </c>
      <c r="I85" s="448">
        <v>2.8378048509987692E-5</v>
      </c>
      <c r="J85" s="439"/>
    </row>
    <row r="86" spans="4:10" x14ac:dyDescent="0.2">
      <c r="D86" s="446" t="s">
        <v>595</v>
      </c>
      <c r="E86" s="446" t="s">
        <v>562</v>
      </c>
      <c r="F86" s="446" t="s">
        <v>554</v>
      </c>
      <c r="G86" s="447">
        <v>1.2993942488865166E-3</v>
      </c>
      <c r="H86" s="310">
        <v>40.666666666666671</v>
      </c>
      <c r="I86" s="448">
        <v>4.4035027323376396E-6</v>
      </c>
      <c r="J86" s="439"/>
    </row>
    <row r="87" spans="4:10" x14ac:dyDescent="0.2">
      <c r="D87" s="446" t="s">
        <v>595</v>
      </c>
      <c r="E87" s="446" t="s">
        <v>550</v>
      </c>
      <c r="F87" s="446" t="s">
        <v>554</v>
      </c>
      <c r="G87" s="447">
        <v>0.51297197403264372</v>
      </c>
      <c r="H87" s="310">
        <v>137.9387813115674</v>
      </c>
      <c r="I87" s="448">
        <v>5.8965607454209892E-3</v>
      </c>
      <c r="J87" s="439"/>
    </row>
    <row r="88" spans="4:10" x14ac:dyDescent="0.2">
      <c r="D88" s="446" t="s">
        <v>595</v>
      </c>
      <c r="E88" s="446" t="s">
        <v>579</v>
      </c>
      <c r="F88" s="446" t="s">
        <v>554</v>
      </c>
      <c r="G88" s="447">
        <v>11.651235098349099</v>
      </c>
      <c r="H88" s="310">
        <v>97.501589714990203</v>
      </c>
      <c r="I88" s="448">
        <v>9.4667828686010619E-2</v>
      </c>
      <c r="J88" s="439"/>
    </row>
    <row r="89" spans="4:10" x14ac:dyDescent="0.2">
      <c r="D89" s="446" t="s">
        <v>595</v>
      </c>
      <c r="E89" s="446" t="s">
        <v>556</v>
      </c>
      <c r="F89" s="446" t="s">
        <v>554</v>
      </c>
      <c r="G89" s="447">
        <v>1.2993942488865166E-3</v>
      </c>
      <c r="H89" s="310">
        <v>103.52222222222221</v>
      </c>
      <c r="I89" s="448">
        <v>1.1209681682292291E-5</v>
      </c>
      <c r="J89" s="439"/>
    </row>
    <row r="90" spans="4:10" x14ac:dyDescent="0.2">
      <c r="D90" s="446" t="s">
        <v>595</v>
      </c>
      <c r="E90" s="446" t="s">
        <v>602</v>
      </c>
      <c r="F90" s="446" t="s">
        <v>554</v>
      </c>
      <c r="G90" s="447">
        <v>4.6200684404853918E-3</v>
      </c>
      <c r="H90" s="310">
        <v>147.86968750000003</v>
      </c>
      <c r="I90" s="448">
        <v>5.6930673043598947E-5</v>
      </c>
      <c r="J90" s="439"/>
    </row>
    <row r="91" spans="4:10" x14ac:dyDescent="0.2">
      <c r="D91" s="446" t="s">
        <v>595</v>
      </c>
      <c r="E91" s="446" t="s">
        <v>577</v>
      </c>
      <c r="F91" s="446" t="s">
        <v>554</v>
      </c>
      <c r="G91" s="447">
        <v>2.3244719341192131E-2</v>
      </c>
      <c r="H91" s="310">
        <v>71.662919254658377</v>
      </c>
      <c r="I91" s="448">
        <v>1.3881537043708729E-4</v>
      </c>
      <c r="J91" s="439"/>
    </row>
    <row r="92" spans="4:10" x14ac:dyDescent="0.2">
      <c r="D92" s="446" t="s">
        <v>595</v>
      </c>
      <c r="E92" s="446" t="s">
        <v>576</v>
      </c>
      <c r="F92" s="446" t="s">
        <v>554</v>
      </c>
      <c r="G92" s="447">
        <v>1.0828285407387638E-2</v>
      </c>
      <c r="H92" s="310">
        <v>97.115866666666662</v>
      </c>
      <c r="I92" s="448">
        <v>8.7633193487705844E-5</v>
      </c>
      <c r="J92" s="439"/>
    </row>
    <row r="93" spans="4:10" x14ac:dyDescent="0.2">
      <c r="D93" s="446" t="s">
        <v>595</v>
      </c>
      <c r="E93" s="446" t="s">
        <v>603</v>
      </c>
      <c r="F93" s="446" t="s">
        <v>554</v>
      </c>
      <c r="G93" s="447">
        <v>1.443771387651685E-3</v>
      </c>
      <c r="H93" s="310">
        <v>73.804999999999993</v>
      </c>
      <c r="I93" s="448">
        <v>8.8797956054693834E-6</v>
      </c>
      <c r="J93" s="439"/>
    </row>
    <row r="94" spans="4:10" x14ac:dyDescent="0.2">
      <c r="D94" s="446" t="s">
        <v>595</v>
      </c>
      <c r="E94" s="446" t="s">
        <v>557</v>
      </c>
      <c r="F94" s="446" t="s">
        <v>554</v>
      </c>
      <c r="G94" s="447">
        <v>7.218856938258425E-4</v>
      </c>
      <c r="H94" s="310">
        <v>96.933999999999997</v>
      </c>
      <c r="I94" s="448">
        <v>5.8312723204428516E-6</v>
      </c>
      <c r="J94" s="439"/>
    </row>
    <row r="95" spans="4:10" x14ac:dyDescent="0.2">
      <c r="D95" s="446" t="s">
        <v>595</v>
      </c>
      <c r="E95" s="446" t="s">
        <v>582</v>
      </c>
      <c r="F95" s="446" t="s">
        <v>554</v>
      </c>
      <c r="G95" s="447">
        <v>2.0212799427123591E-3</v>
      </c>
      <c r="H95" s="310">
        <v>76.696428571428584</v>
      </c>
      <c r="I95" s="448">
        <v>1.2918746062424976E-5</v>
      </c>
      <c r="J95" s="439"/>
    </row>
    <row r="96" spans="4:10" x14ac:dyDescent="0.2">
      <c r="D96" s="446" t="s">
        <v>595</v>
      </c>
      <c r="E96" s="446" t="s">
        <v>565</v>
      </c>
      <c r="F96" s="446" t="s">
        <v>554</v>
      </c>
      <c r="G96" s="447">
        <v>2.7431656365382016E-3</v>
      </c>
      <c r="H96" s="310">
        <v>80.10526315789474</v>
      </c>
      <c r="I96" s="448">
        <v>1.8311833766715538E-5</v>
      </c>
      <c r="J96" s="439"/>
    </row>
    <row r="97" spans="4:13" x14ac:dyDescent="0.2">
      <c r="D97" s="446" t="s">
        <v>595</v>
      </c>
      <c r="E97" s="446" t="s">
        <v>604</v>
      </c>
      <c r="F97" s="446" t="s">
        <v>554</v>
      </c>
      <c r="G97" s="447">
        <v>7.218856938258425E-4</v>
      </c>
      <c r="H97" s="310">
        <v>120.28000000000002</v>
      </c>
      <c r="I97" s="448">
        <v>7.2357009377810291E-6</v>
      </c>
      <c r="J97" s="439"/>
    </row>
    <row r="98" spans="4:13" x14ac:dyDescent="0.2">
      <c r="D98" s="446" t="s">
        <v>595</v>
      </c>
      <c r="E98" s="446" t="s">
        <v>569</v>
      </c>
      <c r="F98" s="446" t="s">
        <v>554</v>
      </c>
      <c r="G98" s="447">
        <v>5.77508555060674E-3</v>
      </c>
      <c r="H98" s="310">
        <v>55.325000000000003</v>
      </c>
      <c r="I98" s="448">
        <v>2.6625550673943158E-5</v>
      </c>
      <c r="J98" s="439"/>
    </row>
    <row r="99" spans="4:13" x14ac:dyDescent="0.2">
      <c r="D99" s="446" t="s">
        <v>595</v>
      </c>
      <c r="E99" s="446" t="s">
        <v>553</v>
      </c>
      <c r="F99" s="446" t="s">
        <v>554</v>
      </c>
      <c r="G99" s="447">
        <v>1.5592730986638199E-2</v>
      </c>
      <c r="H99" s="310">
        <v>139.03527777777776</v>
      </c>
      <c r="I99" s="448">
        <v>1.8066164033678374E-4</v>
      </c>
      <c r="J99" s="439"/>
    </row>
    <row r="100" spans="4:13" x14ac:dyDescent="0.2">
      <c r="D100" s="446" t="s">
        <v>595</v>
      </c>
      <c r="E100" s="446" t="s">
        <v>570</v>
      </c>
      <c r="F100" s="446" t="s">
        <v>554</v>
      </c>
      <c r="G100" s="447">
        <v>8.6626283259101102E-4</v>
      </c>
      <c r="H100" s="310">
        <v>165.52666666666667</v>
      </c>
      <c r="I100" s="448">
        <v>1.1949133261334563E-5</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6.2850256047253152</v>
      </c>
      <c r="H103" s="310">
        <v>64.07984034733046</v>
      </c>
      <c r="I103" s="448">
        <v>3.3561953110806855E-2</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4.3313141629550551E-4</v>
      </c>
      <c r="H105" s="310">
        <v>53.519999999999996</v>
      </c>
      <c r="I105" s="448">
        <v>1.9317661166779544E-6</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3.2043839687920872E-3</v>
      </c>
      <c r="I107" s="454">
        <v>8.3016854789971887E-7</v>
      </c>
      <c r="J107" s="439"/>
    </row>
    <row r="108" spans="4:13" ht="16" x14ac:dyDescent="0.2">
      <c r="D108" s="461" t="s">
        <v>605</v>
      </c>
      <c r="E108" s="460"/>
      <c r="F108" s="460"/>
      <c r="G108" s="465">
        <v>22.386541628371969</v>
      </c>
      <c r="H108" s="466"/>
      <c r="I108" s="467">
        <v>0.14210704575847585</v>
      </c>
      <c r="J108" s="439"/>
      <c r="K108" s="313" t="s">
        <v>311</v>
      </c>
      <c r="L108" s="313" t="s">
        <v>606</v>
      </c>
      <c r="M108" s="313" t="s">
        <v>528</v>
      </c>
    </row>
    <row r="109" spans="4:13" x14ac:dyDescent="0.2">
      <c r="D109" s="446" t="s">
        <v>607</v>
      </c>
      <c r="E109" s="446" t="s">
        <v>608</v>
      </c>
      <c r="F109" s="468" t="s">
        <v>609</v>
      </c>
      <c r="G109" s="469">
        <v>16.779936506704811</v>
      </c>
      <c r="H109" s="310">
        <v>29.283443484237818</v>
      </c>
      <c r="I109" s="470">
        <v>4.0947860196932438E-2</v>
      </c>
      <c r="J109" s="439"/>
      <c r="K109">
        <f>'Assumptions-Output Target'!$J$17</f>
        <v>10.185185313926722</v>
      </c>
      <c r="L109" s="470">
        <f>G109*K109/12000</f>
        <v>1.4242230239726058E-2</v>
      </c>
      <c r="M109" s="388">
        <f>I109-L109</f>
        <v>2.6705629957206378E-2</v>
      </c>
    </row>
    <row r="110" spans="4:13" x14ac:dyDescent="0.2">
      <c r="D110" s="446" t="s">
        <v>607</v>
      </c>
      <c r="E110" s="446" t="s">
        <v>610</v>
      </c>
      <c r="F110" s="468" t="s">
        <v>609</v>
      </c>
      <c r="G110" s="469">
        <v>5.6307034411504473</v>
      </c>
      <c r="H110" s="310">
        <v>134.86682559461218</v>
      </c>
      <c r="I110" s="470">
        <v>6.3282924914385003E-2</v>
      </c>
      <c r="J110" s="439"/>
      <c r="K110">
        <f>'Assumptions-Output Target'!$K$17</f>
        <v>50.92592656963361</v>
      </c>
      <c r="L110" s="470">
        <f t="shared" ref="L110:L116" si="0">G110*K110/12000</f>
        <v>2.3895732498284247E-2</v>
      </c>
      <c r="M110" s="388">
        <f t="shared" ref="M110:M116" si="1">I110-L110</f>
        <v>3.9387192416100753E-2</v>
      </c>
    </row>
    <row r="111" spans="4:13" x14ac:dyDescent="0.2">
      <c r="D111" s="446" t="s">
        <v>607</v>
      </c>
      <c r="E111" s="446" t="s">
        <v>611</v>
      </c>
      <c r="F111" s="468" t="s">
        <v>609</v>
      </c>
      <c r="G111" s="469">
        <v>1.7405034146800398</v>
      </c>
      <c r="H111" s="310">
        <v>187.51386224603573</v>
      </c>
      <c r="I111" s="470">
        <v>2.7197376461588985E-2</v>
      </c>
      <c r="J111" s="439"/>
      <c r="K111">
        <f>'Assumptions-Output Target'!$L$17</f>
        <v>81.481482511413773</v>
      </c>
      <c r="L111" s="470">
        <f t="shared" si="0"/>
        <v>1.1818233212025634E-2</v>
      </c>
      <c r="M111" s="388">
        <f t="shared" si="1"/>
        <v>1.5379143249563351E-2</v>
      </c>
    </row>
    <row r="112" spans="4:13" x14ac:dyDescent="0.2">
      <c r="D112" s="446" t="s">
        <v>607</v>
      </c>
      <c r="E112" s="446" t="s">
        <v>612</v>
      </c>
      <c r="F112" s="468" t="s">
        <v>609</v>
      </c>
      <c r="G112" s="469">
        <v>8.805041529566382E-2</v>
      </c>
      <c r="H112" s="310">
        <v>864.83252025018373</v>
      </c>
      <c r="I112" s="470">
        <v>6.3457385474353549E-3</v>
      </c>
      <c r="J112" s="439"/>
      <c r="K112">
        <f>'Assumptions-Output Target'!$M$17</f>
        <v>203.70370627853444</v>
      </c>
      <c r="L112" s="470">
        <f t="shared" si="0"/>
        <v>1.4946829945909066E-3</v>
      </c>
      <c r="M112" s="388">
        <f t="shared" si="1"/>
        <v>4.8510555528444481E-3</v>
      </c>
    </row>
    <row r="113" spans="4:13" x14ac:dyDescent="0.2">
      <c r="D113" s="446" t="s">
        <v>607</v>
      </c>
      <c r="E113" s="446" t="s">
        <v>613</v>
      </c>
      <c r="F113" s="468" t="s">
        <v>609</v>
      </c>
      <c r="G113" s="469">
        <v>2.5356710350042366</v>
      </c>
      <c r="H113" s="310">
        <v>55.551125825730182</v>
      </c>
      <c r="I113" s="470">
        <v>1.1738281726514987E-2</v>
      </c>
      <c r="J113" s="439"/>
      <c r="K113">
        <f>2*K109</f>
        <v>20.370370627853443</v>
      </c>
      <c r="L113" s="470">
        <f t="shared" si="0"/>
        <v>4.3043798977790869E-3</v>
      </c>
      <c r="M113" s="388">
        <f t="shared" si="1"/>
        <v>7.4339018287358999E-3</v>
      </c>
    </row>
    <row r="114" spans="4:13" x14ac:dyDescent="0.2">
      <c r="D114" s="446" t="s">
        <v>607</v>
      </c>
      <c r="E114" s="446" t="s">
        <v>614</v>
      </c>
      <c r="F114" s="468" t="s">
        <v>609</v>
      </c>
      <c r="G114" s="469">
        <v>1.2872850099218796</v>
      </c>
      <c r="H114" s="310">
        <v>296.03623413760317</v>
      </c>
      <c r="I114" s="470">
        <v>3.1756917216588361E-2</v>
      </c>
      <c r="J114" s="439"/>
      <c r="K114">
        <f>2*K110</f>
        <v>101.85185313926722</v>
      </c>
      <c r="L114" s="470">
        <f t="shared" si="0"/>
        <v>1.0926030314911952E-2</v>
      </c>
      <c r="M114" s="388">
        <f t="shared" si="1"/>
        <v>2.0830886901676407E-2</v>
      </c>
    </row>
    <row r="115" spans="4:13" x14ac:dyDescent="0.2">
      <c r="D115" s="446" t="s">
        <v>607</v>
      </c>
      <c r="E115" s="446" t="s">
        <v>615</v>
      </c>
      <c r="F115" s="468" t="s">
        <v>609</v>
      </c>
      <c r="G115" s="469">
        <v>0.28043454186632655</v>
      </c>
      <c r="H115" s="310">
        <v>349.68884708040031</v>
      </c>
      <c r="I115" s="470">
        <v>8.1720693022296655E-3</v>
      </c>
      <c r="J115" s="439"/>
      <c r="K115">
        <f>2*K111</f>
        <v>162.96296502282755</v>
      </c>
      <c r="L115" s="470">
        <f t="shared" si="0"/>
        <v>3.80837036977957E-3</v>
      </c>
      <c r="M115" s="388">
        <f t="shared" si="1"/>
        <v>4.3636989324500955E-3</v>
      </c>
    </row>
    <row r="116" spans="4:13" x14ac:dyDescent="0.2">
      <c r="D116" s="446" t="s">
        <v>607</v>
      </c>
      <c r="E116" s="446" t="s">
        <v>616</v>
      </c>
      <c r="F116" s="468" t="s">
        <v>609</v>
      </c>
      <c r="G116" s="447">
        <v>3.0154251813583504E-4</v>
      </c>
      <c r="H116" s="310">
        <v>2481.8477776628961</v>
      </c>
      <c r="I116" s="448">
        <v>6.2365219042191303E-5</v>
      </c>
      <c r="J116" s="439"/>
      <c r="K116">
        <f>2*K112</f>
        <v>407.40741255706888</v>
      </c>
      <c r="L116" s="470">
        <f t="shared" si="0"/>
        <v>1.0237554757471964E-5</v>
      </c>
      <c r="M116" s="388">
        <f t="shared" si="1"/>
        <v>5.2127664284719338E-5</v>
      </c>
    </row>
    <row r="117" spans="4:13" x14ac:dyDescent="0.2">
      <c r="D117" s="460" t="s">
        <v>617</v>
      </c>
      <c r="E117" s="460"/>
      <c r="F117" s="460"/>
      <c r="G117" s="471">
        <v>28.342885907141543</v>
      </c>
      <c r="H117" s="472"/>
      <c r="I117" s="473">
        <v>0.18950353358471697</v>
      </c>
      <c r="J117" s="439"/>
      <c r="L117" s="470">
        <f>SUM(L109:L116)</f>
        <v>7.0499897081854918E-2</v>
      </c>
      <c r="M117" s="388">
        <f>SUM(M109:M116)</f>
        <v>0.11900363650286205</v>
      </c>
    </row>
    <row r="118" spans="4:13" ht="16" x14ac:dyDescent="0.2">
      <c r="D118" s="461" t="s">
        <v>618</v>
      </c>
      <c r="E118" s="461"/>
      <c r="F118" s="461"/>
      <c r="G118" s="474"/>
      <c r="H118" s="474"/>
      <c r="I118" s="473">
        <v>0.38531096447982149</v>
      </c>
      <c r="J118" s="439"/>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793</v>
      </c>
      <c r="G3"/>
      <c r="H3"/>
      <c r="I3"/>
    </row>
    <row r="4" spans="2:19" x14ac:dyDescent="0.2">
      <c r="G4"/>
      <c r="H4"/>
      <c r="I4"/>
    </row>
    <row r="5" spans="2:19" ht="16" x14ac:dyDescent="0.2">
      <c r="D5" s="438" t="s">
        <v>794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3.0154251813583504E-4</v>
      </c>
      <c r="H8" s="310">
        <v>453.99999999999994</v>
      </c>
      <c r="I8" s="448">
        <v>1.1408358602805758E-5</v>
      </c>
      <c r="J8" s="439"/>
      <c r="K8" s="446" t="s">
        <v>1</v>
      </c>
      <c r="L8" s="446" t="s">
        <v>535</v>
      </c>
      <c r="M8" s="446" t="s">
        <v>534</v>
      </c>
      <c r="N8" s="449">
        <v>8.4431905078033789E-3</v>
      </c>
      <c r="O8" s="310">
        <v>3737.2078571428574</v>
      </c>
      <c r="P8" s="388">
        <v>2.6294964920930649E-3</v>
      </c>
      <c r="Q8" s="29">
        <f>'Assumptions-Output Override'!D19</f>
        <v>1000</v>
      </c>
      <c r="R8" s="388">
        <f>N8*Q8/12000</f>
        <v>7.0359920898361498E-4</v>
      </c>
      <c r="S8" s="388">
        <f>P8-R8</f>
        <v>1.9258972831094499E-3</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3.6185102176300196E-3</v>
      </c>
      <c r="H10" s="310">
        <v>1787.940833333334</v>
      </c>
      <c r="I10" s="448">
        <v>5.3914018116121669E-4</v>
      </c>
      <c r="J10" s="439"/>
      <c r="K10" s="446" t="s">
        <v>462</v>
      </c>
      <c r="L10" s="446" t="s">
        <v>538</v>
      </c>
      <c r="M10" s="446" t="s">
        <v>539</v>
      </c>
      <c r="N10" s="449">
        <v>0.69257713465651316</v>
      </c>
      <c r="O10" s="310">
        <v>884.88434438190552</v>
      </c>
      <c r="P10" s="388">
        <v>5.1070888644535614E-2</v>
      </c>
      <c r="Q10" s="29">
        <v>0</v>
      </c>
      <c r="R10" s="388">
        <f>N10*Q10/12000</f>
        <v>0</v>
      </c>
      <c r="S10" s="388">
        <f>P10-R10</f>
        <v>5.1070888644535614E-2</v>
      </c>
    </row>
    <row r="11" spans="2:19" x14ac:dyDescent="0.2">
      <c r="D11" s="446" t="s">
        <v>1</v>
      </c>
      <c r="E11" s="446" t="s">
        <v>540</v>
      </c>
      <c r="F11" s="446" t="s">
        <v>534</v>
      </c>
      <c r="G11" s="447">
        <v>3.9200527357658548E-3</v>
      </c>
      <c r="H11" s="310">
        <v>6340.7330769230775</v>
      </c>
      <c r="I11" s="448">
        <v>2.071334003746113E-3</v>
      </c>
      <c r="J11" s="439"/>
      <c r="K11" s="320" t="s">
        <v>463</v>
      </c>
      <c r="L11" s="450" t="s">
        <v>541</v>
      </c>
      <c r="M11" s="446" t="s">
        <v>539</v>
      </c>
      <c r="N11" s="449">
        <v>0.33928627609814599</v>
      </c>
      <c r="O11" s="310">
        <v>104.81305531914894</v>
      </c>
      <c r="P11" s="388">
        <v>2.9634692688085846E-3</v>
      </c>
      <c r="Q11" s="29">
        <f>'Assumptions-Output Override'!G19</f>
        <v>30</v>
      </c>
      <c r="R11" s="388">
        <f>N11*Q11/12000</f>
        <v>8.4821569024536502E-4</v>
      </c>
      <c r="S11" s="388">
        <f>P11-R11</f>
        <v>2.1152535785632196E-3</v>
      </c>
    </row>
    <row r="12" spans="2:19" x14ac:dyDescent="0.2">
      <c r="D12" s="446" t="s">
        <v>1</v>
      </c>
      <c r="E12" s="446" t="s">
        <v>542</v>
      </c>
      <c r="F12" s="446" t="s">
        <v>534</v>
      </c>
      <c r="G12" s="447">
        <v>0</v>
      </c>
      <c r="H12" s="310" t="s">
        <v>446</v>
      </c>
      <c r="I12" s="448">
        <v>0</v>
      </c>
      <c r="J12" s="439"/>
      <c r="K12" s="320" t="s">
        <v>464</v>
      </c>
      <c r="L12" s="450" t="s">
        <v>541</v>
      </c>
      <c r="M12" s="446" t="s">
        <v>539</v>
      </c>
      <c r="N12" s="449">
        <v>22.047255352273822</v>
      </c>
      <c r="O12" s="310">
        <v>75.733822246668083</v>
      </c>
      <c r="P12" s="388">
        <v>0.13914357648966727</v>
      </c>
      <c r="Q12" s="29">
        <f>'Assumptions-Output Override'!H19</f>
        <v>60</v>
      </c>
      <c r="R12" s="388">
        <f>N12*Q12/12000</f>
        <v>0.1102362767613691</v>
      </c>
      <c r="S12" s="388">
        <f>P12-R12</f>
        <v>2.8907299728298169E-2</v>
      </c>
    </row>
    <row r="13" spans="2:19" x14ac:dyDescent="0.2">
      <c r="D13" s="446" t="s">
        <v>1</v>
      </c>
      <c r="E13" s="446" t="s">
        <v>543</v>
      </c>
      <c r="F13" s="446" t="s">
        <v>534</v>
      </c>
      <c r="G13" s="447">
        <v>0</v>
      </c>
      <c r="H13" s="310" t="s">
        <v>446</v>
      </c>
      <c r="I13" s="448">
        <v>0</v>
      </c>
      <c r="J13" s="439"/>
      <c r="K13" s="446" t="s">
        <v>465</v>
      </c>
      <c r="P13" s="388">
        <f>I117</f>
        <v>0.18950353358471697</v>
      </c>
      <c r="R13" s="388">
        <f>L117</f>
        <v>6.9218079896353812E-2</v>
      </c>
      <c r="S13" s="388">
        <f>M117</f>
        <v>0.12028545368836316</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0.38531096447982149</v>
      </c>
      <c r="R15" s="388">
        <f>SUM(R8:R13)</f>
        <v>0.18100617155695189</v>
      </c>
      <c r="S15" s="388">
        <f>SUM(S8:S13)</f>
        <v>0.20430479292286963</v>
      </c>
    </row>
    <row r="16" spans="2:19" x14ac:dyDescent="0.2">
      <c r="D16" s="451" t="s">
        <v>1</v>
      </c>
      <c r="E16" s="451" t="s">
        <v>546</v>
      </c>
      <c r="F16" s="451" t="s">
        <v>534</v>
      </c>
      <c r="G16" s="452">
        <v>6.0308503627167008E-4</v>
      </c>
      <c r="H16" s="453">
        <v>151.5</v>
      </c>
      <c r="I16" s="454">
        <v>7.6139485829298341E-6</v>
      </c>
      <c r="J16" s="439"/>
    </row>
    <row r="17" spans="4:10" ht="16" x14ac:dyDescent="0.2">
      <c r="D17" s="456" t="s">
        <v>547</v>
      </c>
      <c r="E17" s="456"/>
      <c r="F17" s="456"/>
      <c r="G17" s="457">
        <v>8.4431905078033789E-3</v>
      </c>
      <c r="H17" s="458"/>
      <c r="I17" s="459">
        <v>2.6294964920930649E-3</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5.7750855506067398E-4</v>
      </c>
      <c r="H19" s="310">
        <v>206.51499999999996</v>
      </c>
      <c r="I19" s="448">
        <v>9.9386816040295894E-6</v>
      </c>
      <c r="J19" s="439"/>
    </row>
    <row r="20" spans="4:10" x14ac:dyDescent="0.2">
      <c r="D20" s="446" t="s">
        <v>462</v>
      </c>
      <c r="E20" s="446" t="s">
        <v>550</v>
      </c>
      <c r="F20" s="446" t="s">
        <v>537</v>
      </c>
      <c r="G20" s="447">
        <v>4.721132437621009E-2</v>
      </c>
      <c r="H20" s="310">
        <v>485.36418960244663</v>
      </c>
      <c r="I20" s="448">
        <v>1.9095571829931203E-3</v>
      </c>
      <c r="J20" s="439"/>
    </row>
    <row r="21" spans="4:10" x14ac:dyDescent="0.2">
      <c r="D21" s="446" t="s">
        <v>462</v>
      </c>
      <c r="E21" s="446" t="s">
        <v>551</v>
      </c>
      <c r="F21" s="446" t="s">
        <v>537</v>
      </c>
      <c r="G21" s="447">
        <v>1.8769028039471905E-3</v>
      </c>
      <c r="H21" s="310">
        <v>193.9223076923077</v>
      </c>
      <c r="I21" s="448">
        <v>3.0331110254633512E-5</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1.4437713876516849E-4</v>
      </c>
      <c r="H24" s="310">
        <v>95.13000000000001</v>
      </c>
      <c r="I24" s="448">
        <v>1.1445497675608733E-6</v>
      </c>
      <c r="J24" s="439"/>
    </row>
    <row r="25" spans="4:10" x14ac:dyDescent="0.2">
      <c r="D25" s="446" t="s">
        <v>462</v>
      </c>
      <c r="E25" s="446" t="s">
        <v>556</v>
      </c>
      <c r="F25" s="446" t="s">
        <v>537</v>
      </c>
      <c r="G25" s="447">
        <v>1.2993942488865166E-3</v>
      </c>
      <c r="H25" s="310">
        <v>1007.6922222222223</v>
      </c>
      <c r="I25" s="448">
        <v>1.0911578985026911E-4</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1.5881485264168536E-3</v>
      </c>
      <c r="H30" s="310">
        <v>948.81818181818164</v>
      </c>
      <c r="I30" s="448">
        <v>1.2557201644100531E-4</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1.2993942488865166E-3</v>
      </c>
      <c r="H48" s="310">
        <v>1174.0000000000002</v>
      </c>
      <c r="I48" s="448">
        <v>1.2712407068273088E-4</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0.25996129491632403</v>
      </c>
      <c r="H52" s="310">
        <v>916.24727560479312</v>
      </c>
      <c r="I52" s="448">
        <v>1.9849069019148003E-2</v>
      </c>
      <c r="J52" s="439"/>
    </row>
    <row r="53" spans="4:10" x14ac:dyDescent="0.2">
      <c r="D53" s="446" t="s">
        <v>462</v>
      </c>
      <c r="E53" s="446" t="s">
        <v>584</v>
      </c>
      <c r="F53" s="446" t="s">
        <v>554</v>
      </c>
      <c r="G53" s="447">
        <v>1.4367072579061673E-2</v>
      </c>
      <c r="H53" s="310">
        <v>916.24727560479312</v>
      </c>
      <c r="I53" s="448">
        <v>1.0969825924151322E-3</v>
      </c>
      <c r="J53" s="439"/>
    </row>
    <row r="54" spans="4:10" x14ac:dyDescent="0.2">
      <c r="D54" s="446" t="s">
        <v>462</v>
      </c>
      <c r="E54" s="446" t="s">
        <v>585</v>
      </c>
      <c r="F54" s="446" t="s">
        <v>554</v>
      </c>
      <c r="G54" s="447">
        <v>6.3616710516601629E-2</v>
      </c>
      <c r="H54" s="310">
        <v>916.24727560479312</v>
      </c>
      <c r="I54" s="448">
        <v>4.8573864744812529E-3</v>
      </c>
      <c r="J54" s="439"/>
    </row>
    <row r="55" spans="4:10" x14ac:dyDescent="0.2">
      <c r="D55" s="446" t="s">
        <v>462</v>
      </c>
      <c r="E55" s="446" t="s">
        <v>586</v>
      </c>
      <c r="F55" s="446" t="s">
        <v>537</v>
      </c>
      <c r="G55" s="447">
        <v>3.4775252512158114E-2</v>
      </c>
      <c r="H55" s="310">
        <v>916.24727560479323</v>
      </c>
      <c r="I55" s="448">
        <v>2.6552275310611343E-3</v>
      </c>
      <c r="J55" s="439"/>
    </row>
    <row r="56" spans="4:10" x14ac:dyDescent="0.2">
      <c r="D56" s="446" t="s">
        <v>462</v>
      </c>
      <c r="E56" s="446" t="s">
        <v>5</v>
      </c>
      <c r="F56" s="446" t="s">
        <v>537</v>
      </c>
      <c r="G56" s="447">
        <v>2.9820142655632008E-2</v>
      </c>
      <c r="H56" s="310">
        <v>916.24727560479323</v>
      </c>
      <c r="I56" s="448">
        <v>2.2768853721974259E-3</v>
      </c>
      <c r="J56" s="439"/>
    </row>
    <row r="57" spans="4:10" x14ac:dyDescent="0.2">
      <c r="D57" s="446" t="s">
        <v>462</v>
      </c>
      <c r="E57" s="446" t="s">
        <v>587</v>
      </c>
      <c r="F57" s="446" t="s">
        <v>537</v>
      </c>
      <c r="G57" s="447">
        <v>7.8751844156812634E-2</v>
      </c>
      <c r="H57" s="310">
        <v>916.24727560479323</v>
      </c>
      <c r="I57" s="448">
        <v>6.0130135547944025E-3</v>
      </c>
      <c r="J57" s="439"/>
    </row>
    <row r="58" spans="4:10" x14ac:dyDescent="0.2">
      <c r="D58" s="446" t="s">
        <v>462</v>
      </c>
      <c r="E58" s="446" t="s">
        <v>588</v>
      </c>
      <c r="F58" s="446" t="s">
        <v>537</v>
      </c>
      <c r="G58" s="447">
        <v>5.3198500271927719E-2</v>
      </c>
      <c r="H58" s="310">
        <v>916.24727560479323</v>
      </c>
      <c r="I58" s="448">
        <v>4.0619150783678852E-3</v>
      </c>
      <c r="J58" s="439"/>
    </row>
    <row r="59" spans="4:10" x14ac:dyDescent="0.2">
      <c r="D59" s="446" t="s">
        <v>462</v>
      </c>
      <c r="E59" s="446" t="s">
        <v>589</v>
      </c>
      <c r="F59" s="446" t="s">
        <v>537</v>
      </c>
      <c r="G59" s="447">
        <v>2.0563634953355291E-2</v>
      </c>
      <c r="H59" s="310">
        <v>916.24727560479323</v>
      </c>
      <c r="I59" s="448">
        <v>1.5701145418786071E-3</v>
      </c>
      <c r="J59" s="439"/>
    </row>
    <row r="60" spans="4:10" x14ac:dyDescent="0.2">
      <c r="D60" s="446" t="s">
        <v>462</v>
      </c>
      <c r="E60" s="446" t="s">
        <v>590</v>
      </c>
      <c r="F60" s="446" t="s">
        <v>537</v>
      </c>
      <c r="G60" s="447">
        <v>1.9627611823036562E-2</v>
      </c>
      <c r="H60" s="310">
        <v>916.24727560479323</v>
      </c>
      <c r="I60" s="448">
        <v>1.4986454882904732E-3</v>
      </c>
      <c r="J60" s="439"/>
    </row>
    <row r="61" spans="4:10" x14ac:dyDescent="0.2">
      <c r="D61" s="446" t="s">
        <v>462</v>
      </c>
      <c r="E61" s="446" t="s">
        <v>591</v>
      </c>
      <c r="F61" s="446" t="s">
        <v>537</v>
      </c>
      <c r="G61" s="447">
        <v>3.2543293637039734E-2</v>
      </c>
      <c r="H61" s="310">
        <v>916.24727560479323</v>
      </c>
      <c r="I61" s="448">
        <v>2.4848086778453717E-3</v>
      </c>
      <c r="J61" s="439"/>
    </row>
    <row r="62" spans="4:10" x14ac:dyDescent="0.2">
      <c r="D62" s="446" t="s">
        <v>462</v>
      </c>
      <c r="E62" s="446" t="s">
        <v>592</v>
      </c>
      <c r="F62" s="446" t="s">
        <v>537</v>
      </c>
      <c r="G62" s="447">
        <v>3.1354726736390767E-2</v>
      </c>
      <c r="H62" s="310">
        <v>916.24727560479312</v>
      </c>
      <c r="I62" s="448">
        <v>2.3940569124625672E-3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0.69257713465651316</v>
      </c>
      <c r="H64" s="463"/>
      <c r="I64" s="464">
        <v>5.1070888644535614E-2</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3.1474216250806736E-2</v>
      </c>
      <c r="H66" s="310">
        <v>718.17518348623844</v>
      </c>
      <c r="I66" s="448">
        <v>1.8836667525840563E-3</v>
      </c>
      <c r="J66" s="439"/>
    </row>
    <row r="67" spans="4:10" x14ac:dyDescent="0.2">
      <c r="D67" s="446" t="s">
        <v>595</v>
      </c>
      <c r="E67" s="446" t="s">
        <v>564</v>
      </c>
      <c r="F67" s="446" t="s">
        <v>554</v>
      </c>
      <c r="G67" s="447">
        <v>8.2294969096146052E-3</v>
      </c>
      <c r="H67" s="310">
        <v>89.922280701754374</v>
      </c>
      <c r="I67" s="448">
        <v>6.1667927595048723E-5</v>
      </c>
      <c r="J67" s="439"/>
    </row>
    <row r="68" spans="4:10" x14ac:dyDescent="0.2">
      <c r="D68" s="446" t="s">
        <v>595</v>
      </c>
      <c r="E68" s="446" t="s">
        <v>597</v>
      </c>
      <c r="F68" s="446" t="s">
        <v>554</v>
      </c>
      <c r="G68" s="447">
        <v>1.0250776852326964E-2</v>
      </c>
      <c r="H68" s="310">
        <v>39.246760563380271</v>
      </c>
      <c r="I68" s="448">
        <v>3.3525815392659773E-5</v>
      </c>
      <c r="J68" s="439"/>
    </row>
    <row r="69" spans="4:10" x14ac:dyDescent="0.2">
      <c r="D69" s="446" t="s">
        <v>595</v>
      </c>
      <c r="E69" s="446" t="s">
        <v>572</v>
      </c>
      <c r="F69" s="446" t="s">
        <v>554</v>
      </c>
      <c r="G69" s="447">
        <v>2.8875427753033699E-4</v>
      </c>
      <c r="H69" s="310">
        <v>88.5</v>
      </c>
      <c r="I69" s="448">
        <v>2.1295627967862355E-6</v>
      </c>
      <c r="J69" s="439"/>
    </row>
    <row r="70" spans="4:10" x14ac:dyDescent="0.2">
      <c r="D70" s="446" t="s">
        <v>595</v>
      </c>
      <c r="E70" s="446" t="s">
        <v>567</v>
      </c>
      <c r="F70" s="446" t="s">
        <v>554</v>
      </c>
      <c r="G70" s="447">
        <v>1.0106399713561795E-3</v>
      </c>
      <c r="H70" s="310">
        <v>100</v>
      </c>
      <c r="I70" s="448">
        <v>8.4219997613014957E-6</v>
      </c>
      <c r="J70" s="439"/>
    </row>
    <row r="71" spans="4:10" x14ac:dyDescent="0.2">
      <c r="D71" s="446" t="s">
        <v>595</v>
      </c>
      <c r="E71" s="446" t="s">
        <v>568</v>
      </c>
      <c r="F71" s="446" t="s">
        <v>554</v>
      </c>
      <c r="G71" s="447">
        <v>1.8769028039471905E-3</v>
      </c>
      <c r="H71" s="310">
        <v>247.07692307692309</v>
      </c>
      <c r="I71" s="448">
        <v>3.8644947476143439E-5</v>
      </c>
      <c r="J71" s="439"/>
    </row>
    <row r="72" spans="4:10" x14ac:dyDescent="0.2">
      <c r="D72" s="446" t="s">
        <v>595</v>
      </c>
      <c r="E72" s="446" t="s">
        <v>548</v>
      </c>
      <c r="F72" s="446" t="s">
        <v>554</v>
      </c>
      <c r="G72" s="447">
        <v>2.0934685120949436E-2</v>
      </c>
      <c r="H72" s="310">
        <v>278.10096551724138</v>
      </c>
      <c r="I72" s="448">
        <v>4.8516301207795538E-4</v>
      </c>
      <c r="J72" s="439"/>
    </row>
    <row r="73" spans="4:10" x14ac:dyDescent="0.2">
      <c r="D73" s="446" t="s">
        <v>595</v>
      </c>
      <c r="E73" s="446" t="s">
        <v>598</v>
      </c>
      <c r="F73" s="446" t="s">
        <v>554</v>
      </c>
      <c r="G73" s="447">
        <v>1.0106399713561795E-3</v>
      </c>
      <c r="H73" s="310">
        <v>131.95285714285714</v>
      </c>
      <c r="I73" s="448">
        <v>1.1113069313601932E-5</v>
      </c>
      <c r="J73" s="439"/>
    </row>
    <row r="74" spans="4:10" x14ac:dyDescent="0.2">
      <c r="D74" s="446" t="s">
        <v>595</v>
      </c>
      <c r="E74" s="446" t="s">
        <v>549</v>
      </c>
      <c r="F74" s="446" t="s">
        <v>554</v>
      </c>
      <c r="G74" s="447">
        <v>0.2011173542998797</v>
      </c>
      <c r="H74" s="310">
        <v>91.034393395549188</v>
      </c>
      <c r="I74" s="448">
        <v>1.525716362500608E-3</v>
      </c>
      <c r="J74" s="439"/>
    </row>
    <row r="75" spans="4:10" x14ac:dyDescent="0.2">
      <c r="D75" s="446" t="s">
        <v>595</v>
      </c>
      <c r="E75" s="446" t="s">
        <v>571</v>
      </c>
      <c r="F75" s="446" t="s">
        <v>554</v>
      </c>
      <c r="G75" s="447">
        <v>4.0425598854247182E-3</v>
      </c>
      <c r="H75" s="310">
        <v>75.502857142857138</v>
      </c>
      <c r="I75" s="448">
        <v>2.5435401793388951E-5</v>
      </c>
      <c r="J75" s="439"/>
    </row>
    <row r="76" spans="4:10" x14ac:dyDescent="0.2">
      <c r="D76" s="446" t="s">
        <v>595</v>
      </c>
      <c r="E76" s="446" t="s">
        <v>561</v>
      </c>
      <c r="F76" s="446" t="s">
        <v>554</v>
      </c>
      <c r="G76" s="447">
        <v>2.5987884977730327E-3</v>
      </c>
      <c r="H76" s="310">
        <v>92.208333333333343</v>
      </c>
      <c r="I76" s="448">
        <v>1.996916300545737E-5</v>
      </c>
      <c r="J76" s="439"/>
    </row>
    <row r="77" spans="4:10" x14ac:dyDescent="0.2">
      <c r="D77" s="446" t="s">
        <v>595</v>
      </c>
      <c r="E77" s="446" t="s">
        <v>599</v>
      </c>
      <c r="F77" s="446" t="s">
        <v>554</v>
      </c>
      <c r="G77" s="447">
        <v>0.3222497737238561</v>
      </c>
      <c r="H77" s="310">
        <v>62.21248207885305</v>
      </c>
      <c r="I77" s="448">
        <v>1.6706631893924873E-3</v>
      </c>
      <c r="J77" s="439"/>
    </row>
    <row r="78" spans="4:10" x14ac:dyDescent="0.2">
      <c r="D78" s="446" t="s">
        <v>595</v>
      </c>
      <c r="E78" s="446" t="s">
        <v>600</v>
      </c>
      <c r="F78" s="446" t="s">
        <v>554</v>
      </c>
      <c r="G78" s="447">
        <v>4.3313141629550551E-4</v>
      </c>
      <c r="H78" s="310">
        <v>100.66666666666666</v>
      </c>
      <c r="I78" s="448">
        <v>3.6334913255900739E-6</v>
      </c>
      <c r="J78" s="439"/>
    </row>
    <row r="79" spans="4:10" x14ac:dyDescent="0.2">
      <c r="D79" s="446" t="s">
        <v>595</v>
      </c>
      <c r="E79" s="446" t="s">
        <v>555</v>
      </c>
      <c r="F79" s="446" t="s">
        <v>554</v>
      </c>
      <c r="G79" s="447">
        <v>0.11348043106942245</v>
      </c>
      <c r="H79" s="310">
        <v>100.54937659033078</v>
      </c>
      <c r="I79" s="448">
        <v>9.508655499360359E-4</v>
      </c>
      <c r="J79" s="439"/>
    </row>
    <row r="80" spans="4:10" x14ac:dyDescent="0.2">
      <c r="D80" s="446" t="s">
        <v>595</v>
      </c>
      <c r="E80" s="446" t="s">
        <v>552</v>
      </c>
      <c r="F80" s="446" t="s">
        <v>554</v>
      </c>
      <c r="G80" s="447">
        <v>1.443771387651685E-3</v>
      </c>
      <c r="H80" s="310">
        <v>77.899999999999991</v>
      </c>
      <c r="I80" s="448">
        <v>9.3724825915055208E-6</v>
      </c>
      <c r="J80" s="439"/>
    </row>
    <row r="81" spans="4:10" x14ac:dyDescent="0.2">
      <c r="D81" s="446" t="s">
        <v>595</v>
      </c>
      <c r="E81" s="446" t="s">
        <v>581</v>
      </c>
      <c r="F81" s="446" t="s">
        <v>554</v>
      </c>
      <c r="G81" s="447">
        <v>1.7758388068115725E-2</v>
      </c>
      <c r="H81" s="310">
        <v>157.56154471544716</v>
      </c>
      <c r="I81" s="448">
        <v>2.3316992130572326E-4</v>
      </c>
      <c r="J81" s="439"/>
    </row>
    <row r="82" spans="4:10" x14ac:dyDescent="0.2">
      <c r="D82" s="446" t="s">
        <v>595</v>
      </c>
      <c r="E82" s="446" t="s">
        <v>574</v>
      </c>
      <c r="F82" s="446" t="s">
        <v>554</v>
      </c>
      <c r="G82" s="447">
        <v>4.3313141629550551E-4</v>
      </c>
      <c r="H82" s="310">
        <v>164.66666666666669</v>
      </c>
      <c r="I82" s="448">
        <v>5.9435255458327703E-6</v>
      </c>
      <c r="J82" s="439"/>
    </row>
    <row r="83" spans="4:10" x14ac:dyDescent="0.2">
      <c r="D83" s="446" t="s">
        <v>595</v>
      </c>
      <c r="E83" s="446" t="s">
        <v>601</v>
      </c>
      <c r="F83" s="446" t="s">
        <v>554</v>
      </c>
      <c r="G83" s="447">
        <v>8.6626283259101102E-4</v>
      </c>
      <c r="H83" s="310">
        <v>135.76666666666665</v>
      </c>
      <c r="I83" s="448">
        <v>9.800801436508855E-6</v>
      </c>
      <c r="J83" s="439"/>
    </row>
    <row r="84" spans="4:10" x14ac:dyDescent="0.2">
      <c r="D84" s="446" t="s">
        <v>595</v>
      </c>
      <c r="E84" s="446" t="s">
        <v>559</v>
      </c>
      <c r="F84" s="446" t="s">
        <v>554</v>
      </c>
      <c r="G84" s="447">
        <v>1.3860205321456176E-2</v>
      </c>
      <c r="H84" s="310">
        <v>345.66947916666675</v>
      </c>
      <c r="I84" s="448">
        <v>3.9925416288423489E-4</v>
      </c>
      <c r="J84" s="439"/>
    </row>
    <row r="85" spans="4:10" x14ac:dyDescent="0.2">
      <c r="D85" s="446" t="s">
        <v>595</v>
      </c>
      <c r="E85" s="446" t="s">
        <v>573</v>
      </c>
      <c r="F85" s="446" t="s">
        <v>554</v>
      </c>
      <c r="G85" s="447">
        <v>3.4650513303640441E-3</v>
      </c>
      <c r="H85" s="310">
        <v>98.277499999999989</v>
      </c>
      <c r="I85" s="448">
        <v>2.8378048509987692E-5</v>
      </c>
      <c r="J85" s="439"/>
    </row>
    <row r="86" spans="4:10" x14ac:dyDescent="0.2">
      <c r="D86" s="446" t="s">
        <v>595</v>
      </c>
      <c r="E86" s="446" t="s">
        <v>562</v>
      </c>
      <c r="F86" s="446" t="s">
        <v>554</v>
      </c>
      <c r="G86" s="447">
        <v>1.2993942488865166E-3</v>
      </c>
      <c r="H86" s="310">
        <v>40.666666666666671</v>
      </c>
      <c r="I86" s="448">
        <v>4.4035027323376396E-6</v>
      </c>
      <c r="J86" s="439"/>
    </row>
    <row r="87" spans="4:10" x14ac:dyDescent="0.2">
      <c r="D87" s="446" t="s">
        <v>595</v>
      </c>
      <c r="E87" s="446" t="s">
        <v>550</v>
      </c>
      <c r="F87" s="446" t="s">
        <v>554</v>
      </c>
      <c r="G87" s="447">
        <v>0.51297197403264372</v>
      </c>
      <c r="H87" s="310">
        <v>137.9387813115674</v>
      </c>
      <c r="I87" s="448">
        <v>5.8965607454209892E-3</v>
      </c>
      <c r="J87" s="439"/>
    </row>
    <row r="88" spans="4:10" x14ac:dyDescent="0.2">
      <c r="D88" s="446" t="s">
        <v>595</v>
      </c>
      <c r="E88" s="446" t="s">
        <v>579</v>
      </c>
      <c r="F88" s="446" t="s">
        <v>554</v>
      </c>
      <c r="G88" s="447">
        <v>11.651235098349099</v>
      </c>
      <c r="H88" s="310">
        <v>97.501589714990203</v>
      </c>
      <c r="I88" s="448">
        <v>9.4667828686010619E-2</v>
      </c>
      <c r="J88" s="439"/>
    </row>
    <row r="89" spans="4:10" x14ac:dyDescent="0.2">
      <c r="D89" s="446" t="s">
        <v>595</v>
      </c>
      <c r="E89" s="446" t="s">
        <v>556</v>
      </c>
      <c r="F89" s="446" t="s">
        <v>554</v>
      </c>
      <c r="G89" s="447">
        <v>1.2993942488865166E-3</v>
      </c>
      <c r="H89" s="310">
        <v>103.52222222222221</v>
      </c>
      <c r="I89" s="448">
        <v>1.1209681682292291E-5</v>
      </c>
      <c r="J89" s="439"/>
    </row>
    <row r="90" spans="4:10" x14ac:dyDescent="0.2">
      <c r="D90" s="446" t="s">
        <v>595</v>
      </c>
      <c r="E90" s="446" t="s">
        <v>602</v>
      </c>
      <c r="F90" s="446" t="s">
        <v>554</v>
      </c>
      <c r="G90" s="447">
        <v>4.6200684404853918E-3</v>
      </c>
      <c r="H90" s="310">
        <v>147.86968750000003</v>
      </c>
      <c r="I90" s="448">
        <v>5.6930673043598947E-5</v>
      </c>
      <c r="J90" s="439"/>
    </row>
    <row r="91" spans="4:10" x14ac:dyDescent="0.2">
      <c r="D91" s="446" t="s">
        <v>595</v>
      </c>
      <c r="E91" s="446" t="s">
        <v>577</v>
      </c>
      <c r="F91" s="446" t="s">
        <v>554</v>
      </c>
      <c r="G91" s="447">
        <v>2.3244719341192131E-2</v>
      </c>
      <c r="H91" s="310">
        <v>71.662919254658377</v>
      </c>
      <c r="I91" s="448">
        <v>1.3881537043708729E-4</v>
      </c>
      <c r="J91" s="439"/>
    </row>
    <row r="92" spans="4:10" x14ac:dyDescent="0.2">
      <c r="D92" s="446" t="s">
        <v>595</v>
      </c>
      <c r="E92" s="446" t="s">
        <v>576</v>
      </c>
      <c r="F92" s="446" t="s">
        <v>554</v>
      </c>
      <c r="G92" s="447">
        <v>1.0828285407387638E-2</v>
      </c>
      <c r="H92" s="310">
        <v>97.115866666666662</v>
      </c>
      <c r="I92" s="448">
        <v>8.7633193487705844E-5</v>
      </c>
      <c r="J92" s="439"/>
    </row>
    <row r="93" spans="4:10" x14ac:dyDescent="0.2">
      <c r="D93" s="446" t="s">
        <v>595</v>
      </c>
      <c r="E93" s="446" t="s">
        <v>603</v>
      </c>
      <c r="F93" s="446" t="s">
        <v>554</v>
      </c>
      <c r="G93" s="447">
        <v>1.443771387651685E-3</v>
      </c>
      <c r="H93" s="310">
        <v>73.804999999999993</v>
      </c>
      <c r="I93" s="448">
        <v>8.8797956054693834E-6</v>
      </c>
      <c r="J93" s="439"/>
    </row>
    <row r="94" spans="4:10" x14ac:dyDescent="0.2">
      <c r="D94" s="446" t="s">
        <v>595</v>
      </c>
      <c r="E94" s="446" t="s">
        <v>557</v>
      </c>
      <c r="F94" s="446" t="s">
        <v>554</v>
      </c>
      <c r="G94" s="447">
        <v>7.218856938258425E-4</v>
      </c>
      <c r="H94" s="310">
        <v>96.933999999999997</v>
      </c>
      <c r="I94" s="448">
        <v>5.8312723204428516E-6</v>
      </c>
      <c r="J94" s="439"/>
    </row>
    <row r="95" spans="4:10" x14ac:dyDescent="0.2">
      <c r="D95" s="446" t="s">
        <v>595</v>
      </c>
      <c r="E95" s="446" t="s">
        <v>582</v>
      </c>
      <c r="F95" s="446" t="s">
        <v>554</v>
      </c>
      <c r="G95" s="447">
        <v>2.0212799427123591E-3</v>
      </c>
      <c r="H95" s="310">
        <v>76.696428571428584</v>
      </c>
      <c r="I95" s="448">
        <v>1.2918746062424976E-5</v>
      </c>
      <c r="J95" s="439"/>
    </row>
    <row r="96" spans="4:10" x14ac:dyDescent="0.2">
      <c r="D96" s="446" t="s">
        <v>595</v>
      </c>
      <c r="E96" s="446" t="s">
        <v>565</v>
      </c>
      <c r="F96" s="446" t="s">
        <v>554</v>
      </c>
      <c r="G96" s="447">
        <v>2.7431656365382016E-3</v>
      </c>
      <c r="H96" s="310">
        <v>80.10526315789474</v>
      </c>
      <c r="I96" s="448">
        <v>1.8311833766715538E-5</v>
      </c>
      <c r="J96" s="439"/>
    </row>
    <row r="97" spans="4:13" x14ac:dyDescent="0.2">
      <c r="D97" s="446" t="s">
        <v>595</v>
      </c>
      <c r="E97" s="446" t="s">
        <v>604</v>
      </c>
      <c r="F97" s="446" t="s">
        <v>554</v>
      </c>
      <c r="G97" s="447">
        <v>7.218856938258425E-4</v>
      </c>
      <c r="H97" s="310">
        <v>120.28000000000002</v>
      </c>
      <c r="I97" s="448">
        <v>7.2357009377810291E-6</v>
      </c>
      <c r="J97" s="439"/>
    </row>
    <row r="98" spans="4:13" x14ac:dyDescent="0.2">
      <c r="D98" s="446" t="s">
        <v>595</v>
      </c>
      <c r="E98" s="446" t="s">
        <v>569</v>
      </c>
      <c r="F98" s="446" t="s">
        <v>554</v>
      </c>
      <c r="G98" s="447">
        <v>5.77508555060674E-3</v>
      </c>
      <c r="H98" s="310">
        <v>55.325000000000003</v>
      </c>
      <c r="I98" s="448">
        <v>2.6625550673943158E-5</v>
      </c>
      <c r="J98" s="439"/>
    </row>
    <row r="99" spans="4:13" x14ac:dyDescent="0.2">
      <c r="D99" s="446" t="s">
        <v>595</v>
      </c>
      <c r="E99" s="446" t="s">
        <v>553</v>
      </c>
      <c r="F99" s="446" t="s">
        <v>554</v>
      </c>
      <c r="G99" s="447">
        <v>1.5592730986638199E-2</v>
      </c>
      <c r="H99" s="310">
        <v>139.03527777777776</v>
      </c>
      <c r="I99" s="448">
        <v>1.8066164033678374E-4</v>
      </c>
      <c r="J99" s="439"/>
    </row>
    <row r="100" spans="4:13" x14ac:dyDescent="0.2">
      <c r="D100" s="446" t="s">
        <v>595</v>
      </c>
      <c r="E100" s="446" t="s">
        <v>570</v>
      </c>
      <c r="F100" s="446" t="s">
        <v>554</v>
      </c>
      <c r="G100" s="447">
        <v>8.6626283259101102E-4</v>
      </c>
      <c r="H100" s="310">
        <v>165.52666666666667</v>
      </c>
      <c r="I100" s="448">
        <v>1.1949133261334563E-5</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6.2850256047253152</v>
      </c>
      <c r="H103" s="310">
        <v>64.07984034733046</v>
      </c>
      <c r="I103" s="448">
        <v>3.3561953110806855E-2</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4.3313141629550551E-4</v>
      </c>
      <c r="H105" s="310">
        <v>53.519999999999996</v>
      </c>
      <c r="I105" s="448">
        <v>1.9317661166779544E-6</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3.2043839687920872E-3</v>
      </c>
      <c r="I107" s="454">
        <v>8.3016854789971887E-7</v>
      </c>
      <c r="J107" s="439"/>
    </row>
    <row r="108" spans="4:13" ht="16" x14ac:dyDescent="0.2">
      <c r="D108" s="461" t="s">
        <v>605</v>
      </c>
      <c r="E108" s="460"/>
      <c r="F108" s="460"/>
      <c r="G108" s="465">
        <v>22.386541628371969</v>
      </c>
      <c r="H108" s="466"/>
      <c r="I108" s="467">
        <v>0.14210704575847585</v>
      </c>
      <c r="J108" s="439"/>
      <c r="K108" s="313" t="s">
        <v>311</v>
      </c>
      <c r="L108" s="313" t="s">
        <v>606</v>
      </c>
      <c r="M108" s="313" t="s">
        <v>528</v>
      </c>
    </row>
    <row r="109" spans="4:13" x14ac:dyDescent="0.2">
      <c r="D109" s="446" t="s">
        <v>607</v>
      </c>
      <c r="E109" s="446" t="s">
        <v>608</v>
      </c>
      <c r="F109" s="468" t="s">
        <v>609</v>
      </c>
      <c r="G109" s="469">
        <v>16.779936506704811</v>
      </c>
      <c r="H109" s="310">
        <v>29.283443484237818</v>
      </c>
      <c r="I109" s="470">
        <v>4.0947860196932438E-2</v>
      </c>
      <c r="J109" s="439"/>
      <c r="K109">
        <f>'Assumptions-Output Override'!$J$19</f>
        <v>10</v>
      </c>
      <c r="L109" s="470">
        <f>G109*K109/12000</f>
        <v>1.398328042225401E-2</v>
      </c>
      <c r="M109" s="388">
        <f>I109-L109</f>
        <v>2.6964579774678428E-2</v>
      </c>
    </row>
    <row r="110" spans="4:13" x14ac:dyDescent="0.2">
      <c r="D110" s="446" t="s">
        <v>607</v>
      </c>
      <c r="E110" s="446" t="s">
        <v>610</v>
      </c>
      <c r="F110" s="468" t="s">
        <v>609</v>
      </c>
      <c r="G110" s="469">
        <v>5.6307034411504473</v>
      </c>
      <c r="H110" s="310">
        <v>134.86682559461218</v>
      </c>
      <c r="I110" s="470">
        <v>6.3282924914385003E-2</v>
      </c>
      <c r="J110" s="439"/>
      <c r="K110">
        <f>'Assumptions-Output Override'!$K$19</f>
        <v>50</v>
      </c>
      <c r="L110" s="470">
        <f t="shared" ref="L110:L116" si="0">G110*K110/12000</f>
        <v>2.3461264338126862E-2</v>
      </c>
      <c r="M110" s="388">
        <f t="shared" ref="M110:M116" si="1">I110-L110</f>
        <v>3.982166057625814E-2</v>
      </c>
    </row>
    <row r="111" spans="4:13" x14ac:dyDescent="0.2">
      <c r="D111" s="446" t="s">
        <v>607</v>
      </c>
      <c r="E111" s="446" t="s">
        <v>611</v>
      </c>
      <c r="F111" s="468" t="s">
        <v>609</v>
      </c>
      <c r="G111" s="469">
        <v>1.7405034146800398</v>
      </c>
      <c r="H111" s="310">
        <v>187.51386224603573</v>
      </c>
      <c r="I111" s="470">
        <v>2.7197376461588985E-2</v>
      </c>
      <c r="J111" s="439"/>
      <c r="K111">
        <f>'Assumptions-Output Override'!$L$19</f>
        <v>80</v>
      </c>
      <c r="L111" s="470">
        <f t="shared" si="0"/>
        <v>1.160335609786693E-2</v>
      </c>
      <c r="M111" s="388">
        <f t="shared" si="1"/>
        <v>1.5594020363722054E-2</v>
      </c>
    </row>
    <row r="112" spans="4:13" x14ac:dyDescent="0.2">
      <c r="D112" s="446" t="s">
        <v>607</v>
      </c>
      <c r="E112" s="446" t="s">
        <v>612</v>
      </c>
      <c r="F112" s="468" t="s">
        <v>609</v>
      </c>
      <c r="G112" s="469">
        <v>8.805041529566382E-2</v>
      </c>
      <c r="H112" s="310">
        <v>864.83252025018373</v>
      </c>
      <c r="I112" s="470">
        <v>6.3457385474353549E-3</v>
      </c>
      <c r="J112" s="439"/>
      <c r="K112">
        <f>'Assumptions-Output Override'!$M$19</f>
        <v>200</v>
      </c>
      <c r="L112" s="470">
        <f t="shared" si="0"/>
        <v>1.4675069215943969E-3</v>
      </c>
      <c r="M112" s="388">
        <f t="shared" si="1"/>
        <v>4.8782316258409583E-3</v>
      </c>
    </row>
    <row r="113" spans="4:13" x14ac:dyDescent="0.2">
      <c r="D113" s="446" t="s">
        <v>607</v>
      </c>
      <c r="E113" s="446" t="s">
        <v>613</v>
      </c>
      <c r="F113" s="468" t="s">
        <v>609</v>
      </c>
      <c r="G113" s="469">
        <v>2.5356710350042366</v>
      </c>
      <c r="H113" s="310">
        <v>55.551125825730182</v>
      </c>
      <c r="I113" s="470">
        <v>1.1738281726514987E-2</v>
      </c>
      <c r="J113" s="439"/>
      <c r="K113">
        <f>2*K109</f>
        <v>20</v>
      </c>
      <c r="L113" s="470">
        <f t="shared" si="0"/>
        <v>4.2261183916737274E-3</v>
      </c>
      <c r="M113" s="388">
        <f t="shared" si="1"/>
        <v>7.5121633348412594E-3</v>
      </c>
    </row>
    <row r="114" spans="4:13" x14ac:dyDescent="0.2">
      <c r="D114" s="446" t="s">
        <v>607</v>
      </c>
      <c r="E114" s="446" t="s">
        <v>614</v>
      </c>
      <c r="F114" s="468" t="s">
        <v>609</v>
      </c>
      <c r="G114" s="469">
        <v>1.2872850099218796</v>
      </c>
      <c r="H114" s="310">
        <v>296.03623413760317</v>
      </c>
      <c r="I114" s="470">
        <v>3.1756917216588361E-2</v>
      </c>
      <c r="J114" s="439"/>
      <c r="K114">
        <f>2*K110</f>
        <v>100</v>
      </c>
      <c r="L114" s="470">
        <f t="shared" si="0"/>
        <v>1.0727375082682329E-2</v>
      </c>
      <c r="M114" s="388">
        <f t="shared" si="1"/>
        <v>2.102954213390603E-2</v>
      </c>
    </row>
    <row r="115" spans="4:13" x14ac:dyDescent="0.2">
      <c r="D115" s="446" t="s">
        <v>607</v>
      </c>
      <c r="E115" s="446" t="s">
        <v>615</v>
      </c>
      <c r="F115" s="468" t="s">
        <v>609</v>
      </c>
      <c r="G115" s="469">
        <v>0.28043454186632655</v>
      </c>
      <c r="H115" s="310">
        <v>349.68884708040031</v>
      </c>
      <c r="I115" s="470">
        <v>8.1720693022296655E-3</v>
      </c>
      <c r="J115" s="439"/>
      <c r="K115">
        <f>2*K111</f>
        <v>160</v>
      </c>
      <c r="L115" s="470">
        <f t="shared" si="0"/>
        <v>3.7391272248843538E-3</v>
      </c>
      <c r="M115" s="388">
        <f t="shared" si="1"/>
        <v>4.4329420773453112E-3</v>
      </c>
    </row>
    <row r="116" spans="4:13" x14ac:dyDescent="0.2">
      <c r="D116" s="446" t="s">
        <v>607</v>
      </c>
      <c r="E116" s="446" t="s">
        <v>616</v>
      </c>
      <c r="F116" s="468" t="s">
        <v>609</v>
      </c>
      <c r="G116" s="447">
        <v>3.0154251813583504E-4</v>
      </c>
      <c r="H116" s="310">
        <v>2481.8477776628961</v>
      </c>
      <c r="I116" s="448">
        <v>6.2365219042191303E-5</v>
      </c>
      <c r="J116" s="439"/>
      <c r="K116">
        <f>2*K112</f>
        <v>400</v>
      </c>
      <c r="L116" s="470">
        <f t="shared" si="0"/>
        <v>1.0051417271194501E-5</v>
      </c>
      <c r="M116" s="388">
        <f t="shared" si="1"/>
        <v>5.2313801770996802E-5</v>
      </c>
    </row>
    <row r="117" spans="4:13" x14ac:dyDescent="0.2">
      <c r="D117" s="460" t="s">
        <v>617</v>
      </c>
      <c r="E117" s="460"/>
      <c r="F117" s="460"/>
      <c r="G117" s="471">
        <v>28.342885907141543</v>
      </c>
      <c r="H117" s="472"/>
      <c r="I117" s="473">
        <v>0.18950353358471697</v>
      </c>
      <c r="J117" s="439"/>
      <c r="L117" s="470">
        <f>SUM(L109:L116)</f>
        <v>6.9218079896353812E-2</v>
      </c>
      <c r="M117" s="388">
        <f>SUM(M109:M116)</f>
        <v>0.12028545368836316</v>
      </c>
    </row>
    <row r="118" spans="4:13" ht="16" x14ac:dyDescent="0.2">
      <c r="D118" s="461" t="s">
        <v>618</v>
      </c>
      <c r="E118" s="461"/>
      <c r="F118" s="461"/>
      <c r="G118" s="474"/>
      <c r="H118" s="474"/>
      <c r="I118" s="473">
        <v>0.38531096447982149</v>
      </c>
      <c r="J118" s="439"/>
    </row>
  </sheetData>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795</v>
      </c>
      <c r="G3"/>
      <c r="H3"/>
      <c r="I3"/>
    </row>
    <row r="4" spans="2:19" x14ac:dyDescent="0.2">
      <c r="G4"/>
      <c r="H4"/>
      <c r="I4"/>
    </row>
    <row r="5" spans="2:19" ht="16" x14ac:dyDescent="0.2">
      <c r="D5" s="438" t="s">
        <v>796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6.9354779171242054E-3</v>
      </c>
      <c r="O8" s="310">
        <v>3198.3478260869565</v>
      </c>
      <c r="P8" s="388">
        <v>1.8485058932590245E-3</v>
      </c>
      <c r="Q8" s="29">
        <f>'Assumptions-Output Target'!D17</f>
        <v>1018.5185313926721</v>
      </c>
      <c r="R8" s="388">
        <f>N8*Q8/12000</f>
        <v>5.8865939855463781E-4</v>
      </c>
      <c r="S8" s="388">
        <f>P8-R8</f>
        <v>1.2598464947043866E-3</v>
      </c>
    </row>
    <row r="9" spans="2:19" x14ac:dyDescent="0.2">
      <c r="D9" s="446" t="s">
        <v>1</v>
      </c>
      <c r="E9" s="446" t="s">
        <v>536</v>
      </c>
      <c r="F9" s="446" t="s">
        <v>534</v>
      </c>
      <c r="G9" s="447">
        <v>3.0154251813583504E-4</v>
      </c>
      <c r="H9" s="310">
        <v>47.999999999999986</v>
      </c>
      <c r="I9" s="448">
        <v>1.2061700725433399E-6</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3.3169676994941853E-3</v>
      </c>
      <c r="H10" s="310">
        <v>5620.7272727272721</v>
      </c>
      <c r="I10" s="448">
        <v>1.553647567608534E-3</v>
      </c>
      <c r="J10" s="439"/>
      <c r="K10" s="446" t="s">
        <v>462</v>
      </c>
      <c r="L10" s="446" t="s">
        <v>538</v>
      </c>
      <c r="M10" s="446" t="s">
        <v>539</v>
      </c>
      <c r="N10" s="449">
        <v>0.29106431175057967</v>
      </c>
      <c r="O10" s="310">
        <v>2127.3832390873017</v>
      </c>
      <c r="P10" s="388">
        <v>5.160044485955536E-2</v>
      </c>
      <c r="Q10" s="29">
        <v>0</v>
      </c>
      <c r="R10" s="388">
        <f>N10*Q10/12000</f>
        <v>0</v>
      </c>
      <c r="S10" s="388">
        <f>P10-R10</f>
        <v>5.160044485955536E-2</v>
      </c>
    </row>
    <row r="11" spans="2:19" x14ac:dyDescent="0.2">
      <c r="D11" s="446" t="s">
        <v>1</v>
      </c>
      <c r="E11" s="446" t="s">
        <v>540</v>
      </c>
      <c r="F11" s="446" t="s">
        <v>534</v>
      </c>
      <c r="G11" s="447">
        <v>2.713882663222515E-3</v>
      </c>
      <c r="H11" s="310">
        <v>1225.7777777777778</v>
      </c>
      <c r="I11" s="448">
        <v>2.7721808833954431E-4</v>
      </c>
      <c r="J11" s="439"/>
      <c r="K11" s="320" t="s">
        <v>463</v>
      </c>
      <c r="L11" s="450" t="s">
        <v>541</v>
      </c>
      <c r="M11" s="446" t="s">
        <v>539</v>
      </c>
      <c r="N11" s="449">
        <v>3.9992467437951679E-2</v>
      </c>
      <c r="O11" s="310">
        <v>2527.3417328519854</v>
      </c>
      <c r="P11" s="388">
        <v>8.4228859963049497E-3</v>
      </c>
      <c r="Q11" s="29">
        <f>'Assumptions-Output Target'!G17</f>
        <v>30.555555941780163</v>
      </c>
      <c r="R11" s="388">
        <f>N11*Q11/12000</f>
        <v>1.0183267300417951E-4</v>
      </c>
      <c r="S11" s="388">
        <f>P11-R11</f>
        <v>8.32105332330077E-3</v>
      </c>
    </row>
    <row r="12" spans="2:19" x14ac:dyDescent="0.2">
      <c r="D12" s="446" t="s">
        <v>1</v>
      </c>
      <c r="E12" s="446" t="s">
        <v>542</v>
      </c>
      <c r="F12" s="446" t="s">
        <v>534</v>
      </c>
      <c r="G12" s="447">
        <v>0</v>
      </c>
      <c r="H12" s="310" t="s">
        <v>446</v>
      </c>
      <c r="I12" s="448">
        <v>0</v>
      </c>
      <c r="J12" s="439"/>
      <c r="K12" s="320" t="s">
        <v>464</v>
      </c>
      <c r="L12" s="450" t="s">
        <v>541</v>
      </c>
      <c r="M12" s="446" t="s">
        <v>539</v>
      </c>
      <c r="N12" s="449">
        <v>3.4636075589763915</v>
      </c>
      <c r="O12" s="310">
        <v>570.58712255106298</v>
      </c>
      <c r="P12" s="388">
        <v>0.1646908225602042</v>
      </c>
      <c r="Q12" s="29">
        <f>'Assumptions-Output Target'!H17</f>
        <v>55.000000695204292</v>
      </c>
      <c r="R12" s="388">
        <f>N12*Q12/12000</f>
        <v>1.5874868179301362E-2</v>
      </c>
      <c r="S12" s="388">
        <f>P12-R12</f>
        <v>0.14881595438090284</v>
      </c>
    </row>
    <row r="13" spans="2:19" x14ac:dyDescent="0.2">
      <c r="D13" s="446" t="s">
        <v>1</v>
      </c>
      <c r="E13" s="446" t="s">
        <v>543</v>
      </c>
      <c r="F13" s="446" t="s">
        <v>534</v>
      </c>
      <c r="G13" s="447">
        <v>3.0154251813583504E-4</v>
      </c>
      <c r="H13" s="310">
        <v>28</v>
      </c>
      <c r="I13" s="448">
        <v>7.0359920898361501E-7</v>
      </c>
      <c r="J13" s="439"/>
      <c r="K13" s="446" t="s">
        <v>465</v>
      </c>
      <c r="P13" s="388">
        <f>I117</f>
        <v>0.5791393549579843</v>
      </c>
      <c r="R13" s="388">
        <f>L117</f>
        <v>7.0293610353491867E-3</v>
      </c>
      <c r="S13" s="388">
        <f>M117</f>
        <v>0.57210999392263506</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3.0154251813583504E-4</v>
      </c>
      <c r="H15" s="310">
        <v>625.99999999999989</v>
      </c>
      <c r="I15" s="448">
        <v>1.5730468029419393E-5</v>
      </c>
      <c r="J15" s="439"/>
      <c r="K15" s="446" t="s">
        <v>403</v>
      </c>
      <c r="P15" s="388">
        <f>SUM(P8:P13)</f>
        <v>0.80570201426730781</v>
      </c>
      <c r="R15" s="388">
        <f>SUM(R8:R13)</f>
        <v>2.3594721286209368E-2</v>
      </c>
      <c r="S15" s="388">
        <f>SUM(S8:S13)</f>
        <v>0.78210729298109838</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6.9354779171242054E-3</v>
      </c>
      <c r="H17" s="458"/>
      <c r="I17" s="459">
        <v>1.8485058932590245E-3</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4.7933210070035946E-2</v>
      </c>
      <c r="H20" s="310">
        <v>242.11927710843378</v>
      </c>
      <c r="I20" s="448">
        <v>9.6712951430365007E-4</v>
      </c>
      <c r="J20" s="439"/>
    </row>
    <row r="21" spans="4:10" x14ac:dyDescent="0.2">
      <c r="D21" s="446" t="s">
        <v>462</v>
      </c>
      <c r="E21" s="446" t="s">
        <v>551</v>
      </c>
      <c r="F21" s="446" t="s">
        <v>537</v>
      </c>
      <c r="G21" s="447">
        <v>7.5076112157887618E-3</v>
      </c>
      <c r="H21" s="310">
        <v>124.2598076923077</v>
      </c>
      <c r="I21" s="448">
        <v>7.774119382521033E-5</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9.5920604409550289E-2</v>
      </c>
      <c r="H52" s="310">
        <v>2574.7300857843134</v>
      </c>
      <c r="I52" s="448">
        <v>2.058080550165705E-2</v>
      </c>
      <c r="J52" s="439"/>
    </row>
    <row r="53" spans="4:10" x14ac:dyDescent="0.2">
      <c r="D53" s="446" t="s">
        <v>462</v>
      </c>
      <c r="E53" s="446" t="s">
        <v>584</v>
      </c>
      <c r="F53" s="446" t="s">
        <v>554</v>
      </c>
      <c r="G53" s="447">
        <v>5.3011671826879159E-3</v>
      </c>
      <c r="H53" s="310">
        <v>2574.7300857843138</v>
      </c>
      <c r="I53" s="448">
        <v>1.1374228862532539E-3</v>
      </c>
      <c r="J53" s="439"/>
    </row>
    <row r="54" spans="4:10" x14ac:dyDescent="0.2">
      <c r="D54" s="446" t="s">
        <v>462</v>
      </c>
      <c r="E54" s="446" t="s">
        <v>585</v>
      </c>
      <c r="F54" s="446" t="s">
        <v>554</v>
      </c>
      <c r="G54" s="447">
        <v>2.3473314845827233E-2</v>
      </c>
      <c r="H54" s="310">
        <v>2574.7300857843138</v>
      </c>
      <c r="I54" s="448">
        <v>5.0364541622199138E-3</v>
      </c>
      <c r="J54" s="439"/>
    </row>
    <row r="55" spans="4:10" x14ac:dyDescent="0.2">
      <c r="D55" s="446" t="s">
        <v>462</v>
      </c>
      <c r="E55" s="446" t="s">
        <v>586</v>
      </c>
      <c r="F55" s="446" t="s">
        <v>537</v>
      </c>
      <c r="G55" s="447">
        <v>1.2831384150993002E-2</v>
      </c>
      <c r="H55" s="310">
        <v>2574.7300857843138</v>
      </c>
      <c r="I55" s="448">
        <v>2.7531125679848079E-3</v>
      </c>
      <c r="J55" s="439"/>
    </row>
    <row r="56" spans="4:10" x14ac:dyDescent="0.2">
      <c r="D56" s="446" t="s">
        <v>462</v>
      </c>
      <c r="E56" s="446" t="s">
        <v>5</v>
      </c>
      <c r="F56" s="446" t="s">
        <v>537</v>
      </c>
      <c r="G56" s="447">
        <v>1.100304608048642E-2</v>
      </c>
      <c r="H56" s="310">
        <v>2574.7300857843138</v>
      </c>
      <c r="I56" s="448">
        <v>2.3608228148916297E-3</v>
      </c>
      <c r="J56" s="439"/>
    </row>
    <row r="57" spans="4:10" x14ac:dyDescent="0.2">
      <c r="D57" s="446" t="s">
        <v>462</v>
      </c>
      <c r="E57" s="446" t="s">
        <v>587</v>
      </c>
      <c r="F57" s="446" t="s">
        <v>537</v>
      </c>
      <c r="G57" s="447">
        <v>2.9057881452389384E-2</v>
      </c>
      <c r="H57" s="310">
        <v>2574.7300857843134</v>
      </c>
      <c r="I57" s="448">
        <v>6.234683467051744E-3</v>
      </c>
      <c r="J57" s="439"/>
    </row>
    <row r="58" spans="4:10" x14ac:dyDescent="0.2">
      <c r="D58" s="446" t="s">
        <v>462</v>
      </c>
      <c r="E58" s="446" t="s">
        <v>588</v>
      </c>
      <c r="F58" s="446" t="s">
        <v>537</v>
      </c>
      <c r="G58" s="447">
        <v>1.9629200190772338E-2</v>
      </c>
      <c r="H58" s="310">
        <v>2574.7300857843134</v>
      </c>
      <c r="I58" s="448">
        <v>4.2116576909220606E-3</v>
      </c>
      <c r="J58" s="439"/>
    </row>
    <row r="59" spans="4:10" x14ac:dyDescent="0.2">
      <c r="D59" s="446" t="s">
        <v>462</v>
      </c>
      <c r="E59" s="446" t="s">
        <v>589</v>
      </c>
      <c r="F59" s="446" t="s">
        <v>537</v>
      </c>
      <c r="G59" s="447">
        <v>7.5875768129947622E-3</v>
      </c>
      <c r="H59" s="310">
        <v>2574.7300857843138</v>
      </c>
      <c r="I59" s="448">
        <v>1.6279968582180897E-3</v>
      </c>
      <c r="J59" s="439"/>
    </row>
    <row r="60" spans="4:10" x14ac:dyDescent="0.2">
      <c r="D60" s="446" t="s">
        <v>462</v>
      </c>
      <c r="E60" s="446" t="s">
        <v>590</v>
      </c>
      <c r="F60" s="446" t="s">
        <v>537</v>
      </c>
      <c r="G60" s="447">
        <v>7.2422026893953582E-3</v>
      </c>
      <c r="H60" s="310">
        <v>2574.7300857843143</v>
      </c>
      <c r="I60" s="448">
        <v>1.5538930959778582E-3</v>
      </c>
      <c r="J60" s="439"/>
    </row>
    <row r="61" spans="4:10" x14ac:dyDescent="0.2">
      <c r="D61" s="446" t="s">
        <v>462</v>
      </c>
      <c r="E61" s="446" t="s">
        <v>591</v>
      </c>
      <c r="F61" s="446" t="s">
        <v>537</v>
      </c>
      <c r="G61" s="447">
        <v>1.2007835228498498E-2</v>
      </c>
      <c r="H61" s="310">
        <v>2574.7300857843134</v>
      </c>
      <c r="I61" s="448">
        <v>2.5764112189963196E-3</v>
      </c>
      <c r="J61" s="439"/>
    </row>
    <row r="62" spans="4:10" x14ac:dyDescent="0.2">
      <c r="D62" s="446" t="s">
        <v>462</v>
      </c>
      <c r="E62" s="446" t="s">
        <v>592</v>
      </c>
      <c r="F62" s="446" t="s">
        <v>537</v>
      </c>
      <c r="G62" s="447">
        <v>1.1569277421159787E-2</v>
      </c>
      <c r="H62" s="310">
        <v>2574.7300857843134</v>
      </c>
      <c r="I62" s="448">
        <v>2.4823138872537716E-3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0.29106431175057967</v>
      </c>
      <c r="H64" s="463"/>
      <c r="I64" s="464">
        <v>5.160044485955536E-2</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5.7750855506067398E-4</v>
      </c>
      <c r="H66" s="310">
        <v>465.78250000000003</v>
      </c>
      <c r="I66" s="448">
        <v>2.2416114878962364E-5</v>
      </c>
      <c r="J66" s="439"/>
    </row>
    <row r="67" spans="4:10" x14ac:dyDescent="0.2">
      <c r="D67" s="446" t="s">
        <v>595</v>
      </c>
      <c r="E67" s="446" t="s">
        <v>564</v>
      </c>
      <c r="F67" s="446" t="s">
        <v>554</v>
      </c>
      <c r="G67" s="447">
        <v>1.443771387651685E-3</v>
      </c>
      <c r="H67" s="310">
        <v>82.8</v>
      </c>
      <c r="I67" s="448">
        <v>9.9620225747966265E-6</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4.4756913017202238E-3</v>
      </c>
      <c r="H72" s="310">
        <v>584.92967741935479</v>
      </c>
      <c r="I72" s="448">
        <v>2.1816372244531855E-4</v>
      </c>
      <c r="J72" s="439"/>
    </row>
    <row r="73" spans="4:10" x14ac:dyDescent="0.2">
      <c r="D73" s="446" t="s">
        <v>595</v>
      </c>
      <c r="E73" s="446" t="s">
        <v>598</v>
      </c>
      <c r="F73" s="446" t="s">
        <v>554</v>
      </c>
      <c r="G73" s="447">
        <v>0</v>
      </c>
      <c r="H73" s="310" t="s">
        <v>446</v>
      </c>
      <c r="I73" s="448">
        <v>0</v>
      </c>
      <c r="J73" s="439"/>
    </row>
    <row r="74" spans="4:10" x14ac:dyDescent="0.2">
      <c r="D74" s="446" t="s">
        <v>595</v>
      </c>
      <c r="E74" s="446" t="s">
        <v>549</v>
      </c>
      <c r="F74" s="446" t="s">
        <v>554</v>
      </c>
      <c r="G74" s="447">
        <v>1.1550171101213483E-2</v>
      </c>
      <c r="H74" s="310">
        <v>7340.2542499999972</v>
      </c>
      <c r="I74" s="448">
        <v>7.0650993761591186E-3</v>
      </c>
      <c r="J74" s="439"/>
    </row>
    <row r="75" spans="4:10" x14ac:dyDescent="0.2">
      <c r="D75" s="446" t="s">
        <v>595</v>
      </c>
      <c r="E75" s="446" t="s">
        <v>571</v>
      </c>
      <c r="F75" s="446" t="s">
        <v>554</v>
      </c>
      <c r="G75" s="447">
        <v>1.5881485264168536E-3</v>
      </c>
      <c r="H75" s="310">
        <v>154.75818181818184</v>
      </c>
      <c r="I75" s="448">
        <v>2.0481581533791414E-5</v>
      </c>
      <c r="J75" s="439"/>
    </row>
    <row r="76" spans="4:10" x14ac:dyDescent="0.2">
      <c r="D76" s="446" t="s">
        <v>595</v>
      </c>
      <c r="E76" s="446" t="s">
        <v>561</v>
      </c>
      <c r="F76" s="446" t="s">
        <v>554</v>
      </c>
      <c r="G76" s="447">
        <v>1.5881485264168536E-3</v>
      </c>
      <c r="H76" s="310">
        <v>407.39363636363635</v>
      </c>
      <c r="I76" s="448">
        <v>5.3916800271876046E-5</v>
      </c>
      <c r="J76" s="439"/>
    </row>
    <row r="77" spans="4:10" x14ac:dyDescent="0.2">
      <c r="D77" s="446" t="s">
        <v>595</v>
      </c>
      <c r="E77" s="446" t="s">
        <v>599</v>
      </c>
      <c r="F77" s="446" t="s">
        <v>554</v>
      </c>
      <c r="G77" s="447">
        <v>0.10712783696375504</v>
      </c>
      <c r="H77" s="310">
        <v>611.82264150943399</v>
      </c>
      <c r="I77" s="448">
        <v>5.4619363491963824E-3</v>
      </c>
      <c r="J77" s="439"/>
    </row>
    <row r="78" spans="4:10" x14ac:dyDescent="0.2">
      <c r="D78" s="446" t="s">
        <v>595</v>
      </c>
      <c r="E78" s="446" t="s">
        <v>600</v>
      </c>
      <c r="F78" s="446" t="s">
        <v>554</v>
      </c>
      <c r="G78" s="447">
        <v>1.732525665182022E-3</v>
      </c>
      <c r="H78" s="310">
        <v>105.31583333333332</v>
      </c>
      <c r="I78" s="448">
        <v>1.5205198683336023E-5</v>
      </c>
      <c r="J78" s="439"/>
    </row>
    <row r="79" spans="4:10" x14ac:dyDescent="0.2">
      <c r="D79" s="446" t="s">
        <v>595</v>
      </c>
      <c r="E79" s="446" t="s">
        <v>555</v>
      </c>
      <c r="F79" s="446" t="s">
        <v>554</v>
      </c>
      <c r="G79" s="447">
        <v>1.0828285407387639E-2</v>
      </c>
      <c r="H79" s="310">
        <v>119.78533333333331</v>
      </c>
      <c r="I79" s="448">
        <v>1.0808914807936644E-4</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0</v>
      </c>
      <c r="H81" s="310" t="s">
        <v>446</v>
      </c>
      <c r="I81" s="448">
        <v>0</v>
      </c>
      <c r="J81" s="439"/>
    </row>
    <row r="82" spans="4:10" x14ac:dyDescent="0.2">
      <c r="D82" s="446" t="s">
        <v>595</v>
      </c>
      <c r="E82" s="446" t="s">
        <v>574</v>
      </c>
      <c r="F82" s="446" t="s">
        <v>554</v>
      </c>
      <c r="G82" s="447">
        <v>7.218856938258425E-4</v>
      </c>
      <c r="H82" s="310">
        <v>123.00000000000001</v>
      </c>
      <c r="I82" s="448">
        <v>7.399328361714886E-6</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6.2082169669022457E-3</v>
      </c>
      <c r="H84" s="310">
        <v>2174.9767441860463</v>
      </c>
      <c r="I84" s="448">
        <v>1.1252272938228015E-3</v>
      </c>
      <c r="J84" s="439"/>
    </row>
    <row r="85" spans="4:10" x14ac:dyDescent="0.2">
      <c r="D85" s="446" t="s">
        <v>595</v>
      </c>
      <c r="E85" s="446" t="s">
        <v>573</v>
      </c>
      <c r="F85" s="446" t="s">
        <v>554</v>
      </c>
      <c r="G85" s="447">
        <v>4.3313141629550551E-4</v>
      </c>
      <c r="H85" s="310">
        <v>277.66666666666669</v>
      </c>
      <c r="I85" s="448">
        <v>1.0022179715948781E-5</v>
      </c>
      <c r="J85" s="439"/>
    </row>
    <row r="86" spans="4:10" x14ac:dyDescent="0.2">
      <c r="D86" s="446" t="s">
        <v>595</v>
      </c>
      <c r="E86" s="446" t="s">
        <v>562</v>
      </c>
      <c r="F86" s="446" t="s">
        <v>554</v>
      </c>
      <c r="G86" s="447">
        <v>5.3130787065582018E-2</v>
      </c>
      <c r="H86" s="310">
        <v>3275.463233695652</v>
      </c>
      <c r="I86" s="448">
        <v>1.4502328300885532E-2</v>
      </c>
      <c r="J86" s="439"/>
    </row>
    <row r="87" spans="4:10" x14ac:dyDescent="0.2">
      <c r="D87" s="446" t="s">
        <v>595</v>
      </c>
      <c r="E87" s="446" t="s">
        <v>550</v>
      </c>
      <c r="F87" s="446" t="s">
        <v>554</v>
      </c>
      <c r="G87" s="447">
        <v>0.1178117452323775</v>
      </c>
      <c r="H87" s="310">
        <v>13921.939301470586</v>
      </c>
      <c r="I87" s="448">
        <v>0.13668066384378968</v>
      </c>
      <c r="J87" s="439"/>
    </row>
    <row r="88" spans="4:10" x14ac:dyDescent="0.2">
      <c r="D88" s="446" t="s">
        <v>595</v>
      </c>
      <c r="E88" s="446" t="s">
        <v>579</v>
      </c>
      <c r="F88" s="446" t="s">
        <v>554</v>
      </c>
      <c r="G88" s="447">
        <v>1.4437713876516849E-4</v>
      </c>
      <c r="H88" s="310">
        <v>392</v>
      </c>
      <c r="I88" s="448">
        <v>4.7163198663288376E-6</v>
      </c>
      <c r="J88" s="439"/>
    </row>
    <row r="89" spans="4:10" x14ac:dyDescent="0.2">
      <c r="D89" s="446" t="s">
        <v>595</v>
      </c>
      <c r="E89" s="446" t="s">
        <v>556</v>
      </c>
      <c r="F89" s="446" t="s">
        <v>554</v>
      </c>
      <c r="G89" s="447">
        <v>2.3100342202426959E-3</v>
      </c>
      <c r="H89" s="310">
        <v>160.72500000000002</v>
      </c>
      <c r="I89" s="448">
        <v>3.0940020837375613E-5</v>
      </c>
      <c r="J89" s="439"/>
    </row>
    <row r="90" spans="4:10" x14ac:dyDescent="0.2">
      <c r="D90" s="446" t="s">
        <v>595</v>
      </c>
      <c r="E90" s="446" t="s">
        <v>602</v>
      </c>
      <c r="F90" s="446" t="s">
        <v>554</v>
      </c>
      <c r="G90" s="447">
        <v>4.3313141629550551E-4</v>
      </c>
      <c r="H90" s="310">
        <v>185.24</v>
      </c>
      <c r="I90" s="448">
        <v>6.6861052962149541E-6</v>
      </c>
      <c r="J90" s="439"/>
    </row>
    <row r="91" spans="4:10" x14ac:dyDescent="0.2">
      <c r="D91" s="446" t="s">
        <v>595</v>
      </c>
      <c r="E91" s="446" t="s">
        <v>577</v>
      </c>
      <c r="F91" s="446" t="s">
        <v>554</v>
      </c>
      <c r="G91" s="447">
        <v>4.4612535878437075E-2</v>
      </c>
      <c r="H91" s="310">
        <v>49.019223300970864</v>
      </c>
      <c r="I91" s="448">
        <v>1.8223932152064011E-4</v>
      </c>
      <c r="J91" s="439"/>
    </row>
    <row r="92" spans="4:10" x14ac:dyDescent="0.2">
      <c r="D92" s="446" t="s">
        <v>595</v>
      </c>
      <c r="E92" s="446" t="s">
        <v>576</v>
      </c>
      <c r="F92" s="446" t="s">
        <v>554</v>
      </c>
      <c r="G92" s="447">
        <v>1.1405793962448311E-2</v>
      </c>
      <c r="H92" s="310">
        <v>130.9546835443038</v>
      </c>
      <c r="I92" s="448">
        <v>1.2447017824366246E-4</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1.4437713876516849E-4</v>
      </c>
      <c r="H95" s="310">
        <v>204.86</v>
      </c>
      <c r="I95" s="448">
        <v>2.464758387286035E-6</v>
      </c>
      <c r="J95" s="439"/>
    </row>
    <row r="96" spans="4:10" x14ac:dyDescent="0.2">
      <c r="D96" s="446" t="s">
        <v>595</v>
      </c>
      <c r="E96" s="446" t="s">
        <v>565</v>
      </c>
      <c r="F96" s="446" t="s">
        <v>554</v>
      </c>
      <c r="G96" s="447">
        <v>3.7538056078943809E-3</v>
      </c>
      <c r="H96" s="310">
        <v>36.247307692307693</v>
      </c>
      <c r="I96" s="448">
        <v>1.1338778907204811E-5</v>
      </c>
      <c r="J96" s="439"/>
    </row>
    <row r="97" spans="4:13" x14ac:dyDescent="0.2">
      <c r="D97" s="446" t="s">
        <v>595</v>
      </c>
      <c r="E97" s="446" t="s">
        <v>604</v>
      </c>
      <c r="F97" s="446" t="s">
        <v>554</v>
      </c>
      <c r="G97" s="447">
        <v>0</v>
      </c>
      <c r="H97" s="310" t="s">
        <v>446</v>
      </c>
      <c r="I97" s="448">
        <v>0</v>
      </c>
      <c r="J97" s="439"/>
    </row>
    <row r="98" spans="4:13" x14ac:dyDescent="0.2">
      <c r="D98" s="446" t="s">
        <v>595</v>
      </c>
      <c r="E98" s="446" t="s">
        <v>569</v>
      </c>
      <c r="F98" s="446" t="s">
        <v>554</v>
      </c>
      <c r="G98" s="447">
        <v>0</v>
      </c>
      <c r="H98" s="310" t="s">
        <v>446</v>
      </c>
      <c r="I98" s="448">
        <v>0</v>
      </c>
      <c r="J98" s="439"/>
    </row>
    <row r="99" spans="4:13" x14ac:dyDescent="0.2">
      <c r="D99" s="446" t="s">
        <v>595</v>
      </c>
      <c r="E99" s="446" t="s">
        <v>553</v>
      </c>
      <c r="F99" s="446" t="s">
        <v>554</v>
      </c>
      <c r="G99" s="447">
        <v>5.0531998567808975E-3</v>
      </c>
      <c r="H99" s="310">
        <v>70.075142857142851</v>
      </c>
      <c r="I99" s="448">
        <v>2.9508641820801268E-5</v>
      </c>
      <c r="J99" s="439"/>
    </row>
    <row r="100" spans="4:13" x14ac:dyDescent="0.2">
      <c r="D100" s="446" t="s">
        <v>595</v>
      </c>
      <c r="E100" s="446" t="s">
        <v>570</v>
      </c>
      <c r="F100" s="446" t="s">
        <v>554</v>
      </c>
      <c r="G100" s="447">
        <v>0</v>
      </c>
      <c r="H100" s="310" t="s">
        <v>446</v>
      </c>
      <c r="I100" s="448">
        <v>0</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1.5881485264168536E-3</v>
      </c>
      <c r="H102" s="310">
        <v>134.56999999999996</v>
      </c>
      <c r="I102" s="448">
        <v>1.7809762266659663E-5</v>
      </c>
      <c r="J102" s="439"/>
    </row>
    <row r="103" spans="4:13" x14ac:dyDescent="0.2">
      <c r="D103" s="446" t="s">
        <v>595</v>
      </c>
      <c r="E103" s="446" t="s">
        <v>560</v>
      </c>
      <c r="F103" s="446" t="s">
        <v>554</v>
      </c>
      <c r="G103" s="447">
        <v>2.8875427753033699E-4</v>
      </c>
      <c r="H103" s="310">
        <v>183.21</v>
      </c>
      <c r="I103" s="448">
        <v>4.4085559321944206E-6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5.77508555060674E-3</v>
      </c>
      <c r="H105" s="310">
        <v>13958.76125</v>
      </c>
      <c r="I105" s="448">
        <v>6.7177533666036892E-3</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2.6265267264199141</v>
      </c>
      <c r="I107" s="454">
        <v>6.804614864284696E-4</v>
      </c>
      <c r="J107" s="439"/>
    </row>
    <row r="108" spans="4:13" ht="16" x14ac:dyDescent="0.2">
      <c r="D108" s="461" t="s">
        <v>605</v>
      </c>
      <c r="E108" s="460"/>
      <c r="F108" s="460"/>
      <c r="G108" s="465">
        <v>3.5036000264143432</v>
      </c>
      <c r="H108" s="466"/>
      <c r="I108" s="467">
        <v>0.17311370855650915</v>
      </c>
      <c r="J108" s="439"/>
      <c r="K108" s="313" t="s">
        <v>311</v>
      </c>
      <c r="L108" s="313" t="s">
        <v>606</v>
      </c>
      <c r="M108" s="313" t="s">
        <v>528</v>
      </c>
    </row>
    <row r="109" spans="4:13" x14ac:dyDescent="0.2">
      <c r="D109" s="446" t="s">
        <v>607</v>
      </c>
      <c r="E109" s="446" t="s">
        <v>608</v>
      </c>
      <c r="F109" s="468" t="s">
        <v>609</v>
      </c>
      <c r="G109" s="469">
        <v>0.1103645616377156</v>
      </c>
      <c r="H109" s="310">
        <v>43.306965372168783</v>
      </c>
      <c r="I109" s="470">
        <v>3.9829618742992805E-4</v>
      </c>
      <c r="J109" s="439"/>
      <c r="K109">
        <f>'Assumptions-Output Target'!$J$17</f>
        <v>10.185185313926722</v>
      </c>
      <c r="L109" s="470">
        <f>G109*K109/12000</f>
        <v>9.3673626030868444E-5</v>
      </c>
      <c r="M109" s="388">
        <f>I109-L109</f>
        <v>3.0462256139905962E-4</v>
      </c>
    </row>
    <row r="110" spans="4:13" x14ac:dyDescent="0.2">
      <c r="D110" s="446" t="s">
        <v>607</v>
      </c>
      <c r="E110" s="446" t="s">
        <v>610</v>
      </c>
      <c r="F110" s="468" t="s">
        <v>609</v>
      </c>
      <c r="G110" s="469">
        <v>1.1157073171025895E-2</v>
      </c>
      <c r="H110" s="310">
        <v>681.86514266903941</v>
      </c>
      <c r="I110" s="470">
        <v>6.3396827412754027E-4</v>
      </c>
      <c r="J110" s="439"/>
      <c r="K110">
        <f>'Assumptions-Output Target'!$K$17</f>
        <v>50.92592656963361</v>
      </c>
      <c r="L110" s="470">
        <f t="shared" ref="L110:L116" si="0">G110*K110/12000</f>
        <v>4.7348690753307832E-5</v>
      </c>
      <c r="M110" s="388">
        <f t="shared" ref="M110:M116" si="1">I110-L110</f>
        <v>5.8661958337423241E-4</v>
      </c>
    </row>
    <row r="111" spans="4:13" x14ac:dyDescent="0.2">
      <c r="D111" s="446" t="s">
        <v>607</v>
      </c>
      <c r="E111" s="446" t="s">
        <v>611</v>
      </c>
      <c r="F111" s="468" t="s">
        <v>609</v>
      </c>
      <c r="G111" s="469">
        <v>5.4277653264450301E-3</v>
      </c>
      <c r="H111" s="310">
        <v>324.65688424513633</v>
      </c>
      <c r="I111" s="470">
        <v>1.4684678160811906E-4</v>
      </c>
      <c r="J111" s="439"/>
      <c r="K111">
        <f>'Assumptions-Output Target'!$L$17</f>
        <v>81.481482511413773</v>
      </c>
      <c r="L111" s="470">
        <f t="shared" si="0"/>
        <v>3.6855197126899065E-5</v>
      </c>
      <c r="M111" s="388">
        <f t="shared" si="1"/>
        <v>1.0999158448122E-4</v>
      </c>
    </row>
    <row r="112" spans="4:13" x14ac:dyDescent="0.2">
      <c r="D112" s="446" t="s">
        <v>607</v>
      </c>
      <c r="E112" s="446" t="s">
        <v>612</v>
      </c>
      <c r="F112" s="468" t="s">
        <v>609</v>
      </c>
      <c r="G112" s="469">
        <v>0.12302934739942067</v>
      </c>
      <c r="H112" s="310">
        <v>18916.188874724146</v>
      </c>
      <c r="I112" s="470">
        <v>0.19393719771179113</v>
      </c>
      <c r="J112" s="439"/>
      <c r="K112">
        <f>'Assumptions-Output Target'!$M$17</f>
        <v>203.70370627853444</v>
      </c>
      <c r="L112" s="470">
        <f t="shared" si="0"/>
        <v>2.0884611705242802E-3</v>
      </c>
      <c r="M112" s="388">
        <f t="shared" si="1"/>
        <v>0.19184873654126686</v>
      </c>
    </row>
    <row r="113" spans="4:13" x14ac:dyDescent="0.2">
      <c r="D113" s="446" t="s">
        <v>607</v>
      </c>
      <c r="E113" s="446" t="s">
        <v>613</v>
      </c>
      <c r="F113" s="468" t="s">
        <v>609</v>
      </c>
      <c r="G113" s="469">
        <v>7.5385629533958748E-3</v>
      </c>
      <c r="H113" s="310">
        <v>657.18311050419175</v>
      </c>
      <c r="I113" s="470">
        <v>4.1285135420369729E-4</v>
      </c>
      <c r="J113" s="439"/>
      <c r="K113">
        <f>2*K109</f>
        <v>20.370370627853443</v>
      </c>
      <c r="L113" s="470">
        <f t="shared" si="0"/>
        <v>1.2796943446839951E-5</v>
      </c>
      <c r="M113" s="388">
        <f t="shared" si="1"/>
        <v>4.0005441075685735E-4</v>
      </c>
    </row>
    <row r="114" spans="4:13" x14ac:dyDescent="0.2">
      <c r="D114" s="446" t="s">
        <v>607</v>
      </c>
      <c r="E114" s="446" t="s">
        <v>614</v>
      </c>
      <c r="F114" s="468" t="s">
        <v>609</v>
      </c>
      <c r="G114" s="469">
        <v>2.4123401450866803E-3</v>
      </c>
      <c r="H114" s="310">
        <v>520.97959855126089</v>
      </c>
      <c r="I114" s="470">
        <v>1.0473166669636243E-4</v>
      </c>
      <c r="J114" s="439"/>
      <c r="K114">
        <f>2*K110</f>
        <v>101.85185313926722</v>
      </c>
      <c r="L114" s="470">
        <f t="shared" si="0"/>
        <v>2.0475109514943927E-5</v>
      </c>
      <c r="M114" s="388">
        <f t="shared" si="1"/>
        <v>8.4256557181418504E-5</v>
      </c>
    </row>
    <row r="115" spans="4:13" x14ac:dyDescent="0.2">
      <c r="D115" s="446" t="s">
        <v>607</v>
      </c>
      <c r="E115" s="446" t="s">
        <v>615</v>
      </c>
      <c r="F115" s="468" t="s">
        <v>609</v>
      </c>
      <c r="G115" s="469">
        <v>1.5077125906791751E-3</v>
      </c>
      <c r="H115" s="310">
        <v>562.92387469863377</v>
      </c>
      <c r="I115" s="470">
        <v>7.0727284456419698E-5</v>
      </c>
      <c r="J115" s="439"/>
      <c r="K115">
        <f>2*K111</f>
        <v>162.96296502282755</v>
      </c>
      <c r="L115" s="470">
        <f t="shared" si="0"/>
        <v>2.0475109514943927E-5</v>
      </c>
      <c r="M115" s="388">
        <f t="shared" si="1"/>
        <v>5.0252174941475768E-5</v>
      </c>
    </row>
    <row r="116" spans="4:13" x14ac:dyDescent="0.2">
      <c r="D116" s="446" t="s">
        <v>607</v>
      </c>
      <c r="E116" s="446" t="s">
        <v>616</v>
      </c>
      <c r="F116" s="468" t="s">
        <v>609</v>
      </c>
      <c r="G116" s="447">
        <v>0.13870955834248411</v>
      </c>
      <c r="H116" s="310">
        <v>33171.591657809986</v>
      </c>
      <c r="I116" s="448">
        <v>0.38343473569767111</v>
      </c>
      <c r="J116" s="439"/>
      <c r="K116">
        <f>2*K112</f>
        <v>407.40741255706888</v>
      </c>
      <c r="L116" s="470">
        <f t="shared" si="0"/>
        <v>4.7092751884371033E-3</v>
      </c>
      <c r="M116" s="388">
        <f t="shared" si="1"/>
        <v>0.378725460509234</v>
      </c>
    </row>
    <row r="117" spans="4:13" x14ac:dyDescent="0.2">
      <c r="D117" s="460" t="s">
        <v>617</v>
      </c>
      <c r="E117" s="460"/>
      <c r="F117" s="460"/>
      <c r="G117" s="471">
        <v>0.40014692156625303</v>
      </c>
      <c r="H117" s="472"/>
      <c r="I117" s="473">
        <v>0.5791393549579843</v>
      </c>
      <c r="J117" s="439"/>
      <c r="L117" s="470">
        <f>SUM(L109:L116)</f>
        <v>7.0293610353491867E-3</v>
      </c>
      <c r="M117" s="388">
        <f>SUM(M109:M116)</f>
        <v>0.57210999392263506</v>
      </c>
    </row>
    <row r="118" spans="4:13" ht="16" x14ac:dyDescent="0.2">
      <c r="D118" s="461" t="s">
        <v>618</v>
      </c>
      <c r="E118" s="461"/>
      <c r="F118" s="461"/>
      <c r="G118" s="474"/>
      <c r="H118" s="474"/>
      <c r="I118" s="473">
        <v>0.80570201426730792</v>
      </c>
      <c r="J118" s="439"/>
    </row>
  </sheetData>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795</v>
      </c>
      <c r="G3"/>
      <c r="H3"/>
      <c r="I3"/>
    </row>
    <row r="4" spans="2:19" x14ac:dyDescent="0.2">
      <c r="G4"/>
      <c r="H4"/>
      <c r="I4"/>
    </row>
    <row r="5" spans="2:19" ht="16" x14ac:dyDescent="0.2">
      <c r="D5" s="438" t="s">
        <v>796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6.9354779171242054E-3</v>
      </c>
      <c r="O8" s="310">
        <v>3198.3478260869565</v>
      </c>
      <c r="P8" s="388">
        <v>1.8485058932590245E-3</v>
      </c>
      <c r="Q8" s="29">
        <f>'Assumptions-Output Override'!D19</f>
        <v>1000</v>
      </c>
      <c r="R8" s="388">
        <f>N8*Q8/12000</f>
        <v>5.7795649309368385E-4</v>
      </c>
      <c r="S8" s="388">
        <f>P8-R8</f>
        <v>1.2705494001653407E-3</v>
      </c>
    </row>
    <row r="9" spans="2:19" x14ac:dyDescent="0.2">
      <c r="D9" s="446" t="s">
        <v>1</v>
      </c>
      <c r="E9" s="446" t="s">
        <v>536</v>
      </c>
      <c r="F9" s="446" t="s">
        <v>534</v>
      </c>
      <c r="G9" s="447">
        <v>3.0154251813583504E-4</v>
      </c>
      <c r="H9" s="310">
        <v>47.999999999999986</v>
      </c>
      <c r="I9" s="448">
        <v>1.2061700725433399E-6</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3.3169676994941853E-3</v>
      </c>
      <c r="H10" s="310">
        <v>5620.7272727272721</v>
      </c>
      <c r="I10" s="448">
        <v>1.553647567608534E-3</v>
      </c>
      <c r="J10" s="439"/>
      <c r="K10" s="446" t="s">
        <v>462</v>
      </c>
      <c r="L10" s="446" t="s">
        <v>538</v>
      </c>
      <c r="M10" s="446" t="s">
        <v>539</v>
      </c>
      <c r="N10" s="449">
        <v>0.29106431175057967</v>
      </c>
      <c r="O10" s="310">
        <v>2127.3832390873017</v>
      </c>
      <c r="P10" s="388">
        <v>5.160044485955536E-2</v>
      </c>
      <c r="Q10" s="29">
        <v>0</v>
      </c>
      <c r="R10" s="388">
        <f>N10*Q10/12000</f>
        <v>0</v>
      </c>
      <c r="S10" s="388">
        <f>P10-R10</f>
        <v>5.160044485955536E-2</v>
      </c>
    </row>
    <row r="11" spans="2:19" x14ac:dyDescent="0.2">
      <c r="D11" s="446" t="s">
        <v>1</v>
      </c>
      <c r="E11" s="446" t="s">
        <v>540</v>
      </c>
      <c r="F11" s="446" t="s">
        <v>534</v>
      </c>
      <c r="G11" s="447">
        <v>2.713882663222515E-3</v>
      </c>
      <c r="H11" s="310">
        <v>1225.7777777777778</v>
      </c>
      <c r="I11" s="448">
        <v>2.7721808833954431E-4</v>
      </c>
      <c r="J11" s="439"/>
      <c r="K11" s="320" t="s">
        <v>463</v>
      </c>
      <c r="L11" s="450" t="s">
        <v>541</v>
      </c>
      <c r="M11" s="446" t="s">
        <v>539</v>
      </c>
      <c r="N11" s="449">
        <v>3.9992467437951679E-2</v>
      </c>
      <c r="O11" s="310">
        <v>2527.3417328519854</v>
      </c>
      <c r="P11" s="388">
        <v>8.4228859963049497E-3</v>
      </c>
      <c r="Q11" s="29">
        <f>'Assumptions-Output Override'!G19</f>
        <v>30</v>
      </c>
      <c r="R11" s="388">
        <f>N11*Q11/12000</f>
        <v>9.9981168594879191E-5</v>
      </c>
      <c r="S11" s="388">
        <f>P11-R11</f>
        <v>8.3229048277100714E-3</v>
      </c>
    </row>
    <row r="12" spans="2:19" x14ac:dyDescent="0.2">
      <c r="D12" s="446" t="s">
        <v>1</v>
      </c>
      <c r="E12" s="446" t="s">
        <v>542</v>
      </c>
      <c r="F12" s="446" t="s">
        <v>534</v>
      </c>
      <c r="G12" s="447">
        <v>0</v>
      </c>
      <c r="H12" s="310" t="s">
        <v>446</v>
      </c>
      <c r="I12" s="448">
        <v>0</v>
      </c>
      <c r="J12" s="439"/>
      <c r="K12" s="320" t="s">
        <v>464</v>
      </c>
      <c r="L12" s="450" t="s">
        <v>541</v>
      </c>
      <c r="M12" s="446" t="s">
        <v>539</v>
      </c>
      <c r="N12" s="449">
        <v>3.4636075589763915</v>
      </c>
      <c r="O12" s="310">
        <v>570.58712255106298</v>
      </c>
      <c r="P12" s="388">
        <v>0.1646908225602042</v>
      </c>
      <c r="Q12" s="29">
        <f>'Assumptions-Output Override'!H19</f>
        <v>60</v>
      </c>
      <c r="R12" s="388">
        <f>N12*Q12/12000</f>
        <v>1.7318037794881957E-2</v>
      </c>
      <c r="S12" s="388">
        <f>P12-R12</f>
        <v>0.14737278476532226</v>
      </c>
    </row>
    <row r="13" spans="2:19" x14ac:dyDescent="0.2">
      <c r="D13" s="446" t="s">
        <v>1</v>
      </c>
      <c r="E13" s="446" t="s">
        <v>543</v>
      </c>
      <c r="F13" s="446" t="s">
        <v>534</v>
      </c>
      <c r="G13" s="447">
        <v>3.0154251813583504E-4</v>
      </c>
      <c r="H13" s="310">
        <v>28</v>
      </c>
      <c r="I13" s="448">
        <v>7.0359920898361501E-7</v>
      </c>
      <c r="J13" s="439"/>
      <c r="K13" s="446" t="s">
        <v>465</v>
      </c>
      <c r="P13" s="388">
        <f>I117</f>
        <v>0.5791393549579843</v>
      </c>
      <c r="R13" s="388">
        <f>L117</f>
        <v>6.9015543838339237E-3</v>
      </c>
      <c r="S13" s="388">
        <f>M117</f>
        <v>0.57223780057415041</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3.0154251813583504E-4</v>
      </c>
      <c r="H15" s="310">
        <v>625.99999999999989</v>
      </c>
      <c r="I15" s="448">
        <v>1.5730468029419393E-5</v>
      </c>
      <c r="J15" s="439"/>
      <c r="K15" s="446" t="s">
        <v>403</v>
      </c>
      <c r="P15" s="388">
        <f>SUM(P8:P13)</f>
        <v>0.80570201426730781</v>
      </c>
      <c r="R15" s="388">
        <f>SUM(R8:R13)</f>
        <v>2.4897529840404442E-2</v>
      </c>
      <c r="S15" s="388">
        <f>SUM(S8:S13)</f>
        <v>0.78080448442690342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6.9354779171242054E-3</v>
      </c>
      <c r="H17" s="458"/>
      <c r="I17" s="459">
        <v>1.8485058932590245E-3</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4.7933210070035946E-2</v>
      </c>
      <c r="H20" s="310">
        <v>242.11927710843378</v>
      </c>
      <c r="I20" s="448">
        <v>9.6712951430365007E-4</v>
      </c>
      <c r="J20" s="439"/>
    </row>
    <row r="21" spans="4:10" x14ac:dyDescent="0.2">
      <c r="D21" s="446" t="s">
        <v>462</v>
      </c>
      <c r="E21" s="446" t="s">
        <v>551</v>
      </c>
      <c r="F21" s="446" t="s">
        <v>537</v>
      </c>
      <c r="G21" s="447">
        <v>7.5076112157887618E-3</v>
      </c>
      <c r="H21" s="310">
        <v>124.2598076923077</v>
      </c>
      <c r="I21" s="448">
        <v>7.774119382521033E-5</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9.5920604409550289E-2</v>
      </c>
      <c r="H52" s="310">
        <v>2574.7300857843134</v>
      </c>
      <c r="I52" s="448">
        <v>2.058080550165705E-2</v>
      </c>
      <c r="J52" s="439"/>
    </row>
    <row r="53" spans="4:10" x14ac:dyDescent="0.2">
      <c r="D53" s="446" t="s">
        <v>462</v>
      </c>
      <c r="E53" s="446" t="s">
        <v>584</v>
      </c>
      <c r="F53" s="446" t="s">
        <v>554</v>
      </c>
      <c r="G53" s="447">
        <v>5.3011671826879159E-3</v>
      </c>
      <c r="H53" s="310">
        <v>2574.7300857843138</v>
      </c>
      <c r="I53" s="448">
        <v>1.1374228862532539E-3</v>
      </c>
      <c r="J53" s="439"/>
    </row>
    <row r="54" spans="4:10" x14ac:dyDescent="0.2">
      <c r="D54" s="446" t="s">
        <v>462</v>
      </c>
      <c r="E54" s="446" t="s">
        <v>585</v>
      </c>
      <c r="F54" s="446" t="s">
        <v>554</v>
      </c>
      <c r="G54" s="447">
        <v>2.3473314845827233E-2</v>
      </c>
      <c r="H54" s="310">
        <v>2574.7300857843138</v>
      </c>
      <c r="I54" s="448">
        <v>5.0364541622199138E-3</v>
      </c>
      <c r="J54" s="439"/>
    </row>
    <row r="55" spans="4:10" x14ac:dyDescent="0.2">
      <c r="D55" s="446" t="s">
        <v>462</v>
      </c>
      <c r="E55" s="446" t="s">
        <v>586</v>
      </c>
      <c r="F55" s="446" t="s">
        <v>537</v>
      </c>
      <c r="G55" s="447">
        <v>1.2831384150993002E-2</v>
      </c>
      <c r="H55" s="310">
        <v>2574.7300857843138</v>
      </c>
      <c r="I55" s="448">
        <v>2.7531125679848079E-3</v>
      </c>
      <c r="J55" s="439"/>
    </row>
    <row r="56" spans="4:10" x14ac:dyDescent="0.2">
      <c r="D56" s="446" t="s">
        <v>462</v>
      </c>
      <c r="E56" s="446" t="s">
        <v>5</v>
      </c>
      <c r="F56" s="446" t="s">
        <v>537</v>
      </c>
      <c r="G56" s="447">
        <v>1.100304608048642E-2</v>
      </c>
      <c r="H56" s="310">
        <v>2574.7300857843138</v>
      </c>
      <c r="I56" s="448">
        <v>2.3608228148916297E-3</v>
      </c>
      <c r="J56" s="439"/>
    </row>
    <row r="57" spans="4:10" x14ac:dyDescent="0.2">
      <c r="D57" s="446" t="s">
        <v>462</v>
      </c>
      <c r="E57" s="446" t="s">
        <v>587</v>
      </c>
      <c r="F57" s="446" t="s">
        <v>537</v>
      </c>
      <c r="G57" s="447">
        <v>2.9057881452389384E-2</v>
      </c>
      <c r="H57" s="310">
        <v>2574.7300857843134</v>
      </c>
      <c r="I57" s="448">
        <v>6.234683467051744E-3</v>
      </c>
      <c r="J57" s="439"/>
    </row>
    <row r="58" spans="4:10" x14ac:dyDescent="0.2">
      <c r="D58" s="446" t="s">
        <v>462</v>
      </c>
      <c r="E58" s="446" t="s">
        <v>588</v>
      </c>
      <c r="F58" s="446" t="s">
        <v>537</v>
      </c>
      <c r="G58" s="447">
        <v>1.9629200190772338E-2</v>
      </c>
      <c r="H58" s="310">
        <v>2574.7300857843134</v>
      </c>
      <c r="I58" s="448">
        <v>4.2116576909220606E-3</v>
      </c>
      <c r="J58" s="439"/>
    </row>
    <row r="59" spans="4:10" x14ac:dyDescent="0.2">
      <c r="D59" s="446" t="s">
        <v>462</v>
      </c>
      <c r="E59" s="446" t="s">
        <v>589</v>
      </c>
      <c r="F59" s="446" t="s">
        <v>537</v>
      </c>
      <c r="G59" s="447">
        <v>7.5875768129947622E-3</v>
      </c>
      <c r="H59" s="310">
        <v>2574.7300857843138</v>
      </c>
      <c r="I59" s="448">
        <v>1.6279968582180897E-3</v>
      </c>
      <c r="J59" s="439"/>
    </row>
    <row r="60" spans="4:10" x14ac:dyDescent="0.2">
      <c r="D60" s="446" t="s">
        <v>462</v>
      </c>
      <c r="E60" s="446" t="s">
        <v>590</v>
      </c>
      <c r="F60" s="446" t="s">
        <v>537</v>
      </c>
      <c r="G60" s="447">
        <v>7.2422026893953582E-3</v>
      </c>
      <c r="H60" s="310">
        <v>2574.7300857843143</v>
      </c>
      <c r="I60" s="448">
        <v>1.5538930959778582E-3</v>
      </c>
      <c r="J60" s="439"/>
    </row>
    <row r="61" spans="4:10" x14ac:dyDescent="0.2">
      <c r="D61" s="446" t="s">
        <v>462</v>
      </c>
      <c r="E61" s="446" t="s">
        <v>591</v>
      </c>
      <c r="F61" s="446" t="s">
        <v>537</v>
      </c>
      <c r="G61" s="447">
        <v>1.2007835228498498E-2</v>
      </c>
      <c r="H61" s="310">
        <v>2574.7300857843134</v>
      </c>
      <c r="I61" s="448">
        <v>2.5764112189963196E-3</v>
      </c>
      <c r="J61" s="439"/>
    </row>
    <row r="62" spans="4:10" x14ac:dyDescent="0.2">
      <c r="D62" s="446" t="s">
        <v>462</v>
      </c>
      <c r="E62" s="446" t="s">
        <v>592</v>
      </c>
      <c r="F62" s="446" t="s">
        <v>537</v>
      </c>
      <c r="G62" s="447">
        <v>1.1569277421159787E-2</v>
      </c>
      <c r="H62" s="310">
        <v>2574.7300857843134</v>
      </c>
      <c r="I62" s="448">
        <v>2.4823138872537716E-3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0.29106431175057967</v>
      </c>
      <c r="H64" s="463"/>
      <c r="I64" s="464">
        <v>5.160044485955536E-2</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5.7750855506067398E-4</v>
      </c>
      <c r="H66" s="310">
        <v>465.78250000000003</v>
      </c>
      <c r="I66" s="448">
        <v>2.2416114878962364E-5</v>
      </c>
      <c r="J66" s="439"/>
    </row>
    <row r="67" spans="4:10" x14ac:dyDescent="0.2">
      <c r="D67" s="446" t="s">
        <v>595</v>
      </c>
      <c r="E67" s="446" t="s">
        <v>564</v>
      </c>
      <c r="F67" s="446" t="s">
        <v>554</v>
      </c>
      <c r="G67" s="447">
        <v>1.443771387651685E-3</v>
      </c>
      <c r="H67" s="310">
        <v>82.8</v>
      </c>
      <c r="I67" s="448">
        <v>9.9620225747966265E-6</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4.4756913017202238E-3</v>
      </c>
      <c r="H72" s="310">
        <v>584.92967741935479</v>
      </c>
      <c r="I72" s="448">
        <v>2.1816372244531855E-4</v>
      </c>
      <c r="J72" s="439"/>
    </row>
    <row r="73" spans="4:10" x14ac:dyDescent="0.2">
      <c r="D73" s="446" t="s">
        <v>595</v>
      </c>
      <c r="E73" s="446" t="s">
        <v>598</v>
      </c>
      <c r="F73" s="446" t="s">
        <v>554</v>
      </c>
      <c r="G73" s="447">
        <v>0</v>
      </c>
      <c r="H73" s="310" t="s">
        <v>446</v>
      </c>
      <c r="I73" s="448">
        <v>0</v>
      </c>
      <c r="J73" s="439"/>
    </row>
    <row r="74" spans="4:10" x14ac:dyDescent="0.2">
      <c r="D74" s="446" t="s">
        <v>595</v>
      </c>
      <c r="E74" s="446" t="s">
        <v>549</v>
      </c>
      <c r="F74" s="446" t="s">
        <v>554</v>
      </c>
      <c r="G74" s="447">
        <v>1.1550171101213483E-2</v>
      </c>
      <c r="H74" s="310">
        <v>7340.2542499999972</v>
      </c>
      <c r="I74" s="448">
        <v>7.0650993761591186E-3</v>
      </c>
      <c r="J74" s="439"/>
    </row>
    <row r="75" spans="4:10" x14ac:dyDescent="0.2">
      <c r="D75" s="446" t="s">
        <v>595</v>
      </c>
      <c r="E75" s="446" t="s">
        <v>571</v>
      </c>
      <c r="F75" s="446" t="s">
        <v>554</v>
      </c>
      <c r="G75" s="447">
        <v>1.5881485264168536E-3</v>
      </c>
      <c r="H75" s="310">
        <v>154.75818181818184</v>
      </c>
      <c r="I75" s="448">
        <v>2.0481581533791414E-5</v>
      </c>
      <c r="J75" s="439"/>
    </row>
    <row r="76" spans="4:10" x14ac:dyDescent="0.2">
      <c r="D76" s="446" t="s">
        <v>595</v>
      </c>
      <c r="E76" s="446" t="s">
        <v>561</v>
      </c>
      <c r="F76" s="446" t="s">
        <v>554</v>
      </c>
      <c r="G76" s="447">
        <v>1.5881485264168536E-3</v>
      </c>
      <c r="H76" s="310">
        <v>407.39363636363635</v>
      </c>
      <c r="I76" s="448">
        <v>5.3916800271876046E-5</v>
      </c>
      <c r="J76" s="439"/>
    </row>
    <row r="77" spans="4:10" x14ac:dyDescent="0.2">
      <c r="D77" s="446" t="s">
        <v>595</v>
      </c>
      <c r="E77" s="446" t="s">
        <v>599</v>
      </c>
      <c r="F77" s="446" t="s">
        <v>554</v>
      </c>
      <c r="G77" s="447">
        <v>0.10712783696375504</v>
      </c>
      <c r="H77" s="310">
        <v>611.82264150943399</v>
      </c>
      <c r="I77" s="448">
        <v>5.4619363491963824E-3</v>
      </c>
      <c r="J77" s="439"/>
    </row>
    <row r="78" spans="4:10" x14ac:dyDescent="0.2">
      <c r="D78" s="446" t="s">
        <v>595</v>
      </c>
      <c r="E78" s="446" t="s">
        <v>600</v>
      </c>
      <c r="F78" s="446" t="s">
        <v>554</v>
      </c>
      <c r="G78" s="447">
        <v>1.732525665182022E-3</v>
      </c>
      <c r="H78" s="310">
        <v>105.31583333333332</v>
      </c>
      <c r="I78" s="448">
        <v>1.5205198683336023E-5</v>
      </c>
      <c r="J78" s="439"/>
    </row>
    <row r="79" spans="4:10" x14ac:dyDescent="0.2">
      <c r="D79" s="446" t="s">
        <v>595</v>
      </c>
      <c r="E79" s="446" t="s">
        <v>555</v>
      </c>
      <c r="F79" s="446" t="s">
        <v>554</v>
      </c>
      <c r="G79" s="447">
        <v>1.0828285407387639E-2</v>
      </c>
      <c r="H79" s="310">
        <v>119.78533333333331</v>
      </c>
      <c r="I79" s="448">
        <v>1.0808914807936644E-4</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0</v>
      </c>
      <c r="H81" s="310" t="s">
        <v>446</v>
      </c>
      <c r="I81" s="448">
        <v>0</v>
      </c>
      <c r="J81" s="439"/>
    </row>
    <row r="82" spans="4:10" x14ac:dyDescent="0.2">
      <c r="D82" s="446" t="s">
        <v>595</v>
      </c>
      <c r="E82" s="446" t="s">
        <v>574</v>
      </c>
      <c r="F82" s="446" t="s">
        <v>554</v>
      </c>
      <c r="G82" s="447">
        <v>7.218856938258425E-4</v>
      </c>
      <c r="H82" s="310">
        <v>123.00000000000001</v>
      </c>
      <c r="I82" s="448">
        <v>7.399328361714886E-6</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6.2082169669022457E-3</v>
      </c>
      <c r="H84" s="310">
        <v>2174.9767441860463</v>
      </c>
      <c r="I84" s="448">
        <v>1.1252272938228015E-3</v>
      </c>
      <c r="J84" s="439"/>
    </row>
    <row r="85" spans="4:10" x14ac:dyDescent="0.2">
      <c r="D85" s="446" t="s">
        <v>595</v>
      </c>
      <c r="E85" s="446" t="s">
        <v>573</v>
      </c>
      <c r="F85" s="446" t="s">
        <v>554</v>
      </c>
      <c r="G85" s="447">
        <v>4.3313141629550551E-4</v>
      </c>
      <c r="H85" s="310">
        <v>277.66666666666669</v>
      </c>
      <c r="I85" s="448">
        <v>1.0022179715948781E-5</v>
      </c>
      <c r="J85" s="439"/>
    </row>
    <row r="86" spans="4:10" x14ac:dyDescent="0.2">
      <c r="D86" s="446" t="s">
        <v>595</v>
      </c>
      <c r="E86" s="446" t="s">
        <v>562</v>
      </c>
      <c r="F86" s="446" t="s">
        <v>554</v>
      </c>
      <c r="G86" s="447">
        <v>5.3130787065582018E-2</v>
      </c>
      <c r="H86" s="310">
        <v>3275.463233695652</v>
      </c>
      <c r="I86" s="448">
        <v>1.4502328300885532E-2</v>
      </c>
      <c r="J86" s="439"/>
    </row>
    <row r="87" spans="4:10" x14ac:dyDescent="0.2">
      <c r="D87" s="446" t="s">
        <v>595</v>
      </c>
      <c r="E87" s="446" t="s">
        <v>550</v>
      </c>
      <c r="F87" s="446" t="s">
        <v>554</v>
      </c>
      <c r="G87" s="447">
        <v>0.1178117452323775</v>
      </c>
      <c r="H87" s="310">
        <v>13921.939301470586</v>
      </c>
      <c r="I87" s="448">
        <v>0.13668066384378968</v>
      </c>
      <c r="J87" s="439"/>
    </row>
    <row r="88" spans="4:10" x14ac:dyDescent="0.2">
      <c r="D88" s="446" t="s">
        <v>595</v>
      </c>
      <c r="E88" s="446" t="s">
        <v>579</v>
      </c>
      <c r="F88" s="446" t="s">
        <v>554</v>
      </c>
      <c r="G88" s="447">
        <v>1.4437713876516849E-4</v>
      </c>
      <c r="H88" s="310">
        <v>392</v>
      </c>
      <c r="I88" s="448">
        <v>4.7163198663288376E-6</v>
      </c>
      <c r="J88" s="439"/>
    </row>
    <row r="89" spans="4:10" x14ac:dyDescent="0.2">
      <c r="D89" s="446" t="s">
        <v>595</v>
      </c>
      <c r="E89" s="446" t="s">
        <v>556</v>
      </c>
      <c r="F89" s="446" t="s">
        <v>554</v>
      </c>
      <c r="G89" s="447">
        <v>2.3100342202426959E-3</v>
      </c>
      <c r="H89" s="310">
        <v>160.72500000000002</v>
      </c>
      <c r="I89" s="448">
        <v>3.0940020837375613E-5</v>
      </c>
      <c r="J89" s="439"/>
    </row>
    <row r="90" spans="4:10" x14ac:dyDescent="0.2">
      <c r="D90" s="446" t="s">
        <v>595</v>
      </c>
      <c r="E90" s="446" t="s">
        <v>602</v>
      </c>
      <c r="F90" s="446" t="s">
        <v>554</v>
      </c>
      <c r="G90" s="447">
        <v>4.3313141629550551E-4</v>
      </c>
      <c r="H90" s="310">
        <v>185.24</v>
      </c>
      <c r="I90" s="448">
        <v>6.6861052962149541E-6</v>
      </c>
      <c r="J90" s="439"/>
    </row>
    <row r="91" spans="4:10" x14ac:dyDescent="0.2">
      <c r="D91" s="446" t="s">
        <v>595</v>
      </c>
      <c r="E91" s="446" t="s">
        <v>577</v>
      </c>
      <c r="F91" s="446" t="s">
        <v>554</v>
      </c>
      <c r="G91" s="447">
        <v>4.4612535878437075E-2</v>
      </c>
      <c r="H91" s="310">
        <v>49.019223300970864</v>
      </c>
      <c r="I91" s="448">
        <v>1.8223932152064011E-4</v>
      </c>
      <c r="J91" s="439"/>
    </row>
    <row r="92" spans="4:10" x14ac:dyDescent="0.2">
      <c r="D92" s="446" t="s">
        <v>595</v>
      </c>
      <c r="E92" s="446" t="s">
        <v>576</v>
      </c>
      <c r="F92" s="446" t="s">
        <v>554</v>
      </c>
      <c r="G92" s="447">
        <v>1.1405793962448311E-2</v>
      </c>
      <c r="H92" s="310">
        <v>130.9546835443038</v>
      </c>
      <c r="I92" s="448">
        <v>1.2447017824366246E-4</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1.4437713876516849E-4</v>
      </c>
      <c r="H95" s="310">
        <v>204.86</v>
      </c>
      <c r="I95" s="448">
        <v>2.464758387286035E-6</v>
      </c>
      <c r="J95" s="439"/>
    </row>
    <row r="96" spans="4:10" x14ac:dyDescent="0.2">
      <c r="D96" s="446" t="s">
        <v>595</v>
      </c>
      <c r="E96" s="446" t="s">
        <v>565</v>
      </c>
      <c r="F96" s="446" t="s">
        <v>554</v>
      </c>
      <c r="G96" s="447">
        <v>3.7538056078943809E-3</v>
      </c>
      <c r="H96" s="310">
        <v>36.247307692307693</v>
      </c>
      <c r="I96" s="448">
        <v>1.1338778907204811E-5</v>
      </c>
      <c r="J96" s="439"/>
    </row>
    <row r="97" spans="4:13" x14ac:dyDescent="0.2">
      <c r="D97" s="446" t="s">
        <v>595</v>
      </c>
      <c r="E97" s="446" t="s">
        <v>604</v>
      </c>
      <c r="F97" s="446" t="s">
        <v>554</v>
      </c>
      <c r="G97" s="447">
        <v>0</v>
      </c>
      <c r="H97" s="310" t="s">
        <v>446</v>
      </c>
      <c r="I97" s="448">
        <v>0</v>
      </c>
      <c r="J97" s="439"/>
    </row>
    <row r="98" spans="4:13" x14ac:dyDescent="0.2">
      <c r="D98" s="446" t="s">
        <v>595</v>
      </c>
      <c r="E98" s="446" t="s">
        <v>569</v>
      </c>
      <c r="F98" s="446" t="s">
        <v>554</v>
      </c>
      <c r="G98" s="447">
        <v>0</v>
      </c>
      <c r="H98" s="310" t="s">
        <v>446</v>
      </c>
      <c r="I98" s="448">
        <v>0</v>
      </c>
      <c r="J98" s="439"/>
    </row>
    <row r="99" spans="4:13" x14ac:dyDescent="0.2">
      <c r="D99" s="446" t="s">
        <v>595</v>
      </c>
      <c r="E99" s="446" t="s">
        <v>553</v>
      </c>
      <c r="F99" s="446" t="s">
        <v>554</v>
      </c>
      <c r="G99" s="447">
        <v>5.0531998567808975E-3</v>
      </c>
      <c r="H99" s="310">
        <v>70.075142857142851</v>
      </c>
      <c r="I99" s="448">
        <v>2.9508641820801268E-5</v>
      </c>
      <c r="J99" s="439"/>
    </row>
    <row r="100" spans="4:13" x14ac:dyDescent="0.2">
      <c r="D100" s="446" t="s">
        <v>595</v>
      </c>
      <c r="E100" s="446" t="s">
        <v>570</v>
      </c>
      <c r="F100" s="446" t="s">
        <v>554</v>
      </c>
      <c r="G100" s="447">
        <v>0</v>
      </c>
      <c r="H100" s="310" t="s">
        <v>446</v>
      </c>
      <c r="I100" s="448">
        <v>0</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1.5881485264168536E-3</v>
      </c>
      <c r="H102" s="310">
        <v>134.56999999999996</v>
      </c>
      <c r="I102" s="448">
        <v>1.7809762266659663E-5</v>
      </c>
      <c r="J102" s="439"/>
    </row>
    <row r="103" spans="4:13" x14ac:dyDescent="0.2">
      <c r="D103" s="446" t="s">
        <v>595</v>
      </c>
      <c r="E103" s="446" t="s">
        <v>560</v>
      </c>
      <c r="F103" s="446" t="s">
        <v>554</v>
      </c>
      <c r="G103" s="447">
        <v>2.8875427753033699E-4</v>
      </c>
      <c r="H103" s="310">
        <v>183.21</v>
      </c>
      <c r="I103" s="448">
        <v>4.4085559321944206E-6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5.77508555060674E-3</v>
      </c>
      <c r="H105" s="310">
        <v>13958.76125</v>
      </c>
      <c r="I105" s="448">
        <v>6.7177533666036892E-3</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2.6265267264199141</v>
      </c>
      <c r="I107" s="454">
        <v>6.804614864284696E-4</v>
      </c>
      <c r="J107" s="439"/>
    </row>
    <row r="108" spans="4:13" ht="16" x14ac:dyDescent="0.2">
      <c r="D108" s="461" t="s">
        <v>605</v>
      </c>
      <c r="E108" s="460"/>
      <c r="F108" s="460"/>
      <c r="G108" s="465">
        <v>3.5036000264143432</v>
      </c>
      <c r="H108" s="466"/>
      <c r="I108" s="467">
        <v>0.17311370855650915</v>
      </c>
      <c r="J108" s="439"/>
      <c r="K108" s="313" t="s">
        <v>311</v>
      </c>
      <c r="L108" s="313" t="s">
        <v>606</v>
      </c>
      <c r="M108" s="313" t="s">
        <v>528</v>
      </c>
    </row>
    <row r="109" spans="4:13" x14ac:dyDescent="0.2">
      <c r="D109" s="446" t="s">
        <v>607</v>
      </c>
      <c r="E109" s="446" t="s">
        <v>608</v>
      </c>
      <c r="F109" s="468" t="s">
        <v>609</v>
      </c>
      <c r="G109" s="469">
        <v>0.1103645616377156</v>
      </c>
      <c r="H109" s="310">
        <v>43.306965372168783</v>
      </c>
      <c r="I109" s="470">
        <v>3.9829618742992805E-4</v>
      </c>
      <c r="J109" s="439"/>
      <c r="K109">
        <f>'Assumptions-Output Override'!$J$19</f>
        <v>10</v>
      </c>
      <c r="L109" s="470">
        <f>G109*K109/12000</f>
        <v>9.1970468031429668E-5</v>
      </c>
      <c r="M109" s="388">
        <f>I109-L109</f>
        <v>3.0632571939849838E-4</v>
      </c>
    </row>
    <row r="110" spans="4:13" x14ac:dyDescent="0.2">
      <c r="D110" s="446" t="s">
        <v>607</v>
      </c>
      <c r="E110" s="446" t="s">
        <v>610</v>
      </c>
      <c r="F110" s="468" t="s">
        <v>609</v>
      </c>
      <c r="G110" s="469">
        <v>1.1157073171025895E-2</v>
      </c>
      <c r="H110" s="310">
        <v>681.86514266903941</v>
      </c>
      <c r="I110" s="470">
        <v>6.3396827412754027E-4</v>
      </c>
      <c r="J110" s="439"/>
      <c r="K110">
        <f>'Assumptions-Output Override'!$K$19</f>
        <v>50</v>
      </c>
      <c r="L110" s="470">
        <f t="shared" ref="L110:L116" si="0">G110*K110/12000</f>
        <v>4.6487804879274562E-5</v>
      </c>
      <c r="M110" s="388">
        <f t="shared" ref="M110:M116" si="1">I110-L110</f>
        <v>5.8748046924826571E-4</v>
      </c>
    </row>
    <row r="111" spans="4:13" x14ac:dyDescent="0.2">
      <c r="D111" s="446" t="s">
        <v>607</v>
      </c>
      <c r="E111" s="446" t="s">
        <v>611</v>
      </c>
      <c r="F111" s="468" t="s">
        <v>609</v>
      </c>
      <c r="G111" s="469">
        <v>5.4277653264450301E-3</v>
      </c>
      <c r="H111" s="310">
        <v>324.65688424513633</v>
      </c>
      <c r="I111" s="470">
        <v>1.4684678160811906E-4</v>
      </c>
      <c r="J111" s="439"/>
      <c r="K111">
        <f>'Assumptions-Output Override'!$L$19</f>
        <v>80</v>
      </c>
      <c r="L111" s="470">
        <f t="shared" si="0"/>
        <v>3.6185102176300203E-5</v>
      </c>
      <c r="M111" s="388">
        <f t="shared" si="1"/>
        <v>1.1066167943181885E-4</v>
      </c>
    </row>
    <row r="112" spans="4:13" x14ac:dyDescent="0.2">
      <c r="D112" s="446" t="s">
        <v>607</v>
      </c>
      <c r="E112" s="446" t="s">
        <v>612</v>
      </c>
      <c r="F112" s="468" t="s">
        <v>609</v>
      </c>
      <c r="G112" s="469">
        <v>0.12302934739942067</v>
      </c>
      <c r="H112" s="310">
        <v>18916.188874724146</v>
      </c>
      <c r="I112" s="470">
        <v>0.19393719771179113</v>
      </c>
      <c r="J112" s="439"/>
      <c r="K112">
        <f>'Assumptions-Output Override'!$M$19</f>
        <v>200</v>
      </c>
      <c r="L112" s="470">
        <f t="shared" si="0"/>
        <v>2.050489123323678E-3</v>
      </c>
      <c r="M112" s="388">
        <f t="shared" si="1"/>
        <v>0.19188670858846746</v>
      </c>
    </row>
    <row r="113" spans="4:13" x14ac:dyDescent="0.2">
      <c r="D113" s="446" t="s">
        <v>607</v>
      </c>
      <c r="E113" s="446" t="s">
        <v>613</v>
      </c>
      <c r="F113" s="468" t="s">
        <v>609</v>
      </c>
      <c r="G113" s="469">
        <v>7.5385629533958748E-3</v>
      </c>
      <c r="H113" s="310">
        <v>657.18311050419175</v>
      </c>
      <c r="I113" s="470">
        <v>4.1285135420369729E-4</v>
      </c>
      <c r="J113" s="439"/>
      <c r="K113">
        <f>2*K109</f>
        <v>20</v>
      </c>
      <c r="L113" s="470">
        <f t="shared" si="0"/>
        <v>1.2564271588993125E-5</v>
      </c>
      <c r="M113" s="388">
        <f t="shared" si="1"/>
        <v>4.0028708261470418E-4</v>
      </c>
    </row>
    <row r="114" spans="4:13" x14ac:dyDescent="0.2">
      <c r="D114" s="446" t="s">
        <v>607</v>
      </c>
      <c r="E114" s="446" t="s">
        <v>614</v>
      </c>
      <c r="F114" s="468" t="s">
        <v>609</v>
      </c>
      <c r="G114" s="469">
        <v>2.4123401450866803E-3</v>
      </c>
      <c r="H114" s="310">
        <v>520.97959855126089</v>
      </c>
      <c r="I114" s="470">
        <v>1.0473166669636243E-4</v>
      </c>
      <c r="J114" s="439"/>
      <c r="K114">
        <f>2*K110</f>
        <v>100</v>
      </c>
      <c r="L114" s="470">
        <f t="shared" si="0"/>
        <v>2.0102834542389003E-5</v>
      </c>
      <c r="M114" s="388">
        <f t="shared" si="1"/>
        <v>8.4628832153973432E-5</v>
      </c>
    </row>
    <row r="115" spans="4:13" x14ac:dyDescent="0.2">
      <c r="D115" s="446" t="s">
        <v>607</v>
      </c>
      <c r="E115" s="446" t="s">
        <v>615</v>
      </c>
      <c r="F115" s="468" t="s">
        <v>609</v>
      </c>
      <c r="G115" s="469">
        <v>1.5077125906791751E-3</v>
      </c>
      <c r="H115" s="310">
        <v>562.92387469863377</v>
      </c>
      <c r="I115" s="470">
        <v>7.0727284456419698E-5</v>
      </c>
      <c r="J115" s="439"/>
      <c r="K115">
        <f>2*K111</f>
        <v>160</v>
      </c>
      <c r="L115" s="470">
        <f t="shared" si="0"/>
        <v>2.0102834542389003E-5</v>
      </c>
      <c r="M115" s="388">
        <f t="shared" si="1"/>
        <v>5.0624449914030695E-5</v>
      </c>
    </row>
    <row r="116" spans="4:13" x14ac:dyDescent="0.2">
      <c r="D116" s="446" t="s">
        <v>607</v>
      </c>
      <c r="E116" s="446" t="s">
        <v>616</v>
      </c>
      <c r="F116" s="468" t="s">
        <v>609</v>
      </c>
      <c r="G116" s="447">
        <v>0.13870955834248411</v>
      </c>
      <c r="H116" s="310">
        <v>33171.591657809986</v>
      </c>
      <c r="I116" s="448">
        <v>0.38343473569767111</v>
      </c>
      <c r="J116" s="439"/>
      <c r="K116">
        <f>2*K112</f>
        <v>400</v>
      </c>
      <c r="L116" s="470">
        <f t="shared" si="0"/>
        <v>4.6236519447494708E-3</v>
      </c>
      <c r="M116" s="388">
        <f t="shared" si="1"/>
        <v>0.37881108375292166</v>
      </c>
    </row>
    <row r="117" spans="4:13" x14ac:dyDescent="0.2">
      <c r="D117" s="460" t="s">
        <v>617</v>
      </c>
      <c r="E117" s="460"/>
      <c r="F117" s="460"/>
      <c r="G117" s="471">
        <v>0.40014692156625303</v>
      </c>
      <c r="H117" s="472"/>
      <c r="I117" s="473">
        <v>0.5791393549579843</v>
      </c>
      <c r="J117" s="439"/>
      <c r="L117" s="470">
        <f>SUM(L109:L116)</f>
        <v>6.9015543838339237E-3</v>
      </c>
      <c r="M117" s="388">
        <f>SUM(M109:M116)</f>
        <v>0.57223780057415041</v>
      </c>
    </row>
    <row r="118" spans="4:13" ht="16" x14ac:dyDescent="0.2">
      <c r="D118" s="461" t="s">
        <v>618</v>
      </c>
      <c r="E118" s="461"/>
      <c r="F118" s="461"/>
      <c r="G118" s="474"/>
      <c r="H118" s="474"/>
      <c r="I118" s="473">
        <v>0.80570201426730792</v>
      </c>
      <c r="J118" s="439"/>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797</v>
      </c>
      <c r="G3"/>
      <c r="H3"/>
      <c r="I3"/>
    </row>
    <row r="4" spans="2:19" x14ac:dyDescent="0.2">
      <c r="G4"/>
      <c r="H4"/>
      <c r="I4"/>
    </row>
    <row r="5" spans="2:19" ht="16" x14ac:dyDescent="0.2">
      <c r="D5" s="438" t="s">
        <v>798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0.49044914038527732</v>
      </c>
      <c r="O10" s="310">
        <v>231.59220783043867</v>
      </c>
      <c r="P10" s="388">
        <v>9.4653499375305945E-3</v>
      </c>
      <c r="Q10" s="29">
        <v>0</v>
      </c>
      <c r="R10" s="388">
        <f>N10*Q10/12000</f>
        <v>0</v>
      </c>
      <c r="S10" s="388">
        <f>P10-R10</f>
        <v>9.4653499375305945E-3</v>
      </c>
    </row>
    <row r="11" spans="2:19" x14ac:dyDescent="0.2">
      <c r="D11" s="446" t="s">
        <v>1</v>
      </c>
      <c r="E11" s="446" t="s">
        <v>540</v>
      </c>
      <c r="F11" s="446" t="s">
        <v>534</v>
      </c>
      <c r="G11" s="447">
        <v>0</v>
      </c>
      <c r="H11" s="310" t="s">
        <v>446</v>
      </c>
      <c r="I11" s="448">
        <v>0</v>
      </c>
      <c r="J11" s="439"/>
      <c r="K11" s="320" t="s">
        <v>463</v>
      </c>
      <c r="L11" s="450" t="s">
        <v>541</v>
      </c>
      <c r="M11" s="446" t="s">
        <v>539</v>
      </c>
      <c r="N11" s="449">
        <v>0.10221901424573931</v>
      </c>
      <c r="O11" s="310">
        <v>73.074322033898298</v>
      </c>
      <c r="P11" s="388">
        <v>6.22465430415066E-4</v>
      </c>
      <c r="Q11" s="29">
        <f>'Assumptions-Output Target'!G17</f>
        <v>30.555555941780163</v>
      </c>
      <c r="R11" s="388">
        <f>N11*Q11/12000</f>
        <v>2.6027990067494259E-4</v>
      </c>
      <c r="S11" s="388">
        <f>P11-R11</f>
        <v>3.6218552974012341E-4</v>
      </c>
    </row>
    <row r="12" spans="2:19" x14ac:dyDescent="0.2">
      <c r="D12" s="446" t="s">
        <v>1</v>
      </c>
      <c r="E12" s="446" t="s">
        <v>542</v>
      </c>
      <c r="F12" s="446" t="s">
        <v>534</v>
      </c>
      <c r="G12" s="447">
        <v>0</v>
      </c>
      <c r="H12" s="310" t="s">
        <v>446</v>
      </c>
      <c r="I12" s="448">
        <v>0</v>
      </c>
      <c r="J12" s="439"/>
      <c r="K12" s="320" t="s">
        <v>464</v>
      </c>
      <c r="L12" s="450" t="s">
        <v>541</v>
      </c>
      <c r="M12" s="446" t="s">
        <v>539</v>
      </c>
      <c r="N12" s="449">
        <v>3.695621620972017</v>
      </c>
      <c r="O12" s="310">
        <v>9.2692124077040319</v>
      </c>
      <c r="P12" s="388">
        <v>2.8546251486077589E-3</v>
      </c>
      <c r="Q12" s="29">
        <f>'Assumptions-Output Target'!H17</f>
        <v>55.000000695204292</v>
      </c>
      <c r="R12" s="388">
        <f>N12*Q12/12000</f>
        <v>1.6938265976889411E-2</v>
      </c>
      <c r="S12" s="388">
        <f>P12-R12</f>
        <v>-1.4083640828281651E-2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1.2942440516553419E-2</v>
      </c>
      <c r="R15" s="388">
        <f>SUM(R8:R13)</f>
        <v>1.7198545877564354E-2</v>
      </c>
      <c r="S15" s="388">
        <f>SUM(S8:S13)</f>
        <v>-4.2561053610109343E-3</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4.7500078653740431E-2</v>
      </c>
      <c r="H20" s="310">
        <v>87.255319148936195</v>
      </c>
      <c r="I20" s="448">
        <v>3.4538621021097438E-4</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8.6626283259101102E-4</v>
      </c>
      <c r="H22" s="310">
        <v>28.71833333333333</v>
      </c>
      <c r="I22" s="448">
        <v>2.0731353983855152E-6</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0.17996868302821259</v>
      </c>
      <c r="H52" s="310">
        <v>247.49817766165904</v>
      </c>
      <c r="I52" s="448">
        <v>3.7118267571376136E-3</v>
      </c>
      <c r="J52" s="439"/>
    </row>
    <row r="53" spans="4:10" x14ac:dyDescent="0.2">
      <c r="D53" s="446" t="s">
        <v>462</v>
      </c>
      <c r="E53" s="446" t="s">
        <v>584</v>
      </c>
      <c r="F53" s="446" t="s">
        <v>554</v>
      </c>
      <c r="G53" s="447">
        <v>9.9461849959499964E-3</v>
      </c>
      <c r="H53" s="310">
        <v>247.49817766165913</v>
      </c>
      <c r="I53" s="448">
        <v>2.0513855509861337E-4</v>
      </c>
      <c r="J53" s="439"/>
    </row>
    <row r="54" spans="4:10" x14ac:dyDescent="0.2">
      <c r="D54" s="446" t="s">
        <v>462</v>
      </c>
      <c r="E54" s="446" t="s">
        <v>585</v>
      </c>
      <c r="F54" s="446" t="s">
        <v>554</v>
      </c>
      <c r="G54" s="447">
        <v>4.4041231653139092E-2</v>
      </c>
      <c r="H54" s="310">
        <v>247.49817766165901</v>
      </c>
      <c r="I54" s="448">
        <v>9.0834371467724158E-4</v>
      </c>
      <c r="J54" s="439"/>
    </row>
    <row r="55" spans="4:10" x14ac:dyDescent="0.2">
      <c r="D55" s="446" t="s">
        <v>462</v>
      </c>
      <c r="E55" s="446" t="s">
        <v>586</v>
      </c>
      <c r="F55" s="446" t="s">
        <v>537</v>
      </c>
      <c r="G55" s="447">
        <v>2.4074570018591038E-2</v>
      </c>
      <c r="H55" s="310">
        <v>247.49817766165904</v>
      </c>
      <c r="I55" s="448">
        <v>4.9653435063244124E-4</v>
      </c>
      <c r="J55" s="439"/>
    </row>
    <row r="56" spans="4:10" x14ac:dyDescent="0.2">
      <c r="D56" s="446" t="s">
        <v>462</v>
      </c>
      <c r="E56" s="446" t="s">
        <v>5</v>
      </c>
      <c r="F56" s="446" t="s">
        <v>537</v>
      </c>
      <c r="G56" s="447">
        <v>2.0644195526010673E-2</v>
      </c>
      <c r="H56" s="310">
        <v>247.49817766165904</v>
      </c>
      <c r="I56" s="448">
        <v>4.2578339766488469E-4</v>
      </c>
      <c r="J56" s="439"/>
    </row>
    <row r="57" spans="4:10" x14ac:dyDescent="0.2">
      <c r="D57" s="446" t="s">
        <v>462</v>
      </c>
      <c r="E57" s="446" t="s">
        <v>587</v>
      </c>
      <c r="F57" s="446" t="s">
        <v>537</v>
      </c>
      <c r="G57" s="447">
        <v>5.4519137872068794E-2</v>
      </c>
      <c r="H57" s="310">
        <v>247.4981776616591</v>
      </c>
      <c r="I57" s="448">
        <v>1.124448939251814E-3</v>
      </c>
      <c r="J57" s="439"/>
    </row>
    <row r="58" spans="4:10" x14ac:dyDescent="0.2">
      <c r="D58" s="446" t="s">
        <v>462</v>
      </c>
      <c r="E58" s="446" t="s">
        <v>588</v>
      </c>
      <c r="F58" s="446" t="s">
        <v>537</v>
      </c>
      <c r="G58" s="447">
        <v>3.6828805750088782E-2</v>
      </c>
      <c r="H58" s="310">
        <v>247.49817766165904</v>
      </c>
      <c r="I58" s="448">
        <v>7.5958852571685032E-4</v>
      </c>
      <c r="J58" s="439"/>
    </row>
    <row r="59" spans="4:10" x14ac:dyDescent="0.2">
      <c r="D59" s="446" t="s">
        <v>462</v>
      </c>
      <c r="E59" s="446" t="s">
        <v>589</v>
      </c>
      <c r="F59" s="446" t="s">
        <v>537</v>
      </c>
      <c r="G59" s="447">
        <v>1.4236005025361499E-2</v>
      </c>
      <c r="H59" s="310">
        <v>247.49817766165904</v>
      </c>
      <c r="I59" s="448">
        <v>2.9361544174659926E-4</v>
      </c>
      <c r="J59" s="439"/>
    </row>
    <row r="60" spans="4:10" x14ac:dyDescent="0.2">
      <c r="D60" s="446" t="s">
        <v>462</v>
      </c>
      <c r="E60" s="446" t="s">
        <v>590</v>
      </c>
      <c r="F60" s="446" t="s">
        <v>537</v>
      </c>
      <c r="G60" s="447">
        <v>1.3588005291010164E-2</v>
      </c>
      <c r="H60" s="310">
        <v>247.49817766165907</v>
      </c>
      <c r="I60" s="448">
        <v>2.8025054563183307E-4</v>
      </c>
      <c r="J60" s="439"/>
    </row>
    <row r="61" spans="4:10" x14ac:dyDescent="0.2">
      <c r="D61" s="446" t="s">
        <v>462</v>
      </c>
      <c r="E61" s="446" t="s">
        <v>591</v>
      </c>
      <c r="F61" s="446" t="s">
        <v>537</v>
      </c>
      <c r="G61" s="447">
        <v>2.2529406537783334E-2</v>
      </c>
      <c r="H61" s="310">
        <v>247.49817766165904</v>
      </c>
      <c r="I61" s="448">
        <v>4.6466558849167017E-4</v>
      </c>
      <c r="J61" s="439"/>
    </row>
    <row r="62" spans="4:10" x14ac:dyDescent="0.2">
      <c r="D62" s="446" t="s">
        <v>462</v>
      </c>
      <c r="E62" s="446" t="s">
        <v>592</v>
      </c>
      <c r="F62" s="446" t="s">
        <v>537</v>
      </c>
      <c r="G62" s="447">
        <v>2.1706573200729939E-2</v>
      </c>
      <c r="H62" s="310">
        <v>247.4981776616591</v>
      </c>
      <c r="I62" s="448">
        <v>4.4769477587167219E-4</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0.49044914038527732</v>
      </c>
      <c r="H64" s="463"/>
      <c r="I64" s="464">
        <v>9.4653499375305945E-3</v>
      </c>
      <c r="J64" s="439"/>
    </row>
    <row r="65" spans="4:10" x14ac:dyDescent="0.2">
      <c r="D65" s="446" t="s">
        <v>595</v>
      </c>
      <c r="E65" s="446" t="s">
        <v>596</v>
      </c>
      <c r="F65" s="446" t="s">
        <v>554</v>
      </c>
      <c r="G65" s="447">
        <v>1.4437713876516849E-4</v>
      </c>
      <c r="H65" s="310">
        <v>215.00000000000003</v>
      </c>
      <c r="I65" s="448">
        <v>2.5867570695426025E-6</v>
      </c>
      <c r="J65" s="439"/>
    </row>
    <row r="66" spans="4:10" x14ac:dyDescent="0.2">
      <c r="D66" s="446" t="s">
        <v>595</v>
      </c>
      <c r="E66" s="446" t="s">
        <v>563</v>
      </c>
      <c r="F66" s="446" t="s">
        <v>554</v>
      </c>
      <c r="G66" s="447">
        <v>4.3313141629550551E-4</v>
      </c>
      <c r="H66" s="310">
        <v>164.33333333333331</v>
      </c>
      <c r="I66" s="448">
        <v>5.9314941176023391E-6</v>
      </c>
      <c r="J66" s="439"/>
    </row>
    <row r="67" spans="4:10" x14ac:dyDescent="0.2">
      <c r="D67" s="446" t="s">
        <v>595</v>
      </c>
      <c r="E67" s="446" t="s">
        <v>564</v>
      </c>
      <c r="F67" s="446" t="s">
        <v>554</v>
      </c>
      <c r="G67" s="447">
        <v>7.218856938258425E-4</v>
      </c>
      <c r="H67" s="310">
        <v>117.64000000000001</v>
      </c>
      <c r="I67" s="448">
        <v>7.076886085139343E-6</v>
      </c>
      <c r="J67" s="439"/>
    </row>
    <row r="68" spans="4:10" x14ac:dyDescent="0.2">
      <c r="D68" s="446" t="s">
        <v>595</v>
      </c>
      <c r="E68" s="446" t="s">
        <v>597</v>
      </c>
      <c r="F68" s="446" t="s">
        <v>554</v>
      </c>
      <c r="G68" s="447">
        <v>7.218856938258425E-4</v>
      </c>
      <c r="H68" s="310">
        <v>15.399999999999999</v>
      </c>
      <c r="I68" s="448">
        <v>9.2641997374316443E-7</v>
      </c>
      <c r="J68" s="439"/>
    </row>
    <row r="69" spans="4:10" x14ac:dyDescent="0.2">
      <c r="D69" s="446" t="s">
        <v>595</v>
      </c>
      <c r="E69" s="446" t="s">
        <v>572</v>
      </c>
      <c r="F69" s="446" t="s">
        <v>554</v>
      </c>
      <c r="G69" s="447">
        <v>2.8875427753033699E-4</v>
      </c>
      <c r="H69" s="310">
        <v>2.5</v>
      </c>
      <c r="I69" s="448">
        <v>6.0157141152153543E-8</v>
      </c>
      <c r="J69" s="439"/>
    </row>
    <row r="70" spans="4:10" x14ac:dyDescent="0.2">
      <c r="D70" s="446" t="s">
        <v>595</v>
      </c>
      <c r="E70" s="446" t="s">
        <v>567</v>
      </c>
      <c r="F70" s="446" t="s">
        <v>554</v>
      </c>
      <c r="G70" s="447">
        <v>1.4437713876516849E-4</v>
      </c>
      <c r="H70" s="310">
        <v>38.829999999999991</v>
      </c>
      <c r="I70" s="448">
        <v>4.6718035818762432E-7</v>
      </c>
      <c r="J70" s="439"/>
    </row>
    <row r="71" spans="4:10" x14ac:dyDescent="0.2">
      <c r="D71" s="446" t="s">
        <v>595</v>
      </c>
      <c r="E71" s="446" t="s">
        <v>568</v>
      </c>
      <c r="F71" s="446" t="s">
        <v>554</v>
      </c>
      <c r="G71" s="447">
        <v>1.732525665182022E-3</v>
      </c>
      <c r="H71" s="310">
        <v>50.333333333333329</v>
      </c>
      <c r="I71" s="448">
        <v>7.2669826511801477E-6</v>
      </c>
      <c r="J71" s="439"/>
    </row>
    <row r="72" spans="4:10" x14ac:dyDescent="0.2">
      <c r="D72" s="446" t="s">
        <v>595</v>
      </c>
      <c r="E72" s="446" t="s">
        <v>548</v>
      </c>
      <c r="F72" s="446" t="s">
        <v>554</v>
      </c>
      <c r="G72" s="447">
        <v>1.443771387651685E-3</v>
      </c>
      <c r="H72" s="310">
        <v>296.21100000000001</v>
      </c>
      <c r="I72" s="448">
        <v>3.5638413875641109E-5</v>
      </c>
      <c r="J72" s="439"/>
    </row>
    <row r="73" spans="4:10" x14ac:dyDescent="0.2">
      <c r="D73" s="446" t="s">
        <v>595</v>
      </c>
      <c r="E73" s="446" t="s">
        <v>598</v>
      </c>
      <c r="F73" s="446" t="s">
        <v>554</v>
      </c>
      <c r="G73" s="447">
        <v>1.4437713876516849E-4</v>
      </c>
      <c r="H73" s="310">
        <v>439.5</v>
      </c>
      <c r="I73" s="448">
        <v>5.2878127072742964E-6</v>
      </c>
      <c r="J73" s="439"/>
    </row>
    <row r="74" spans="4:10" x14ac:dyDescent="0.2">
      <c r="D74" s="446" t="s">
        <v>595</v>
      </c>
      <c r="E74" s="446" t="s">
        <v>549</v>
      </c>
      <c r="F74" s="446" t="s">
        <v>554</v>
      </c>
      <c r="G74" s="447">
        <v>3.1041084834511231E-2</v>
      </c>
      <c r="H74" s="310">
        <v>61.695255813953473</v>
      </c>
      <c r="I74" s="448">
        <v>1.5959063913398351E-4</v>
      </c>
      <c r="J74" s="439"/>
    </row>
    <row r="75" spans="4:10" x14ac:dyDescent="0.2">
      <c r="D75" s="446" t="s">
        <v>595</v>
      </c>
      <c r="E75" s="446" t="s">
        <v>571</v>
      </c>
      <c r="F75" s="446" t="s">
        <v>554</v>
      </c>
      <c r="G75" s="447">
        <v>5.7750855506067398E-4</v>
      </c>
      <c r="H75" s="310">
        <v>207</v>
      </c>
      <c r="I75" s="448">
        <v>9.9620225747966265E-6</v>
      </c>
      <c r="J75" s="439"/>
    </row>
    <row r="76" spans="4:10" x14ac:dyDescent="0.2">
      <c r="D76" s="446" t="s">
        <v>595</v>
      </c>
      <c r="E76" s="446" t="s">
        <v>561</v>
      </c>
      <c r="F76" s="446" t="s">
        <v>554</v>
      </c>
      <c r="G76" s="447">
        <v>7.218856938258425E-4</v>
      </c>
      <c r="H76" s="310">
        <v>305.20000000000005</v>
      </c>
      <c r="I76" s="448">
        <v>1.8359959479637263E-5</v>
      </c>
      <c r="J76" s="439"/>
    </row>
    <row r="77" spans="4:10" x14ac:dyDescent="0.2">
      <c r="D77" s="446" t="s">
        <v>595</v>
      </c>
      <c r="E77" s="446" t="s">
        <v>599</v>
      </c>
      <c r="F77" s="446" t="s">
        <v>554</v>
      </c>
      <c r="G77" s="447">
        <v>0.34044129320826727</v>
      </c>
      <c r="H77" s="310">
        <v>46.414355385920281</v>
      </c>
      <c r="I77" s="448">
        <v>1.3167802642509005E-3</v>
      </c>
      <c r="J77" s="439"/>
    </row>
    <row r="78" spans="4:10" x14ac:dyDescent="0.2">
      <c r="D78" s="446" t="s">
        <v>595</v>
      </c>
      <c r="E78" s="446" t="s">
        <v>600</v>
      </c>
      <c r="F78" s="446" t="s">
        <v>554</v>
      </c>
      <c r="G78" s="447">
        <v>7.6231129268008971E-2</v>
      </c>
      <c r="H78" s="310">
        <v>93.568200757575767</v>
      </c>
      <c r="I78" s="448">
        <v>5.9440080061048104E-4</v>
      </c>
      <c r="J78" s="439"/>
    </row>
    <row r="79" spans="4:10" x14ac:dyDescent="0.2">
      <c r="D79" s="446" t="s">
        <v>595</v>
      </c>
      <c r="E79" s="446" t="s">
        <v>555</v>
      </c>
      <c r="F79" s="446" t="s">
        <v>554</v>
      </c>
      <c r="G79" s="447">
        <v>6.2082169669022462E-2</v>
      </c>
      <c r="H79" s="310">
        <v>77.261767441860471</v>
      </c>
      <c r="I79" s="448">
        <v>3.997148462711781E-4</v>
      </c>
      <c r="J79" s="439"/>
    </row>
    <row r="80" spans="4:10" x14ac:dyDescent="0.2">
      <c r="D80" s="446" t="s">
        <v>595</v>
      </c>
      <c r="E80" s="446" t="s">
        <v>552</v>
      </c>
      <c r="F80" s="446" t="s">
        <v>554</v>
      </c>
      <c r="G80" s="447">
        <v>1.4437713876516849E-4</v>
      </c>
      <c r="H80" s="310">
        <v>6</v>
      </c>
      <c r="I80" s="448">
        <v>7.2188569382584252E-8</v>
      </c>
      <c r="J80" s="439"/>
    </row>
    <row r="81" spans="4:10" x14ac:dyDescent="0.2">
      <c r="D81" s="446" t="s">
        <v>595</v>
      </c>
      <c r="E81" s="446" t="s">
        <v>581</v>
      </c>
      <c r="F81" s="446" t="s">
        <v>554</v>
      </c>
      <c r="G81" s="447">
        <v>1.4437713876516849E-4</v>
      </c>
      <c r="H81" s="310">
        <v>67.000000000000014</v>
      </c>
      <c r="I81" s="448">
        <v>8.0610569143885751E-7</v>
      </c>
      <c r="J81" s="439"/>
    </row>
    <row r="82" spans="4:10" x14ac:dyDescent="0.2">
      <c r="D82" s="446" t="s">
        <v>595</v>
      </c>
      <c r="E82" s="446" t="s">
        <v>574</v>
      </c>
      <c r="F82" s="446" t="s">
        <v>554</v>
      </c>
      <c r="G82" s="447">
        <v>0</v>
      </c>
      <c r="H82" s="310" t="s">
        <v>446</v>
      </c>
      <c r="I82" s="448">
        <v>0</v>
      </c>
      <c r="J82" s="439"/>
    </row>
    <row r="83" spans="4:10" x14ac:dyDescent="0.2">
      <c r="D83" s="446" t="s">
        <v>595</v>
      </c>
      <c r="E83" s="446" t="s">
        <v>601</v>
      </c>
      <c r="F83" s="446" t="s">
        <v>554</v>
      </c>
      <c r="G83" s="447">
        <v>1.4437713876516849E-4</v>
      </c>
      <c r="H83" s="310">
        <v>41</v>
      </c>
      <c r="I83" s="448">
        <v>4.9328855744765903E-7</v>
      </c>
      <c r="J83" s="439"/>
    </row>
    <row r="84" spans="4:10" x14ac:dyDescent="0.2">
      <c r="D84" s="446" t="s">
        <v>595</v>
      </c>
      <c r="E84" s="446" t="s">
        <v>559</v>
      </c>
      <c r="F84" s="446" t="s">
        <v>554</v>
      </c>
      <c r="G84" s="447">
        <v>7.6519883545539315E-3</v>
      </c>
      <c r="H84" s="310">
        <v>72.832641509433955</v>
      </c>
      <c r="I84" s="448">
        <v>4.6442877055132493E-5</v>
      </c>
      <c r="J84" s="439"/>
    </row>
    <row r="85" spans="4:10" x14ac:dyDescent="0.2">
      <c r="D85" s="446" t="s">
        <v>595</v>
      </c>
      <c r="E85" s="446" t="s">
        <v>573</v>
      </c>
      <c r="F85" s="446" t="s">
        <v>554</v>
      </c>
      <c r="G85" s="447">
        <v>7.218856938258425E-4</v>
      </c>
      <c r="H85" s="310">
        <v>74</v>
      </c>
      <c r="I85" s="448">
        <v>4.4516284452593619E-6</v>
      </c>
      <c r="J85" s="439"/>
    </row>
    <row r="86" spans="4:10" x14ac:dyDescent="0.2">
      <c r="D86" s="446" t="s">
        <v>595</v>
      </c>
      <c r="E86" s="446" t="s">
        <v>562</v>
      </c>
      <c r="F86" s="446" t="s">
        <v>554</v>
      </c>
      <c r="G86" s="447">
        <v>2.5987884977730332E-3</v>
      </c>
      <c r="H86" s="310">
        <v>99.666666666666657</v>
      </c>
      <c r="I86" s="448">
        <v>2.1584382245392692E-5</v>
      </c>
      <c r="J86" s="439"/>
    </row>
    <row r="87" spans="4:10" x14ac:dyDescent="0.2">
      <c r="D87" s="446" t="s">
        <v>595</v>
      </c>
      <c r="E87" s="446" t="s">
        <v>550</v>
      </c>
      <c r="F87" s="446" t="s">
        <v>554</v>
      </c>
      <c r="G87" s="447">
        <v>6.2948432501613472E-2</v>
      </c>
      <c r="H87" s="310">
        <v>37.278692660550462</v>
      </c>
      <c r="I87" s="448">
        <v>1.9555293905758786E-4</v>
      </c>
      <c r="J87" s="439"/>
    </row>
    <row r="88" spans="4:10" x14ac:dyDescent="0.2">
      <c r="D88" s="446" t="s">
        <v>595</v>
      </c>
      <c r="E88" s="446" t="s">
        <v>579</v>
      </c>
      <c r="F88" s="446" t="s">
        <v>554</v>
      </c>
      <c r="G88" s="447">
        <v>4.3313141629550551E-4</v>
      </c>
      <c r="H88" s="310">
        <v>184.45</v>
      </c>
      <c r="I88" s="448">
        <v>6.6575908113088318E-6</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0</v>
      </c>
      <c r="H90" s="310" t="s">
        <v>446</v>
      </c>
      <c r="I90" s="448">
        <v>0</v>
      </c>
      <c r="J90" s="439"/>
    </row>
    <row r="91" spans="4:10" x14ac:dyDescent="0.2">
      <c r="D91" s="446" t="s">
        <v>595</v>
      </c>
      <c r="E91" s="446" t="s">
        <v>577</v>
      </c>
      <c r="F91" s="446" t="s">
        <v>554</v>
      </c>
      <c r="G91" s="447">
        <v>9.1823860254647185E-2</v>
      </c>
      <c r="H91" s="310">
        <v>75.571383647798726</v>
      </c>
      <c r="I91" s="448">
        <v>5.7827134761048325E-4</v>
      </c>
      <c r="J91" s="439"/>
    </row>
    <row r="92" spans="4:10" x14ac:dyDescent="0.2">
      <c r="D92" s="446" t="s">
        <v>595</v>
      </c>
      <c r="E92" s="446" t="s">
        <v>576</v>
      </c>
      <c r="F92" s="446" t="s">
        <v>554</v>
      </c>
      <c r="G92" s="447">
        <v>1.443771387651685E-3</v>
      </c>
      <c r="H92" s="310">
        <v>138.94500000000002</v>
      </c>
      <c r="I92" s="448">
        <v>1.6717067954771949E-5</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1.4437713876516849E-4</v>
      </c>
      <c r="H94" s="310">
        <v>118.00000000000003</v>
      </c>
      <c r="I94" s="448">
        <v>1.4197085311908237E-6</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0</v>
      </c>
      <c r="H96" s="310" t="s">
        <v>446</v>
      </c>
      <c r="I96" s="448">
        <v>0</v>
      </c>
      <c r="J96" s="439"/>
    </row>
    <row r="97" spans="4:13" x14ac:dyDescent="0.2">
      <c r="D97" s="446" t="s">
        <v>595</v>
      </c>
      <c r="E97" s="446" t="s">
        <v>604</v>
      </c>
      <c r="F97" s="446" t="s">
        <v>554</v>
      </c>
      <c r="G97" s="447">
        <v>7.218856938258425E-4</v>
      </c>
      <c r="H97" s="310">
        <v>83.399999999999991</v>
      </c>
      <c r="I97" s="448">
        <v>5.0171055720896052E-6</v>
      </c>
      <c r="J97" s="439"/>
    </row>
    <row r="98" spans="4:13" x14ac:dyDescent="0.2">
      <c r="D98" s="446" t="s">
        <v>595</v>
      </c>
      <c r="E98" s="446" t="s">
        <v>569</v>
      </c>
      <c r="F98" s="446" t="s">
        <v>554</v>
      </c>
      <c r="G98" s="447">
        <v>5.7750855506067398E-4</v>
      </c>
      <c r="H98" s="310">
        <v>108.25</v>
      </c>
      <c r="I98" s="448">
        <v>5.2096084237764969E-6</v>
      </c>
      <c r="J98" s="439"/>
    </row>
    <row r="99" spans="4:13" x14ac:dyDescent="0.2">
      <c r="D99" s="446" t="s">
        <v>595</v>
      </c>
      <c r="E99" s="446" t="s">
        <v>553</v>
      </c>
      <c r="F99" s="446" t="s">
        <v>554</v>
      </c>
      <c r="G99" s="447">
        <v>1.2993942488865166E-3</v>
      </c>
      <c r="H99" s="310">
        <v>184.63000000000002</v>
      </c>
      <c r="I99" s="448">
        <v>1.9992263347659798E-5</v>
      </c>
      <c r="J99" s="439"/>
    </row>
    <row r="100" spans="4:13" x14ac:dyDescent="0.2">
      <c r="D100" s="446" t="s">
        <v>595</v>
      </c>
      <c r="E100" s="446" t="s">
        <v>570</v>
      </c>
      <c r="F100" s="446" t="s">
        <v>554</v>
      </c>
      <c r="G100" s="447">
        <v>2.8875427753033699E-4</v>
      </c>
      <c r="H100" s="310">
        <v>157.19999999999999</v>
      </c>
      <c r="I100" s="448">
        <v>3.7826810356474145E-6</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2.8875427753033699E-4</v>
      </c>
      <c r="H103" s="310">
        <v>183.00000000000003</v>
      </c>
      <c r="I103" s="448">
        <v>4.4035027323376396E-6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0</v>
      </c>
      <c r="H105" s="310" t="s">
        <v>446</v>
      </c>
      <c r="I105" s="448">
        <v>0</v>
      </c>
      <c r="J105" s="439"/>
    </row>
    <row r="106" spans="4:13" x14ac:dyDescent="0.2">
      <c r="D106" s="446" t="s">
        <v>595</v>
      </c>
      <c r="E106" s="446" t="s">
        <v>580</v>
      </c>
      <c r="F106" s="446" t="s">
        <v>554</v>
      </c>
      <c r="G106" s="447">
        <v>4.33131416295506E-4</v>
      </c>
      <c r="H106" s="310">
        <v>36</v>
      </c>
      <c r="I106" s="448">
        <v>2.1656570814775275E-6</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3.7978406352177565</v>
      </c>
      <c r="H108" s="466"/>
      <c r="I108" s="467">
        <v>3.4770905790228249E-3</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1.2942440516553419E-2</v>
      </c>
      <c r="J118" s="439"/>
    </row>
  </sheetData>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797</v>
      </c>
      <c r="G3"/>
      <c r="H3"/>
      <c r="I3"/>
    </row>
    <row r="4" spans="2:19" x14ac:dyDescent="0.2">
      <c r="G4"/>
      <c r="H4"/>
      <c r="I4"/>
    </row>
    <row r="5" spans="2:19" ht="16" x14ac:dyDescent="0.2">
      <c r="D5" s="438" t="s">
        <v>798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0.49044914038527732</v>
      </c>
      <c r="O10" s="310">
        <v>231.59220783043867</v>
      </c>
      <c r="P10" s="388">
        <v>9.4653499375305945E-3</v>
      </c>
      <c r="Q10" s="29">
        <v>0</v>
      </c>
      <c r="R10" s="388">
        <f>N10*Q10/12000</f>
        <v>0</v>
      </c>
      <c r="S10" s="388">
        <f>P10-R10</f>
        <v>9.4653499375305945E-3</v>
      </c>
    </row>
    <row r="11" spans="2:19" x14ac:dyDescent="0.2">
      <c r="D11" s="446" t="s">
        <v>1</v>
      </c>
      <c r="E11" s="446" t="s">
        <v>540</v>
      </c>
      <c r="F11" s="446" t="s">
        <v>534</v>
      </c>
      <c r="G11" s="447">
        <v>0</v>
      </c>
      <c r="H11" s="310" t="s">
        <v>446</v>
      </c>
      <c r="I11" s="448">
        <v>0</v>
      </c>
      <c r="J11" s="439"/>
      <c r="K11" s="320" t="s">
        <v>463</v>
      </c>
      <c r="L11" s="450" t="s">
        <v>541</v>
      </c>
      <c r="M11" s="446" t="s">
        <v>539</v>
      </c>
      <c r="N11" s="449">
        <v>0.10221901424573931</v>
      </c>
      <c r="O11" s="310">
        <v>73.074322033898298</v>
      </c>
      <c r="P11" s="388">
        <v>6.22465430415066E-4</v>
      </c>
      <c r="Q11" s="29">
        <f>'Assumptions-Output Override'!G19</f>
        <v>30</v>
      </c>
      <c r="R11" s="388">
        <f>N11*Q11/12000</f>
        <v>2.555475356143483E-4</v>
      </c>
      <c r="S11" s="388">
        <f>P11-R11</f>
        <v>3.669178948007177E-4</v>
      </c>
    </row>
    <row r="12" spans="2:19" x14ac:dyDescent="0.2">
      <c r="D12" s="446" t="s">
        <v>1</v>
      </c>
      <c r="E12" s="446" t="s">
        <v>542</v>
      </c>
      <c r="F12" s="446" t="s">
        <v>534</v>
      </c>
      <c r="G12" s="447">
        <v>0</v>
      </c>
      <c r="H12" s="310" t="s">
        <v>446</v>
      </c>
      <c r="I12" s="448">
        <v>0</v>
      </c>
      <c r="J12" s="439"/>
      <c r="K12" s="320" t="s">
        <v>464</v>
      </c>
      <c r="L12" s="450" t="s">
        <v>541</v>
      </c>
      <c r="M12" s="446" t="s">
        <v>539</v>
      </c>
      <c r="N12" s="449">
        <v>3.695621620972017</v>
      </c>
      <c r="O12" s="310">
        <v>9.2692124077040319</v>
      </c>
      <c r="P12" s="388">
        <v>2.8546251486077589E-3</v>
      </c>
      <c r="Q12" s="29">
        <f>'Assumptions-Output Override'!H19</f>
        <v>60</v>
      </c>
      <c r="R12" s="388">
        <f>N12*Q12/12000</f>
        <v>1.8478108104860082E-2</v>
      </c>
      <c r="S12" s="388">
        <f>P12-R12</f>
        <v>-1.5623482956252323E-2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1.2942440516553419E-2</v>
      </c>
      <c r="R15" s="388">
        <f>SUM(R8:R13)</f>
        <v>1.8733655640474432E-2</v>
      </c>
      <c r="S15" s="388">
        <f>SUM(S8:S13)</f>
        <v>-5.7912151239210112E-3</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4.7500078653740431E-2</v>
      </c>
      <c r="H20" s="310">
        <v>87.255319148936195</v>
      </c>
      <c r="I20" s="448">
        <v>3.4538621021097438E-4</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8.6626283259101102E-4</v>
      </c>
      <c r="H22" s="310">
        <v>28.71833333333333</v>
      </c>
      <c r="I22" s="448">
        <v>2.0731353983855152E-6</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0.17996868302821259</v>
      </c>
      <c r="H52" s="310">
        <v>247.49817766165904</v>
      </c>
      <c r="I52" s="448">
        <v>3.7118267571376136E-3</v>
      </c>
      <c r="J52" s="439"/>
    </row>
    <row r="53" spans="4:10" x14ac:dyDescent="0.2">
      <c r="D53" s="446" t="s">
        <v>462</v>
      </c>
      <c r="E53" s="446" t="s">
        <v>584</v>
      </c>
      <c r="F53" s="446" t="s">
        <v>554</v>
      </c>
      <c r="G53" s="447">
        <v>9.9461849959499964E-3</v>
      </c>
      <c r="H53" s="310">
        <v>247.49817766165913</v>
      </c>
      <c r="I53" s="448">
        <v>2.0513855509861337E-4</v>
      </c>
      <c r="J53" s="439"/>
    </row>
    <row r="54" spans="4:10" x14ac:dyDescent="0.2">
      <c r="D54" s="446" t="s">
        <v>462</v>
      </c>
      <c r="E54" s="446" t="s">
        <v>585</v>
      </c>
      <c r="F54" s="446" t="s">
        <v>554</v>
      </c>
      <c r="G54" s="447">
        <v>4.4041231653139092E-2</v>
      </c>
      <c r="H54" s="310">
        <v>247.49817766165901</v>
      </c>
      <c r="I54" s="448">
        <v>9.0834371467724158E-4</v>
      </c>
      <c r="J54" s="439"/>
    </row>
    <row r="55" spans="4:10" x14ac:dyDescent="0.2">
      <c r="D55" s="446" t="s">
        <v>462</v>
      </c>
      <c r="E55" s="446" t="s">
        <v>586</v>
      </c>
      <c r="F55" s="446" t="s">
        <v>537</v>
      </c>
      <c r="G55" s="447">
        <v>2.4074570018591038E-2</v>
      </c>
      <c r="H55" s="310">
        <v>247.49817766165904</v>
      </c>
      <c r="I55" s="448">
        <v>4.9653435063244124E-4</v>
      </c>
      <c r="J55" s="439"/>
    </row>
    <row r="56" spans="4:10" x14ac:dyDescent="0.2">
      <c r="D56" s="446" t="s">
        <v>462</v>
      </c>
      <c r="E56" s="446" t="s">
        <v>5</v>
      </c>
      <c r="F56" s="446" t="s">
        <v>537</v>
      </c>
      <c r="G56" s="447">
        <v>2.0644195526010673E-2</v>
      </c>
      <c r="H56" s="310">
        <v>247.49817766165904</v>
      </c>
      <c r="I56" s="448">
        <v>4.2578339766488469E-4</v>
      </c>
      <c r="J56" s="439"/>
    </row>
    <row r="57" spans="4:10" x14ac:dyDescent="0.2">
      <c r="D57" s="446" t="s">
        <v>462</v>
      </c>
      <c r="E57" s="446" t="s">
        <v>587</v>
      </c>
      <c r="F57" s="446" t="s">
        <v>537</v>
      </c>
      <c r="G57" s="447">
        <v>5.4519137872068794E-2</v>
      </c>
      <c r="H57" s="310">
        <v>247.4981776616591</v>
      </c>
      <c r="I57" s="448">
        <v>1.124448939251814E-3</v>
      </c>
      <c r="J57" s="439"/>
    </row>
    <row r="58" spans="4:10" x14ac:dyDescent="0.2">
      <c r="D58" s="446" t="s">
        <v>462</v>
      </c>
      <c r="E58" s="446" t="s">
        <v>588</v>
      </c>
      <c r="F58" s="446" t="s">
        <v>537</v>
      </c>
      <c r="G58" s="447">
        <v>3.6828805750088782E-2</v>
      </c>
      <c r="H58" s="310">
        <v>247.49817766165904</v>
      </c>
      <c r="I58" s="448">
        <v>7.5958852571685032E-4</v>
      </c>
      <c r="J58" s="439"/>
    </row>
    <row r="59" spans="4:10" x14ac:dyDescent="0.2">
      <c r="D59" s="446" t="s">
        <v>462</v>
      </c>
      <c r="E59" s="446" t="s">
        <v>589</v>
      </c>
      <c r="F59" s="446" t="s">
        <v>537</v>
      </c>
      <c r="G59" s="447">
        <v>1.4236005025361499E-2</v>
      </c>
      <c r="H59" s="310">
        <v>247.49817766165904</v>
      </c>
      <c r="I59" s="448">
        <v>2.9361544174659926E-4</v>
      </c>
      <c r="J59" s="439"/>
    </row>
    <row r="60" spans="4:10" x14ac:dyDescent="0.2">
      <c r="D60" s="446" t="s">
        <v>462</v>
      </c>
      <c r="E60" s="446" t="s">
        <v>590</v>
      </c>
      <c r="F60" s="446" t="s">
        <v>537</v>
      </c>
      <c r="G60" s="447">
        <v>1.3588005291010164E-2</v>
      </c>
      <c r="H60" s="310">
        <v>247.49817766165907</v>
      </c>
      <c r="I60" s="448">
        <v>2.8025054563183307E-4</v>
      </c>
      <c r="J60" s="439"/>
    </row>
    <row r="61" spans="4:10" x14ac:dyDescent="0.2">
      <c r="D61" s="446" t="s">
        <v>462</v>
      </c>
      <c r="E61" s="446" t="s">
        <v>591</v>
      </c>
      <c r="F61" s="446" t="s">
        <v>537</v>
      </c>
      <c r="G61" s="447">
        <v>2.2529406537783334E-2</v>
      </c>
      <c r="H61" s="310">
        <v>247.49817766165904</v>
      </c>
      <c r="I61" s="448">
        <v>4.6466558849167017E-4</v>
      </c>
      <c r="J61" s="439"/>
    </row>
    <row r="62" spans="4:10" x14ac:dyDescent="0.2">
      <c r="D62" s="446" t="s">
        <v>462</v>
      </c>
      <c r="E62" s="446" t="s">
        <v>592</v>
      </c>
      <c r="F62" s="446" t="s">
        <v>537</v>
      </c>
      <c r="G62" s="447">
        <v>2.1706573200729939E-2</v>
      </c>
      <c r="H62" s="310">
        <v>247.4981776616591</v>
      </c>
      <c r="I62" s="448">
        <v>4.4769477587167219E-4</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0.49044914038527732</v>
      </c>
      <c r="H64" s="463"/>
      <c r="I64" s="464">
        <v>9.4653499375305945E-3</v>
      </c>
      <c r="J64" s="439"/>
    </row>
    <row r="65" spans="4:10" x14ac:dyDescent="0.2">
      <c r="D65" s="446" t="s">
        <v>595</v>
      </c>
      <c r="E65" s="446" t="s">
        <v>596</v>
      </c>
      <c r="F65" s="446" t="s">
        <v>554</v>
      </c>
      <c r="G65" s="447">
        <v>1.4437713876516849E-4</v>
      </c>
      <c r="H65" s="310">
        <v>215.00000000000003</v>
      </c>
      <c r="I65" s="448">
        <v>2.5867570695426025E-6</v>
      </c>
      <c r="J65" s="439"/>
    </row>
    <row r="66" spans="4:10" x14ac:dyDescent="0.2">
      <c r="D66" s="446" t="s">
        <v>595</v>
      </c>
      <c r="E66" s="446" t="s">
        <v>563</v>
      </c>
      <c r="F66" s="446" t="s">
        <v>554</v>
      </c>
      <c r="G66" s="447">
        <v>4.3313141629550551E-4</v>
      </c>
      <c r="H66" s="310">
        <v>164.33333333333331</v>
      </c>
      <c r="I66" s="448">
        <v>5.9314941176023391E-6</v>
      </c>
      <c r="J66" s="439"/>
    </row>
    <row r="67" spans="4:10" x14ac:dyDescent="0.2">
      <c r="D67" s="446" t="s">
        <v>595</v>
      </c>
      <c r="E67" s="446" t="s">
        <v>564</v>
      </c>
      <c r="F67" s="446" t="s">
        <v>554</v>
      </c>
      <c r="G67" s="447">
        <v>7.218856938258425E-4</v>
      </c>
      <c r="H67" s="310">
        <v>117.64000000000001</v>
      </c>
      <c r="I67" s="448">
        <v>7.076886085139343E-6</v>
      </c>
      <c r="J67" s="439"/>
    </row>
    <row r="68" spans="4:10" x14ac:dyDescent="0.2">
      <c r="D68" s="446" t="s">
        <v>595</v>
      </c>
      <c r="E68" s="446" t="s">
        <v>597</v>
      </c>
      <c r="F68" s="446" t="s">
        <v>554</v>
      </c>
      <c r="G68" s="447">
        <v>7.218856938258425E-4</v>
      </c>
      <c r="H68" s="310">
        <v>15.399999999999999</v>
      </c>
      <c r="I68" s="448">
        <v>9.2641997374316443E-7</v>
      </c>
      <c r="J68" s="439"/>
    </row>
    <row r="69" spans="4:10" x14ac:dyDescent="0.2">
      <c r="D69" s="446" t="s">
        <v>595</v>
      </c>
      <c r="E69" s="446" t="s">
        <v>572</v>
      </c>
      <c r="F69" s="446" t="s">
        <v>554</v>
      </c>
      <c r="G69" s="447">
        <v>2.8875427753033699E-4</v>
      </c>
      <c r="H69" s="310">
        <v>2.5</v>
      </c>
      <c r="I69" s="448">
        <v>6.0157141152153543E-8</v>
      </c>
      <c r="J69" s="439"/>
    </row>
    <row r="70" spans="4:10" x14ac:dyDescent="0.2">
      <c r="D70" s="446" t="s">
        <v>595</v>
      </c>
      <c r="E70" s="446" t="s">
        <v>567</v>
      </c>
      <c r="F70" s="446" t="s">
        <v>554</v>
      </c>
      <c r="G70" s="447">
        <v>1.4437713876516849E-4</v>
      </c>
      <c r="H70" s="310">
        <v>38.829999999999991</v>
      </c>
      <c r="I70" s="448">
        <v>4.6718035818762432E-7</v>
      </c>
      <c r="J70" s="439"/>
    </row>
    <row r="71" spans="4:10" x14ac:dyDescent="0.2">
      <c r="D71" s="446" t="s">
        <v>595</v>
      </c>
      <c r="E71" s="446" t="s">
        <v>568</v>
      </c>
      <c r="F71" s="446" t="s">
        <v>554</v>
      </c>
      <c r="G71" s="447">
        <v>1.732525665182022E-3</v>
      </c>
      <c r="H71" s="310">
        <v>50.333333333333329</v>
      </c>
      <c r="I71" s="448">
        <v>7.2669826511801477E-6</v>
      </c>
      <c r="J71" s="439"/>
    </row>
    <row r="72" spans="4:10" x14ac:dyDescent="0.2">
      <c r="D72" s="446" t="s">
        <v>595</v>
      </c>
      <c r="E72" s="446" t="s">
        <v>548</v>
      </c>
      <c r="F72" s="446" t="s">
        <v>554</v>
      </c>
      <c r="G72" s="447">
        <v>1.443771387651685E-3</v>
      </c>
      <c r="H72" s="310">
        <v>296.21100000000001</v>
      </c>
      <c r="I72" s="448">
        <v>3.5638413875641109E-5</v>
      </c>
      <c r="J72" s="439"/>
    </row>
    <row r="73" spans="4:10" x14ac:dyDescent="0.2">
      <c r="D73" s="446" t="s">
        <v>595</v>
      </c>
      <c r="E73" s="446" t="s">
        <v>598</v>
      </c>
      <c r="F73" s="446" t="s">
        <v>554</v>
      </c>
      <c r="G73" s="447">
        <v>1.4437713876516849E-4</v>
      </c>
      <c r="H73" s="310">
        <v>439.5</v>
      </c>
      <c r="I73" s="448">
        <v>5.2878127072742964E-6</v>
      </c>
      <c r="J73" s="439"/>
    </row>
    <row r="74" spans="4:10" x14ac:dyDescent="0.2">
      <c r="D74" s="446" t="s">
        <v>595</v>
      </c>
      <c r="E74" s="446" t="s">
        <v>549</v>
      </c>
      <c r="F74" s="446" t="s">
        <v>554</v>
      </c>
      <c r="G74" s="447">
        <v>3.1041084834511231E-2</v>
      </c>
      <c r="H74" s="310">
        <v>61.695255813953473</v>
      </c>
      <c r="I74" s="448">
        <v>1.5959063913398351E-4</v>
      </c>
      <c r="J74" s="439"/>
    </row>
    <row r="75" spans="4:10" x14ac:dyDescent="0.2">
      <c r="D75" s="446" t="s">
        <v>595</v>
      </c>
      <c r="E75" s="446" t="s">
        <v>571</v>
      </c>
      <c r="F75" s="446" t="s">
        <v>554</v>
      </c>
      <c r="G75" s="447">
        <v>5.7750855506067398E-4</v>
      </c>
      <c r="H75" s="310">
        <v>207</v>
      </c>
      <c r="I75" s="448">
        <v>9.9620225747966265E-6</v>
      </c>
      <c r="J75" s="439"/>
    </row>
    <row r="76" spans="4:10" x14ac:dyDescent="0.2">
      <c r="D76" s="446" t="s">
        <v>595</v>
      </c>
      <c r="E76" s="446" t="s">
        <v>561</v>
      </c>
      <c r="F76" s="446" t="s">
        <v>554</v>
      </c>
      <c r="G76" s="447">
        <v>7.218856938258425E-4</v>
      </c>
      <c r="H76" s="310">
        <v>305.20000000000005</v>
      </c>
      <c r="I76" s="448">
        <v>1.8359959479637263E-5</v>
      </c>
      <c r="J76" s="439"/>
    </row>
    <row r="77" spans="4:10" x14ac:dyDescent="0.2">
      <c r="D77" s="446" t="s">
        <v>595</v>
      </c>
      <c r="E77" s="446" t="s">
        <v>599</v>
      </c>
      <c r="F77" s="446" t="s">
        <v>554</v>
      </c>
      <c r="G77" s="447">
        <v>0.34044129320826727</v>
      </c>
      <c r="H77" s="310">
        <v>46.414355385920281</v>
      </c>
      <c r="I77" s="448">
        <v>1.3167802642509005E-3</v>
      </c>
      <c r="J77" s="439"/>
    </row>
    <row r="78" spans="4:10" x14ac:dyDescent="0.2">
      <c r="D78" s="446" t="s">
        <v>595</v>
      </c>
      <c r="E78" s="446" t="s">
        <v>600</v>
      </c>
      <c r="F78" s="446" t="s">
        <v>554</v>
      </c>
      <c r="G78" s="447">
        <v>7.6231129268008971E-2</v>
      </c>
      <c r="H78" s="310">
        <v>93.568200757575767</v>
      </c>
      <c r="I78" s="448">
        <v>5.9440080061048104E-4</v>
      </c>
      <c r="J78" s="439"/>
    </row>
    <row r="79" spans="4:10" x14ac:dyDescent="0.2">
      <c r="D79" s="446" t="s">
        <v>595</v>
      </c>
      <c r="E79" s="446" t="s">
        <v>555</v>
      </c>
      <c r="F79" s="446" t="s">
        <v>554</v>
      </c>
      <c r="G79" s="447">
        <v>6.2082169669022462E-2</v>
      </c>
      <c r="H79" s="310">
        <v>77.261767441860471</v>
      </c>
      <c r="I79" s="448">
        <v>3.997148462711781E-4</v>
      </c>
      <c r="J79" s="439"/>
    </row>
    <row r="80" spans="4:10" x14ac:dyDescent="0.2">
      <c r="D80" s="446" t="s">
        <v>595</v>
      </c>
      <c r="E80" s="446" t="s">
        <v>552</v>
      </c>
      <c r="F80" s="446" t="s">
        <v>554</v>
      </c>
      <c r="G80" s="447">
        <v>1.4437713876516849E-4</v>
      </c>
      <c r="H80" s="310">
        <v>6</v>
      </c>
      <c r="I80" s="448">
        <v>7.2188569382584252E-8</v>
      </c>
      <c r="J80" s="439"/>
    </row>
    <row r="81" spans="4:10" x14ac:dyDescent="0.2">
      <c r="D81" s="446" t="s">
        <v>595</v>
      </c>
      <c r="E81" s="446" t="s">
        <v>581</v>
      </c>
      <c r="F81" s="446" t="s">
        <v>554</v>
      </c>
      <c r="G81" s="447">
        <v>1.4437713876516849E-4</v>
      </c>
      <c r="H81" s="310">
        <v>67.000000000000014</v>
      </c>
      <c r="I81" s="448">
        <v>8.0610569143885751E-7</v>
      </c>
      <c r="J81" s="439"/>
    </row>
    <row r="82" spans="4:10" x14ac:dyDescent="0.2">
      <c r="D82" s="446" t="s">
        <v>595</v>
      </c>
      <c r="E82" s="446" t="s">
        <v>574</v>
      </c>
      <c r="F82" s="446" t="s">
        <v>554</v>
      </c>
      <c r="G82" s="447">
        <v>0</v>
      </c>
      <c r="H82" s="310" t="s">
        <v>446</v>
      </c>
      <c r="I82" s="448">
        <v>0</v>
      </c>
      <c r="J82" s="439"/>
    </row>
    <row r="83" spans="4:10" x14ac:dyDescent="0.2">
      <c r="D83" s="446" t="s">
        <v>595</v>
      </c>
      <c r="E83" s="446" t="s">
        <v>601</v>
      </c>
      <c r="F83" s="446" t="s">
        <v>554</v>
      </c>
      <c r="G83" s="447">
        <v>1.4437713876516849E-4</v>
      </c>
      <c r="H83" s="310">
        <v>41</v>
      </c>
      <c r="I83" s="448">
        <v>4.9328855744765903E-7</v>
      </c>
      <c r="J83" s="439"/>
    </row>
    <row r="84" spans="4:10" x14ac:dyDescent="0.2">
      <c r="D84" s="446" t="s">
        <v>595</v>
      </c>
      <c r="E84" s="446" t="s">
        <v>559</v>
      </c>
      <c r="F84" s="446" t="s">
        <v>554</v>
      </c>
      <c r="G84" s="447">
        <v>7.6519883545539315E-3</v>
      </c>
      <c r="H84" s="310">
        <v>72.832641509433955</v>
      </c>
      <c r="I84" s="448">
        <v>4.6442877055132493E-5</v>
      </c>
      <c r="J84" s="439"/>
    </row>
    <row r="85" spans="4:10" x14ac:dyDescent="0.2">
      <c r="D85" s="446" t="s">
        <v>595</v>
      </c>
      <c r="E85" s="446" t="s">
        <v>573</v>
      </c>
      <c r="F85" s="446" t="s">
        <v>554</v>
      </c>
      <c r="G85" s="447">
        <v>7.218856938258425E-4</v>
      </c>
      <c r="H85" s="310">
        <v>74</v>
      </c>
      <c r="I85" s="448">
        <v>4.4516284452593619E-6</v>
      </c>
      <c r="J85" s="439"/>
    </row>
    <row r="86" spans="4:10" x14ac:dyDescent="0.2">
      <c r="D86" s="446" t="s">
        <v>595</v>
      </c>
      <c r="E86" s="446" t="s">
        <v>562</v>
      </c>
      <c r="F86" s="446" t="s">
        <v>554</v>
      </c>
      <c r="G86" s="447">
        <v>2.5987884977730332E-3</v>
      </c>
      <c r="H86" s="310">
        <v>99.666666666666657</v>
      </c>
      <c r="I86" s="448">
        <v>2.1584382245392692E-5</v>
      </c>
      <c r="J86" s="439"/>
    </row>
    <row r="87" spans="4:10" x14ac:dyDescent="0.2">
      <c r="D87" s="446" t="s">
        <v>595</v>
      </c>
      <c r="E87" s="446" t="s">
        <v>550</v>
      </c>
      <c r="F87" s="446" t="s">
        <v>554</v>
      </c>
      <c r="G87" s="447">
        <v>6.2948432501613472E-2</v>
      </c>
      <c r="H87" s="310">
        <v>37.278692660550462</v>
      </c>
      <c r="I87" s="448">
        <v>1.9555293905758786E-4</v>
      </c>
      <c r="J87" s="439"/>
    </row>
    <row r="88" spans="4:10" x14ac:dyDescent="0.2">
      <c r="D88" s="446" t="s">
        <v>595</v>
      </c>
      <c r="E88" s="446" t="s">
        <v>579</v>
      </c>
      <c r="F88" s="446" t="s">
        <v>554</v>
      </c>
      <c r="G88" s="447">
        <v>4.3313141629550551E-4</v>
      </c>
      <c r="H88" s="310">
        <v>184.45</v>
      </c>
      <c r="I88" s="448">
        <v>6.6575908113088318E-6</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0</v>
      </c>
      <c r="H90" s="310" t="s">
        <v>446</v>
      </c>
      <c r="I90" s="448">
        <v>0</v>
      </c>
      <c r="J90" s="439"/>
    </row>
    <row r="91" spans="4:10" x14ac:dyDescent="0.2">
      <c r="D91" s="446" t="s">
        <v>595</v>
      </c>
      <c r="E91" s="446" t="s">
        <v>577</v>
      </c>
      <c r="F91" s="446" t="s">
        <v>554</v>
      </c>
      <c r="G91" s="447">
        <v>9.1823860254647185E-2</v>
      </c>
      <c r="H91" s="310">
        <v>75.571383647798726</v>
      </c>
      <c r="I91" s="448">
        <v>5.7827134761048325E-4</v>
      </c>
      <c r="J91" s="439"/>
    </row>
    <row r="92" spans="4:10" x14ac:dyDescent="0.2">
      <c r="D92" s="446" t="s">
        <v>595</v>
      </c>
      <c r="E92" s="446" t="s">
        <v>576</v>
      </c>
      <c r="F92" s="446" t="s">
        <v>554</v>
      </c>
      <c r="G92" s="447">
        <v>1.443771387651685E-3</v>
      </c>
      <c r="H92" s="310">
        <v>138.94500000000002</v>
      </c>
      <c r="I92" s="448">
        <v>1.6717067954771949E-5</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1.4437713876516849E-4</v>
      </c>
      <c r="H94" s="310">
        <v>118.00000000000003</v>
      </c>
      <c r="I94" s="448">
        <v>1.4197085311908237E-6</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0</v>
      </c>
      <c r="H96" s="310" t="s">
        <v>446</v>
      </c>
      <c r="I96" s="448">
        <v>0</v>
      </c>
      <c r="J96" s="439"/>
    </row>
    <row r="97" spans="4:13" x14ac:dyDescent="0.2">
      <c r="D97" s="446" t="s">
        <v>595</v>
      </c>
      <c r="E97" s="446" t="s">
        <v>604</v>
      </c>
      <c r="F97" s="446" t="s">
        <v>554</v>
      </c>
      <c r="G97" s="447">
        <v>7.218856938258425E-4</v>
      </c>
      <c r="H97" s="310">
        <v>83.399999999999991</v>
      </c>
      <c r="I97" s="448">
        <v>5.0171055720896052E-6</v>
      </c>
      <c r="J97" s="439"/>
    </row>
    <row r="98" spans="4:13" x14ac:dyDescent="0.2">
      <c r="D98" s="446" t="s">
        <v>595</v>
      </c>
      <c r="E98" s="446" t="s">
        <v>569</v>
      </c>
      <c r="F98" s="446" t="s">
        <v>554</v>
      </c>
      <c r="G98" s="447">
        <v>5.7750855506067398E-4</v>
      </c>
      <c r="H98" s="310">
        <v>108.25</v>
      </c>
      <c r="I98" s="448">
        <v>5.2096084237764969E-6</v>
      </c>
      <c r="J98" s="439"/>
    </row>
    <row r="99" spans="4:13" x14ac:dyDescent="0.2">
      <c r="D99" s="446" t="s">
        <v>595</v>
      </c>
      <c r="E99" s="446" t="s">
        <v>553</v>
      </c>
      <c r="F99" s="446" t="s">
        <v>554</v>
      </c>
      <c r="G99" s="447">
        <v>1.2993942488865166E-3</v>
      </c>
      <c r="H99" s="310">
        <v>184.63000000000002</v>
      </c>
      <c r="I99" s="448">
        <v>1.9992263347659798E-5</v>
      </c>
      <c r="J99" s="439"/>
    </row>
    <row r="100" spans="4:13" x14ac:dyDescent="0.2">
      <c r="D100" s="446" t="s">
        <v>595</v>
      </c>
      <c r="E100" s="446" t="s">
        <v>570</v>
      </c>
      <c r="F100" s="446" t="s">
        <v>554</v>
      </c>
      <c r="G100" s="447">
        <v>2.8875427753033699E-4</v>
      </c>
      <c r="H100" s="310">
        <v>157.19999999999999</v>
      </c>
      <c r="I100" s="448">
        <v>3.7826810356474145E-6</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2.8875427753033699E-4</v>
      </c>
      <c r="H103" s="310">
        <v>183.00000000000003</v>
      </c>
      <c r="I103" s="448">
        <v>4.4035027323376396E-6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0</v>
      </c>
      <c r="H105" s="310" t="s">
        <v>446</v>
      </c>
      <c r="I105" s="448">
        <v>0</v>
      </c>
      <c r="J105" s="439"/>
    </row>
    <row r="106" spans="4:13" x14ac:dyDescent="0.2">
      <c r="D106" s="446" t="s">
        <v>595</v>
      </c>
      <c r="E106" s="446" t="s">
        <v>580</v>
      </c>
      <c r="F106" s="446" t="s">
        <v>554</v>
      </c>
      <c r="G106" s="447">
        <v>4.33131416295506E-4</v>
      </c>
      <c r="H106" s="310">
        <v>36</v>
      </c>
      <c r="I106" s="448">
        <v>2.1656570814775275E-6</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3.7978406352177565</v>
      </c>
      <c r="H108" s="466"/>
      <c r="I108" s="467">
        <v>3.4770905790228249E-3</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1.2942440516553419E-2</v>
      </c>
      <c r="J118" s="439"/>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799</v>
      </c>
      <c r="G3"/>
      <c r="H3"/>
      <c r="I3"/>
    </row>
    <row r="4" spans="2:19" x14ac:dyDescent="0.2">
      <c r="G4"/>
      <c r="H4"/>
      <c r="I4"/>
    </row>
    <row r="5" spans="2:19" ht="16" x14ac:dyDescent="0.2">
      <c r="D5" s="438" t="s">
        <v>800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1.5881485264168536E-3</v>
      </c>
      <c r="O9" s="310">
        <v>460.40727272727253</v>
      </c>
      <c r="P9" s="388">
        <v>6.0932927644451697E-5</v>
      </c>
      <c r="Q9" s="29">
        <f>'Assumptions-Output Target'!E17</f>
        <v>254.62963284816803</v>
      </c>
      <c r="R9" s="388">
        <f>N9*Q9/12000</f>
        <v>3.3699139682490208E-5</v>
      </c>
      <c r="S9" s="388">
        <f>P9-R9</f>
        <v>2.7233787961961489E-5</v>
      </c>
    </row>
    <row r="10" spans="2:19" x14ac:dyDescent="0.2">
      <c r="D10" s="446" t="s">
        <v>1</v>
      </c>
      <c r="E10" s="446" t="s">
        <v>46</v>
      </c>
      <c r="F10" s="446" t="s">
        <v>534</v>
      </c>
      <c r="G10" s="447">
        <v>0</v>
      </c>
      <c r="H10" s="310" t="s">
        <v>446</v>
      </c>
      <c r="I10" s="448">
        <v>0</v>
      </c>
      <c r="J10" s="439"/>
      <c r="K10" s="446" t="s">
        <v>462</v>
      </c>
      <c r="L10" s="446" t="s">
        <v>538</v>
      </c>
      <c r="M10" s="446" t="s">
        <v>539</v>
      </c>
      <c r="N10" s="449">
        <v>15.253011579123756</v>
      </c>
      <c r="O10" s="310">
        <v>224.40939903641279</v>
      </c>
      <c r="P10" s="388">
        <v>0.28524326349721729</v>
      </c>
      <c r="Q10" s="29">
        <v>0</v>
      </c>
      <c r="R10" s="388">
        <f>N10*Q10/12000</f>
        <v>0</v>
      </c>
      <c r="S10" s="388">
        <f>P10-R10</f>
        <v>0.28524326349721729</v>
      </c>
    </row>
    <row r="11" spans="2:19" x14ac:dyDescent="0.2">
      <c r="D11" s="446" t="s">
        <v>1</v>
      </c>
      <c r="E11" s="446" t="s">
        <v>540</v>
      </c>
      <c r="F11" s="446" t="s">
        <v>534</v>
      </c>
      <c r="G11" s="447">
        <v>0</v>
      </c>
      <c r="H11" s="310" t="s">
        <v>446</v>
      </c>
      <c r="I11" s="448">
        <v>0</v>
      </c>
      <c r="J11" s="439"/>
      <c r="K11" s="320" t="s">
        <v>463</v>
      </c>
      <c r="L11" s="450" t="s">
        <v>541</v>
      </c>
      <c r="M11" s="446" t="s">
        <v>539</v>
      </c>
      <c r="N11" s="449">
        <v>29.823119291888265</v>
      </c>
      <c r="O11" s="310">
        <v>46.416012761178465</v>
      </c>
      <c r="P11" s="388">
        <v>0.11535585713586945</v>
      </c>
      <c r="Q11" s="29">
        <f>'Assumptions-Output Target'!G17</f>
        <v>30.555555941780163</v>
      </c>
      <c r="R11" s="388">
        <f>N11*Q11/12000</f>
        <v>7.5938499156806255E-2</v>
      </c>
      <c r="S11" s="388">
        <f>P11-R11</f>
        <v>3.9417357979063192E-2</v>
      </c>
    </row>
    <row r="12" spans="2:19" x14ac:dyDescent="0.2">
      <c r="D12" s="446" t="s">
        <v>1</v>
      </c>
      <c r="E12" s="446" t="s">
        <v>542</v>
      </c>
      <c r="F12" s="446" t="s">
        <v>534</v>
      </c>
      <c r="G12" s="447">
        <v>0</v>
      </c>
      <c r="H12" s="310" t="s">
        <v>446</v>
      </c>
      <c r="I12" s="448">
        <v>0</v>
      </c>
      <c r="J12" s="439"/>
      <c r="K12" s="320" t="s">
        <v>464</v>
      </c>
      <c r="L12" s="450" t="s">
        <v>541</v>
      </c>
      <c r="M12" s="446" t="s">
        <v>539</v>
      </c>
      <c r="N12" s="449">
        <v>62.119852102240145</v>
      </c>
      <c r="O12" s="310">
        <v>26.741988444223544</v>
      </c>
      <c r="P12" s="388">
        <v>0.13843403058958181</v>
      </c>
      <c r="Q12" s="29">
        <f>'Assumptions-Output Target'!H17</f>
        <v>55.000000695204292</v>
      </c>
      <c r="R12" s="388">
        <f>N12*Q12/12000</f>
        <v>0.28471599240076634</v>
      </c>
      <c r="S12" s="388">
        <f>P12-R12</f>
        <v>-0.14628196181118452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0.53909408415031301</v>
      </c>
      <c r="R15" s="388">
        <f>SUM(R8:R13)</f>
        <v>0.36068819069725511</v>
      </c>
      <c r="S15" s="388">
        <f>SUM(S8:S13)</f>
        <v>0.17840589345305796</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1.5881485264168536E-3</v>
      </c>
      <c r="H18" s="310">
        <v>460.40727272727253</v>
      </c>
      <c r="I18" s="448">
        <v>6.0932927644451697E-5</v>
      </c>
      <c r="J18" s="439"/>
    </row>
    <row r="19" spans="4:10" x14ac:dyDescent="0.2">
      <c r="D19" s="446" t="s">
        <v>462</v>
      </c>
      <c r="E19" s="446" t="s">
        <v>549</v>
      </c>
      <c r="F19" s="446" t="s">
        <v>537</v>
      </c>
      <c r="G19" s="447">
        <v>1.7036502374289886E-2</v>
      </c>
      <c r="H19" s="310">
        <v>464.33338983050839</v>
      </c>
      <c r="I19" s="448">
        <v>6.592180748591273E-4</v>
      </c>
      <c r="J19" s="439"/>
    </row>
    <row r="20" spans="4:10" x14ac:dyDescent="0.2">
      <c r="D20" s="446" t="s">
        <v>462</v>
      </c>
      <c r="E20" s="446" t="s">
        <v>550</v>
      </c>
      <c r="F20" s="446" t="s">
        <v>537</v>
      </c>
      <c r="G20" s="447">
        <v>1.2438090504619268</v>
      </c>
      <c r="H20" s="310">
        <v>184.35762623331397</v>
      </c>
      <c r="I20" s="448">
        <v>1.9108807002556086E-2</v>
      </c>
      <c r="J20" s="439"/>
    </row>
    <row r="21" spans="4:10" x14ac:dyDescent="0.2">
      <c r="D21" s="446" t="s">
        <v>462</v>
      </c>
      <c r="E21" s="446" t="s">
        <v>551</v>
      </c>
      <c r="F21" s="446" t="s">
        <v>537</v>
      </c>
      <c r="G21" s="447">
        <v>8.3738740483797723E-3</v>
      </c>
      <c r="H21" s="310">
        <v>123.11758620689656</v>
      </c>
      <c r="I21" s="448">
        <v>8.5914263336424204E-5</v>
      </c>
      <c r="J21" s="439"/>
    </row>
    <row r="22" spans="4:10" x14ac:dyDescent="0.2">
      <c r="D22" s="446" t="s">
        <v>462</v>
      </c>
      <c r="E22" s="446" t="s">
        <v>552</v>
      </c>
      <c r="F22" s="446" t="s">
        <v>537</v>
      </c>
      <c r="G22" s="447">
        <v>1.732525665182022E-3</v>
      </c>
      <c r="H22" s="310">
        <v>199.48916666666668</v>
      </c>
      <c r="I22" s="448">
        <v>2.8801675097981164E-5</v>
      </c>
      <c r="J22" s="439"/>
    </row>
    <row r="23" spans="4:10" x14ac:dyDescent="0.2">
      <c r="D23" s="446" t="s">
        <v>462</v>
      </c>
      <c r="E23" s="446" t="s">
        <v>553</v>
      </c>
      <c r="F23" s="446" t="s">
        <v>554</v>
      </c>
      <c r="G23" s="447">
        <v>2.8875427753033699E-4</v>
      </c>
      <c r="H23" s="310">
        <v>43</v>
      </c>
      <c r="I23" s="448">
        <v>1.034702827817041E-6</v>
      </c>
      <c r="J23" s="439"/>
    </row>
    <row r="24" spans="4:10" x14ac:dyDescent="0.2">
      <c r="D24" s="446" t="s">
        <v>462</v>
      </c>
      <c r="E24" s="446" t="s">
        <v>555</v>
      </c>
      <c r="F24" s="446" t="s">
        <v>537</v>
      </c>
      <c r="G24" s="447">
        <v>8.8070054646752789E-3</v>
      </c>
      <c r="H24" s="310">
        <v>131.99262295081968</v>
      </c>
      <c r="I24" s="448">
        <v>9.6871645968724381E-5</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3.1762970528337073E-3</v>
      </c>
      <c r="H28" s="310">
        <v>160.68409090909088</v>
      </c>
      <c r="I28" s="448">
        <v>4.2531700365984076E-5</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7.218856938258425E-4</v>
      </c>
      <c r="H32" s="310">
        <v>122.29400000000001</v>
      </c>
      <c r="I32" s="448">
        <v>7.3568574200614657E-6</v>
      </c>
      <c r="J32" s="439"/>
    </row>
    <row r="33" spans="4:10" x14ac:dyDescent="0.2">
      <c r="D33" s="446" t="s">
        <v>462</v>
      </c>
      <c r="E33" s="446" t="s">
        <v>564</v>
      </c>
      <c r="F33" s="446" t="s">
        <v>537</v>
      </c>
      <c r="G33" s="447">
        <v>2.8875427753033699E-4</v>
      </c>
      <c r="H33" s="310">
        <v>76.130000000000024</v>
      </c>
      <c r="I33" s="448">
        <v>1.83190526236538E-6</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1.2993942488865164E-3</v>
      </c>
      <c r="H37" s="310">
        <v>95.616666666666688</v>
      </c>
      <c r="I37" s="448">
        <v>1.0353645563697147E-5</v>
      </c>
      <c r="J37" s="439"/>
    </row>
    <row r="38" spans="4:10" x14ac:dyDescent="0.2">
      <c r="D38" s="446" t="s">
        <v>462</v>
      </c>
      <c r="E38" s="446" t="s">
        <v>569</v>
      </c>
      <c r="F38" s="446" t="s">
        <v>537</v>
      </c>
      <c r="G38" s="447">
        <v>2.8875427753033699E-4</v>
      </c>
      <c r="H38" s="310">
        <v>0</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5.6859406808727337</v>
      </c>
      <c r="H52" s="310">
        <v>227.84874996123571</v>
      </c>
      <c r="I52" s="448">
        <v>0.10796120637421583</v>
      </c>
      <c r="J52" s="439"/>
    </row>
    <row r="53" spans="4:10" x14ac:dyDescent="0.2">
      <c r="D53" s="446" t="s">
        <v>462</v>
      </c>
      <c r="E53" s="446" t="s">
        <v>584</v>
      </c>
      <c r="F53" s="446" t="s">
        <v>554</v>
      </c>
      <c r="G53" s="447">
        <v>0.31424032746348751</v>
      </c>
      <c r="H53" s="310">
        <v>227.84874996123574</v>
      </c>
      <c r="I53" s="448">
        <v>5.9666054833304172E-3</v>
      </c>
      <c r="J53" s="439"/>
    </row>
    <row r="54" spans="4:10" x14ac:dyDescent="0.2">
      <c r="D54" s="446" t="s">
        <v>462</v>
      </c>
      <c r="E54" s="446" t="s">
        <v>585</v>
      </c>
      <c r="F54" s="446" t="s">
        <v>554</v>
      </c>
      <c r="G54" s="447">
        <v>1.3914411467525567</v>
      </c>
      <c r="H54" s="310">
        <v>227.84874996123574</v>
      </c>
      <c r="I54" s="448">
        <v>2.6419843827683202E-2</v>
      </c>
      <c r="J54" s="439"/>
    </row>
    <row r="55" spans="4:10" x14ac:dyDescent="0.2">
      <c r="D55" s="446" t="s">
        <v>462</v>
      </c>
      <c r="E55" s="446" t="s">
        <v>586</v>
      </c>
      <c r="F55" s="446" t="s">
        <v>537</v>
      </c>
      <c r="G55" s="447">
        <v>0.76061331749461636</v>
      </c>
      <c r="H55" s="310">
        <v>227.84874996123574</v>
      </c>
      <c r="I55" s="448">
        <v>1.4442066132918071E-2</v>
      </c>
      <c r="J55" s="439"/>
    </row>
    <row r="56" spans="4:10" x14ac:dyDescent="0.2">
      <c r="D56" s="446" t="s">
        <v>462</v>
      </c>
      <c r="E56" s="446" t="s">
        <v>5</v>
      </c>
      <c r="F56" s="446" t="s">
        <v>537</v>
      </c>
      <c r="G56" s="447">
        <v>0.65223387308353975</v>
      </c>
      <c r="H56" s="310">
        <v>227.84874996123571</v>
      </c>
      <c r="I56" s="448">
        <v>1.2384222722038317E-2</v>
      </c>
      <c r="J56" s="439"/>
    </row>
    <row r="57" spans="4:10" x14ac:dyDescent="0.2">
      <c r="D57" s="446" t="s">
        <v>462</v>
      </c>
      <c r="E57" s="446" t="s">
        <v>587</v>
      </c>
      <c r="F57" s="446" t="s">
        <v>537</v>
      </c>
      <c r="G57" s="447">
        <v>1.7224807044029418</v>
      </c>
      <c r="H57" s="310">
        <v>227.84874996123571</v>
      </c>
      <c r="I57" s="448">
        <v>3.2705422944213254E-2</v>
      </c>
      <c r="J57" s="439"/>
    </row>
    <row r="58" spans="4:10" x14ac:dyDescent="0.2">
      <c r="D58" s="446" t="s">
        <v>462</v>
      </c>
      <c r="E58" s="446" t="s">
        <v>588</v>
      </c>
      <c r="F58" s="446" t="s">
        <v>537</v>
      </c>
      <c r="G58" s="447">
        <v>1.1635713576320508</v>
      </c>
      <c r="H58" s="310">
        <v>227.84874996123568</v>
      </c>
      <c r="I58" s="448">
        <v>2.2093189943930058E-2</v>
      </c>
      <c r="J58" s="439"/>
    </row>
    <row r="59" spans="4:10" x14ac:dyDescent="0.2">
      <c r="D59" s="446" t="s">
        <v>462</v>
      </c>
      <c r="E59" s="446" t="s">
        <v>589</v>
      </c>
      <c r="F59" s="446" t="s">
        <v>537</v>
      </c>
      <c r="G59" s="447">
        <v>0.44977314244235689</v>
      </c>
      <c r="H59" s="310">
        <v>227.84874996123571</v>
      </c>
      <c r="I59" s="448">
        <v>8.5400206893023189E-3</v>
      </c>
      <c r="J59" s="439"/>
    </row>
    <row r="60" spans="4:10" x14ac:dyDescent="0.2">
      <c r="D60" s="446" t="s">
        <v>462</v>
      </c>
      <c r="E60" s="446" t="s">
        <v>590</v>
      </c>
      <c r="F60" s="446" t="s">
        <v>537</v>
      </c>
      <c r="G60" s="447">
        <v>0.42930020243553701</v>
      </c>
      <c r="H60" s="310">
        <v>227.84874996123571</v>
      </c>
      <c r="I60" s="448">
        <v>8.1512928735868791E-3</v>
      </c>
      <c r="J60" s="439"/>
    </row>
    <row r="61" spans="4:10" x14ac:dyDescent="0.2">
      <c r="D61" s="446" t="s">
        <v>462</v>
      </c>
      <c r="E61" s="446" t="s">
        <v>591</v>
      </c>
      <c r="F61" s="446" t="s">
        <v>537</v>
      </c>
      <c r="G61" s="447">
        <v>0.71179533568638065</v>
      </c>
      <c r="H61" s="310">
        <v>227.84874996123571</v>
      </c>
      <c r="I61" s="448">
        <v>1.3515139788698333E-2</v>
      </c>
      <c r="J61" s="439"/>
    </row>
    <row r="62" spans="4:10" x14ac:dyDescent="0.2">
      <c r="D62" s="446" t="s">
        <v>462</v>
      </c>
      <c r="E62" s="446" t="s">
        <v>592</v>
      </c>
      <c r="F62" s="446" t="s">
        <v>537</v>
      </c>
      <c r="G62" s="447">
        <v>0.68579869301496255</v>
      </c>
      <c r="H62" s="310">
        <v>227.84874996123574</v>
      </c>
      <c r="I62" s="448">
        <v>1.3021531244042372E-2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15.254599727650172</v>
      </c>
      <c r="H64" s="463"/>
      <c r="I64" s="464">
        <v>0.28530419642486177</v>
      </c>
      <c r="J64" s="439"/>
    </row>
    <row r="65" spans="4:10" x14ac:dyDescent="0.2">
      <c r="D65" s="446" t="s">
        <v>595</v>
      </c>
      <c r="E65" s="446" t="s">
        <v>596</v>
      </c>
      <c r="F65" s="446" t="s">
        <v>554</v>
      </c>
      <c r="G65" s="447">
        <v>1.2993942488865165E-2</v>
      </c>
      <c r="H65" s="310">
        <v>45.149555555555558</v>
      </c>
      <c r="I65" s="448">
        <v>4.8889227357225968E-5</v>
      </c>
      <c r="J65" s="439"/>
    </row>
    <row r="66" spans="4:10" x14ac:dyDescent="0.2">
      <c r="D66" s="446" t="s">
        <v>595</v>
      </c>
      <c r="E66" s="446" t="s">
        <v>563</v>
      </c>
      <c r="F66" s="446" t="s">
        <v>554</v>
      </c>
      <c r="G66" s="447">
        <v>1.342707390516067E-2</v>
      </c>
      <c r="H66" s="310">
        <v>68.06752688172044</v>
      </c>
      <c r="I66" s="448">
        <v>7.616230949853091E-5</v>
      </c>
      <c r="J66" s="439"/>
    </row>
    <row r="67" spans="4:10" x14ac:dyDescent="0.2">
      <c r="D67" s="446" t="s">
        <v>595</v>
      </c>
      <c r="E67" s="446" t="s">
        <v>564</v>
      </c>
      <c r="F67" s="446" t="s">
        <v>554</v>
      </c>
      <c r="G67" s="447">
        <v>1.4576315929731412</v>
      </c>
      <c r="H67" s="310">
        <v>95.334606774960605</v>
      </c>
      <c r="I67" s="448">
        <v>1.1580227894904486E-2</v>
      </c>
      <c r="J67" s="439"/>
    </row>
    <row r="68" spans="4:10" x14ac:dyDescent="0.2">
      <c r="D68" s="446" t="s">
        <v>595</v>
      </c>
      <c r="E68" s="446" t="s">
        <v>597</v>
      </c>
      <c r="F68" s="446" t="s">
        <v>554</v>
      </c>
      <c r="G68" s="447">
        <v>8.8070054646752789E-3</v>
      </c>
      <c r="H68" s="310">
        <v>72.037540983606561</v>
      </c>
      <c r="I68" s="448">
        <v>5.286958475869936E-5</v>
      </c>
      <c r="J68" s="439"/>
    </row>
    <row r="69" spans="4:10" x14ac:dyDescent="0.2">
      <c r="D69" s="446" t="s">
        <v>595</v>
      </c>
      <c r="E69" s="446" t="s">
        <v>572</v>
      </c>
      <c r="F69" s="446" t="s">
        <v>554</v>
      </c>
      <c r="G69" s="447">
        <v>7.0744797994932562E-3</v>
      </c>
      <c r="H69" s="310">
        <v>97.775306122448981</v>
      </c>
      <c r="I69" s="448">
        <v>5.7642452337711221E-5</v>
      </c>
      <c r="J69" s="439"/>
    </row>
    <row r="70" spans="4:10" x14ac:dyDescent="0.2">
      <c r="D70" s="446" t="s">
        <v>595</v>
      </c>
      <c r="E70" s="446" t="s">
        <v>567</v>
      </c>
      <c r="F70" s="446" t="s">
        <v>554</v>
      </c>
      <c r="G70" s="447">
        <v>6.9301026607280882E-3</v>
      </c>
      <c r="H70" s="310">
        <v>66.466458333333321</v>
      </c>
      <c r="I70" s="448">
        <v>3.8384948312083825E-5</v>
      </c>
      <c r="J70" s="439"/>
    </row>
    <row r="71" spans="4:10" x14ac:dyDescent="0.2">
      <c r="D71" s="446" t="s">
        <v>595</v>
      </c>
      <c r="E71" s="446" t="s">
        <v>568</v>
      </c>
      <c r="F71" s="446" t="s">
        <v>554</v>
      </c>
      <c r="G71" s="447">
        <v>2.1656570814775278E-2</v>
      </c>
      <c r="H71" s="310">
        <v>33.599999999999987</v>
      </c>
      <c r="I71" s="448">
        <v>6.0638398281370765E-5</v>
      </c>
      <c r="J71" s="439"/>
    </row>
    <row r="72" spans="4:10" x14ac:dyDescent="0.2">
      <c r="D72" s="446" t="s">
        <v>595</v>
      </c>
      <c r="E72" s="446" t="s">
        <v>548</v>
      </c>
      <c r="F72" s="446" t="s">
        <v>554</v>
      </c>
      <c r="G72" s="447">
        <v>0.16805498952265613</v>
      </c>
      <c r="H72" s="310">
        <v>94.262465635738835</v>
      </c>
      <c r="I72" s="448">
        <v>1.3201064728994853E-3</v>
      </c>
      <c r="J72" s="439"/>
    </row>
    <row r="73" spans="4:10" x14ac:dyDescent="0.2">
      <c r="D73" s="446" t="s">
        <v>595</v>
      </c>
      <c r="E73" s="446" t="s">
        <v>598</v>
      </c>
      <c r="F73" s="446" t="s">
        <v>554</v>
      </c>
      <c r="G73" s="447">
        <v>0.39458272024520563</v>
      </c>
      <c r="H73" s="310">
        <v>28.97501280643991</v>
      </c>
      <c r="I73" s="448">
        <v>9.5275328102539423E-4</v>
      </c>
      <c r="J73" s="439"/>
    </row>
    <row r="74" spans="4:10" x14ac:dyDescent="0.2">
      <c r="D74" s="446" t="s">
        <v>595</v>
      </c>
      <c r="E74" s="446" t="s">
        <v>549</v>
      </c>
      <c r="F74" s="446" t="s">
        <v>554</v>
      </c>
      <c r="G74" s="447">
        <v>16.0486739908586</v>
      </c>
      <c r="H74" s="310">
        <v>43.89940148257471</v>
      </c>
      <c r="I74" s="448">
        <v>5.8710598565638018E-2</v>
      </c>
      <c r="J74" s="439"/>
    </row>
    <row r="75" spans="4:10" x14ac:dyDescent="0.2">
      <c r="D75" s="446" t="s">
        <v>595</v>
      </c>
      <c r="E75" s="446" t="s">
        <v>571</v>
      </c>
      <c r="F75" s="446" t="s">
        <v>554</v>
      </c>
      <c r="G75" s="447">
        <v>8.8214431785517952E-2</v>
      </c>
      <c r="H75" s="310">
        <v>79.593387888707042</v>
      </c>
      <c r="I75" s="448">
        <v>5.8510712387388486E-4</v>
      </c>
      <c r="J75" s="439"/>
    </row>
    <row r="76" spans="4:10" x14ac:dyDescent="0.2">
      <c r="D76" s="446" t="s">
        <v>595</v>
      </c>
      <c r="E76" s="446" t="s">
        <v>561</v>
      </c>
      <c r="F76" s="446" t="s">
        <v>554</v>
      </c>
      <c r="G76" s="447">
        <v>4.2013747380664046E-2</v>
      </c>
      <c r="H76" s="310">
        <v>85.604226804123684</v>
      </c>
      <c r="I76" s="448">
        <v>2.9971286330546021E-4</v>
      </c>
      <c r="J76" s="439"/>
    </row>
    <row r="77" spans="4:10" x14ac:dyDescent="0.2">
      <c r="D77" s="446" t="s">
        <v>595</v>
      </c>
      <c r="E77" s="446" t="s">
        <v>599</v>
      </c>
      <c r="F77" s="446" t="s">
        <v>554</v>
      </c>
      <c r="G77" s="447">
        <v>34.214205590292103</v>
      </c>
      <c r="H77" s="310">
        <v>24.172066942922715</v>
      </c>
      <c r="I77" s="448">
        <v>6.8919005660621771E-2</v>
      </c>
      <c r="J77" s="439"/>
    </row>
    <row r="78" spans="4:10" x14ac:dyDescent="0.2">
      <c r="D78" s="446" t="s">
        <v>595</v>
      </c>
      <c r="E78" s="446" t="s">
        <v>600</v>
      </c>
      <c r="F78" s="446" t="s">
        <v>554</v>
      </c>
      <c r="G78" s="447">
        <v>4.3168764490785376E-2</v>
      </c>
      <c r="H78" s="310">
        <v>67.286120401337797</v>
      </c>
      <c r="I78" s="448">
        <v>2.4205489042533173E-4</v>
      </c>
      <c r="J78" s="439"/>
    </row>
    <row r="79" spans="4:10" x14ac:dyDescent="0.2">
      <c r="D79" s="446" t="s">
        <v>595</v>
      </c>
      <c r="E79" s="446" t="s">
        <v>555</v>
      </c>
      <c r="F79" s="446" t="s">
        <v>554</v>
      </c>
      <c r="G79" s="447">
        <v>12.54911652432968</v>
      </c>
      <c r="H79" s="310">
        <v>49.960136448878025</v>
      </c>
      <c r="I79" s="448">
        <v>5.2246297822365062E-2</v>
      </c>
      <c r="J79" s="439"/>
    </row>
    <row r="80" spans="4:10" x14ac:dyDescent="0.2">
      <c r="D80" s="446" t="s">
        <v>595</v>
      </c>
      <c r="E80" s="446" t="s">
        <v>552</v>
      </c>
      <c r="F80" s="446" t="s">
        <v>554</v>
      </c>
      <c r="G80" s="447">
        <v>3.0319199140685384E-3</v>
      </c>
      <c r="H80" s="310">
        <v>70.13666666666667</v>
      </c>
      <c r="I80" s="448">
        <v>1.7720729697754477E-5</v>
      </c>
      <c r="J80" s="439"/>
    </row>
    <row r="81" spans="4:10" x14ac:dyDescent="0.2">
      <c r="D81" s="446" t="s">
        <v>595</v>
      </c>
      <c r="E81" s="446" t="s">
        <v>581</v>
      </c>
      <c r="F81" s="446" t="s">
        <v>554</v>
      </c>
      <c r="G81" s="447">
        <v>1.934653659453258E-2</v>
      </c>
      <c r="H81" s="310">
        <v>71.653059701492452</v>
      </c>
      <c r="I81" s="448">
        <v>1.1551987846876262E-4</v>
      </c>
      <c r="J81" s="439"/>
    </row>
    <row r="82" spans="4:10" x14ac:dyDescent="0.2">
      <c r="D82" s="446" t="s">
        <v>595</v>
      </c>
      <c r="E82" s="446" t="s">
        <v>574</v>
      </c>
      <c r="F82" s="446" t="s">
        <v>554</v>
      </c>
      <c r="G82" s="447">
        <v>6.7424123803333708E-2</v>
      </c>
      <c r="H82" s="310">
        <v>37.165952890792276</v>
      </c>
      <c r="I82" s="448">
        <v>2.0882348408147056E-4</v>
      </c>
      <c r="J82" s="439"/>
    </row>
    <row r="83" spans="4:10" x14ac:dyDescent="0.2">
      <c r="D83" s="446" t="s">
        <v>595</v>
      </c>
      <c r="E83" s="446" t="s">
        <v>601</v>
      </c>
      <c r="F83" s="446" t="s">
        <v>554</v>
      </c>
      <c r="G83" s="447">
        <v>2.8875427753033699E-4</v>
      </c>
      <c r="H83" s="310">
        <v>127.49000000000001</v>
      </c>
      <c r="I83" s="448">
        <v>3.0677735701952218E-6</v>
      </c>
      <c r="J83" s="439"/>
    </row>
    <row r="84" spans="4:10" x14ac:dyDescent="0.2">
      <c r="D84" s="446" t="s">
        <v>595</v>
      </c>
      <c r="E84" s="446" t="s">
        <v>559</v>
      </c>
      <c r="F84" s="446" t="s">
        <v>554</v>
      </c>
      <c r="G84" s="447">
        <v>0.87506983805568628</v>
      </c>
      <c r="H84" s="310">
        <v>44.781017983831063</v>
      </c>
      <c r="I84" s="448">
        <v>3.2655431795899853E-3</v>
      </c>
      <c r="J84" s="439"/>
    </row>
    <row r="85" spans="4:10" x14ac:dyDescent="0.2">
      <c r="D85" s="446" t="s">
        <v>595</v>
      </c>
      <c r="E85" s="446" t="s">
        <v>573</v>
      </c>
      <c r="F85" s="446" t="s">
        <v>554</v>
      </c>
      <c r="G85" s="447">
        <v>0.16155801827822355</v>
      </c>
      <c r="H85" s="310">
        <v>45.983100983020556</v>
      </c>
      <c r="I85" s="448">
        <v>6.1907822242535289E-4</v>
      </c>
      <c r="J85" s="439"/>
    </row>
    <row r="86" spans="4:10" x14ac:dyDescent="0.2">
      <c r="D86" s="446" t="s">
        <v>595</v>
      </c>
      <c r="E86" s="446" t="s">
        <v>562</v>
      </c>
      <c r="F86" s="446" t="s">
        <v>554</v>
      </c>
      <c r="G86" s="447">
        <v>0.13946831604715276</v>
      </c>
      <c r="H86" s="310">
        <v>35.634803312629401</v>
      </c>
      <c r="I86" s="448">
        <v>4.14160500890327E-4</v>
      </c>
      <c r="J86" s="439"/>
    </row>
    <row r="87" spans="4:10" x14ac:dyDescent="0.2">
      <c r="D87" s="446" t="s">
        <v>595</v>
      </c>
      <c r="E87" s="446" t="s">
        <v>550</v>
      </c>
      <c r="F87" s="446" t="s">
        <v>554</v>
      </c>
      <c r="G87" s="447">
        <v>12.139807335930431</v>
      </c>
      <c r="H87" s="310">
        <v>34.261640026641558</v>
      </c>
      <c r="I87" s="448">
        <v>3.4660809078035912E-2</v>
      </c>
      <c r="J87" s="439"/>
    </row>
    <row r="88" spans="4:10" x14ac:dyDescent="0.2">
      <c r="D88" s="446" t="s">
        <v>595</v>
      </c>
      <c r="E88" s="446" t="s">
        <v>579</v>
      </c>
      <c r="F88" s="446" t="s">
        <v>554</v>
      </c>
      <c r="G88" s="447">
        <v>1.155017110121348E-3</v>
      </c>
      <c r="H88" s="310">
        <v>123.87625000000003</v>
      </c>
      <c r="I88" s="448">
        <v>1.1923265690639138E-5</v>
      </c>
      <c r="J88" s="439"/>
    </row>
    <row r="89" spans="4:10" x14ac:dyDescent="0.2">
      <c r="D89" s="446" t="s">
        <v>595</v>
      </c>
      <c r="E89" s="446" t="s">
        <v>556</v>
      </c>
      <c r="F89" s="446" t="s">
        <v>554</v>
      </c>
      <c r="G89" s="447">
        <v>1.1694548239978647E-2</v>
      </c>
      <c r="H89" s="310">
        <v>64.856543209876534</v>
      </c>
      <c r="I89" s="448">
        <v>6.3205664437180069E-5</v>
      </c>
      <c r="J89" s="439"/>
    </row>
    <row r="90" spans="4:10" x14ac:dyDescent="0.2">
      <c r="D90" s="446" t="s">
        <v>595</v>
      </c>
      <c r="E90" s="446" t="s">
        <v>602</v>
      </c>
      <c r="F90" s="446" t="s">
        <v>554</v>
      </c>
      <c r="G90" s="447">
        <v>2.3100342202426959E-3</v>
      </c>
      <c r="H90" s="310">
        <v>55.521250000000002</v>
      </c>
      <c r="I90" s="448">
        <v>1.0687998954220816E-5</v>
      </c>
      <c r="J90" s="439"/>
    </row>
    <row r="91" spans="4:10" x14ac:dyDescent="0.2">
      <c r="D91" s="446" t="s">
        <v>595</v>
      </c>
      <c r="E91" s="446" t="s">
        <v>577</v>
      </c>
      <c r="F91" s="446" t="s">
        <v>554</v>
      </c>
      <c r="G91" s="447">
        <v>9.591262082447674</v>
      </c>
      <c r="H91" s="310">
        <v>20.12606605250453</v>
      </c>
      <c r="I91" s="448">
        <v>1.6086197849852005E-2</v>
      </c>
      <c r="J91" s="439"/>
    </row>
    <row r="92" spans="4:10" x14ac:dyDescent="0.2">
      <c r="D92" s="446" t="s">
        <v>595</v>
      </c>
      <c r="E92" s="446" t="s">
        <v>576</v>
      </c>
      <c r="F92" s="446" t="s">
        <v>554</v>
      </c>
      <c r="G92" s="447">
        <v>0.35025893864429886</v>
      </c>
      <c r="H92" s="310">
        <v>38.831302555647156</v>
      </c>
      <c r="I92" s="448">
        <v>1.1334175682763852E-3</v>
      </c>
      <c r="J92" s="439"/>
    </row>
    <row r="93" spans="4:10" x14ac:dyDescent="0.2">
      <c r="D93" s="446" t="s">
        <v>595</v>
      </c>
      <c r="E93" s="446" t="s">
        <v>603</v>
      </c>
      <c r="F93" s="446" t="s">
        <v>554</v>
      </c>
      <c r="G93" s="447">
        <v>3.0319199140685384E-3</v>
      </c>
      <c r="H93" s="310">
        <v>82.110952380952398</v>
      </c>
      <c r="I93" s="448">
        <v>2.0746152640578587E-5</v>
      </c>
      <c r="J93" s="439"/>
    </row>
    <row r="94" spans="4:10" x14ac:dyDescent="0.2">
      <c r="D94" s="446" t="s">
        <v>595</v>
      </c>
      <c r="E94" s="446" t="s">
        <v>557</v>
      </c>
      <c r="F94" s="446" t="s">
        <v>554</v>
      </c>
      <c r="G94" s="447">
        <v>5.77508555060674E-3</v>
      </c>
      <c r="H94" s="310">
        <v>54.891500000000008</v>
      </c>
      <c r="I94" s="448">
        <v>2.6416925708427491E-5</v>
      </c>
      <c r="J94" s="439"/>
    </row>
    <row r="95" spans="4:10" x14ac:dyDescent="0.2">
      <c r="D95" s="446" t="s">
        <v>595</v>
      </c>
      <c r="E95" s="446" t="s">
        <v>582</v>
      </c>
      <c r="F95" s="446" t="s">
        <v>554</v>
      </c>
      <c r="G95" s="447">
        <v>4.3313141629550551E-4</v>
      </c>
      <c r="H95" s="310">
        <v>23.333333333333336</v>
      </c>
      <c r="I95" s="448">
        <v>8.4219997613014966E-7</v>
      </c>
      <c r="J95" s="439"/>
    </row>
    <row r="96" spans="4:10" x14ac:dyDescent="0.2">
      <c r="D96" s="446" t="s">
        <v>595</v>
      </c>
      <c r="E96" s="446" t="s">
        <v>565</v>
      </c>
      <c r="F96" s="446" t="s">
        <v>554</v>
      </c>
      <c r="G96" s="447">
        <v>1.4293336737751683E-2</v>
      </c>
      <c r="H96" s="310">
        <v>33.538585858585854</v>
      </c>
      <c r="I96" s="448">
        <v>3.9948191782063691E-5</v>
      </c>
      <c r="J96" s="439"/>
    </row>
    <row r="97" spans="4:13" x14ac:dyDescent="0.2">
      <c r="D97" s="446" t="s">
        <v>595</v>
      </c>
      <c r="E97" s="446" t="s">
        <v>604</v>
      </c>
      <c r="F97" s="446" t="s">
        <v>554</v>
      </c>
      <c r="G97" s="447">
        <v>5.2697655649286509E-2</v>
      </c>
      <c r="H97" s="310">
        <v>72.590986301369838</v>
      </c>
      <c r="I97" s="448">
        <v>3.1878123327930518E-4</v>
      </c>
      <c r="J97" s="439"/>
    </row>
    <row r="98" spans="4:13" x14ac:dyDescent="0.2">
      <c r="D98" s="446" t="s">
        <v>595</v>
      </c>
      <c r="E98" s="446" t="s">
        <v>569</v>
      </c>
      <c r="F98" s="446" t="s">
        <v>554</v>
      </c>
      <c r="G98" s="447">
        <v>1.7180879513055049E-2</v>
      </c>
      <c r="H98" s="310">
        <v>106.44537815126053</v>
      </c>
      <c r="I98" s="448">
        <v>1.5240210139486581E-4</v>
      </c>
      <c r="J98" s="439"/>
    </row>
    <row r="99" spans="4:13" x14ac:dyDescent="0.2">
      <c r="D99" s="446" t="s">
        <v>595</v>
      </c>
      <c r="E99" s="446" t="s">
        <v>553</v>
      </c>
      <c r="F99" s="446" t="s">
        <v>554</v>
      </c>
      <c r="G99" s="447">
        <v>0.2458742673170819</v>
      </c>
      <c r="H99" s="310">
        <v>51.892319436288979</v>
      </c>
      <c r="I99" s="448">
        <v>1.0632488350651268E-3</v>
      </c>
      <c r="J99" s="439"/>
    </row>
    <row r="100" spans="4:13" x14ac:dyDescent="0.2">
      <c r="D100" s="446" t="s">
        <v>595</v>
      </c>
      <c r="E100" s="446" t="s">
        <v>570</v>
      </c>
      <c r="F100" s="446" t="s">
        <v>554</v>
      </c>
      <c r="G100" s="447">
        <v>3.9559336021656163E-2</v>
      </c>
      <c r="H100" s="310">
        <v>65.46536496350366</v>
      </c>
      <c r="I100" s="448">
        <v>2.1581386419763311E-4</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8.9513826034404477E-3</v>
      </c>
      <c r="H102" s="310">
        <v>51.628548387096771</v>
      </c>
      <c r="I102" s="448">
        <v>3.8512240822761784E-5</v>
      </c>
      <c r="J102" s="439"/>
    </row>
    <row r="103" spans="4:13" x14ac:dyDescent="0.2">
      <c r="D103" s="446" t="s">
        <v>595</v>
      </c>
      <c r="E103" s="446" t="s">
        <v>560</v>
      </c>
      <c r="F103" s="446" t="s">
        <v>554</v>
      </c>
      <c r="G103" s="447">
        <v>1.8769028039471905E-3</v>
      </c>
      <c r="H103" s="310">
        <v>39.893076923076926</v>
      </c>
      <c r="I103" s="448">
        <v>6.2396189945836697E-6</v>
      </c>
      <c r="J103" s="439"/>
    </row>
    <row r="104" spans="4:13" x14ac:dyDescent="0.2">
      <c r="D104" s="446" t="s">
        <v>595</v>
      </c>
      <c r="E104" s="446" t="s">
        <v>575</v>
      </c>
      <c r="F104" s="446" t="s">
        <v>554</v>
      </c>
      <c r="G104" s="447">
        <v>3.7538056078943809E-3</v>
      </c>
      <c r="H104" s="310">
        <v>57.221923076923083</v>
      </c>
      <c r="I104" s="448">
        <v>1.7899997978387896E-5</v>
      </c>
      <c r="J104" s="439"/>
    </row>
    <row r="105" spans="4:13" x14ac:dyDescent="0.2">
      <c r="D105" s="446" t="s">
        <v>595</v>
      </c>
      <c r="E105" s="446" t="s">
        <v>566</v>
      </c>
      <c r="F105" s="446" t="s">
        <v>554</v>
      </c>
      <c r="G105" s="447">
        <v>1.155017110121348E-3</v>
      </c>
      <c r="H105" s="310">
        <v>80.861249999999998</v>
      </c>
      <c r="I105" s="448">
        <v>7.7830106079833213E-6</v>
      </c>
      <c r="J105" s="439"/>
    </row>
    <row r="106" spans="4:13" x14ac:dyDescent="0.2">
      <c r="D106" s="446" t="s">
        <v>595</v>
      </c>
      <c r="E106" s="446" t="s">
        <v>580</v>
      </c>
      <c r="F106" s="446" t="s">
        <v>554</v>
      </c>
      <c r="G106" s="447">
        <v>4.33131416295506E-4</v>
      </c>
      <c r="H106" s="310">
        <v>188.50000000000006</v>
      </c>
      <c r="I106" s="448">
        <v>4.5358484428723779E-6</v>
      </c>
      <c r="J106" s="439"/>
    </row>
    <row r="107" spans="4:13" x14ac:dyDescent="0.2">
      <c r="D107" s="451" t="s">
        <v>595</v>
      </c>
      <c r="E107" s="451" t="s">
        <v>558</v>
      </c>
      <c r="F107" s="451" t="s">
        <v>554</v>
      </c>
      <c r="G107" s="452">
        <v>3.1088729290303725</v>
      </c>
      <c r="H107" s="310">
        <v>0.29378163748664848</v>
      </c>
      <c r="I107" s="454">
        <v>7.6110814985704656E-5</v>
      </c>
      <c r="J107" s="439"/>
    </row>
    <row r="108" spans="4:13" ht="16" x14ac:dyDescent="0.2">
      <c r="D108" s="461" t="s">
        <v>605</v>
      </c>
      <c r="E108" s="460"/>
      <c r="F108" s="460"/>
      <c r="G108" s="465">
        <v>91.942971394128406</v>
      </c>
      <c r="H108" s="466"/>
      <c r="I108" s="467">
        <v>0.25378988772545125</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0.53909408415031301</v>
      </c>
      <c r="J118" s="439"/>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799</v>
      </c>
      <c r="G3"/>
      <c r="H3"/>
      <c r="I3"/>
    </row>
    <row r="4" spans="2:19" x14ac:dyDescent="0.2">
      <c r="G4"/>
      <c r="H4"/>
      <c r="I4"/>
    </row>
    <row r="5" spans="2:19" ht="16" x14ac:dyDescent="0.2">
      <c r="D5" s="438" t="s">
        <v>800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1.5881485264168536E-3</v>
      </c>
      <c r="O9" s="310">
        <v>460.40727272727253</v>
      </c>
      <c r="P9" s="388">
        <v>6.0932927644451697E-5</v>
      </c>
      <c r="Q9" s="29">
        <f>'Assumptions-Output Override'!E19</f>
        <v>250</v>
      </c>
      <c r="R9" s="388">
        <f>N9*Q9/12000</f>
        <v>3.3086427633684446E-5</v>
      </c>
      <c r="S9" s="388">
        <f>P9-R9</f>
        <v>2.7846500010767251E-5</v>
      </c>
    </row>
    <row r="10" spans="2:19" x14ac:dyDescent="0.2">
      <c r="D10" s="446" t="s">
        <v>1</v>
      </c>
      <c r="E10" s="446" t="s">
        <v>46</v>
      </c>
      <c r="F10" s="446" t="s">
        <v>534</v>
      </c>
      <c r="G10" s="447">
        <v>0</v>
      </c>
      <c r="H10" s="310" t="s">
        <v>446</v>
      </c>
      <c r="I10" s="448">
        <v>0</v>
      </c>
      <c r="J10" s="439"/>
      <c r="K10" s="446" t="s">
        <v>462</v>
      </c>
      <c r="L10" s="446" t="s">
        <v>538</v>
      </c>
      <c r="M10" s="446" t="s">
        <v>539</v>
      </c>
      <c r="N10" s="449">
        <v>15.253011579123756</v>
      </c>
      <c r="O10" s="310">
        <v>224.40939903641279</v>
      </c>
      <c r="P10" s="388">
        <v>0.28524326349721729</v>
      </c>
      <c r="Q10" s="29">
        <v>0</v>
      </c>
      <c r="R10" s="388">
        <f>N10*Q10/12000</f>
        <v>0</v>
      </c>
      <c r="S10" s="388">
        <f>P10-R10</f>
        <v>0.28524326349721729</v>
      </c>
    </row>
    <row r="11" spans="2:19" x14ac:dyDescent="0.2">
      <c r="D11" s="446" t="s">
        <v>1</v>
      </c>
      <c r="E11" s="446" t="s">
        <v>540</v>
      </c>
      <c r="F11" s="446" t="s">
        <v>534</v>
      </c>
      <c r="G11" s="447">
        <v>0</v>
      </c>
      <c r="H11" s="310" t="s">
        <v>446</v>
      </c>
      <c r="I11" s="448">
        <v>0</v>
      </c>
      <c r="J11" s="439"/>
      <c r="K11" s="320" t="s">
        <v>463</v>
      </c>
      <c r="L11" s="450" t="s">
        <v>541</v>
      </c>
      <c r="M11" s="446" t="s">
        <v>539</v>
      </c>
      <c r="N11" s="449">
        <v>29.823119291888265</v>
      </c>
      <c r="O11" s="310">
        <v>46.416012761178465</v>
      </c>
      <c r="P11" s="388">
        <v>0.11535585713586945</v>
      </c>
      <c r="Q11" s="29">
        <f>'Assumptions-Output Override'!G19</f>
        <v>30</v>
      </c>
      <c r="R11" s="388">
        <f>N11*Q11/12000</f>
        <v>7.4557798229720668E-2</v>
      </c>
      <c r="S11" s="388">
        <f>P11-R11</f>
        <v>4.0798058906148779E-2</v>
      </c>
    </row>
    <row r="12" spans="2:19" x14ac:dyDescent="0.2">
      <c r="D12" s="446" t="s">
        <v>1</v>
      </c>
      <c r="E12" s="446" t="s">
        <v>542</v>
      </c>
      <c r="F12" s="446" t="s">
        <v>534</v>
      </c>
      <c r="G12" s="447">
        <v>0</v>
      </c>
      <c r="H12" s="310" t="s">
        <v>446</v>
      </c>
      <c r="I12" s="448">
        <v>0</v>
      </c>
      <c r="J12" s="439"/>
      <c r="K12" s="320" t="s">
        <v>464</v>
      </c>
      <c r="L12" s="450" t="s">
        <v>541</v>
      </c>
      <c r="M12" s="446" t="s">
        <v>539</v>
      </c>
      <c r="N12" s="449">
        <v>62.119852102240145</v>
      </c>
      <c r="O12" s="310">
        <v>26.741988444223544</v>
      </c>
      <c r="P12" s="388">
        <v>0.13843403058958181</v>
      </c>
      <c r="Q12" s="29">
        <f>'Assumptions-Output Override'!H19</f>
        <v>60</v>
      </c>
      <c r="R12" s="388">
        <f>N12*Q12/12000</f>
        <v>0.31059926051120068</v>
      </c>
      <c r="S12" s="388">
        <f>P12-R12</f>
        <v>-0.17216522992161887</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0.53909408415031301</v>
      </c>
      <c r="R15" s="388">
        <f>SUM(R8:R13)</f>
        <v>0.38519014516855504</v>
      </c>
      <c r="S15" s="388">
        <f>SUM(S8:S13)</f>
        <v>0.15390393898175797</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1.5881485264168536E-3</v>
      </c>
      <c r="H18" s="310">
        <v>460.40727272727253</v>
      </c>
      <c r="I18" s="448">
        <v>6.0932927644451697E-5</v>
      </c>
      <c r="J18" s="439"/>
    </row>
    <row r="19" spans="4:10" x14ac:dyDescent="0.2">
      <c r="D19" s="446" t="s">
        <v>462</v>
      </c>
      <c r="E19" s="446" t="s">
        <v>549</v>
      </c>
      <c r="F19" s="446" t="s">
        <v>537</v>
      </c>
      <c r="G19" s="447">
        <v>1.7036502374289886E-2</v>
      </c>
      <c r="H19" s="310">
        <v>464.33338983050839</v>
      </c>
      <c r="I19" s="448">
        <v>6.592180748591273E-4</v>
      </c>
      <c r="J19" s="439"/>
    </row>
    <row r="20" spans="4:10" x14ac:dyDescent="0.2">
      <c r="D20" s="446" t="s">
        <v>462</v>
      </c>
      <c r="E20" s="446" t="s">
        <v>550</v>
      </c>
      <c r="F20" s="446" t="s">
        <v>537</v>
      </c>
      <c r="G20" s="447">
        <v>1.2438090504619268</v>
      </c>
      <c r="H20" s="310">
        <v>184.35762623331397</v>
      </c>
      <c r="I20" s="448">
        <v>1.9108807002556086E-2</v>
      </c>
      <c r="J20" s="439"/>
    </row>
    <row r="21" spans="4:10" x14ac:dyDescent="0.2">
      <c r="D21" s="446" t="s">
        <v>462</v>
      </c>
      <c r="E21" s="446" t="s">
        <v>551</v>
      </c>
      <c r="F21" s="446" t="s">
        <v>537</v>
      </c>
      <c r="G21" s="447">
        <v>8.3738740483797723E-3</v>
      </c>
      <c r="H21" s="310">
        <v>123.11758620689656</v>
      </c>
      <c r="I21" s="448">
        <v>8.5914263336424204E-5</v>
      </c>
      <c r="J21" s="439"/>
    </row>
    <row r="22" spans="4:10" x14ac:dyDescent="0.2">
      <c r="D22" s="446" t="s">
        <v>462</v>
      </c>
      <c r="E22" s="446" t="s">
        <v>552</v>
      </c>
      <c r="F22" s="446" t="s">
        <v>537</v>
      </c>
      <c r="G22" s="447">
        <v>1.732525665182022E-3</v>
      </c>
      <c r="H22" s="310">
        <v>199.48916666666668</v>
      </c>
      <c r="I22" s="448">
        <v>2.8801675097981164E-5</v>
      </c>
      <c r="J22" s="439"/>
    </row>
    <row r="23" spans="4:10" x14ac:dyDescent="0.2">
      <c r="D23" s="446" t="s">
        <v>462</v>
      </c>
      <c r="E23" s="446" t="s">
        <v>553</v>
      </c>
      <c r="F23" s="446" t="s">
        <v>554</v>
      </c>
      <c r="G23" s="447">
        <v>2.8875427753033699E-4</v>
      </c>
      <c r="H23" s="310">
        <v>43</v>
      </c>
      <c r="I23" s="448">
        <v>1.034702827817041E-6</v>
      </c>
      <c r="J23" s="439"/>
    </row>
    <row r="24" spans="4:10" x14ac:dyDescent="0.2">
      <c r="D24" s="446" t="s">
        <v>462</v>
      </c>
      <c r="E24" s="446" t="s">
        <v>555</v>
      </c>
      <c r="F24" s="446" t="s">
        <v>537</v>
      </c>
      <c r="G24" s="447">
        <v>8.8070054646752789E-3</v>
      </c>
      <c r="H24" s="310">
        <v>131.99262295081968</v>
      </c>
      <c r="I24" s="448">
        <v>9.6871645968724381E-5</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3.1762970528337073E-3</v>
      </c>
      <c r="H28" s="310">
        <v>160.68409090909088</v>
      </c>
      <c r="I28" s="448">
        <v>4.2531700365984076E-5</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7.218856938258425E-4</v>
      </c>
      <c r="H32" s="310">
        <v>122.29400000000001</v>
      </c>
      <c r="I32" s="448">
        <v>7.3568574200614657E-6</v>
      </c>
      <c r="J32" s="439"/>
    </row>
    <row r="33" spans="4:10" x14ac:dyDescent="0.2">
      <c r="D33" s="446" t="s">
        <v>462</v>
      </c>
      <c r="E33" s="446" t="s">
        <v>564</v>
      </c>
      <c r="F33" s="446" t="s">
        <v>537</v>
      </c>
      <c r="G33" s="447">
        <v>2.8875427753033699E-4</v>
      </c>
      <c r="H33" s="310">
        <v>76.130000000000024</v>
      </c>
      <c r="I33" s="448">
        <v>1.83190526236538E-6</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1.2993942488865164E-3</v>
      </c>
      <c r="H37" s="310">
        <v>95.616666666666688</v>
      </c>
      <c r="I37" s="448">
        <v>1.0353645563697147E-5</v>
      </c>
      <c r="J37" s="439"/>
    </row>
    <row r="38" spans="4:10" x14ac:dyDescent="0.2">
      <c r="D38" s="446" t="s">
        <v>462</v>
      </c>
      <c r="E38" s="446" t="s">
        <v>569</v>
      </c>
      <c r="F38" s="446" t="s">
        <v>537</v>
      </c>
      <c r="G38" s="447">
        <v>2.8875427753033699E-4</v>
      </c>
      <c r="H38" s="310">
        <v>0</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5.6859406808727337</v>
      </c>
      <c r="H52" s="310">
        <v>227.84874996123571</v>
      </c>
      <c r="I52" s="448">
        <v>0.10796120637421583</v>
      </c>
      <c r="J52" s="439"/>
    </row>
    <row r="53" spans="4:10" x14ac:dyDescent="0.2">
      <c r="D53" s="446" t="s">
        <v>462</v>
      </c>
      <c r="E53" s="446" t="s">
        <v>584</v>
      </c>
      <c r="F53" s="446" t="s">
        <v>554</v>
      </c>
      <c r="G53" s="447">
        <v>0.31424032746348751</v>
      </c>
      <c r="H53" s="310">
        <v>227.84874996123574</v>
      </c>
      <c r="I53" s="448">
        <v>5.9666054833304172E-3</v>
      </c>
      <c r="J53" s="439"/>
    </row>
    <row r="54" spans="4:10" x14ac:dyDescent="0.2">
      <c r="D54" s="446" t="s">
        <v>462</v>
      </c>
      <c r="E54" s="446" t="s">
        <v>585</v>
      </c>
      <c r="F54" s="446" t="s">
        <v>554</v>
      </c>
      <c r="G54" s="447">
        <v>1.3914411467525567</v>
      </c>
      <c r="H54" s="310">
        <v>227.84874996123574</v>
      </c>
      <c r="I54" s="448">
        <v>2.6419843827683202E-2</v>
      </c>
      <c r="J54" s="439"/>
    </row>
    <row r="55" spans="4:10" x14ac:dyDescent="0.2">
      <c r="D55" s="446" t="s">
        <v>462</v>
      </c>
      <c r="E55" s="446" t="s">
        <v>586</v>
      </c>
      <c r="F55" s="446" t="s">
        <v>537</v>
      </c>
      <c r="G55" s="447">
        <v>0.76061331749461636</v>
      </c>
      <c r="H55" s="310">
        <v>227.84874996123574</v>
      </c>
      <c r="I55" s="448">
        <v>1.4442066132918071E-2</v>
      </c>
      <c r="J55" s="439"/>
    </row>
    <row r="56" spans="4:10" x14ac:dyDescent="0.2">
      <c r="D56" s="446" t="s">
        <v>462</v>
      </c>
      <c r="E56" s="446" t="s">
        <v>5</v>
      </c>
      <c r="F56" s="446" t="s">
        <v>537</v>
      </c>
      <c r="G56" s="447">
        <v>0.65223387308353975</v>
      </c>
      <c r="H56" s="310">
        <v>227.84874996123571</v>
      </c>
      <c r="I56" s="448">
        <v>1.2384222722038317E-2</v>
      </c>
      <c r="J56" s="439"/>
    </row>
    <row r="57" spans="4:10" x14ac:dyDescent="0.2">
      <c r="D57" s="446" t="s">
        <v>462</v>
      </c>
      <c r="E57" s="446" t="s">
        <v>587</v>
      </c>
      <c r="F57" s="446" t="s">
        <v>537</v>
      </c>
      <c r="G57" s="447">
        <v>1.7224807044029418</v>
      </c>
      <c r="H57" s="310">
        <v>227.84874996123571</v>
      </c>
      <c r="I57" s="448">
        <v>3.2705422944213254E-2</v>
      </c>
      <c r="J57" s="439"/>
    </row>
    <row r="58" spans="4:10" x14ac:dyDescent="0.2">
      <c r="D58" s="446" t="s">
        <v>462</v>
      </c>
      <c r="E58" s="446" t="s">
        <v>588</v>
      </c>
      <c r="F58" s="446" t="s">
        <v>537</v>
      </c>
      <c r="G58" s="447">
        <v>1.1635713576320508</v>
      </c>
      <c r="H58" s="310">
        <v>227.84874996123568</v>
      </c>
      <c r="I58" s="448">
        <v>2.2093189943930058E-2</v>
      </c>
      <c r="J58" s="439"/>
    </row>
    <row r="59" spans="4:10" x14ac:dyDescent="0.2">
      <c r="D59" s="446" t="s">
        <v>462</v>
      </c>
      <c r="E59" s="446" t="s">
        <v>589</v>
      </c>
      <c r="F59" s="446" t="s">
        <v>537</v>
      </c>
      <c r="G59" s="447">
        <v>0.44977314244235689</v>
      </c>
      <c r="H59" s="310">
        <v>227.84874996123571</v>
      </c>
      <c r="I59" s="448">
        <v>8.5400206893023189E-3</v>
      </c>
      <c r="J59" s="439"/>
    </row>
    <row r="60" spans="4:10" x14ac:dyDescent="0.2">
      <c r="D60" s="446" t="s">
        <v>462</v>
      </c>
      <c r="E60" s="446" t="s">
        <v>590</v>
      </c>
      <c r="F60" s="446" t="s">
        <v>537</v>
      </c>
      <c r="G60" s="447">
        <v>0.42930020243553701</v>
      </c>
      <c r="H60" s="310">
        <v>227.84874996123571</v>
      </c>
      <c r="I60" s="448">
        <v>8.1512928735868791E-3</v>
      </c>
      <c r="J60" s="439"/>
    </row>
    <row r="61" spans="4:10" x14ac:dyDescent="0.2">
      <c r="D61" s="446" t="s">
        <v>462</v>
      </c>
      <c r="E61" s="446" t="s">
        <v>591</v>
      </c>
      <c r="F61" s="446" t="s">
        <v>537</v>
      </c>
      <c r="G61" s="447">
        <v>0.71179533568638065</v>
      </c>
      <c r="H61" s="310">
        <v>227.84874996123571</v>
      </c>
      <c r="I61" s="448">
        <v>1.3515139788698333E-2</v>
      </c>
      <c r="J61" s="439"/>
    </row>
    <row r="62" spans="4:10" x14ac:dyDescent="0.2">
      <c r="D62" s="446" t="s">
        <v>462</v>
      </c>
      <c r="E62" s="446" t="s">
        <v>592</v>
      </c>
      <c r="F62" s="446" t="s">
        <v>537</v>
      </c>
      <c r="G62" s="447">
        <v>0.68579869301496255</v>
      </c>
      <c r="H62" s="310">
        <v>227.84874996123574</v>
      </c>
      <c r="I62" s="448">
        <v>1.3021531244042372E-2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15.254599727650172</v>
      </c>
      <c r="H64" s="463"/>
      <c r="I64" s="464">
        <v>0.28530419642486177</v>
      </c>
      <c r="J64" s="439"/>
    </row>
    <row r="65" spans="4:10" x14ac:dyDescent="0.2">
      <c r="D65" s="446" t="s">
        <v>595</v>
      </c>
      <c r="E65" s="446" t="s">
        <v>596</v>
      </c>
      <c r="F65" s="446" t="s">
        <v>554</v>
      </c>
      <c r="G65" s="447">
        <v>1.2993942488865165E-2</v>
      </c>
      <c r="H65" s="310">
        <v>45.149555555555558</v>
      </c>
      <c r="I65" s="448">
        <v>4.8889227357225968E-5</v>
      </c>
      <c r="J65" s="439"/>
    </row>
    <row r="66" spans="4:10" x14ac:dyDescent="0.2">
      <c r="D66" s="446" t="s">
        <v>595</v>
      </c>
      <c r="E66" s="446" t="s">
        <v>563</v>
      </c>
      <c r="F66" s="446" t="s">
        <v>554</v>
      </c>
      <c r="G66" s="447">
        <v>1.342707390516067E-2</v>
      </c>
      <c r="H66" s="310">
        <v>68.06752688172044</v>
      </c>
      <c r="I66" s="448">
        <v>7.616230949853091E-5</v>
      </c>
      <c r="J66" s="439"/>
    </row>
    <row r="67" spans="4:10" x14ac:dyDescent="0.2">
      <c r="D67" s="446" t="s">
        <v>595</v>
      </c>
      <c r="E67" s="446" t="s">
        <v>564</v>
      </c>
      <c r="F67" s="446" t="s">
        <v>554</v>
      </c>
      <c r="G67" s="447">
        <v>1.4576315929731412</v>
      </c>
      <c r="H67" s="310">
        <v>95.334606774960605</v>
      </c>
      <c r="I67" s="448">
        <v>1.1580227894904486E-2</v>
      </c>
      <c r="J67" s="439"/>
    </row>
    <row r="68" spans="4:10" x14ac:dyDescent="0.2">
      <c r="D68" s="446" t="s">
        <v>595</v>
      </c>
      <c r="E68" s="446" t="s">
        <v>597</v>
      </c>
      <c r="F68" s="446" t="s">
        <v>554</v>
      </c>
      <c r="G68" s="447">
        <v>8.8070054646752789E-3</v>
      </c>
      <c r="H68" s="310">
        <v>72.037540983606561</v>
      </c>
      <c r="I68" s="448">
        <v>5.286958475869936E-5</v>
      </c>
      <c r="J68" s="439"/>
    </row>
    <row r="69" spans="4:10" x14ac:dyDescent="0.2">
      <c r="D69" s="446" t="s">
        <v>595</v>
      </c>
      <c r="E69" s="446" t="s">
        <v>572</v>
      </c>
      <c r="F69" s="446" t="s">
        <v>554</v>
      </c>
      <c r="G69" s="447">
        <v>7.0744797994932562E-3</v>
      </c>
      <c r="H69" s="310">
        <v>97.775306122448981</v>
      </c>
      <c r="I69" s="448">
        <v>5.7642452337711221E-5</v>
      </c>
      <c r="J69" s="439"/>
    </row>
    <row r="70" spans="4:10" x14ac:dyDescent="0.2">
      <c r="D70" s="446" t="s">
        <v>595</v>
      </c>
      <c r="E70" s="446" t="s">
        <v>567</v>
      </c>
      <c r="F70" s="446" t="s">
        <v>554</v>
      </c>
      <c r="G70" s="447">
        <v>6.9301026607280882E-3</v>
      </c>
      <c r="H70" s="310">
        <v>66.466458333333321</v>
      </c>
      <c r="I70" s="448">
        <v>3.8384948312083825E-5</v>
      </c>
      <c r="J70" s="439"/>
    </row>
    <row r="71" spans="4:10" x14ac:dyDescent="0.2">
      <c r="D71" s="446" t="s">
        <v>595</v>
      </c>
      <c r="E71" s="446" t="s">
        <v>568</v>
      </c>
      <c r="F71" s="446" t="s">
        <v>554</v>
      </c>
      <c r="G71" s="447">
        <v>2.1656570814775278E-2</v>
      </c>
      <c r="H71" s="310">
        <v>33.599999999999987</v>
      </c>
      <c r="I71" s="448">
        <v>6.0638398281370765E-5</v>
      </c>
      <c r="J71" s="439"/>
    </row>
    <row r="72" spans="4:10" x14ac:dyDescent="0.2">
      <c r="D72" s="446" t="s">
        <v>595</v>
      </c>
      <c r="E72" s="446" t="s">
        <v>548</v>
      </c>
      <c r="F72" s="446" t="s">
        <v>554</v>
      </c>
      <c r="G72" s="447">
        <v>0.16805498952265613</v>
      </c>
      <c r="H72" s="310">
        <v>94.262465635738835</v>
      </c>
      <c r="I72" s="448">
        <v>1.3201064728994853E-3</v>
      </c>
      <c r="J72" s="439"/>
    </row>
    <row r="73" spans="4:10" x14ac:dyDescent="0.2">
      <c r="D73" s="446" t="s">
        <v>595</v>
      </c>
      <c r="E73" s="446" t="s">
        <v>598</v>
      </c>
      <c r="F73" s="446" t="s">
        <v>554</v>
      </c>
      <c r="G73" s="447">
        <v>0.39458272024520563</v>
      </c>
      <c r="H73" s="310">
        <v>28.97501280643991</v>
      </c>
      <c r="I73" s="448">
        <v>9.5275328102539423E-4</v>
      </c>
      <c r="J73" s="439"/>
    </row>
    <row r="74" spans="4:10" x14ac:dyDescent="0.2">
      <c r="D74" s="446" t="s">
        <v>595</v>
      </c>
      <c r="E74" s="446" t="s">
        <v>549</v>
      </c>
      <c r="F74" s="446" t="s">
        <v>554</v>
      </c>
      <c r="G74" s="447">
        <v>16.0486739908586</v>
      </c>
      <c r="H74" s="310">
        <v>43.89940148257471</v>
      </c>
      <c r="I74" s="448">
        <v>5.8710598565638018E-2</v>
      </c>
      <c r="J74" s="439"/>
    </row>
    <row r="75" spans="4:10" x14ac:dyDescent="0.2">
      <c r="D75" s="446" t="s">
        <v>595</v>
      </c>
      <c r="E75" s="446" t="s">
        <v>571</v>
      </c>
      <c r="F75" s="446" t="s">
        <v>554</v>
      </c>
      <c r="G75" s="447">
        <v>8.8214431785517952E-2</v>
      </c>
      <c r="H75" s="310">
        <v>79.593387888707042</v>
      </c>
      <c r="I75" s="448">
        <v>5.8510712387388486E-4</v>
      </c>
      <c r="J75" s="439"/>
    </row>
    <row r="76" spans="4:10" x14ac:dyDescent="0.2">
      <c r="D76" s="446" t="s">
        <v>595</v>
      </c>
      <c r="E76" s="446" t="s">
        <v>561</v>
      </c>
      <c r="F76" s="446" t="s">
        <v>554</v>
      </c>
      <c r="G76" s="447">
        <v>4.2013747380664046E-2</v>
      </c>
      <c r="H76" s="310">
        <v>85.604226804123684</v>
      </c>
      <c r="I76" s="448">
        <v>2.9971286330546021E-4</v>
      </c>
      <c r="J76" s="439"/>
    </row>
    <row r="77" spans="4:10" x14ac:dyDescent="0.2">
      <c r="D77" s="446" t="s">
        <v>595</v>
      </c>
      <c r="E77" s="446" t="s">
        <v>599</v>
      </c>
      <c r="F77" s="446" t="s">
        <v>554</v>
      </c>
      <c r="G77" s="447">
        <v>34.214205590292103</v>
      </c>
      <c r="H77" s="310">
        <v>24.172066942922715</v>
      </c>
      <c r="I77" s="448">
        <v>6.8919005660621771E-2</v>
      </c>
      <c r="J77" s="439"/>
    </row>
    <row r="78" spans="4:10" x14ac:dyDescent="0.2">
      <c r="D78" s="446" t="s">
        <v>595</v>
      </c>
      <c r="E78" s="446" t="s">
        <v>600</v>
      </c>
      <c r="F78" s="446" t="s">
        <v>554</v>
      </c>
      <c r="G78" s="447">
        <v>4.3168764490785376E-2</v>
      </c>
      <c r="H78" s="310">
        <v>67.286120401337797</v>
      </c>
      <c r="I78" s="448">
        <v>2.4205489042533173E-4</v>
      </c>
      <c r="J78" s="439"/>
    </row>
    <row r="79" spans="4:10" x14ac:dyDescent="0.2">
      <c r="D79" s="446" t="s">
        <v>595</v>
      </c>
      <c r="E79" s="446" t="s">
        <v>555</v>
      </c>
      <c r="F79" s="446" t="s">
        <v>554</v>
      </c>
      <c r="G79" s="447">
        <v>12.54911652432968</v>
      </c>
      <c r="H79" s="310">
        <v>49.960136448878025</v>
      </c>
      <c r="I79" s="448">
        <v>5.2246297822365062E-2</v>
      </c>
      <c r="J79" s="439"/>
    </row>
    <row r="80" spans="4:10" x14ac:dyDescent="0.2">
      <c r="D80" s="446" t="s">
        <v>595</v>
      </c>
      <c r="E80" s="446" t="s">
        <v>552</v>
      </c>
      <c r="F80" s="446" t="s">
        <v>554</v>
      </c>
      <c r="G80" s="447">
        <v>3.0319199140685384E-3</v>
      </c>
      <c r="H80" s="310">
        <v>70.13666666666667</v>
      </c>
      <c r="I80" s="448">
        <v>1.7720729697754477E-5</v>
      </c>
      <c r="J80" s="439"/>
    </row>
    <row r="81" spans="4:10" x14ac:dyDescent="0.2">
      <c r="D81" s="446" t="s">
        <v>595</v>
      </c>
      <c r="E81" s="446" t="s">
        <v>581</v>
      </c>
      <c r="F81" s="446" t="s">
        <v>554</v>
      </c>
      <c r="G81" s="447">
        <v>1.934653659453258E-2</v>
      </c>
      <c r="H81" s="310">
        <v>71.653059701492452</v>
      </c>
      <c r="I81" s="448">
        <v>1.1551987846876262E-4</v>
      </c>
      <c r="J81" s="439"/>
    </row>
    <row r="82" spans="4:10" x14ac:dyDescent="0.2">
      <c r="D82" s="446" t="s">
        <v>595</v>
      </c>
      <c r="E82" s="446" t="s">
        <v>574</v>
      </c>
      <c r="F82" s="446" t="s">
        <v>554</v>
      </c>
      <c r="G82" s="447">
        <v>6.7424123803333708E-2</v>
      </c>
      <c r="H82" s="310">
        <v>37.165952890792276</v>
      </c>
      <c r="I82" s="448">
        <v>2.0882348408147056E-4</v>
      </c>
      <c r="J82" s="439"/>
    </row>
    <row r="83" spans="4:10" x14ac:dyDescent="0.2">
      <c r="D83" s="446" t="s">
        <v>595</v>
      </c>
      <c r="E83" s="446" t="s">
        <v>601</v>
      </c>
      <c r="F83" s="446" t="s">
        <v>554</v>
      </c>
      <c r="G83" s="447">
        <v>2.8875427753033699E-4</v>
      </c>
      <c r="H83" s="310">
        <v>127.49000000000001</v>
      </c>
      <c r="I83" s="448">
        <v>3.0677735701952218E-6</v>
      </c>
      <c r="J83" s="439"/>
    </row>
    <row r="84" spans="4:10" x14ac:dyDescent="0.2">
      <c r="D84" s="446" t="s">
        <v>595</v>
      </c>
      <c r="E84" s="446" t="s">
        <v>559</v>
      </c>
      <c r="F84" s="446" t="s">
        <v>554</v>
      </c>
      <c r="G84" s="447">
        <v>0.87506983805568628</v>
      </c>
      <c r="H84" s="310">
        <v>44.781017983831063</v>
      </c>
      <c r="I84" s="448">
        <v>3.2655431795899853E-3</v>
      </c>
      <c r="J84" s="439"/>
    </row>
    <row r="85" spans="4:10" x14ac:dyDescent="0.2">
      <c r="D85" s="446" t="s">
        <v>595</v>
      </c>
      <c r="E85" s="446" t="s">
        <v>573</v>
      </c>
      <c r="F85" s="446" t="s">
        <v>554</v>
      </c>
      <c r="G85" s="447">
        <v>0.16155801827822355</v>
      </c>
      <c r="H85" s="310">
        <v>45.983100983020556</v>
      </c>
      <c r="I85" s="448">
        <v>6.1907822242535289E-4</v>
      </c>
      <c r="J85" s="439"/>
    </row>
    <row r="86" spans="4:10" x14ac:dyDescent="0.2">
      <c r="D86" s="446" t="s">
        <v>595</v>
      </c>
      <c r="E86" s="446" t="s">
        <v>562</v>
      </c>
      <c r="F86" s="446" t="s">
        <v>554</v>
      </c>
      <c r="G86" s="447">
        <v>0.13946831604715276</v>
      </c>
      <c r="H86" s="310">
        <v>35.634803312629401</v>
      </c>
      <c r="I86" s="448">
        <v>4.14160500890327E-4</v>
      </c>
      <c r="J86" s="439"/>
    </row>
    <row r="87" spans="4:10" x14ac:dyDescent="0.2">
      <c r="D87" s="446" t="s">
        <v>595</v>
      </c>
      <c r="E87" s="446" t="s">
        <v>550</v>
      </c>
      <c r="F87" s="446" t="s">
        <v>554</v>
      </c>
      <c r="G87" s="447">
        <v>12.139807335930431</v>
      </c>
      <c r="H87" s="310">
        <v>34.261640026641558</v>
      </c>
      <c r="I87" s="448">
        <v>3.4660809078035912E-2</v>
      </c>
      <c r="J87" s="439"/>
    </row>
    <row r="88" spans="4:10" x14ac:dyDescent="0.2">
      <c r="D88" s="446" t="s">
        <v>595</v>
      </c>
      <c r="E88" s="446" t="s">
        <v>579</v>
      </c>
      <c r="F88" s="446" t="s">
        <v>554</v>
      </c>
      <c r="G88" s="447">
        <v>1.155017110121348E-3</v>
      </c>
      <c r="H88" s="310">
        <v>123.87625000000003</v>
      </c>
      <c r="I88" s="448">
        <v>1.1923265690639138E-5</v>
      </c>
      <c r="J88" s="439"/>
    </row>
    <row r="89" spans="4:10" x14ac:dyDescent="0.2">
      <c r="D89" s="446" t="s">
        <v>595</v>
      </c>
      <c r="E89" s="446" t="s">
        <v>556</v>
      </c>
      <c r="F89" s="446" t="s">
        <v>554</v>
      </c>
      <c r="G89" s="447">
        <v>1.1694548239978647E-2</v>
      </c>
      <c r="H89" s="310">
        <v>64.856543209876534</v>
      </c>
      <c r="I89" s="448">
        <v>6.3205664437180069E-5</v>
      </c>
      <c r="J89" s="439"/>
    </row>
    <row r="90" spans="4:10" x14ac:dyDescent="0.2">
      <c r="D90" s="446" t="s">
        <v>595</v>
      </c>
      <c r="E90" s="446" t="s">
        <v>602</v>
      </c>
      <c r="F90" s="446" t="s">
        <v>554</v>
      </c>
      <c r="G90" s="447">
        <v>2.3100342202426959E-3</v>
      </c>
      <c r="H90" s="310">
        <v>55.521250000000002</v>
      </c>
      <c r="I90" s="448">
        <v>1.0687998954220816E-5</v>
      </c>
      <c r="J90" s="439"/>
    </row>
    <row r="91" spans="4:10" x14ac:dyDescent="0.2">
      <c r="D91" s="446" t="s">
        <v>595</v>
      </c>
      <c r="E91" s="446" t="s">
        <v>577</v>
      </c>
      <c r="F91" s="446" t="s">
        <v>554</v>
      </c>
      <c r="G91" s="447">
        <v>9.591262082447674</v>
      </c>
      <c r="H91" s="310">
        <v>20.12606605250453</v>
      </c>
      <c r="I91" s="448">
        <v>1.6086197849852005E-2</v>
      </c>
      <c r="J91" s="439"/>
    </row>
    <row r="92" spans="4:10" x14ac:dyDescent="0.2">
      <c r="D92" s="446" t="s">
        <v>595</v>
      </c>
      <c r="E92" s="446" t="s">
        <v>576</v>
      </c>
      <c r="F92" s="446" t="s">
        <v>554</v>
      </c>
      <c r="G92" s="447">
        <v>0.35025893864429886</v>
      </c>
      <c r="H92" s="310">
        <v>38.831302555647156</v>
      </c>
      <c r="I92" s="448">
        <v>1.1334175682763852E-3</v>
      </c>
      <c r="J92" s="439"/>
    </row>
    <row r="93" spans="4:10" x14ac:dyDescent="0.2">
      <c r="D93" s="446" t="s">
        <v>595</v>
      </c>
      <c r="E93" s="446" t="s">
        <v>603</v>
      </c>
      <c r="F93" s="446" t="s">
        <v>554</v>
      </c>
      <c r="G93" s="447">
        <v>3.0319199140685384E-3</v>
      </c>
      <c r="H93" s="310">
        <v>82.110952380952398</v>
      </c>
      <c r="I93" s="448">
        <v>2.0746152640578587E-5</v>
      </c>
      <c r="J93" s="439"/>
    </row>
    <row r="94" spans="4:10" x14ac:dyDescent="0.2">
      <c r="D94" s="446" t="s">
        <v>595</v>
      </c>
      <c r="E94" s="446" t="s">
        <v>557</v>
      </c>
      <c r="F94" s="446" t="s">
        <v>554</v>
      </c>
      <c r="G94" s="447">
        <v>5.77508555060674E-3</v>
      </c>
      <c r="H94" s="310">
        <v>54.891500000000008</v>
      </c>
      <c r="I94" s="448">
        <v>2.6416925708427491E-5</v>
      </c>
      <c r="J94" s="439"/>
    </row>
    <row r="95" spans="4:10" x14ac:dyDescent="0.2">
      <c r="D95" s="446" t="s">
        <v>595</v>
      </c>
      <c r="E95" s="446" t="s">
        <v>582</v>
      </c>
      <c r="F95" s="446" t="s">
        <v>554</v>
      </c>
      <c r="G95" s="447">
        <v>4.3313141629550551E-4</v>
      </c>
      <c r="H95" s="310">
        <v>23.333333333333336</v>
      </c>
      <c r="I95" s="448">
        <v>8.4219997613014966E-7</v>
      </c>
      <c r="J95" s="439"/>
    </row>
    <row r="96" spans="4:10" x14ac:dyDescent="0.2">
      <c r="D96" s="446" t="s">
        <v>595</v>
      </c>
      <c r="E96" s="446" t="s">
        <v>565</v>
      </c>
      <c r="F96" s="446" t="s">
        <v>554</v>
      </c>
      <c r="G96" s="447">
        <v>1.4293336737751683E-2</v>
      </c>
      <c r="H96" s="310">
        <v>33.538585858585854</v>
      </c>
      <c r="I96" s="448">
        <v>3.9948191782063691E-5</v>
      </c>
      <c r="J96" s="439"/>
    </row>
    <row r="97" spans="4:13" x14ac:dyDescent="0.2">
      <c r="D97" s="446" t="s">
        <v>595</v>
      </c>
      <c r="E97" s="446" t="s">
        <v>604</v>
      </c>
      <c r="F97" s="446" t="s">
        <v>554</v>
      </c>
      <c r="G97" s="447">
        <v>5.2697655649286509E-2</v>
      </c>
      <c r="H97" s="310">
        <v>72.590986301369838</v>
      </c>
      <c r="I97" s="448">
        <v>3.1878123327930518E-4</v>
      </c>
      <c r="J97" s="439"/>
    </row>
    <row r="98" spans="4:13" x14ac:dyDescent="0.2">
      <c r="D98" s="446" t="s">
        <v>595</v>
      </c>
      <c r="E98" s="446" t="s">
        <v>569</v>
      </c>
      <c r="F98" s="446" t="s">
        <v>554</v>
      </c>
      <c r="G98" s="447">
        <v>1.7180879513055049E-2</v>
      </c>
      <c r="H98" s="310">
        <v>106.44537815126053</v>
      </c>
      <c r="I98" s="448">
        <v>1.5240210139486581E-4</v>
      </c>
      <c r="J98" s="439"/>
    </row>
    <row r="99" spans="4:13" x14ac:dyDescent="0.2">
      <c r="D99" s="446" t="s">
        <v>595</v>
      </c>
      <c r="E99" s="446" t="s">
        <v>553</v>
      </c>
      <c r="F99" s="446" t="s">
        <v>554</v>
      </c>
      <c r="G99" s="447">
        <v>0.2458742673170819</v>
      </c>
      <c r="H99" s="310">
        <v>51.892319436288979</v>
      </c>
      <c r="I99" s="448">
        <v>1.0632488350651268E-3</v>
      </c>
      <c r="J99" s="439"/>
    </row>
    <row r="100" spans="4:13" x14ac:dyDescent="0.2">
      <c r="D100" s="446" t="s">
        <v>595</v>
      </c>
      <c r="E100" s="446" t="s">
        <v>570</v>
      </c>
      <c r="F100" s="446" t="s">
        <v>554</v>
      </c>
      <c r="G100" s="447">
        <v>3.9559336021656163E-2</v>
      </c>
      <c r="H100" s="310">
        <v>65.46536496350366</v>
      </c>
      <c r="I100" s="448">
        <v>2.1581386419763311E-4</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8.9513826034404477E-3</v>
      </c>
      <c r="H102" s="310">
        <v>51.628548387096771</v>
      </c>
      <c r="I102" s="448">
        <v>3.8512240822761784E-5</v>
      </c>
      <c r="J102" s="439"/>
    </row>
    <row r="103" spans="4:13" x14ac:dyDescent="0.2">
      <c r="D103" s="446" t="s">
        <v>595</v>
      </c>
      <c r="E103" s="446" t="s">
        <v>560</v>
      </c>
      <c r="F103" s="446" t="s">
        <v>554</v>
      </c>
      <c r="G103" s="447">
        <v>1.8769028039471905E-3</v>
      </c>
      <c r="H103" s="310">
        <v>39.893076923076926</v>
      </c>
      <c r="I103" s="448">
        <v>6.2396189945836697E-6</v>
      </c>
      <c r="J103" s="439"/>
    </row>
    <row r="104" spans="4:13" x14ac:dyDescent="0.2">
      <c r="D104" s="446" t="s">
        <v>595</v>
      </c>
      <c r="E104" s="446" t="s">
        <v>575</v>
      </c>
      <c r="F104" s="446" t="s">
        <v>554</v>
      </c>
      <c r="G104" s="447">
        <v>3.7538056078943809E-3</v>
      </c>
      <c r="H104" s="310">
        <v>57.221923076923083</v>
      </c>
      <c r="I104" s="448">
        <v>1.7899997978387896E-5</v>
      </c>
      <c r="J104" s="439"/>
    </row>
    <row r="105" spans="4:13" x14ac:dyDescent="0.2">
      <c r="D105" s="446" t="s">
        <v>595</v>
      </c>
      <c r="E105" s="446" t="s">
        <v>566</v>
      </c>
      <c r="F105" s="446" t="s">
        <v>554</v>
      </c>
      <c r="G105" s="447">
        <v>1.155017110121348E-3</v>
      </c>
      <c r="H105" s="310">
        <v>80.861249999999998</v>
      </c>
      <c r="I105" s="448">
        <v>7.7830106079833213E-6</v>
      </c>
      <c r="J105" s="439"/>
    </row>
    <row r="106" spans="4:13" x14ac:dyDescent="0.2">
      <c r="D106" s="446" t="s">
        <v>595</v>
      </c>
      <c r="E106" s="446" t="s">
        <v>580</v>
      </c>
      <c r="F106" s="446" t="s">
        <v>554</v>
      </c>
      <c r="G106" s="447">
        <v>4.33131416295506E-4</v>
      </c>
      <c r="H106" s="310">
        <v>188.50000000000006</v>
      </c>
      <c r="I106" s="448">
        <v>4.5358484428723779E-6</v>
      </c>
      <c r="J106" s="439"/>
    </row>
    <row r="107" spans="4:13" x14ac:dyDescent="0.2">
      <c r="D107" s="451" t="s">
        <v>595</v>
      </c>
      <c r="E107" s="451" t="s">
        <v>558</v>
      </c>
      <c r="F107" s="451" t="s">
        <v>554</v>
      </c>
      <c r="G107" s="452">
        <v>3.1088729290303725</v>
      </c>
      <c r="H107" s="310">
        <v>0.29378163748664848</v>
      </c>
      <c r="I107" s="454">
        <v>7.6110814985704656E-5</v>
      </c>
      <c r="J107" s="439"/>
    </row>
    <row r="108" spans="4:13" ht="16" x14ac:dyDescent="0.2">
      <c r="D108" s="461" t="s">
        <v>605</v>
      </c>
      <c r="E108" s="460"/>
      <c r="F108" s="460"/>
      <c r="G108" s="465">
        <v>91.942971394128406</v>
      </c>
      <c r="H108" s="466"/>
      <c r="I108" s="467">
        <v>0.25378988772545125</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0.53909408415031301</v>
      </c>
      <c r="J118" s="439"/>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801</v>
      </c>
      <c r="G3"/>
      <c r="H3"/>
      <c r="I3"/>
    </row>
    <row r="4" spans="2:19" x14ac:dyDescent="0.2">
      <c r="G4"/>
      <c r="H4"/>
      <c r="I4"/>
    </row>
    <row r="5" spans="2:19" ht="16" x14ac:dyDescent="0.2">
      <c r="D5" s="438" t="s">
        <v>802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1.8480273761941567E-2</v>
      </c>
      <c r="O9" s="310">
        <v>857.95132812500015</v>
      </c>
      <c r="P9" s="388">
        <v>1.3212646181809467E-3</v>
      </c>
      <c r="Q9" s="29">
        <f>'Assumptions-Output Target'!E17</f>
        <v>254.62963284816803</v>
      </c>
      <c r="R9" s="388">
        <f>N9*Q9/12000</f>
        <v>3.9213544357806788E-4</v>
      </c>
      <c r="S9" s="388">
        <f>P9-R9</f>
        <v>9.2912917460287881E-4</v>
      </c>
    </row>
    <row r="10" spans="2:19" x14ac:dyDescent="0.2">
      <c r="D10" s="446" t="s">
        <v>1</v>
      </c>
      <c r="E10" s="446" t="s">
        <v>46</v>
      </c>
      <c r="F10" s="446" t="s">
        <v>534</v>
      </c>
      <c r="G10" s="447">
        <v>0</v>
      </c>
      <c r="H10" s="310" t="s">
        <v>446</v>
      </c>
      <c r="I10" s="448">
        <v>0</v>
      </c>
      <c r="J10" s="439"/>
      <c r="K10" s="446" t="s">
        <v>462</v>
      </c>
      <c r="L10" s="446" t="s">
        <v>538</v>
      </c>
      <c r="M10" s="446" t="s">
        <v>539</v>
      </c>
      <c r="N10" s="449">
        <v>60.694127856934124</v>
      </c>
      <c r="O10" s="310">
        <v>446.75747810343347</v>
      </c>
      <c r="P10" s="388">
        <v>2.25962962475427</v>
      </c>
      <c r="Q10" s="29">
        <v>0</v>
      </c>
      <c r="R10" s="388">
        <f>N10*Q10/12000</f>
        <v>0</v>
      </c>
      <c r="S10" s="388">
        <f>P10-R10</f>
        <v>2.25962962475427</v>
      </c>
    </row>
    <row r="11" spans="2:19" x14ac:dyDescent="0.2">
      <c r="D11" s="446" t="s">
        <v>1</v>
      </c>
      <c r="E11" s="446" t="s">
        <v>540</v>
      </c>
      <c r="F11" s="446" t="s">
        <v>534</v>
      </c>
      <c r="G11" s="447">
        <v>0</v>
      </c>
      <c r="H11" s="310" t="s">
        <v>446</v>
      </c>
      <c r="I11" s="448">
        <v>0</v>
      </c>
      <c r="J11" s="439"/>
      <c r="K11" s="320" t="s">
        <v>463</v>
      </c>
      <c r="L11" s="450" t="s">
        <v>541</v>
      </c>
      <c r="M11" s="446" t="s">
        <v>539</v>
      </c>
      <c r="N11" s="449">
        <v>78.845221742491105</v>
      </c>
      <c r="O11" s="310">
        <v>76.692861770424983</v>
      </c>
      <c r="P11" s="388">
        <v>0.50390547436294808</v>
      </c>
      <c r="Q11" s="29">
        <f>'Assumptions-Output Target'!G17</f>
        <v>30.555555941780163</v>
      </c>
      <c r="R11" s="388">
        <f>N11*Q11/12000</f>
        <v>0.20076329864122905</v>
      </c>
      <c r="S11" s="388">
        <f>P11-R11</f>
        <v>0.30314217572171903</v>
      </c>
    </row>
    <row r="12" spans="2:19" x14ac:dyDescent="0.2">
      <c r="D12" s="446" t="s">
        <v>1</v>
      </c>
      <c r="E12" s="446" t="s">
        <v>542</v>
      </c>
      <c r="F12" s="446" t="s">
        <v>534</v>
      </c>
      <c r="G12" s="447">
        <v>0</v>
      </c>
      <c r="H12" s="310" t="s">
        <v>446</v>
      </c>
      <c r="I12" s="448">
        <v>0</v>
      </c>
      <c r="J12" s="439"/>
      <c r="K12" s="320" t="s">
        <v>464</v>
      </c>
      <c r="L12" s="450" t="s">
        <v>541</v>
      </c>
      <c r="M12" s="446" t="s">
        <v>539</v>
      </c>
      <c r="N12" s="449">
        <v>95.156373371624767</v>
      </c>
      <c r="O12" s="310">
        <v>70.366411812186968</v>
      </c>
      <c r="P12" s="388">
        <v>0.55798437960183089</v>
      </c>
      <c r="Q12" s="29">
        <f>'Assumptions-Output Target'!H17</f>
        <v>55.000000695204292</v>
      </c>
      <c r="R12" s="388">
        <f>N12*Q12/12000</f>
        <v>0.43613338346604014</v>
      </c>
      <c r="S12" s="388">
        <f>P12-R12</f>
        <v>0.12185099613579076</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3.3228407433372302</v>
      </c>
      <c r="R15" s="388">
        <f>SUM(R8:R13)</f>
        <v>0.63728881755084732</v>
      </c>
      <c r="S15" s="388">
        <f>SUM(S8:S13)</f>
        <v>2.6855519257863829</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1.8480273761941567E-2</v>
      </c>
      <c r="H18" s="310">
        <v>857.95132812500015</v>
      </c>
      <c r="I18" s="448">
        <v>1.3212646181809467E-3</v>
      </c>
      <c r="J18" s="439"/>
    </row>
    <row r="19" spans="4:10" x14ac:dyDescent="0.2">
      <c r="D19" s="446" t="s">
        <v>462</v>
      </c>
      <c r="E19" s="446" t="s">
        <v>549</v>
      </c>
      <c r="F19" s="446" t="s">
        <v>537</v>
      </c>
      <c r="G19" s="447">
        <v>0.17845014351374824</v>
      </c>
      <c r="H19" s="310">
        <v>1323.8442394822009</v>
      </c>
      <c r="I19" s="448">
        <v>1.9686682877120637E-2</v>
      </c>
      <c r="J19" s="439"/>
    </row>
    <row r="20" spans="4:10" x14ac:dyDescent="0.2">
      <c r="D20" s="446" t="s">
        <v>462</v>
      </c>
      <c r="E20" s="446" t="s">
        <v>550</v>
      </c>
      <c r="F20" s="446" t="s">
        <v>537</v>
      </c>
      <c r="G20" s="447">
        <v>5.0651831592984067</v>
      </c>
      <c r="H20" s="310">
        <v>294.09879086737135</v>
      </c>
      <c r="I20" s="448">
        <v>0.12413868688928612</v>
      </c>
      <c r="J20" s="439"/>
    </row>
    <row r="21" spans="4:10" x14ac:dyDescent="0.2">
      <c r="D21" s="446" t="s">
        <v>462</v>
      </c>
      <c r="E21" s="446" t="s">
        <v>551</v>
      </c>
      <c r="F21" s="446" t="s">
        <v>537</v>
      </c>
      <c r="G21" s="447">
        <v>0.36498540679834596</v>
      </c>
      <c r="H21" s="310">
        <v>290.7568868670906</v>
      </c>
      <c r="I21" s="448">
        <v>8.8435017193838096E-3</v>
      </c>
      <c r="J21" s="439"/>
    </row>
    <row r="22" spans="4:10" x14ac:dyDescent="0.2">
      <c r="D22" s="446" t="s">
        <v>462</v>
      </c>
      <c r="E22" s="446" t="s">
        <v>552</v>
      </c>
      <c r="F22" s="446" t="s">
        <v>537</v>
      </c>
      <c r="G22" s="447">
        <v>2.88754277530337E-3</v>
      </c>
      <c r="H22" s="310">
        <v>430.36099999999993</v>
      </c>
      <c r="I22" s="448">
        <v>1.0355714969352779E-4</v>
      </c>
      <c r="J22" s="439"/>
    </row>
    <row r="23" spans="4:10" x14ac:dyDescent="0.2">
      <c r="D23" s="446" t="s">
        <v>462</v>
      </c>
      <c r="E23" s="446" t="s">
        <v>553</v>
      </c>
      <c r="F23" s="446" t="s">
        <v>554</v>
      </c>
      <c r="G23" s="447">
        <v>8.5182511871449429E-3</v>
      </c>
      <c r="H23" s="310">
        <v>148.12796610169491</v>
      </c>
      <c r="I23" s="448">
        <v>1.051492685912607E-4</v>
      </c>
      <c r="J23" s="439"/>
    </row>
    <row r="24" spans="4:10" x14ac:dyDescent="0.2">
      <c r="D24" s="446" t="s">
        <v>462</v>
      </c>
      <c r="E24" s="446" t="s">
        <v>555</v>
      </c>
      <c r="F24" s="446" t="s">
        <v>537</v>
      </c>
      <c r="G24" s="447">
        <v>1.8047142345646063E-2</v>
      </c>
      <c r="H24" s="310">
        <v>162.03864000000004</v>
      </c>
      <c r="I24" s="448">
        <v>2.4369453346457487E-4</v>
      </c>
      <c r="J24" s="439"/>
    </row>
    <row r="25" spans="4:10" x14ac:dyDescent="0.2">
      <c r="D25" s="446" t="s">
        <v>462</v>
      </c>
      <c r="E25" s="446" t="s">
        <v>556</v>
      </c>
      <c r="F25" s="446" t="s">
        <v>537</v>
      </c>
      <c r="G25" s="447">
        <v>4.3313141629550551E-4</v>
      </c>
      <c r="H25" s="310">
        <v>696.09</v>
      </c>
      <c r="I25" s="448">
        <v>2.5124870630761538E-5</v>
      </c>
      <c r="J25" s="439"/>
    </row>
    <row r="26" spans="4:10" x14ac:dyDescent="0.2">
      <c r="D26" s="446" t="s">
        <v>462</v>
      </c>
      <c r="E26" s="446" t="s">
        <v>557</v>
      </c>
      <c r="F26" s="446" t="s">
        <v>537</v>
      </c>
      <c r="G26" s="447">
        <v>1.155017110121348E-3</v>
      </c>
      <c r="H26" s="310">
        <v>186.62500000000003</v>
      </c>
      <c r="I26" s="448">
        <v>1.7962922348033048E-5</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1.8480273761941567E-2</v>
      </c>
      <c r="H28" s="310">
        <v>115.03242187499998</v>
      </c>
      <c r="I28" s="448">
        <v>1.7715255397909629E-4</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1.155017110121348E-3</v>
      </c>
      <c r="H30" s="310">
        <v>-8.5000000000000006E-2</v>
      </c>
      <c r="I30" s="448">
        <v>-8.1813711966928821E-9</v>
      </c>
      <c r="J30" s="439"/>
    </row>
    <row r="31" spans="4:10" x14ac:dyDescent="0.2">
      <c r="D31" s="446" t="s">
        <v>462</v>
      </c>
      <c r="E31" s="446" t="s">
        <v>562</v>
      </c>
      <c r="F31" s="446" t="s">
        <v>537</v>
      </c>
      <c r="G31" s="447">
        <v>1.4437713876516849E-4</v>
      </c>
      <c r="H31" s="310">
        <v>58</v>
      </c>
      <c r="I31" s="448">
        <v>6.9782283736498105E-7</v>
      </c>
      <c r="J31" s="439"/>
    </row>
    <row r="32" spans="4:10" x14ac:dyDescent="0.2">
      <c r="D32" s="446" t="s">
        <v>462</v>
      </c>
      <c r="E32" s="446" t="s">
        <v>563</v>
      </c>
      <c r="F32" s="446" t="s">
        <v>537</v>
      </c>
      <c r="G32" s="447">
        <v>1.155017110121348E-3</v>
      </c>
      <c r="H32" s="310">
        <v>232.34125000000006</v>
      </c>
      <c r="I32" s="448">
        <v>2.2363176594748474E-5</v>
      </c>
      <c r="J32" s="439"/>
    </row>
    <row r="33" spans="4:10" x14ac:dyDescent="0.2">
      <c r="D33" s="446" t="s">
        <v>462</v>
      </c>
      <c r="E33" s="446" t="s">
        <v>564</v>
      </c>
      <c r="F33" s="446" t="s">
        <v>537</v>
      </c>
      <c r="G33" s="447">
        <v>6.9301026607280882E-3</v>
      </c>
      <c r="H33" s="310">
        <v>150.1647916666667</v>
      </c>
      <c r="I33" s="448">
        <v>8.6721451856403814E-5</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2.5987884977730332E-3</v>
      </c>
      <c r="H35" s="310">
        <v>277.53333333333336</v>
      </c>
      <c r="I35" s="448">
        <v>6.010420286793965E-5</v>
      </c>
      <c r="J35" s="439"/>
    </row>
    <row r="36" spans="4:10" x14ac:dyDescent="0.2">
      <c r="D36" s="446" t="s">
        <v>462</v>
      </c>
      <c r="E36" s="446" t="s">
        <v>567</v>
      </c>
      <c r="F36" s="446" t="s">
        <v>537</v>
      </c>
      <c r="G36" s="447">
        <v>1.0106399713561795E-3</v>
      </c>
      <c r="H36" s="310">
        <v>1040.1399999999999</v>
      </c>
      <c r="I36" s="448">
        <v>8.7600588317201381E-5</v>
      </c>
      <c r="J36" s="439"/>
    </row>
    <row r="37" spans="4:10" x14ac:dyDescent="0.2">
      <c r="D37" s="446" t="s">
        <v>462</v>
      </c>
      <c r="E37" s="446" t="s">
        <v>568</v>
      </c>
      <c r="F37" s="446" t="s">
        <v>537</v>
      </c>
      <c r="G37" s="447">
        <v>1.4437713876516849E-4</v>
      </c>
      <c r="H37" s="310">
        <v>15</v>
      </c>
      <c r="I37" s="448">
        <v>1.8047142345646063E-7</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1.4437713876516849E-4</v>
      </c>
      <c r="H41" s="310">
        <v>105.00000000000001</v>
      </c>
      <c r="I41" s="448">
        <v>1.2632999641952245E-6</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22.399341925794882</v>
      </c>
      <c r="H52" s="310">
        <v>459.30766630628386</v>
      </c>
      <c r="I52" s="448">
        <v>0.85734912222777904</v>
      </c>
      <c r="J52" s="439"/>
    </row>
    <row r="53" spans="4:10" x14ac:dyDescent="0.2">
      <c r="D53" s="446" t="s">
        <v>462</v>
      </c>
      <c r="E53" s="446" t="s">
        <v>584</v>
      </c>
      <c r="F53" s="446" t="s">
        <v>554</v>
      </c>
      <c r="G53" s="447">
        <v>1.2379264816121909</v>
      </c>
      <c r="H53" s="310">
        <v>459.30766630628381</v>
      </c>
      <c r="I53" s="448">
        <v>4.7382426944003679E-2</v>
      </c>
      <c r="J53" s="439"/>
    </row>
    <row r="54" spans="4:10" x14ac:dyDescent="0.2">
      <c r="D54" s="446" t="s">
        <v>462</v>
      </c>
      <c r="E54" s="446" t="s">
        <v>585</v>
      </c>
      <c r="F54" s="446" t="s">
        <v>554</v>
      </c>
      <c r="G54" s="447">
        <v>5.4814792775760681</v>
      </c>
      <c r="H54" s="310">
        <v>459.30766630628386</v>
      </c>
      <c r="I54" s="448">
        <v>0.20980712124080989</v>
      </c>
      <c r="J54" s="439"/>
    </row>
    <row r="55" spans="4:10" x14ac:dyDescent="0.2">
      <c r="D55" s="446" t="s">
        <v>462</v>
      </c>
      <c r="E55" s="446" t="s">
        <v>586</v>
      </c>
      <c r="F55" s="446" t="s">
        <v>537</v>
      </c>
      <c r="G55" s="447">
        <v>2.9963797950245326</v>
      </c>
      <c r="H55" s="310">
        <v>459.30766630628381</v>
      </c>
      <c r="I55" s="448">
        <v>0.11468835091833493</v>
      </c>
      <c r="J55" s="439"/>
    </row>
    <row r="56" spans="4:10" x14ac:dyDescent="0.2">
      <c r="D56" s="446" t="s">
        <v>462</v>
      </c>
      <c r="E56" s="446" t="s">
        <v>5</v>
      </c>
      <c r="F56" s="446" t="s">
        <v>537</v>
      </c>
      <c r="G56" s="447">
        <v>2.5694270057951574</v>
      </c>
      <c r="H56" s="310">
        <v>459.30766630628386</v>
      </c>
      <c r="I56" s="448">
        <v>9.8346460148009684E-2</v>
      </c>
      <c r="J56" s="439"/>
    </row>
    <row r="57" spans="4:10" x14ac:dyDescent="0.2">
      <c r="D57" s="446" t="s">
        <v>462</v>
      </c>
      <c r="E57" s="446" t="s">
        <v>587</v>
      </c>
      <c r="F57" s="446" t="s">
        <v>537</v>
      </c>
      <c r="G57" s="447">
        <v>6.7855850815143395</v>
      </c>
      <c r="H57" s="310">
        <v>459.30766630628386</v>
      </c>
      <c r="I57" s="448">
        <v>0.25972260402609054</v>
      </c>
      <c r="J57" s="439"/>
    </row>
    <row r="58" spans="4:10" x14ac:dyDescent="0.2">
      <c r="D58" s="446" t="s">
        <v>462</v>
      </c>
      <c r="E58" s="446" t="s">
        <v>588</v>
      </c>
      <c r="F58" s="446" t="s">
        <v>537</v>
      </c>
      <c r="G58" s="447">
        <v>4.5838031308235916</v>
      </c>
      <c r="H58" s="310">
        <v>459.30766630628375</v>
      </c>
      <c r="I58" s="448">
        <v>0.17544799323550175</v>
      </c>
      <c r="J58" s="439"/>
    </row>
    <row r="59" spans="4:10" x14ac:dyDescent="0.2">
      <c r="D59" s="446" t="s">
        <v>462</v>
      </c>
      <c r="E59" s="446" t="s">
        <v>589</v>
      </c>
      <c r="F59" s="446" t="s">
        <v>537</v>
      </c>
      <c r="G59" s="447">
        <v>1.7718479618502183</v>
      </c>
      <c r="H59" s="310">
        <v>459.30766630628392</v>
      </c>
      <c r="I59" s="448">
        <v>6.7818612700580774E-2</v>
      </c>
      <c r="J59" s="439"/>
    </row>
    <row r="60" spans="4:10" x14ac:dyDescent="0.2">
      <c r="D60" s="446" t="s">
        <v>462</v>
      </c>
      <c r="E60" s="446" t="s">
        <v>590</v>
      </c>
      <c r="F60" s="446" t="s">
        <v>537</v>
      </c>
      <c r="G60" s="447">
        <v>1.6911963319481182</v>
      </c>
      <c r="H60" s="310">
        <v>459.30766630628381</v>
      </c>
      <c r="I60" s="448">
        <v>6.473162004106979E-2</v>
      </c>
      <c r="J60" s="439"/>
    </row>
    <row r="61" spans="4:10" x14ac:dyDescent="0.2">
      <c r="D61" s="446" t="s">
        <v>462</v>
      </c>
      <c r="E61" s="446" t="s">
        <v>591</v>
      </c>
      <c r="F61" s="446" t="s">
        <v>537</v>
      </c>
      <c r="G61" s="447">
        <v>2.8040649736039778</v>
      </c>
      <c r="H61" s="310">
        <v>459.30766630628381</v>
      </c>
      <c r="I61" s="448">
        <v>0.10732737826643619</v>
      </c>
      <c r="J61" s="439"/>
    </row>
    <row r="62" spans="4:10" x14ac:dyDescent="0.2">
      <c r="D62" s="446" t="s">
        <v>462</v>
      </c>
      <c r="E62" s="446" t="s">
        <v>592</v>
      </c>
      <c r="F62" s="446" t="s">
        <v>537</v>
      </c>
      <c r="G62" s="447">
        <v>2.7016531264176957</v>
      </c>
      <c r="H62" s="310">
        <v>459.30766630628392</v>
      </c>
      <c r="I62" s="448">
        <v>0.10340749938866563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60.712608130696069</v>
      </c>
      <c r="H64" s="463"/>
      <c r="I64" s="464">
        <v>2.260950889372451</v>
      </c>
      <c r="J64" s="439"/>
    </row>
    <row r="65" spans="4:10" x14ac:dyDescent="0.2">
      <c r="D65" s="446" t="s">
        <v>595</v>
      </c>
      <c r="E65" s="446" t="s">
        <v>596</v>
      </c>
      <c r="F65" s="446" t="s">
        <v>554</v>
      </c>
      <c r="G65" s="447">
        <v>4.3168764490785376E-2</v>
      </c>
      <c r="H65" s="310">
        <v>83.370000000000019</v>
      </c>
      <c r="I65" s="448">
        <v>2.9991499129973146E-4</v>
      </c>
      <c r="J65" s="439"/>
    </row>
    <row r="66" spans="4:10" x14ac:dyDescent="0.2">
      <c r="D66" s="446" t="s">
        <v>595</v>
      </c>
      <c r="E66" s="446" t="s">
        <v>563</v>
      </c>
      <c r="F66" s="446" t="s">
        <v>554</v>
      </c>
      <c r="G66" s="447">
        <v>0.19028906889249211</v>
      </c>
      <c r="H66" s="310">
        <v>221.17807283763275</v>
      </c>
      <c r="I66" s="448">
        <v>3.5073141283090779E-3</v>
      </c>
      <c r="J66" s="439"/>
    </row>
    <row r="67" spans="4:10" x14ac:dyDescent="0.2">
      <c r="D67" s="446" t="s">
        <v>595</v>
      </c>
      <c r="E67" s="446" t="s">
        <v>564</v>
      </c>
      <c r="F67" s="446" t="s">
        <v>554</v>
      </c>
      <c r="G67" s="447">
        <v>10.725633261725603</v>
      </c>
      <c r="H67" s="310">
        <v>133.4904528261259</v>
      </c>
      <c r="I67" s="448">
        <v>0.11931413674622572</v>
      </c>
      <c r="J67" s="439"/>
    </row>
    <row r="68" spans="4:10" x14ac:dyDescent="0.2">
      <c r="D68" s="446" t="s">
        <v>595</v>
      </c>
      <c r="E68" s="446" t="s">
        <v>597</v>
      </c>
      <c r="F68" s="446" t="s">
        <v>554</v>
      </c>
      <c r="G68" s="447">
        <v>6.7279746664568527E-2</v>
      </c>
      <c r="H68" s="310">
        <v>34.406266094420602</v>
      </c>
      <c r="I68" s="448">
        <v>1.9290373887552928E-4</v>
      </c>
      <c r="J68" s="439"/>
    </row>
    <row r="69" spans="4:10" x14ac:dyDescent="0.2">
      <c r="D69" s="446" t="s">
        <v>595</v>
      </c>
      <c r="E69" s="446" t="s">
        <v>572</v>
      </c>
      <c r="F69" s="446" t="s">
        <v>554</v>
      </c>
      <c r="G69" s="447">
        <v>0.12921753919482581</v>
      </c>
      <c r="H69" s="310">
        <v>194.45832402234637</v>
      </c>
      <c r="I69" s="448">
        <v>2.0939521755098068E-3</v>
      </c>
      <c r="J69" s="439"/>
    </row>
    <row r="70" spans="4:10" x14ac:dyDescent="0.2">
      <c r="D70" s="446" t="s">
        <v>595</v>
      </c>
      <c r="E70" s="446" t="s">
        <v>567</v>
      </c>
      <c r="F70" s="446" t="s">
        <v>554</v>
      </c>
      <c r="G70" s="447">
        <v>4.0714353131777514E-2</v>
      </c>
      <c r="H70" s="310">
        <v>67.069255319148937</v>
      </c>
      <c r="I70" s="448">
        <v>2.2755677877909811E-4</v>
      </c>
      <c r="J70" s="439"/>
    </row>
    <row r="71" spans="4:10" x14ac:dyDescent="0.2">
      <c r="D71" s="446" t="s">
        <v>595</v>
      </c>
      <c r="E71" s="446" t="s">
        <v>568</v>
      </c>
      <c r="F71" s="446" t="s">
        <v>554</v>
      </c>
      <c r="G71" s="447">
        <v>4.9232604318922464E-2</v>
      </c>
      <c r="H71" s="310">
        <v>79.577360703812317</v>
      </c>
      <c r="I71" s="448">
        <v>3.264833926895801E-4</v>
      </c>
      <c r="J71" s="439"/>
    </row>
    <row r="72" spans="4:10" x14ac:dyDescent="0.2">
      <c r="D72" s="446" t="s">
        <v>595</v>
      </c>
      <c r="E72" s="446" t="s">
        <v>548</v>
      </c>
      <c r="F72" s="446" t="s">
        <v>554</v>
      </c>
      <c r="G72" s="447">
        <v>2.1829823381293476</v>
      </c>
      <c r="H72" s="310">
        <v>214.96774867724869</v>
      </c>
      <c r="I72" s="448">
        <v>3.910589988582186E-2</v>
      </c>
      <c r="J72" s="439"/>
    </row>
    <row r="73" spans="4:10" x14ac:dyDescent="0.2">
      <c r="D73" s="446" t="s">
        <v>595</v>
      </c>
      <c r="E73" s="446" t="s">
        <v>598</v>
      </c>
      <c r="F73" s="446" t="s">
        <v>554</v>
      </c>
      <c r="G73" s="447">
        <v>0.6120146912255493</v>
      </c>
      <c r="H73" s="310">
        <v>87.326345836282158</v>
      </c>
      <c r="I73" s="448">
        <v>4.4537505485706466E-3</v>
      </c>
      <c r="J73" s="439"/>
    </row>
    <row r="74" spans="4:10" x14ac:dyDescent="0.2">
      <c r="D74" s="446" t="s">
        <v>595</v>
      </c>
      <c r="E74" s="446" t="s">
        <v>549</v>
      </c>
      <c r="F74" s="446" t="s">
        <v>554</v>
      </c>
      <c r="G74" s="447">
        <v>41.821003900412542</v>
      </c>
      <c r="H74" s="310">
        <v>72.412540279287441</v>
      </c>
      <c r="I74" s="448">
        <v>0.25236376078823836</v>
      </c>
      <c r="J74" s="439"/>
    </row>
    <row r="75" spans="4:10" x14ac:dyDescent="0.2">
      <c r="D75" s="446" t="s">
        <v>595</v>
      </c>
      <c r="E75" s="446" t="s">
        <v>571</v>
      </c>
      <c r="F75" s="446" t="s">
        <v>554</v>
      </c>
      <c r="G75" s="447">
        <v>0.30925583123499095</v>
      </c>
      <c r="H75" s="310">
        <v>108.41891690009336</v>
      </c>
      <c r="I75" s="448">
        <v>2.7940985222946486E-3</v>
      </c>
      <c r="J75" s="439"/>
    </row>
    <row r="76" spans="4:10" x14ac:dyDescent="0.2">
      <c r="D76" s="446" t="s">
        <v>595</v>
      </c>
      <c r="E76" s="446" t="s">
        <v>561</v>
      </c>
      <c r="F76" s="446" t="s">
        <v>554</v>
      </c>
      <c r="G76" s="447">
        <v>0.42519067366342123</v>
      </c>
      <c r="H76" s="310">
        <v>127.09071646859115</v>
      </c>
      <c r="I76" s="448">
        <v>4.5031489459705946E-3</v>
      </c>
      <c r="J76" s="439"/>
    </row>
    <row r="77" spans="4:10" x14ac:dyDescent="0.2">
      <c r="D77" s="446" t="s">
        <v>595</v>
      </c>
      <c r="E77" s="446" t="s">
        <v>599</v>
      </c>
      <c r="F77" s="446" t="s">
        <v>554</v>
      </c>
      <c r="G77" s="447">
        <v>38.047851755923624</v>
      </c>
      <c r="H77" s="310">
        <v>42.009607067099125</v>
      </c>
      <c r="I77" s="448">
        <v>0.13319794183446573</v>
      </c>
      <c r="J77" s="439"/>
    </row>
    <row r="78" spans="4:10" x14ac:dyDescent="0.2">
      <c r="D78" s="446" t="s">
        <v>595</v>
      </c>
      <c r="E78" s="446" t="s">
        <v>600</v>
      </c>
      <c r="F78" s="446" t="s">
        <v>554</v>
      </c>
      <c r="G78" s="447">
        <v>0.12719625925211345</v>
      </c>
      <c r="H78" s="310">
        <v>76.998354143019299</v>
      </c>
      <c r="I78" s="448">
        <v>8.1615855129679379E-4</v>
      </c>
      <c r="J78" s="439"/>
    </row>
    <row r="79" spans="4:10" x14ac:dyDescent="0.2">
      <c r="D79" s="446" t="s">
        <v>595</v>
      </c>
      <c r="E79" s="446" t="s">
        <v>555</v>
      </c>
      <c r="F79" s="446" t="s">
        <v>554</v>
      </c>
      <c r="G79" s="447">
        <v>33.479903462532448</v>
      </c>
      <c r="H79" s="310">
        <v>82.304915564141524</v>
      </c>
      <c r="I79" s="448">
        <v>0.22963005229827854</v>
      </c>
      <c r="J79" s="439"/>
    </row>
    <row r="80" spans="4:10" x14ac:dyDescent="0.2">
      <c r="D80" s="446" t="s">
        <v>595</v>
      </c>
      <c r="E80" s="446" t="s">
        <v>552</v>
      </c>
      <c r="F80" s="446" t="s">
        <v>554</v>
      </c>
      <c r="G80" s="447">
        <v>2.8731050614268533E-2</v>
      </c>
      <c r="H80" s="310">
        <v>161.49713567839194</v>
      </c>
      <c r="I80" s="448">
        <v>3.8666519826960593E-4</v>
      </c>
      <c r="J80" s="439"/>
    </row>
    <row r="81" spans="4:10" x14ac:dyDescent="0.2">
      <c r="D81" s="446" t="s">
        <v>595</v>
      </c>
      <c r="E81" s="446" t="s">
        <v>581</v>
      </c>
      <c r="F81" s="446" t="s">
        <v>554</v>
      </c>
      <c r="G81" s="447">
        <v>0.22133015372700332</v>
      </c>
      <c r="H81" s="310">
        <v>158.79123939986951</v>
      </c>
      <c r="I81" s="448">
        <v>2.928774118906209E-3</v>
      </c>
      <c r="J81" s="439"/>
    </row>
    <row r="82" spans="4:10" x14ac:dyDescent="0.2">
      <c r="D82" s="446" t="s">
        <v>595</v>
      </c>
      <c r="E82" s="446" t="s">
        <v>574</v>
      </c>
      <c r="F82" s="446" t="s">
        <v>554</v>
      </c>
      <c r="G82" s="447">
        <v>1.0120837427438312</v>
      </c>
      <c r="H82" s="310">
        <v>91.494243937232653</v>
      </c>
      <c r="I82" s="448">
        <v>7.7166530702926263E-3</v>
      </c>
      <c r="J82" s="439"/>
    </row>
    <row r="83" spans="4:10" x14ac:dyDescent="0.2">
      <c r="D83" s="446" t="s">
        <v>595</v>
      </c>
      <c r="E83" s="446" t="s">
        <v>601</v>
      </c>
      <c r="F83" s="446" t="s">
        <v>554</v>
      </c>
      <c r="G83" s="447">
        <v>2.9308559169329208E-2</v>
      </c>
      <c r="H83" s="310">
        <v>425.36034482758623</v>
      </c>
      <c r="I83" s="448">
        <v>1.0388915695554654E-3</v>
      </c>
      <c r="J83" s="439"/>
    </row>
    <row r="84" spans="4:10" x14ac:dyDescent="0.2">
      <c r="D84" s="446" t="s">
        <v>595</v>
      </c>
      <c r="E84" s="446" t="s">
        <v>559</v>
      </c>
      <c r="F84" s="446" t="s">
        <v>554</v>
      </c>
      <c r="G84" s="447">
        <v>3.0177709544695523</v>
      </c>
      <c r="H84" s="310">
        <v>73.494063247536204</v>
      </c>
      <c r="I84" s="448">
        <v>1.8482354116196913E-2</v>
      </c>
      <c r="J84" s="439"/>
    </row>
    <row r="85" spans="4:10" x14ac:dyDescent="0.2">
      <c r="D85" s="446" t="s">
        <v>595</v>
      </c>
      <c r="E85" s="446" t="s">
        <v>573</v>
      </c>
      <c r="F85" s="446" t="s">
        <v>554</v>
      </c>
      <c r="G85" s="447">
        <v>0.41638366819874589</v>
      </c>
      <c r="H85" s="310">
        <v>79.539372399445242</v>
      </c>
      <c r="I85" s="448">
        <v>2.759907970492258E-3</v>
      </c>
      <c r="J85" s="439"/>
    </row>
    <row r="86" spans="4:10" x14ac:dyDescent="0.2">
      <c r="D86" s="446" t="s">
        <v>595</v>
      </c>
      <c r="E86" s="446" t="s">
        <v>562</v>
      </c>
      <c r="F86" s="446" t="s">
        <v>554</v>
      </c>
      <c r="G86" s="447">
        <v>0.2343240962158685</v>
      </c>
      <c r="H86" s="310">
        <v>65.677319778188533</v>
      </c>
      <c r="I86" s="448">
        <v>1.2824815499087178E-3</v>
      </c>
      <c r="J86" s="439"/>
    </row>
    <row r="87" spans="4:10" x14ac:dyDescent="0.2">
      <c r="D87" s="446" t="s">
        <v>595</v>
      </c>
      <c r="E87" s="446" t="s">
        <v>550</v>
      </c>
      <c r="F87" s="446" t="s">
        <v>554</v>
      </c>
      <c r="G87" s="447">
        <v>21.093355596452351</v>
      </c>
      <c r="H87" s="310">
        <v>93.919031136420855</v>
      </c>
      <c r="I87" s="448">
        <v>0.16508896008623378</v>
      </c>
      <c r="J87" s="439"/>
    </row>
    <row r="88" spans="4:10" x14ac:dyDescent="0.2">
      <c r="D88" s="446" t="s">
        <v>595</v>
      </c>
      <c r="E88" s="446" t="s">
        <v>579</v>
      </c>
      <c r="F88" s="446" t="s">
        <v>554</v>
      </c>
      <c r="G88" s="447">
        <v>6.930102660728088E-2</v>
      </c>
      <c r="H88" s="310">
        <v>103.53208333333335</v>
      </c>
      <c r="I88" s="448">
        <v>5.9790663848254628E-4</v>
      </c>
      <c r="J88" s="439"/>
    </row>
    <row r="89" spans="4:10" x14ac:dyDescent="0.2">
      <c r="D89" s="446" t="s">
        <v>595</v>
      </c>
      <c r="E89" s="446" t="s">
        <v>556</v>
      </c>
      <c r="F89" s="446" t="s">
        <v>554</v>
      </c>
      <c r="G89" s="447">
        <v>9.904271719290561E-2</v>
      </c>
      <c r="H89" s="310">
        <v>99.117871720116597</v>
      </c>
      <c r="I89" s="448">
        <v>8.1807527812818382E-4</v>
      </c>
      <c r="J89" s="439"/>
    </row>
    <row r="90" spans="4:10" x14ac:dyDescent="0.2">
      <c r="D90" s="446" t="s">
        <v>595</v>
      </c>
      <c r="E90" s="446" t="s">
        <v>602</v>
      </c>
      <c r="F90" s="446" t="s">
        <v>554</v>
      </c>
      <c r="G90" s="447">
        <v>8.7348168952926949E-2</v>
      </c>
      <c r="H90" s="310">
        <v>124.42295867768593</v>
      </c>
      <c r="I90" s="448">
        <v>9.0567646801679655E-4</v>
      </c>
      <c r="J90" s="439"/>
    </row>
    <row r="91" spans="4:10" x14ac:dyDescent="0.2">
      <c r="D91" s="446" t="s">
        <v>595</v>
      </c>
      <c r="E91" s="446" t="s">
        <v>577</v>
      </c>
      <c r="F91" s="446" t="s">
        <v>554</v>
      </c>
      <c r="G91" s="447">
        <v>10.99345285413499</v>
      </c>
      <c r="H91" s="310">
        <v>30.296165292078761</v>
      </c>
      <c r="I91" s="448">
        <v>2.7754955399962387E-2</v>
      </c>
      <c r="J91" s="439"/>
    </row>
    <row r="92" spans="4:10" x14ac:dyDescent="0.2">
      <c r="D92" s="446" t="s">
        <v>595</v>
      </c>
      <c r="E92" s="446" t="s">
        <v>576</v>
      </c>
      <c r="F92" s="446" t="s">
        <v>554</v>
      </c>
      <c r="G92" s="447">
        <v>0.52654342507656948</v>
      </c>
      <c r="H92" s="310">
        <v>78.154400877433503</v>
      </c>
      <c r="I92" s="448">
        <v>3.4293071602342572E-3</v>
      </c>
      <c r="J92" s="439"/>
    </row>
    <row r="93" spans="4:10" x14ac:dyDescent="0.2">
      <c r="D93" s="446" t="s">
        <v>595</v>
      </c>
      <c r="E93" s="446" t="s">
        <v>603</v>
      </c>
      <c r="F93" s="446" t="s">
        <v>554</v>
      </c>
      <c r="G93" s="447">
        <v>1.4437713876516848E-2</v>
      </c>
      <c r="H93" s="310">
        <v>96.686000000000021</v>
      </c>
      <c r="I93" s="448">
        <v>1.1632706698874237E-4</v>
      </c>
      <c r="J93" s="439"/>
    </row>
    <row r="94" spans="4:10" x14ac:dyDescent="0.2">
      <c r="D94" s="446" t="s">
        <v>595</v>
      </c>
      <c r="E94" s="446" t="s">
        <v>557</v>
      </c>
      <c r="F94" s="446" t="s">
        <v>554</v>
      </c>
      <c r="G94" s="447">
        <v>8.2439346234911212E-2</v>
      </c>
      <c r="H94" s="310">
        <v>74.394483362521882</v>
      </c>
      <c r="I94" s="448">
        <v>5.1108604765752366E-4</v>
      </c>
      <c r="J94" s="439"/>
    </row>
    <row r="95" spans="4:10" x14ac:dyDescent="0.2">
      <c r="D95" s="446" t="s">
        <v>595</v>
      </c>
      <c r="E95" s="446" t="s">
        <v>582</v>
      </c>
      <c r="F95" s="446" t="s">
        <v>554</v>
      </c>
      <c r="G95" s="447">
        <v>2.2522833647366285E-2</v>
      </c>
      <c r="H95" s="310">
        <v>70.160448717948739</v>
      </c>
      <c r="I95" s="448">
        <v>1.3168434292491104E-4</v>
      </c>
      <c r="J95" s="439"/>
    </row>
    <row r="96" spans="4:10" x14ac:dyDescent="0.2">
      <c r="D96" s="446" t="s">
        <v>595</v>
      </c>
      <c r="E96" s="446" t="s">
        <v>565</v>
      </c>
      <c r="F96" s="446" t="s">
        <v>554</v>
      </c>
      <c r="G96" s="447">
        <v>8.2150591957380892E-2</v>
      </c>
      <c r="H96" s="310">
        <v>74.732231985940231</v>
      </c>
      <c r="I96" s="448">
        <v>5.1160809132844208E-4</v>
      </c>
      <c r="J96" s="439"/>
    </row>
    <row r="97" spans="4:13" x14ac:dyDescent="0.2">
      <c r="D97" s="446" t="s">
        <v>595</v>
      </c>
      <c r="E97" s="446" t="s">
        <v>604</v>
      </c>
      <c r="F97" s="446" t="s">
        <v>554</v>
      </c>
      <c r="G97" s="447">
        <v>0.4100310740930786</v>
      </c>
      <c r="H97" s="310">
        <v>103.91735211267606</v>
      </c>
      <c r="I97" s="448">
        <v>3.5507786253057682E-3</v>
      </c>
      <c r="J97" s="439"/>
    </row>
    <row r="98" spans="4:13" x14ac:dyDescent="0.2">
      <c r="D98" s="446" t="s">
        <v>595</v>
      </c>
      <c r="E98" s="446" t="s">
        <v>569</v>
      </c>
      <c r="F98" s="446" t="s">
        <v>554</v>
      </c>
      <c r="G98" s="447">
        <v>9.3556385919829205E-2</v>
      </c>
      <c r="H98" s="310">
        <v>89.855802469135782</v>
      </c>
      <c r="I98" s="448">
        <v>7.0054867774486745E-4</v>
      </c>
      <c r="J98" s="439"/>
    </row>
    <row r="99" spans="4:13" x14ac:dyDescent="0.2">
      <c r="D99" s="446" t="s">
        <v>595</v>
      </c>
      <c r="E99" s="446" t="s">
        <v>553</v>
      </c>
      <c r="F99" s="446" t="s">
        <v>554</v>
      </c>
      <c r="G99" s="447">
        <v>2.9256583399373737</v>
      </c>
      <c r="H99" s="310">
        <v>90.258768258981476</v>
      </c>
      <c r="I99" s="448">
        <v>2.2005526509113655E-2</v>
      </c>
      <c r="J99" s="439"/>
    </row>
    <row r="100" spans="4:13" x14ac:dyDescent="0.2">
      <c r="D100" s="446" t="s">
        <v>595</v>
      </c>
      <c r="E100" s="446" t="s">
        <v>570</v>
      </c>
      <c r="F100" s="446" t="s">
        <v>554</v>
      </c>
      <c r="G100" s="447">
        <v>0.36166473260674714</v>
      </c>
      <c r="H100" s="310">
        <v>51.111381237524945</v>
      </c>
      <c r="I100" s="448">
        <v>1.5404320023692476E-3</v>
      </c>
      <c r="J100" s="439"/>
    </row>
    <row r="101" spans="4:13" x14ac:dyDescent="0.2">
      <c r="D101" s="446" t="s">
        <v>595</v>
      </c>
      <c r="E101" s="446" t="s">
        <v>551</v>
      </c>
      <c r="F101" s="446" t="s">
        <v>554</v>
      </c>
      <c r="G101" s="447">
        <v>1.2993942488865166E-3</v>
      </c>
      <c r="H101" s="310">
        <v>98.206666666666678</v>
      </c>
      <c r="I101" s="448">
        <v>1.0634098155748486E-5</v>
      </c>
      <c r="J101" s="439"/>
    </row>
    <row r="102" spans="4:13" x14ac:dyDescent="0.2">
      <c r="D102" s="446" t="s">
        <v>595</v>
      </c>
      <c r="E102" s="446" t="s">
        <v>578</v>
      </c>
      <c r="F102" s="446" t="s">
        <v>554</v>
      </c>
      <c r="G102" s="447">
        <v>0.3138758996754763</v>
      </c>
      <c r="H102" s="310">
        <v>69.572953081876719</v>
      </c>
      <c r="I102" s="448">
        <v>1.8197727701378132E-3</v>
      </c>
      <c r="J102" s="439"/>
    </row>
    <row r="103" spans="4:13" x14ac:dyDescent="0.2">
      <c r="D103" s="446" t="s">
        <v>595</v>
      </c>
      <c r="E103" s="446" t="s">
        <v>560</v>
      </c>
      <c r="F103" s="446" t="s">
        <v>554</v>
      </c>
      <c r="G103" s="447">
        <v>0.29510687163600446</v>
      </c>
      <c r="H103" s="310">
        <v>77.508043052837564</v>
      </c>
      <c r="I103" s="448">
        <v>1.9060963426626367E-3</v>
      </c>
      <c r="J103" s="439"/>
    </row>
    <row r="104" spans="4:13" x14ac:dyDescent="0.2">
      <c r="D104" s="446" t="s">
        <v>595</v>
      </c>
      <c r="E104" s="446" t="s">
        <v>575</v>
      </c>
      <c r="F104" s="446" t="s">
        <v>554</v>
      </c>
      <c r="G104" s="447">
        <v>5.5440821285824705E-2</v>
      </c>
      <c r="H104" s="310">
        <v>112.55145833333333</v>
      </c>
      <c r="I104" s="448">
        <v>5.199954405764399E-4</v>
      </c>
      <c r="J104" s="439"/>
    </row>
    <row r="105" spans="4:13" x14ac:dyDescent="0.2">
      <c r="D105" s="446" t="s">
        <v>595</v>
      </c>
      <c r="E105" s="446" t="s">
        <v>566</v>
      </c>
      <c r="F105" s="446" t="s">
        <v>554</v>
      </c>
      <c r="G105" s="447">
        <v>0.15332852136860894</v>
      </c>
      <c r="H105" s="310">
        <v>120.08345574387948</v>
      </c>
      <c r="I105" s="448">
        <v>1.5343515591701527E-3</v>
      </c>
      <c r="J105" s="439"/>
    </row>
    <row r="106" spans="4:13" x14ac:dyDescent="0.2">
      <c r="D106" s="446" t="s">
        <v>595</v>
      </c>
      <c r="E106" s="446" t="s">
        <v>580</v>
      </c>
      <c r="F106" s="446" t="s">
        <v>554</v>
      </c>
      <c r="G106" s="447">
        <v>4.33131416295506E-4</v>
      </c>
      <c r="H106" s="310">
        <v>758.61444444444442</v>
      </c>
      <c r="I106" s="448">
        <v>8.2144937186112574E-5</v>
      </c>
      <c r="J106" s="439"/>
    </row>
    <row r="107" spans="4:13" x14ac:dyDescent="0.2">
      <c r="D107" s="451" t="s">
        <v>595</v>
      </c>
      <c r="E107" s="451" t="s">
        <v>558</v>
      </c>
      <c r="F107" s="451" t="s">
        <v>554</v>
      </c>
      <c r="G107" s="452">
        <v>3.1088729290303725</v>
      </c>
      <c r="H107" s="310">
        <v>3.5943013049737624</v>
      </c>
      <c r="I107" s="454">
        <v>9.3118550215095597E-4</v>
      </c>
      <c r="J107" s="439"/>
    </row>
    <row r="108" spans="4:13" ht="16" x14ac:dyDescent="0.2">
      <c r="D108" s="461" t="s">
        <v>605</v>
      </c>
      <c r="E108" s="460"/>
      <c r="F108" s="460"/>
      <c r="G108" s="465">
        <v>174.00159511411587</v>
      </c>
      <c r="H108" s="466"/>
      <c r="I108" s="467">
        <v>1.061889853964779</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3.3228407433372302</v>
      </c>
      <c r="J118" s="439"/>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801</v>
      </c>
      <c r="G3"/>
      <c r="H3"/>
      <c r="I3"/>
    </row>
    <row r="4" spans="2:19" x14ac:dyDescent="0.2">
      <c r="G4"/>
      <c r="H4"/>
      <c r="I4"/>
    </row>
    <row r="5" spans="2:19" ht="16" x14ac:dyDescent="0.2">
      <c r="D5" s="438" t="s">
        <v>802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1.8480273761941567E-2</v>
      </c>
      <c r="O9" s="310">
        <v>857.95132812500015</v>
      </c>
      <c r="P9" s="388">
        <v>1.3212646181809467E-3</v>
      </c>
      <c r="Q9" s="29">
        <f>'Assumptions-Output Override'!E19</f>
        <v>250</v>
      </c>
      <c r="R9" s="388">
        <f>N9*Q9/12000</f>
        <v>3.8500570337378267E-4</v>
      </c>
      <c r="S9" s="388">
        <f>P9-R9</f>
        <v>9.3625891480716397E-4</v>
      </c>
    </row>
    <row r="10" spans="2:19" x14ac:dyDescent="0.2">
      <c r="D10" s="446" t="s">
        <v>1</v>
      </c>
      <c r="E10" s="446" t="s">
        <v>46</v>
      </c>
      <c r="F10" s="446" t="s">
        <v>534</v>
      </c>
      <c r="G10" s="447">
        <v>0</v>
      </c>
      <c r="H10" s="310" t="s">
        <v>446</v>
      </c>
      <c r="I10" s="448">
        <v>0</v>
      </c>
      <c r="J10" s="439"/>
      <c r="K10" s="446" t="s">
        <v>462</v>
      </c>
      <c r="L10" s="446" t="s">
        <v>538</v>
      </c>
      <c r="M10" s="446" t="s">
        <v>539</v>
      </c>
      <c r="N10" s="449">
        <v>60.694127856934124</v>
      </c>
      <c r="O10" s="310">
        <v>446.75747810343347</v>
      </c>
      <c r="P10" s="388">
        <v>2.25962962475427</v>
      </c>
      <c r="Q10" s="29">
        <v>0</v>
      </c>
      <c r="R10" s="388">
        <f>N10*Q10/12000</f>
        <v>0</v>
      </c>
      <c r="S10" s="388">
        <f>P10-R10</f>
        <v>2.25962962475427</v>
      </c>
    </row>
    <row r="11" spans="2:19" x14ac:dyDescent="0.2">
      <c r="D11" s="446" t="s">
        <v>1</v>
      </c>
      <c r="E11" s="446" t="s">
        <v>540</v>
      </c>
      <c r="F11" s="446" t="s">
        <v>534</v>
      </c>
      <c r="G11" s="447">
        <v>0</v>
      </c>
      <c r="H11" s="310" t="s">
        <v>446</v>
      </c>
      <c r="I11" s="448">
        <v>0</v>
      </c>
      <c r="J11" s="439"/>
      <c r="K11" s="320" t="s">
        <v>463</v>
      </c>
      <c r="L11" s="450" t="s">
        <v>541</v>
      </c>
      <c r="M11" s="446" t="s">
        <v>539</v>
      </c>
      <c r="N11" s="449">
        <v>78.845221742491105</v>
      </c>
      <c r="O11" s="310">
        <v>76.692861770424983</v>
      </c>
      <c r="P11" s="388">
        <v>0.50390547436294808</v>
      </c>
      <c r="Q11" s="29">
        <f>'Assumptions-Output Override'!G19</f>
        <v>30</v>
      </c>
      <c r="R11" s="388">
        <f>N11*Q11/12000</f>
        <v>0.19711305435622778</v>
      </c>
      <c r="S11" s="388">
        <f>P11-R11</f>
        <v>0.3067924200067203</v>
      </c>
    </row>
    <row r="12" spans="2:19" x14ac:dyDescent="0.2">
      <c r="D12" s="446" t="s">
        <v>1</v>
      </c>
      <c r="E12" s="446" t="s">
        <v>542</v>
      </c>
      <c r="F12" s="446" t="s">
        <v>534</v>
      </c>
      <c r="G12" s="447">
        <v>0</v>
      </c>
      <c r="H12" s="310" t="s">
        <v>446</v>
      </c>
      <c r="I12" s="448">
        <v>0</v>
      </c>
      <c r="J12" s="439"/>
      <c r="K12" s="320" t="s">
        <v>464</v>
      </c>
      <c r="L12" s="450" t="s">
        <v>541</v>
      </c>
      <c r="M12" s="446" t="s">
        <v>539</v>
      </c>
      <c r="N12" s="449">
        <v>95.156373371624767</v>
      </c>
      <c r="O12" s="310">
        <v>70.366411812186968</v>
      </c>
      <c r="P12" s="388">
        <v>0.55798437960183089</v>
      </c>
      <c r="Q12" s="29">
        <f>'Assumptions-Output Override'!H19</f>
        <v>60</v>
      </c>
      <c r="R12" s="388">
        <f>N12*Q12/12000</f>
        <v>0.47578186685812385</v>
      </c>
      <c r="S12" s="388">
        <f>P12-R12</f>
        <v>8.2202512743707046E-2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3.3228407433372302</v>
      </c>
      <c r="R15" s="388">
        <f>SUM(R8:R13)</f>
        <v>0.67327992691772542</v>
      </c>
      <c r="S15" s="388">
        <f>SUM(S8:S13)</f>
        <v>2.6495608164195046</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1.8480273761941567E-2</v>
      </c>
      <c r="H18" s="310">
        <v>857.95132812500015</v>
      </c>
      <c r="I18" s="448">
        <v>1.3212646181809467E-3</v>
      </c>
      <c r="J18" s="439"/>
    </row>
    <row r="19" spans="4:10" x14ac:dyDescent="0.2">
      <c r="D19" s="446" t="s">
        <v>462</v>
      </c>
      <c r="E19" s="446" t="s">
        <v>549</v>
      </c>
      <c r="F19" s="446" t="s">
        <v>537</v>
      </c>
      <c r="G19" s="447">
        <v>0.17845014351374824</v>
      </c>
      <c r="H19" s="310">
        <v>1323.8442394822009</v>
      </c>
      <c r="I19" s="448">
        <v>1.9686682877120637E-2</v>
      </c>
      <c r="J19" s="439"/>
    </row>
    <row r="20" spans="4:10" x14ac:dyDescent="0.2">
      <c r="D20" s="446" t="s">
        <v>462</v>
      </c>
      <c r="E20" s="446" t="s">
        <v>550</v>
      </c>
      <c r="F20" s="446" t="s">
        <v>537</v>
      </c>
      <c r="G20" s="447">
        <v>5.0651831592984067</v>
      </c>
      <c r="H20" s="310">
        <v>294.09879086737135</v>
      </c>
      <c r="I20" s="448">
        <v>0.12413868688928612</v>
      </c>
      <c r="J20" s="439"/>
    </row>
    <row r="21" spans="4:10" x14ac:dyDescent="0.2">
      <c r="D21" s="446" t="s">
        <v>462</v>
      </c>
      <c r="E21" s="446" t="s">
        <v>551</v>
      </c>
      <c r="F21" s="446" t="s">
        <v>537</v>
      </c>
      <c r="G21" s="447">
        <v>0.36498540679834596</v>
      </c>
      <c r="H21" s="310">
        <v>290.7568868670906</v>
      </c>
      <c r="I21" s="448">
        <v>8.8435017193838096E-3</v>
      </c>
      <c r="J21" s="439"/>
    </row>
    <row r="22" spans="4:10" x14ac:dyDescent="0.2">
      <c r="D22" s="446" t="s">
        <v>462</v>
      </c>
      <c r="E22" s="446" t="s">
        <v>552</v>
      </c>
      <c r="F22" s="446" t="s">
        <v>537</v>
      </c>
      <c r="G22" s="447">
        <v>2.88754277530337E-3</v>
      </c>
      <c r="H22" s="310">
        <v>430.36099999999993</v>
      </c>
      <c r="I22" s="448">
        <v>1.0355714969352779E-4</v>
      </c>
      <c r="J22" s="439"/>
    </row>
    <row r="23" spans="4:10" x14ac:dyDescent="0.2">
      <c r="D23" s="446" t="s">
        <v>462</v>
      </c>
      <c r="E23" s="446" t="s">
        <v>553</v>
      </c>
      <c r="F23" s="446" t="s">
        <v>554</v>
      </c>
      <c r="G23" s="447">
        <v>8.5182511871449429E-3</v>
      </c>
      <c r="H23" s="310">
        <v>148.12796610169491</v>
      </c>
      <c r="I23" s="448">
        <v>1.051492685912607E-4</v>
      </c>
      <c r="J23" s="439"/>
    </row>
    <row r="24" spans="4:10" x14ac:dyDescent="0.2">
      <c r="D24" s="446" t="s">
        <v>462</v>
      </c>
      <c r="E24" s="446" t="s">
        <v>555</v>
      </c>
      <c r="F24" s="446" t="s">
        <v>537</v>
      </c>
      <c r="G24" s="447">
        <v>1.8047142345646063E-2</v>
      </c>
      <c r="H24" s="310">
        <v>162.03864000000004</v>
      </c>
      <c r="I24" s="448">
        <v>2.4369453346457487E-4</v>
      </c>
      <c r="J24" s="439"/>
    </row>
    <row r="25" spans="4:10" x14ac:dyDescent="0.2">
      <c r="D25" s="446" t="s">
        <v>462</v>
      </c>
      <c r="E25" s="446" t="s">
        <v>556</v>
      </c>
      <c r="F25" s="446" t="s">
        <v>537</v>
      </c>
      <c r="G25" s="447">
        <v>4.3313141629550551E-4</v>
      </c>
      <c r="H25" s="310">
        <v>696.09</v>
      </c>
      <c r="I25" s="448">
        <v>2.5124870630761538E-5</v>
      </c>
      <c r="J25" s="439"/>
    </row>
    <row r="26" spans="4:10" x14ac:dyDescent="0.2">
      <c r="D26" s="446" t="s">
        <v>462</v>
      </c>
      <c r="E26" s="446" t="s">
        <v>557</v>
      </c>
      <c r="F26" s="446" t="s">
        <v>537</v>
      </c>
      <c r="G26" s="447">
        <v>1.155017110121348E-3</v>
      </c>
      <c r="H26" s="310">
        <v>186.62500000000003</v>
      </c>
      <c r="I26" s="448">
        <v>1.7962922348033048E-5</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1.8480273761941567E-2</v>
      </c>
      <c r="H28" s="310">
        <v>115.03242187499998</v>
      </c>
      <c r="I28" s="448">
        <v>1.7715255397909629E-4</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1.155017110121348E-3</v>
      </c>
      <c r="H30" s="310">
        <v>-8.5000000000000006E-2</v>
      </c>
      <c r="I30" s="448">
        <v>-8.1813711966928821E-9</v>
      </c>
      <c r="J30" s="439"/>
    </row>
    <row r="31" spans="4:10" x14ac:dyDescent="0.2">
      <c r="D31" s="446" t="s">
        <v>462</v>
      </c>
      <c r="E31" s="446" t="s">
        <v>562</v>
      </c>
      <c r="F31" s="446" t="s">
        <v>537</v>
      </c>
      <c r="G31" s="447">
        <v>1.4437713876516849E-4</v>
      </c>
      <c r="H31" s="310">
        <v>58</v>
      </c>
      <c r="I31" s="448">
        <v>6.9782283736498105E-7</v>
      </c>
      <c r="J31" s="439"/>
    </row>
    <row r="32" spans="4:10" x14ac:dyDescent="0.2">
      <c r="D32" s="446" t="s">
        <v>462</v>
      </c>
      <c r="E32" s="446" t="s">
        <v>563</v>
      </c>
      <c r="F32" s="446" t="s">
        <v>537</v>
      </c>
      <c r="G32" s="447">
        <v>1.155017110121348E-3</v>
      </c>
      <c r="H32" s="310">
        <v>232.34125000000006</v>
      </c>
      <c r="I32" s="448">
        <v>2.2363176594748474E-5</v>
      </c>
      <c r="J32" s="439"/>
    </row>
    <row r="33" spans="4:10" x14ac:dyDescent="0.2">
      <c r="D33" s="446" t="s">
        <v>462</v>
      </c>
      <c r="E33" s="446" t="s">
        <v>564</v>
      </c>
      <c r="F33" s="446" t="s">
        <v>537</v>
      </c>
      <c r="G33" s="447">
        <v>6.9301026607280882E-3</v>
      </c>
      <c r="H33" s="310">
        <v>150.1647916666667</v>
      </c>
      <c r="I33" s="448">
        <v>8.6721451856403814E-5</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2.5987884977730332E-3</v>
      </c>
      <c r="H35" s="310">
        <v>277.53333333333336</v>
      </c>
      <c r="I35" s="448">
        <v>6.010420286793965E-5</v>
      </c>
      <c r="J35" s="439"/>
    </row>
    <row r="36" spans="4:10" x14ac:dyDescent="0.2">
      <c r="D36" s="446" t="s">
        <v>462</v>
      </c>
      <c r="E36" s="446" t="s">
        <v>567</v>
      </c>
      <c r="F36" s="446" t="s">
        <v>537</v>
      </c>
      <c r="G36" s="447">
        <v>1.0106399713561795E-3</v>
      </c>
      <c r="H36" s="310">
        <v>1040.1399999999999</v>
      </c>
      <c r="I36" s="448">
        <v>8.7600588317201381E-5</v>
      </c>
      <c r="J36" s="439"/>
    </row>
    <row r="37" spans="4:10" x14ac:dyDescent="0.2">
      <c r="D37" s="446" t="s">
        <v>462</v>
      </c>
      <c r="E37" s="446" t="s">
        <v>568</v>
      </c>
      <c r="F37" s="446" t="s">
        <v>537</v>
      </c>
      <c r="G37" s="447">
        <v>1.4437713876516849E-4</v>
      </c>
      <c r="H37" s="310">
        <v>15</v>
      </c>
      <c r="I37" s="448">
        <v>1.8047142345646063E-7</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1.4437713876516849E-4</v>
      </c>
      <c r="H41" s="310">
        <v>105.00000000000001</v>
      </c>
      <c r="I41" s="448">
        <v>1.2632999641952245E-6</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22.399341925794882</v>
      </c>
      <c r="H52" s="310">
        <v>459.30766630628386</v>
      </c>
      <c r="I52" s="448">
        <v>0.85734912222777904</v>
      </c>
      <c r="J52" s="439"/>
    </row>
    <row r="53" spans="4:10" x14ac:dyDescent="0.2">
      <c r="D53" s="446" t="s">
        <v>462</v>
      </c>
      <c r="E53" s="446" t="s">
        <v>584</v>
      </c>
      <c r="F53" s="446" t="s">
        <v>554</v>
      </c>
      <c r="G53" s="447">
        <v>1.2379264816121909</v>
      </c>
      <c r="H53" s="310">
        <v>459.30766630628381</v>
      </c>
      <c r="I53" s="448">
        <v>4.7382426944003679E-2</v>
      </c>
      <c r="J53" s="439"/>
    </row>
    <row r="54" spans="4:10" x14ac:dyDescent="0.2">
      <c r="D54" s="446" t="s">
        <v>462</v>
      </c>
      <c r="E54" s="446" t="s">
        <v>585</v>
      </c>
      <c r="F54" s="446" t="s">
        <v>554</v>
      </c>
      <c r="G54" s="447">
        <v>5.4814792775760681</v>
      </c>
      <c r="H54" s="310">
        <v>459.30766630628386</v>
      </c>
      <c r="I54" s="448">
        <v>0.20980712124080989</v>
      </c>
      <c r="J54" s="439"/>
    </row>
    <row r="55" spans="4:10" x14ac:dyDescent="0.2">
      <c r="D55" s="446" t="s">
        <v>462</v>
      </c>
      <c r="E55" s="446" t="s">
        <v>586</v>
      </c>
      <c r="F55" s="446" t="s">
        <v>537</v>
      </c>
      <c r="G55" s="447">
        <v>2.9963797950245326</v>
      </c>
      <c r="H55" s="310">
        <v>459.30766630628381</v>
      </c>
      <c r="I55" s="448">
        <v>0.11468835091833493</v>
      </c>
      <c r="J55" s="439"/>
    </row>
    <row r="56" spans="4:10" x14ac:dyDescent="0.2">
      <c r="D56" s="446" t="s">
        <v>462</v>
      </c>
      <c r="E56" s="446" t="s">
        <v>5</v>
      </c>
      <c r="F56" s="446" t="s">
        <v>537</v>
      </c>
      <c r="G56" s="447">
        <v>2.5694270057951574</v>
      </c>
      <c r="H56" s="310">
        <v>459.30766630628386</v>
      </c>
      <c r="I56" s="448">
        <v>9.8346460148009684E-2</v>
      </c>
      <c r="J56" s="439"/>
    </row>
    <row r="57" spans="4:10" x14ac:dyDescent="0.2">
      <c r="D57" s="446" t="s">
        <v>462</v>
      </c>
      <c r="E57" s="446" t="s">
        <v>587</v>
      </c>
      <c r="F57" s="446" t="s">
        <v>537</v>
      </c>
      <c r="G57" s="447">
        <v>6.7855850815143395</v>
      </c>
      <c r="H57" s="310">
        <v>459.30766630628386</v>
      </c>
      <c r="I57" s="448">
        <v>0.25972260402609054</v>
      </c>
      <c r="J57" s="439"/>
    </row>
    <row r="58" spans="4:10" x14ac:dyDescent="0.2">
      <c r="D58" s="446" t="s">
        <v>462</v>
      </c>
      <c r="E58" s="446" t="s">
        <v>588</v>
      </c>
      <c r="F58" s="446" t="s">
        <v>537</v>
      </c>
      <c r="G58" s="447">
        <v>4.5838031308235916</v>
      </c>
      <c r="H58" s="310">
        <v>459.30766630628375</v>
      </c>
      <c r="I58" s="448">
        <v>0.17544799323550175</v>
      </c>
      <c r="J58" s="439"/>
    </row>
    <row r="59" spans="4:10" x14ac:dyDescent="0.2">
      <c r="D59" s="446" t="s">
        <v>462</v>
      </c>
      <c r="E59" s="446" t="s">
        <v>589</v>
      </c>
      <c r="F59" s="446" t="s">
        <v>537</v>
      </c>
      <c r="G59" s="447">
        <v>1.7718479618502183</v>
      </c>
      <c r="H59" s="310">
        <v>459.30766630628392</v>
      </c>
      <c r="I59" s="448">
        <v>6.7818612700580774E-2</v>
      </c>
      <c r="J59" s="439"/>
    </row>
    <row r="60" spans="4:10" x14ac:dyDescent="0.2">
      <c r="D60" s="446" t="s">
        <v>462</v>
      </c>
      <c r="E60" s="446" t="s">
        <v>590</v>
      </c>
      <c r="F60" s="446" t="s">
        <v>537</v>
      </c>
      <c r="G60" s="447">
        <v>1.6911963319481182</v>
      </c>
      <c r="H60" s="310">
        <v>459.30766630628381</v>
      </c>
      <c r="I60" s="448">
        <v>6.473162004106979E-2</v>
      </c>
      <c r="J60" s="439"/>
    </row>
    <row r="61" spans="4:10" x14ac:dyDescent="0.2">
      <c r="D61" s="446" t="s">
        <v>462</v>
      </c>
      <c r="E61" s="446" t="s">
        <v>591</v>
      </c>
      <c r="F61" s="446" t="s">
        <v>537</v>
      </c>
      <c r="G61" s="447">
        <v>2.8040649736039778</v>
      </c>
      <c r="H61" s="310">
        <v>459.30766630628381</v>
      </c>
      <c r="I61" s="448">
        <v>0.10732737826643619</v>
      </c>
      <c r="J61" s="439"/>
    </row>
    <row r="62" spans="4:10" x14ac:dyDescent="0.2">
      <c r="D62" s="446" t="s">
        <v>462</v>
      </c>
      <c r="E62" s="446" t="s">
        <v>592</v>
      </c>
      <c r="F62" s="446" t="s">
        <v>537</v>
      </c>
      <c r="G62" s="447">
        <v>2.7016531264176957</v>
      </c>
      <c r="H62" s="310">
        <v>459.30766630628392</v>
      </c>
      <c r="I62" s="448">
        <v>0.10340749938866563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60.712608130696069</v>
      </c>
      <c r="H64" s="463"/>
      <c r="I64" s="464">
        <v>2.260950889372451</v>
      </c>
      <c r="J64" s="439"/>
    </row>
    <row r="65" spans="4:10" x14ac:dyDescent="0.2">
      <c r="D65" s="446" t="s">
        <v>595</v>
      </c>
      <c r="E65" s="446" t="s">
        <v>596</v>
      </c>
      <c r="F65" s="446" t="s">
        <v>554</v>
      </c>
      <c r="G65" s="447">
        <v>4.3168764490785376E-2</v>
      </c>
      <c r="H65" s="310">
        <v>83.370000000000019</v>
      </c>
      <c r="I65" s="448">
        <v>2.9991499129973146E-4</v>
      </c>
      <c r="J65" s="439"/>
    </row>
    <row r="66" spans="4:10" x14ac:dyDescent="0.2">
      <c r="D66" s="446" t="s">
        <v>595</v>
      </c>
      <c r="E66" s="446" t="s">
        <v>563</v>
      </c>
      <c r="F66" s="446" t="s">
        <v>554</v>
      </c>
      <c r="G66" s="447">
        <v>0.19028906889249211</v>
      </c>
      <c r="H66" s="310">
        <v>221.17807283763275</v>
      </c>
      <c r="I66" s="448">
        <v>3.5073141283090779E-3</v>
      </c>
      <c r="J66" s="439"/>
    </row>
    <row r="67" spans="4:10" x14ac:dyDescent="0.2">
      <c r="D67" s="446" t="s">
        <v>595</v>
      </c>
      <c r="E67" s="446" t="s">
        <v>564</v>
      </c>
      <c r="F67" s="446" t="s">
        <v>554</v>
      </c>
      <c r="G67" s="447">
        <v>10.725633261725603</v>
      </c>
      <c r="H67" s="310">
        <v>133.4904528261259</v>
      </c>
      <c r="I67" s="448">
        <v>0.11931413674622572</v>
      </c>
      <c r="J67" s="439"/>
    </row>
    <row r="68" spans="4:10" x14ac:dyDescent="0.2">
      <c r="D68" s="446" t="s">
        <v>595</v>
      </c>
      <c r="E68" s="446" t="s">
        <v>597</v>
      </c>
      <c r="F68" s="446" t="s">
        <v>554</v>
      </c>
      <c r="G68" s="447">
        <v>6.7279746664568527E-2</v>
      </c>
      <c r="H68" s="310">
        <v>34.406266094420602</v>
      </c>
      <c r="I68" s="448">
        <v>1.9290373887552928E-4</v>
      </c>
      <c r="J68" s="439"/>
    </row>
    <row r="69" spans="4:10" x14ac:dyDescent="0.2">
      <c r="D69" s="446" t="s">
        <v>595</v>
      </c>
      <c r="E69" s="446" t="s">
        <v>572</v>
      </c>
      <c r="F69" s="446" t="s">
        <v>554</v>
      </c>
      <c r="G69" s="447">
        <v>0.12921753919482581</v>
      </c>
      <c r="H69" s="310">
        <v>194.45832402234637</v>
      </c>
      <c r="I69" s="448">
        <v>2.0939521755098068E-3</v>
      </c>
      <c r="J69" s="439"/>
    </row>
    <row r="70" spans="4:10" x14ac:dyDescent="0.2">
      <c r="D70" s="446" t="s">
        <v>595</v>
      </c>
      <c r="E70" s="446" t="s">
        <v>567</v>
      </c>
      <c r="F70" s="446" t="s">
        <v>554</v>
      </c>
      <c r="G70" s="447">
        <v>4.0714353131777514E-2</v>
      </c>
      <c r="H70" s="310">
        <v>67.069255319148937</v>
      </c>
      <c r="I70" s="448">
        <v>2.2755677877909811E-4</v>
      </c>
      <c r="J70" s="439"/>
    </row>
    <row r="71" spans="4:10" x14ac:dyDescent="0.2">
      <c r="D71" s="446" t="s">
        <v>595</v>
      </c>
      <c r="E71" s="446" t="s">
        <v>568</v>
      </c>
      <c r="F71" s="446" t="s">
        <v>554</v>
      </c>
      <c r="G71" s="447">
        <v>4.9232604318922464E-2</v>
      </c>
      <c r="H71" s="310">
        <v>79.577360703812317</v>
      </c>
      <c r="I71" s="448">
        <v>3.264833926895801E-4</v>
      </c>
      <c r="J71" s="439"/>
    </row>
    <row r="72" spans="4:10" x14ac:dyDescent="0.2">
      <c r="D72" s="446" t="s">
        <v>595</v>
      </c>
      <c r="E72" s="446" t="s">
        <v>548</v>
      </c>
      <c r="F72" s="446" t="s">
        <v>554</v>
      </c>
      <c r="G72" s="447">
        <v>2.1829823381293476</v>
      </c>
      <c r="H72" s="310">
        <v>214.96774867724869</v>
      </c>
      <c r="I72" s="448">
        <v>3.910589988582186E-2</v>
      </c>
      <c r="J72" s="439"/>
    </row>
    <row r="73" spans="4:10" x14ac:dyDescent="0.2">
      <c r="D73" s="446" t="s">
        <v>595</v>
      </c>
      <c r="E73" s="446" t="s">
        <v>598</v>
      </c>
      <c r="F73" s="446" t="s">
        <v>554</v>
      </c>
      <c r="G73" s="447">
        <v>0.6120146912255493</v>
      </c>
      <c r="H73" s="310">
        <v>87.326345836282158</v>
      </c>
      <c r="I73" s="448">
        <v>4.4537505485706466E-3</v>
      </c>
      <c r="J73" s="439"/>
    </row>
    <row r="74" spans="4:10" x14ac:dyDescent="0.2">
      <c r="D74" s="446" t="s">
        <v>595</v>
      </c>
      <c r="E74" s="446" t="s">
        <v>549</v>
      </c>
      <c r="F74" s="446" t="s">
        <v>554</v>
      </c>
      <c r="G74" s="447">
        <v>41.821003900412542</v>
      </c>
      <c r="H74" s="310">
        <v>72.412540279287441</v>
      </c>
      <c r="I74" s="448">
        <v>0.25236376078823836</v>
      </c>
      <c r="J74" s="439"/>
    </row>
    <row r="75" spans="4:10" x14ac:dyDescent="0.2">
      <c r="D75" s="446" t="s">
        <v>595</v>
      </c>
      <c r="E75" s="446" t="s">
        <v>571</v>
      </c>
      <c r="F75" s="446" t="s">
        <v>554</v>
      </c>
      <c r="G75" s="447">
        <v>0.30925583123499095</v>
      </c>
      <c r="H75" s="310">
        <v>108.41891690009336</v>
      </c>
      <c r="I75" s="448">
        <v>2.7940985222946486E-3</v>
      </c>
      <c r="J75" s="439"/>
    </row>
    <row r="76" spans="4:10" x14ac:dyDescent="0.2">
      <c r="D76" s="446" t="s">
        <v>595</v>
      </c>
      <c r="E76" s="446" t="s">
        <v>561</v>
      </c>
      <c r="F76" s="446" t="s">
        <v>554</v>
      </c>
      <c r="G76" s="447">
        <v>0.42519067366342123</v>
      </c>
      <c r="H76" s="310">
        <v>127.09071646859115</v>
      </c>
      <c r="I76" s="448">
        <v>4.5031489459705946E-3</v>
      </c>
      <c r="J76" s="439"/>
    </row>
    <row r="77" spans="4:10" x14ac:dyDescent="0.2">
      <c r="D77" s="446" t="s">
        <v>595</v>
      </c>
      <c r="E77" s="446" t="s">
        <v>599</v>
      </c>
      <c r="F77" s="446" t="s">
        <v>554</v>
      </c>
      <c r="G77" s="447">
        <v>38.047851755923624</v>
      </c>
      <c r="H77" s="310">
        <v>42.009607067099125</v>
      </c>
      <c r="I77" s="448">
        <v>0.13319794183446573</v>
      </c>
      <c r="J77" s="439"/>
    </row>
    <row r="78" spans="4:10" x14ac:dyDescent="0.2">
      <c r="D78" s="446" t="s">
        <v>595</v>
      </c>
      <c r="E78" s="446" t="s">
        <v>600</v>
      </c>
      <c r="F78" s="446" t="s">
        <v>554</v>
      </c>
      <c r="G78" s="447">
        <v>0.12719625925211345</v>
      </c>
      <c r="H78" s="310">
        <v>76.998354143019299</v>
      </c>
      <c r="I78" s="448">
        <v>8.1615855129679379E-4</v>
      </c>
      <c r="J78" s="439"/>
    </row>
    <row r="79" spans="4:10" x14ac:dyDescent="0.2">
      <c r="D79" s="446" t="s">
        <v>595</v>
      </c>
      <c r="E79" s="446" t="s">
        <v>555</v>
      </c>
      <c r="F79" s="446" t="s">
        <v>554</v>
      </c>
      <c r="G79" s="447">
        <v>33.479903462532448</v>
      </c>
      <c r="H79" s="310">
        <v>82.304915564141524</v>
      </c>
      <c r="I79" s="448">
        <v>0.22963005229827854</v>
      </c>
      <c r="J79" s="439"/>
    </row>
    <row r="80" spans="4:10" x14ac:dyDescent="0.2">
      <c r="D80" s="446" t="s">
        <v>595</v>
      </c>
      <c r="E80" s="446" t="s">
        <v>552</v>
      </c>
      <c r="F80" s="446" t="s">
        <v>554</v>
      </c>
      <c r="G80" s="447">
        <v>2.8731050614268533E-2</v>
      </c>
      <c r="H80" s="310">
        <v>161.49713567839194</v>
      </c>
      <c r="I80" s="448">
        <v>3.8666519826960593E-4</v>
      </c>
      <c r="J80" s="439"/>
    </row>
    <row r="81" spans="4:10" x14ac:dyDescent="0.2">
      <c r="D81" s="446" t="s">
        <v>595</v>
      </c>
      <c r="E81" s="446" t="s">
        <v>581</v>
      </c>
      <c r="F81" s="446" t="s">
        <v>554</v>
      </c>
      <c r="G81" s="447">
        <v>0.22133015372700332</v>
      </c>
      <c r="H81" s="310">
        <v>158.79123939986951</v>
      </c>
      <c r="I81" s="448">
        <v>2.928774118906209E-3</v>
      </c>
      <c r="J81" s="439"/>
    </row>
    <row r="82" spans="4:10" x14ac:dyDescent="0.2">
      <c r="D82" s="446" t="s">
        <v>595</v>
      </c>
      <c r="E82" s="446" t="s">
        <v>574</v>
      </c>
      <c r="F82" s="446" t="s">
        <v>554</v>
      </c>
      <c r="G82" s="447">
        <v>1.0120837427438312</v>
      </c>
      <c r="H82" s="310">
        <v>91.494243937232653</v>
      </c>
      <c r="I82" s="448">
        <v>7.7166530702926263E-3</v>
      </c>
      <c r="J82" s="439"/>
    </row>
    <row r="83" spans="4:10" x14ac:dyDescent="0.2">
      <c r="D83" s="446" t="s">
        <v>595</v>
      </c>
      <c r="E83" s="446" t="s">
        <v>601</v>
      </c>
      <c r="F83" s="446" t="s">
        <v>554</v>
      </c>
      <c r="G83" s="447">
        <v>2.9308559169329208E-2</v>
      </c>
      <c r="H83" s="310">
        <v>425.36034482758623</v>
      </c>
      <c r="I83" s="448">
        <v>1.0388915695554654E-3</v>
      </c>
      <c r="J83" s="439"/>
    </row>
    <row r="84" spans="4:10" x14ac:dyDescent="0.2">
      <c r="D84" s="446" t="s">
        <v>595</v>
      </c>
      <c r="E84" s="446" t="s">
        <v>559</v>
      </c>
      <c r="F84" s="446" t="s">
        <v>554</v>
      </c>
      <c r="G84" s="447">
        <v>3.0177709544695523</v>
      </c>
      <c r="H84" s="310">
        <v>73.494063247536204</v>
      </c>
      <c r="I84" s="448">
        <v>1.8482354116196913E-2</v>
      </c>
      <c r="J84" s="439"/>
    </row>
    <row r="85" spans="4:10" x14ac:dyDescent="0.2">
      <c r="D85" s="446" t="s">
        <v>595</v>
      </c>
      <c r="E85" s="446" t="s">
        <v>573</v>
      </c>
      <c r="F85" s="446" t="s">
        <v>554</v>
      </c>
      <c r="G85" s="447">
        <v>0.41638366819874589</v>
      </c>
      <c r="H85" s="310">
        <v>79.539372399445242</v>
      </c>
      <c r="I85" s="448">
        <v>2.759907970492258E-3</v>
      </c>
      <c r="J85" s="439"/>
    </row>
    <row r="86" spans="4:10" x14ac:dyDescent="0.2">
      <c r="D86" s="446" t="s">
        <v>595</v>
      </c>
      <c r="E86" s="446" t="s">
        <v>562</v>
      </c>
      <c r="F86" s="446" t="s">
        <v>554</v>
      </c>
      <c r="G86" s="447">
        <v>0.2343240962158685</v>
      </c>
      <c r="H86" s="310">
        <v>65.677319778188533</v>
      </c>
      <c r="I86" s="448">
        <v>1.2824815499087178E-3</v>
      </c>
      <c r="J86" s="439"/>
    </row>
    <row r="87" spans="4:10" x14ac:dyDescent="0.2">
      <c r="D87" s="446" t="s">
        <v>595</v>
      </c>
      <c r="E87" s="446" t="s">
        <v>550</v>
      </c>
      <c r="F87" s="446" t="s">
        <v>554</v>
      </c>
      <c r="G87" s="447">
        <v>21.093355596452351</v>
      </c>
      <c r="H87" s="310">
        <v>93.919031136420855</v>
      </c>
      <c r="I87" s="448">
        <v>0.16508896008623378</v>
      </c>
      <c r="J87" s="439"/>
    </row>
    <row r="88" spans="4:10" x14ac:dyDescent="0.2">
      <c r="D88" s="446" t="s">
        <v>595</v>
      </c>
      <c r="E88" s="446" t="s">
        <v>579</v>
      </c>
      <c r="F88" s="446" t="s">
        <v>554</v>
      </c>
      <c r="G88" s="447">
        <v>6.930102660728088E-2</v>
      </c>
      <c r="H88" s="310">
        <v>103.53208333333335</v>
      </c>
      <c r="I88" s="448">
        <v>5.9790663848254628E-4</v>
      </c>
      <c r="J88" s="439"/>
    </row>
    <row r="89" spans="4:10" x14ac:dyDescent="0.2">
      <c r="D89" s="446" t="s">
        <v>595</v>
      </c>
      <c r="E89" s="446" t="s">
        <v>556</v>
      </c>
      <c r="F89" s="446" t="s">
        <v>554</v>
      </c>
      <c r="G89" s="447">
        <v>9.904271719290561E-2</v>
      </c>
      <c r="H89" s="310">
        <v>99.117871720116597</v>
      </c>
      <c r="I89" s="448">
        <v>8.1807527812818382E-4</v>
      </c>
      <c r="J89" s="439"/>
    </row>
    <row r="90" spans="4:10" x14ac:dyDescent="0.2">
      <c r="D90" s="446" t="s">
        <v>595</v>
      </c>
      <c r="E90" s="446" t="s">
        <v>602</v>
      </c>
      <c r="F90" s="446" t="s">
        <v>554</v>
      </c>
      <c r="G90" s="447">
        <v>8.7348168952926949E-2</v>
      </c>
      <c r="H90" s="310">
        <v>124.42295867768593</v>
      </c>
      <c r="I90" s="448">
        <v>9.0567646801679655E-4</v>
      </c>
      <c r="J90" s="439"/>
    </row>
    <row r="91" spans="4:10" x14ac:dyDescent="0.2">
      <c r="D91" s="446" t="s">
        <v>595</v>
      </c>
      <c r="E91" s="446" t="s">
        <v>577</v>
      </c>
      <c r="F91" s="446" t="s">
        <v>554</v>
      </c>
      <c r="G91" s="447">
        <v>10.99345285413499</v>
      </c>
      <c r="H91" s="310">
        <v>30.296165292078761</v>
      </c>
      <c r="I91" s="448">
        <v>2.7754955399962387E-2</v>
      </c>
      <c r="J91" s="439"/>
    </row>
    <row r="92" spans="4:10" x14ac:dyDescent="0.2">
      <c r="D92" s="446" t="s">
        <v>595</v>
      </c>
      <c r="E92" s="446" t="s">
        <v>576</v>
      </c>
      <c r="F92" s="446" t="s">
        <v>554</v>
      </c>
      <c r="G92" s="447">
        <v>0.52654342507656948</v>
      </c>
      <c r="H92" s="310">
        <v>78.154400877433503</v>
      </c>
      <c r="I92" s="448">
        <v>3.4293071602342572E-3</v>
      </c>
      <c r="J92" s="439"/>
    </row>
    <row r="93" spans="4:10" x14ac:dyDescent="0.2">
      <c r="D93" s="446" t="s">
        <v>595</v>
      </c>
      <c r="E93" s="446" t="s">
        <v>603</v>
      </c>
      <c r="F93" s="446" t="s">
        <v>554</v>
      </c>
      <c r="G93" s="447">
        <v>1.4437713876516848E-2</v>
      </c>
      <c r="H93" s="310">
        <v>96.686000000000021</v>
      </c>
      <c r="I93" s="448">
        <v>1.1632706698874237E-4</v>
      </c>
      <c r="J93" s="439"/>
    </row>
    <row r="94" spans="4:10" x14ac:dyDescent="0.2">
      <c r="D94" s="446" t="s">
        <v>595</v>
      </c>
      <c r="E94" s="446" t="s">
        <v>557</v>
      </c>
      <c r="F94" s="446" t="s">
        <v>554</v>
      </c>
      <c r="G94" s="447">
        <v>8.2439346234911212E-2</v>
      </c>
      <c r="H94" s="310">
        <v>74.394483362521882</v>
      </c>
      <c r="I94" s="448">
        <v>5.1108604765752366E-4</v>
      </c>
      <c r="J94" s="439"/>
    </row>
    <row r="95" spans="4:10" x14ac:dyDescent="0.2">
      <c r="D95" s="446" t="s">
        <v>595</v>
      </c>
      <c r="E95" s="446" t="s">
        <v>582</v>
      </c>
      <c r="F95" s="446" t="s">
        <v>554</v>
      </c>
      <c r="G95" s="447">
        <v>2.2522833647366285E-2</v>
      </c>
      <c r="H95" s="310">
        <v>70.160448717948739</v>
      </c>
      <c r="I95" s="448">
        <v>1.3168434292491104E-4</v>
      </c>
      <c r="J95" s="439"/>
    </row>
    <row r="96" spans="4:10" x14ac:dyDescent="0.2">
      <c r="D96" s="446" t="s">
        <v>595</v>
      </c>
      <c r="E96" s="446" t="s">
        <v>565</v>
      </c>
      <c r="F96" s="446" t="s">
        <v>554</v>
      </c>
      <c r="G96" s="447">
        <v>8.2150591957380892E-2</v>
      </c>
      <c r="H96" s="310">
        <v>74.732231985940231</v>
      </c>
      <c r="I96" s="448">
        <v>5.1160809132844208E-4</v>
      </c>
      <c r="J96" s="439"/>
    </row>
    <row r="97" spans="4:13" x14ac:dyDescent="0.2">
      <c r="D97" s="446" t="s">
        <v>595</v>
      </c>
      <c r="E97" s="446" t="s">
        <v>604</v>
      </c>
      <c r="F97" s="446" t="s">
        <v>554</v>
      </c>
      <c r="G97" s="447">
        <v>0.4100310740930786</v>
      </c>
      <c r="H97" s="310">
        <v>103.91735211267606</v>
      </c>
      <c r="I97" s="448">
        <v>3.5507786253057682E-3</v>
      </c>
      <c r="J97" s="439"/>
    </row>
    <row r="98" spans="4:13" x14ac:dyDescent="0.2">
      <c r="D98" s="446" t="s">
        <v>595</v>
      </c>
      <c r="E98" s="446" t="s">
        <v>569</v>
      </c>
      <c r="F98" s="446" t="s">
        <v>554</v>
      </c>
      <c r="G98" s="447">
        <v>9.3556385919829205E-2</v>
      </c>
      <c r="H98" s="310">
        <v>89.855802469135782</v>
      </c>
      <c r="I98" s="448">
        <v>7.0054867774486745E-4</v>
      </c>
      <c r="J98" s="439"/>
    </row>
    <row r="99" spans="4:13" x14ac:dyDescent="0.2">
      <c r="D99" s="446" t="s">
        <v>595</v>
      </c>
      <c r="E99" s="446" t="s">
        <v>553</v>
      </c>
      <c r="F99" s="446" t="s">
        <v>554</v>
      </c>
      <c r="G99" s="447">
        <v>2.9256583399373737</v>
      </c>
      <c r="H99" s="310">
        <v>90.258768258981476</v>
      </c>
      <c r="I99" s="448">
        <v>2.2005526509113655E-2</v>
      </c>
      <c r="J99" s="439"/>
    </row>
    <row r="100" spans="4:13" x14ac:dyDescent="0.2">
      <c r="D100" s="446" t="s">
        <v>595</v>
      </c>
      <c r="E100" s="446" t="s">
        <v>570</v>
      </c>
      <c r="F100" s="446" t="s">
        <v>554</v>
      </c>
      <c r="G100" s="447">
        <v>0.36166473260674714</v>
      </c>
      <c r="H100" s="310">
        <v>51.111381237524945</v>
      </c>
      <c r="I100" s="448">
        <v>1.5404320023692476E-3</v>
      </c>
      <c r="J100" s="439"/>
    </row>
    <row r="101" spans="4:13" x14ac:dyDescent="0.2">
      <c r="D101" s="446" t="s">
        <v>595</v>
      </c>
      <c r="E101" s="446" t="s">
        <v>551</v>
      </c>
      <c r="F101" s="446" t="s">
        <v>554</v>
      </c>
      <c r="G101" s="447">
        <v>1.2993942488865166E-3</v>
      </c>
      <c r="H101" s="310">
        <v>98.206666666666678</v>
      </c>
      <c r="I101" s="448">
        <v>1.0634098155748486E-5</v>
      </c>
      <c r="J101" s="439"/>
    </row>
    <row r="102" spans="4:13" x14ac:dyDescent="0.2">
      <c r="D102" s="446" t="s">
        <v>595</v>
      </c>
      <c r="E102" s="446" t="s">
        <v>578</v>
      </c>
      <c r="F102" s="446" t="s">
        <v>554</v>
      </c>
      <c r="G102" s="447">
        <v>0.3138758996754763</v>
      </c>
      <c r="H102" s="310">
        <v>69.572953081876719</v>
      </c>
      <c r="I102" s="448">
        <v>1.8197727701378132E-3</v>
      </c>
      <c r="J102" s="439"/>
    </row>
    <row r="103" spans="4:13" x14ac:dyDescent="0.2">
      <c r="D103" s="446" t="s">
        <v>595</v>
      </c>
      <c r="E103" s="446" t="s">
        <v>560</v>
      </c>
      <c r="F103" s="446" t="s">
        <v>554</v>
      </c>
      <c r="G103" s="447">
        <v>0.29510687163600446</v>
      </c>
      <c r="H103" s="310">
        <v>77.508043052837564</v>
      </c>
      <c r="I103" s="448">
        <v>1.9060963426626367E-3</v>
      </c>
      <c r="J103" s="439"/>
    </row>
    <row r="104" spans="4:13" x14ac:dyDescent="0.2">
      <c r="D104" s="446" t="s">
        <v>595</v>
      </c>
      <c r="E104" s="446" t="s">
        <v>575</v>
      </c>
      <c r="F104" s="446" t="s">
        <v>554</v>
      </c>
      <c r="G104" s="447">
        <v>5.5440821285824705E-2</v>
      </c>
      <c r="H104" s="310">
        <v>112.55145833333333</v>
      </c>
      <c r="I104" s="448">
        <v>5.199954405764399E-4</v>
      </c>
      <c r="J104" s="439"/>
    </row>
    <row r="105" spans="4:13" x14ac:dyDescent="0.2">
      <c r="D105" s="446" t="s">
        <v>595</v>
      </c>
      <c r="E105" s="446" t="s">
        <v>566</v>
      </c>
      <c r="F105" s="446" t="s">
        <v>554</v>
      </c>
      <c r="G105" s="447">
        <v>0.15332852136860894</v>
      </c>
      <c r="H105" s="310">
        <v>120.08345574387948</v>
      </c>
      <c r="I105" s="448">
        <v>1.5343515591701527E-3</v>
      </c>
      <c r="J105" s="439"/>
    </row>
    <row r="106" spans="4:13" x14ac:dyDescent="0.2">
      <c r="D106" s="446" t="s">
        <v>595</v>
      </c>
      <c r="E106" s="446" t="s">
        <v>580</v>
      </c>
      <c r="F106" s="446" t="s">
        <v>554</v>
      </c>
      <c r="G106" s="447">
        <v>4.33131416295506E-4</v>
      </c>
      <c r="H106" s="310">
        <v>758.61444444444442</v>
      </c>
      <c r="I106" s="448">
        <v>8.2144937186112574E-5</v>
      </c>
      <c r="J106" s="439"/>
    </row>
    <row r="107" spans="4:13" x14ac:dyDescent="0.2">
      <c r="D107" s="451" t="s">
        <v>595</v>
      </c>
      <c r="E107" s="451" t="s">
        <v>558</v>
      </c>
      <c r="F107" s="451" t="s">
        <v>554</v>
      </c>
      <c r="G107" s="452">
        <v>3.1088729290303725</v>
      </c>
      <c r="H107" s="310">
        <v>3.5943013049737624</v>
      </c>
      <c r="I107" s="454">
        <v>9.3118550215095597E-4</v>
      </c>
      <c r="J107" s="439"/>
    </row>
    <row r="108" spans="4:13" ht="16" x14ac:dyDescent="0.2">
      <c r="D108" s="461" t="s">
        <v>605</v>
      </c>
      <c r="E108" s="460"/>
      <c r="F108" s="460"/>
      <c r="G108" s="465">
        <v>174.00159511411587</v>
      </c>
      <c r="H108" s="466"/>
      <c r="I108" s="467">
        <v>1.061889853964779</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3.3228407433372302</v>
      </c>
      <c r="J118" s="439"/>
    </row>
  </sheetData>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803</v>
      </c>
      <c r="G3"/>
      <c r="H3"/>
      <c r="I3"/>
    </row>
    <row r="4" spans="2:19" x14ac:dyDescent="0.2">
      <c r="G4"/>
      <c r="H4"/>
      <c r="I4"/>
    </row>
    <row r="5" spans="2:19" ht="16" x14ac:dyDescent="0.2">
      <c r="D5" s="438" t="s">
        <v>804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3.8981827466595498E-3</v>
      </c>
      <c r="O9" s="310">
        <v>286.66703703703706</v>
      </c>
      <c r="P9" s="388">
        <v>9.3123374817815995E-5</v>
      </c>
      <c r="Q9" s="29">
        <f>'Assumptions-Output Target'!E17</f>
        <v>254.62963284816803</v>
      </c>
      <c r="R9" s="388">
        <f>N9*Q9/12000</f>
        <v>8.27160701297487E-5</v>
      </c>
      <c r="S9" s="388">
        <f>P9-R9</f>
        <v>1.0407304688067295E-5</v>
      </c>
    </row>
    <row r="10" spans="2:19" x14ac:dyDescent="0.2">
      <c r="D10" s="446" t="s">
        <v>1</v>
      </c>
      <c r="E10" s="446" t="s">
        <v>46</v>
      </c>
      <c r="F10" s="446" t="s">
        <v>534</v>
      </c>
      <c r="G10" s="447">
        <v>0</v>
      </c>
      <c r="H10" s="310" t="s">
        <v>446</v>
      </c>
      <c r="I10" s="448">
        <v>0</v>
      </c>
      <c r="J10" s="439"/>
      <c r="K10" s="446" t="s">
        <v>462</v>
      </c>
      <c r="L10" s="446" t="s">
        <v>538</v>
      </c>
      <c r="M10" s="446" t="s">
        <v>539</v>
      </c>
      <c r="N10" s="449">
        <v>18.181701838975201</v>
      </c>
      <c r="O10" s="310">
        <v>350.64423593685791</v>
      </c>
      <c r="P10" s="388">
        <v>0.5312757457799353</v>
      </c>
      <c r="Q10" s="29">
        <v>0</v>
      </c>
      <c r="R10" s="388">
        <f>N10*Q10/12000</f>
        <v>0</v>
      </c>
      <c r="S10" s="388">
        <f>P10-R10</f>
        <v>0.5312757457799353</v>
      </c>
    </row>
    <row r="11" spans="2:19" x14ac:dyDescent="0.2">
      <c r="D11" s="446" t="s">
        <v>1</v>
      </c>
      <c r="E11" s="446" t="s">
        <v>540</v>
      </c>
      <c r="F11" s="446" t="s">
        <v>534</v>
      </c>
      <c r="G11" s="447">
        <v>0</v>
      </c>
      <c r="H11" s="310" t="s">
        <v>446</v>
      </c>
      <c r="I11" s="448">
        <v>0</v>
      </c>
      <c r="J11" s="439"/>
      <c r="K11" s="320" t="s">
        <v>463</v>
      </c>
      <c r="L11" s="450" t="s">
        <v>541</v>
      </c>
      <c r="M11" s="446" t="s">
        <v>539</v>
      </c>
      <c r="N11" s="449">
        <v>24.979555040594395</v>
      </c>
      <c r="O11" s="310">
        <v>61.647545024737539</v>
      </c>
      <c r="P11" s="388">
        <v>0.1283273536719127</v>
      </c>
      <c r="Q11" s="29">
        <f>'Assumptions-Output Target'!G17</f>
        <v>30.555555941780163</v>
      </c>
      <c r="R11" s="388">
        <f>N11*Q11/12000</f>
        <v>6.3605349286971549E-2</v>
      </c>
      <c r="S11" s="388">
        <f>P11-R11</f>
        <v>6.4722004384941148E-2</v>
      </c>
    </row>
    <row r="12" spans="2:19" x14ac:dyDescent="0.2">
      <c r="D12" s="446" t="s">
        <v>1</v>
      </c>
      <c r="E12" s="446" t="s">
        <v>542</v>
      </c>
      <c r="F12" s="446" t="s">
        <v>534</v>
      </c>
      <c r="G12" s="447">
        <v>0</v>
      </c>
      <c r="H12" s="310" t="s">
        <v>446</v>
      </c>
      <c r="I12" s="448">
        <v>0</v>
      </c>
      <c r="J12" s="439"/>
      <c r="K12" s="320" t="s">
        <v>464</v>
      </c>
      <c r="L12" s="450" t="s">
        <v>541</v>
      </c>
      <c r="M12" s="446" t="s">
        <v>539</v>
      </c>
      <c r="N12" s="449">
        <v>61.657989635330395</v>
      </c>
      <c r="O12" s="310">
        <v>37.037167437046179</v>
      </c>
      <c r="P12" s="388">
        <v>0.19030310716294915</v>
      </c>
      <c r="Q12" s="29">
        <f>'Assumptions-Output Target'!H17</f>
        <v>55.000000695204292</v>
      </c>
      <c r="R12" s="388">
        <f>N12*Q12/12000</f>
        <v>0.28259912273400589</v>
      </c>
      <c r="S12" s="388">
        <f>P12-R12</f>
        <v>-9.2296015571056739E-2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0.84999932998961503</v>
      </c>
      <c r="R15" s="388">
        <f>SUM(R8:R13)</f>
        <v>0.3462871880911072</v>
      </c>
      <c r="S15" s="388">
        <f>SUM(S8:S13)</f>
        <v>0.50371214189850777</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3.8981827466595498E-3</v>
      </c>
      <c r="H18" s="310">
        <v>286.66703703703706</v>
      </c>
      <c r="I18" s="448">
        <v>9.3123374817815995E-5</v>
      </c>
      <c r="J18" s="439"/>
    </row>
    <row r="19" spans="4:10" x14ac:dyDescent="0.2">
      <c r="D19" s="446" t="s">
        <v>462</v>
      </c>
      <c r="E19" s="446" t="s">
        <v>549</v>
      </c>
      <c r="F19" s="446" t="s">
        <v>537</v>
      </c>
      <c r="G19" s="447">
        <v>3.0319199140685388E-2</v>
      </c>
      <c r="H19" s="310">
        <v>1774.0048095238092</v>
      </c>
      <c r="I19" s="448">
        <v>4.4822004247071683E-3</v>
      </c>
      <c r="J19" s="439"/>
    </row>
    <row r="20" spans="4:10" x14ac:dyDescent="0.2">
      <c r="D20" s="446" t="s">
        <v>462</v>
      </c>
      <c r="E20" s="446" t="s">
        <v>550</v>
      </c>
      <c r="F20" s="446" t="s">
        <v>537</v>
      </c>
      <c r="G20" s="447">
        <v>1.557540572998638</v>
      </c>
      <c r="H20" s="310">
        <v>185.76917130144602</v>
      </c>
      <c r="I20" s="448">
        <v>2.411191845952803E-2</v>
      </c>
      <c r="J20" s="439"/>
    </row>
    <row r="21" spans="4:10" x14ac:dyDescent="0.2">
      <c r="D21" s="446" t="s">
        <v>462</v>
      </c>
      <c r="E21" s="446" t="s">
        <v>551</v>
      </c>
      <c r="F21" s="446" t="s">
        <v>537</v>
      </c>
      <c r="G21" s="447">
        <v>4.5623175849793245E-2</v>
      </c>
      <c r="H21" s="310">
        <v>190.08221518987344</v>
      </c>
      <c r="I21" s="448">
        <v>7.2267952746048636E-4</v>
      </c>
      <c r="J21" s="439"/>
    </row>
    <row r="22" spans="4:10" x14ac:dyDescent="0.2">
      <c r="D22" s="446" t="s">
        <v>462</v>
      </c>
      <c r="E22" s="446" t="s">
        <v>552</v>
      </c>
      <c r="F22" s="446" t="s">
        <v>537</v>
      </c>
      <c r="G22" s="447">
        <v>4.0425598854247182E-3</v>
      </c>
      <c r="H22" s="310">
        <v>313.95107142857142</v>
      </c>
      <c r="I22" s="448">
        <v>1.057638339452711E-4</v>
      </c>
      <c r="J22" s="439"/>
    </row>
    <row r="23" spans="4:10" x14ac:dyDescent="0.2">
      <c r="D23" s="446" t="s">
        <v>462</v>
      </c>
      <c r="E23" s="446" t="s">
        <v>553</v>
      </c>
      <c r="F23" s="446" t="s">
        <v>554</v>
      </c>
      <c r="G23" s="447">
        <v>1.0106399713561795E-3</v>
      </c>
      <c r="H23" s="310">
        <v>78.999999999999986</v>
      </c>
      <c r="I23" s="448">
        <v>6.6533798114281813E-6</v>
      </c>
      <c r="J23" s="439"/>
    </row>
    <row r="24" spans="4:10" x14ac:dyDescent="0.2">
      <c r="D24" s="446" t="s">
        <v>462</v>
      </c>
      <c r="E24" s="446" t="s">
        <v>555</v>
      </c>
      <c r="F24" s="446" t="s">
        <v>537</v>
      </c>
      <c r="G24" s="447">
        <v>6.4969712444325825E-3</v>
      </c>
      <c r="H24" s="310">
        <v>406.69555555555553</v>
      </c>
      <c r="I24" s="448">
        <v>2.2019077747358152E-4</v>
      </c>
      <c r="J24" s="439"/>
    </row>
    <row r="25" spans="4:10" x14ac:dyDescent="0.2">
      <c r="D25" s="446" t="s">
        <v>462</v>
      </c>
      <c r="E25" s="446" t="s">
        <v>556</v>
      </c>
      <c r="F25" s="446" t="s">
        <v>537</v>
      </c>
      <c r="G25" s="447">
        <v>1.4437713876516849E-4</v>
      </c>
      <c r="H25" s="310">
        <v>600</v>
      </c>
      <c r="I25" s="448">
        <v>7.2188569382584246E-6</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1.2993942488865166E-3</v>
      </c>
      <c r="H28" s="310">
        <v>38.371111111111105</v>
      </c>
      <c r="I28" s="448">
        <v>4.1549334250969406E-6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1.4437713876516849E-4</v>
      </c>
      <c r="H30" s="310">
        <v>-2</v>
      </c>
      <c r="I30" s="448">
        <v>-2.4062856460861417E-8</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6.7313106992724059</v>
      </c>
      <c r="H52" s="310">
        <v>364.03692439337783</v>
      </c>
      <c r="I52" s="448">
        <v>0.204203803674947</v>
      </c>
      <c r="J52" s="439"/>
    </row>
    <row r="53" spans="4:10" x14ac:dyDescent="0.2">
      <c r="D53" s="446" t="s">
        <v>462</v>
      </c>
      <c r="E53" s="446" t="s">
        <v>584</v>
      </c>
      <c r="F53" s="446" t="s">
        <v>554</v>
      </c>
      <c r="G53" s="447">
        <v>0.37201395461501158</v>
      </c>
      <c r="H53" s="310">
        <v>364.03692439337789</v>
      </c>
      <c r="I53" s="448">
        <v>1.1285567989122208E-2</v>
      </c>
      <c r="J53" s="439"/>
    </row>
    <row r="54" spans="4:10" x14ac:dyDescent="0.2">
      <c r="D54" s="446" t="s">
        <v>462</v>
      </c>
      <c r="E54" s="446" t="s">
        <v>585</v>
      </c>
      <c r="F54" s="446" t="s">
        <v>554</v>
      </c>
      <c r="G54" s="447">
        <v>1.6472600057279756</v>
      </c>
      <c r="H54" s="310">
        <v>364.03692439337789</v>
      </c>
      <c r="I54" s="448">
        <v>4.9971955513452522E-2</v>
      </c>
      <c r="J54" s="439"/>
    </row>
    <row r="55" spans="4:10" x14ac:dyDescent="0.2">
      <c r="D55" s="446" t="s">
        <v>462</v>
      </c>
      <c r="E55" s="446" t="s">
        <v>586</v>
      </c>
      <c r="F55" s="446" t="s">
        <v>537</v>
      </c>
      <c r="G55" s="447">
        <v>0.90045339011076941</v>
      </c>
      <c r="H55" s="310">
        <v>364.03692439337794</v>
      </c>
      <c r="I55" s="448">
        <v>2.7316523557959584E-2</v>
      </c>
      <c r="J55" s="439"/>
    </row>
    <row r="56" spans="4:10" x14ac:dyDescent="0.2">
      <c r="D56" s="446" t="s">
        <v>462</v>
      </c>
      <c r="E56" s="446" t="s">
        <v>5</v>
      </c>
      <c r="F56" s="446" t="s">
        <v>537</v>
      </c>
      <c r="G56" s="447">
        <v>0.77214819758570374</v>
      </c>
      <c r="H56" s="310">
        <v>364.03692439337789</v>
      </c>
      <c r="I56" s="448">
        <v>2.3424204585415821E-2</v>
      </c>
      <c r="J56" s="439"/>
    </row>
    <row r="57" spans="4:10" x14ac:dyDescent="0.2">
      <c r="D57" s="446" t="s">
        <v>462</v>
      </c>
      <c r="E57" s="446" t="s">
        <v>587</v>
      </c>
      <c r="F57" s="446" t="s">
        <v>537</v>
      </c>
      <c r="G57" s="447">
        <v>2.0391617580256116</v>
      </c>
      <c r="H57" s="310">
        <v>364.03692439337794</v>
      </c>
      <c r="I57" s="448">
        <v>6.1860847894353102E-2</v>
      </c>
      <c r="J57" s="439"/>
    </row>
    <row r="58" spans="4:10" x14ac:dyDescent="0.2">
      <c r="D58" s="446" t="s">
        <v>462</v>
      </c>
      <c r="E58" s="446" t="s">
        <v>588</v>
      </c>
      <c r="F58" s="446" t="s">
        <v>537</v>
      </c>
      <c r="G58" s="447">
        <v>1.3774959621621223</v>
      </c>
      <c r="H58" s="310">
        <v>364.03692439337783</v>
      </c>
      <c r="I58" s="448">
        <v>4.1788282785816318E-2</v>
      </c>
      <c r="J58" s="439"/>
    </row>
    <row r="59" spans="4:10" x14ac:dyDescent="0.2">
      <c r="D59" s="446" t="s">
        <v>462</v>
      </c>
      <c r="E59" s="446" t="s">
        <v>589</v>
      </c>
      <c r="F59" s="446" t="s">
        <v>537</v>
      </c>
      <c r="G59" s="447">
        <v>0.53246471180260491</v>
      </c>
      <c r="H59" s="310">
        <v>364.03692439337789</v>
      </c>
      <c r="I59" s="448">
        <v>1.6153068002718887E-2</v>
      </c>
      <c r="J59" s="439"/>
    </row>
    <row r="60" spans="4:10" x14ac:dyDescent="0.2">
      <c r="D60" s="446" t="s">
        <v>462</v>
      </c>
      <c r="E60" s="446" t="s">
        <v>590</v>
      </c>
      <c r="F60" s="446" t="s">
        <v>537</v>
      </c>
      <c r="G60" s="447">
        <v>0.50822778640219501</v>
      </c>
      <c r="H60" s="310">
        <v>364.03692439337789</v>
      </c>
      <c r="I60" s="448">
        <v>1.5417806687759139E-2</v>
      </c>
      <c r="J60" s="439"/>
    </row>
    <row r="61" spans="4:10" x14ac:dyDescent="0.2">
      <c r="D61" s="446" t="s">
        <v>462</v>
      </c>
      <c r="E61" s="446" t="s">
        <v>591</v>
      </c>
      <c r="F61" s="446" t="s">
        <v>537</v>
      </c>
      <c r="G61" s="447">
        <v>0.84266013799892614</v>
      </c>
      <c r="H61" s="310">
        <v>364.03692439337789</v>
      </c>
      <c r="I61" s="448">
        <v>2.5563283745502371E-2</v>
      </c>
      <c r="J61" s="439"/>
    </row>
    <row r="62" spans="4:10" x14ac:dyDescent="0.2">
      <c r="D62" s="446" t="s">
        <v>462</v>
      </c>
      <c r="E62" s="446" t="s">
        <v>592</v>
      </c>
      <c r="F62" s="446" t="s">
        <v>537</v>
      </c>
      <c r="G62" s="447">
        <v>0.81188396765512683</v>
      </c>
      <c r="H62" s="310">
        <v>364.03692439337783</v>
      </c>
      <c r="I62" s="448">
        <v>2.462964521245542E-2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18.185600021721861</v>
      </c>
      <c r="H64" s="463"/>
      <c r="I64" s="464">
        <v>0.53136886915475312</v>
      </c>
      <c r="J64" s="439"/>
    </row>
    <row r="65" spans="4:10" x14ac:dyDescent="0.2">
      <c r="D65" s="446" t="s">
        <v>595</v>
      </c>
      <c r="E65" s="446" t="s">
        <v>596</v>
      </c>
      <c r="F65" s="446" t="s">
        <v>554</v>
      </c>
      <c r="G65" s="447">
        <v>3.1185461973276398E-2</v>
      </c>
      <c r="H65" s="310">
        <v>72.937870370370362</v>
      </c>
      <c r="I65" s="448">
        <v>1.8955009857057903E-4</v>
      </c>
      <c r="J65" s="439"/>
    </row>
    <row r="66" spans="4:10" x14ac:dyDescent="0.2">
      <c r="D66" s="446" t="s">
        <v>595</v>
      </c>
      <c r="E66" s="446" t="s">
        <v>563</v>
      </c>
      <c r="F66" s="446" t="s">
        <v>554</v>
      </c>
      <c r="G66" s="447">
        <v>7.0889175133697732E-2</v>
      </c>
      <c r="H66" s="310">
        <v>262.92171079429744</v>
      </c>
      <c r="I66" s="448">
        <v>1.5531919335790311E-3</v>
      </c>
      <c r="J66" s="439"/>
    </row>
    <row r="67" spans="4:10" x14ac:dyDescent="0.2">
      <c r="D67" s="446" t="s">
        <v>595</v>
      </c>
      <c r="E67" s="446" t="s">
        <v>564</v>
      </c>
      <c r="F67" s="446" t="s">
        <v>554</v>
      </c>
      <c r="G67" s="447">
        <v>0.52105709380349308</v>
      </c>
      <c r="H67" s="310">
        <v>110.12171792740402</v>
      </c>
      <c r="I67" s="448">
        <v>4.7816418589917637E-3</v>
      </c>
      <c r="J67" s="439"/>
    </row>
    <row r="68" spans="4:10" x14ac:dyDescent="0.2">
      <c r="D68" s="446" t="s">
        <v>595</v>
      </c>
      <c r="E68" s="446" t="s">
        <v>597</v>
      </c>
      <c r="F68" s="446" t="s">
        <v>554</v>
      </c>
      <c r="G68" s="447">
        <v>2.8586673475503366E-2</v>
      </c>
      <c r="H68" s="310">
        <v>61.719242424242431</v>
      </c>
      <c r="I68" s="448">
        <v>1.4702898586143776E-4</v>
      </c>
      <c r="J68" s="439"/>
    </row>
    <row r="69" spans="4:10" x14ac:dyDescent="0.2">
      <c r="D69" s="446" t="s">
        <v>595</v>
      </c>
      <c r="E69" s="446" t="s">
        <v>572</v>
      </c>
      <c r="F69" s="446" t="s">
        <v>554</v>
      </c>
      <c r="G69" s="447">
        <v>4.6200684404853918E-3</v>
      </c>
      <c r="H69" s="310">
        <v>133.91812500000003</v>
      </c>
      <c r="I69" s="448">
        <v>5.1559241910123158E-5</v>
      </c>
      <c r="J69" s="439"/>
    </row>
    <row r="70" spans="4:10" x14ac:dyDescent="0.2">
      <c r="D70" s="446" t="s">
        <v>595</v>
      </c>
      <c r="E70" s="446" t="s">
        <v>567</v>
      </c>
      <c r="F70" s="446" t="s">
        <v>554</v>
      </c>
      <c r="G70" s="447">
        <v>1.7614010929350558E-2</v>
      </c>
      <c r="H70" s="310">
        <v>69.501803278688527</v>
      </c>
      <c r="I70" s="448">
        <v>1.0201712688003267E-4</v>
      </c>
      <c r="J70" s="439"/>
    </row>
    <row r="71" spans="4:10" x14ac:dyDescent="0.2">
      <c r="D71" s="446" t="s">
        <v>595</v>
      </c>
      <c r="E71" s="446" t="s">
        <v>568</v>
      </c>
      <c r="F71" s="446" t="s">
        <v>554</v>
      </c>
      <c r="G71" s="447">
        <v>0.29005367177922353</v>
      </c>
      <c r="H71" s="310">
        <v>68.264305624688902</v>
      </c>
      <c r="I71" s="448">
        <v>1.6500260414916764E-3</v>
      </c>
      <c r="J71" s="439"/>
    </row>
    <row r="72" spans="4:10" x14ac:dyDescent="0.2">
      <c r="D72" s="446" t="s">
        <v>595</v>
      </c>
      <c r="E72" s="446" t="s">
        <v>548</v>
      </c>
      <c r="F72" s="446" t="s">
        <v>554</v>
      </c>
      <c r="G72" s="447">
        <v>0.20241674854876623</v>
      </c>
      <c r="H72" s="310">
        <v>134.90415834522111</v>
      </c>
      <c r="I72" s="448">
        <v>2.2755717581622969E-3</v>
      </c>
      <c r="J72" s="439"/>
    </row>
    <row r="73" spans="4:10" x14ac:dyDescent="0.2">
      <c r="D73" s="446" t="s">
        <v>595</v>
      </c>
      <c r="E73" s="446" t="s">
        <v>598</v>
      </c>
      <c r="F73" s="446" t="s">
        <v>554</v>
      </c>
      <c r="G73" s="447">
        <v>5.2813157360298639</v>
      </c>
      <c r="H73" s="310">
        <v>68.195197648988255</v>
      </c>
      <c r="I73" s="448">
        <v>3.0013364205439035E-2</v>
      </c>
      <c r="J73" s="439"/>
    </row>
    <row r="74" spans="4:10" x14ac:dyDescent="0.2">
      <c r="D74" s="446" t="s">
        <v>595</v>
      </c>
      <c r="E74" s="446" t="s">
        <v>549</v>
      </c>
      <c r="F74" s="446" t="s">
        <v>554</v>
      </c>
      <c r="G74" s="447">
        <v>13.431405219323624</v>
      </c>
      <c r="H74" s="310">
        <v>58.234747930775136</v>
      </c>
      <c r="I74" s="448">
        <v>6.5181208108617397E-2</v>
      </c>
      <c r="J74" s="439"/>
    </row>
    <row r="75" spans="4:10" x14ac:dyDescent="0.2">
      <c r="D75" s="446" t="s">
        <v>595</v>
      </c>
      <c r="E75" s="446" t="s">
        <v>571</v>
      </c>
      <c r="F75" s="446" t="s">
        <v>554</v>
      </c>
      <c r="G75" s="447">
        <v>0.10871598549017189</v>
      </c>
      <c r="H75" s="310">
        <v>107.81849933598939</v>
      </c>
      <c r="I75" s="448">
        <v>9.7679953411529408E-4</v>
      </c>
      <c r="J75" s="439"/>
    </row>
    <row r="76" spans="4:10" x14ac:dyDescent="0.2">
      <c r="D76" s="446" t="s">
        <v>595</v>
      </c>
      <c r="E76" s="446" t="s">
        <v>561</v>
      </c>
      <c r="F76" s="446" t="s">
        <v>554</v>
      </c>
      <c r="G76" s="447">
        <v>7.6953014961834834E-2</v>
      </c>
      <c r="H76" s="310">
        <v>155.25726078799244</v>
      </c>
      <c r="I76" s="448">
        <v>9.9562619269598948E-4</v>
      </c>
      <c r="J76" s="439"/>
    </row>
    <row r="77" spans="4:10" x14ac:dyDescent="0.2">
      <c r="D77" s="446" t="s">
        <v>595</v>
      </c>
      <c r="E77" s="446" t="s">
        <v>599</v>
      </c>
      <c r="F77" s="446" t="s">
        <v>554</v>
      </c>
      <c r="G77" s="447">
        <v>30.668303062219564</v>
      </c>
      <c r="H77" s="310">
        <v>27.02454316489106</v>
      </c>
      <c r="I77" s="448">
        <v>6.9066406658242777E-2</v>
      </c>
      <c r="J77" s="439"/>
    </row>
    <row r="78" spans="4:10" x14ac:dyDescent="0.2">
      <c r="D78" s="446" t="s">
        <v>595</v>
      </c>
      <c r="E78" s="446" t="s">
        <v>600</v>
      </c>
      <c r="F78" s="446" t="s">
        <v>554</v>
      </c>
      <c r="G78" s="447">
        <v>3.0607953418215723E-2</v>
      </c>
      <c r="H78" s="310">
        <v>78.016273584905662</v>
      </c>
      <c r="I78" s="448">
        <v>1.989932056457972E-4</v>
      </c>
      <c r="J78" s="439"/>
    </row>
    <row r="79" spans="4:10" x14ac:dyDescent="0.2">
      <c r="D79" s="446" t="s">
        <v>595</v>
      </c>
      <c r="E79" s="446" t="s">
        <v>555</v>
      </c>
      <c r="F79" s="446" t="s">
        <v>554</v>
      </c>
      <c r="G79" s="447">
        <v>9.933147147043595</v>
      </c>
      <c r="H79" s="310">
        <v>65.816313372092722</v>
      </c>
      <c r="I79" s="448">
        <v>5.4480260450077499E-2</v>
      </c>
      <c r="J79" s="439"/>
    </row>
    <row r="80" spans="4:10" x14ac:dyDescent="0.2">
      <c r="D80" s="446" t="s">
        <v>595</v>
      </c>
      <c r="E80" s="446" t="s">
        <v>552</v>
      </c>
      <c r="F80" s="446" t="s">
        <v>554</v>
      </c>
      <c r="G80" s="447">
        <v>5.6307084118415712E-3</v>
      </c>
      <c r="H80" s="310">
        <v>102.10769230769232</v>
      </c>
      <c r="I80" s="448">
        <v>4.791155349922117E-5</v>
      </c>
      <c r="J80" s="439"/>
    </row>
    <row r="81" spans="4:10" x14ac:dyDescent="0.2">
      <c r="D81" s="446" t="s">
        <v>595</v>
      </c>
      <c r="E81" s="446" t="s">
        <v>581</v>
      </c>
      <c r="F81" s="446" t="s">
        <v>554</v>
      </c>
      <c r="G81" s="447">
        <v>6.8001632358394362E-2</v>
      </c>
      <c r="H81" s="310">
        <v>143.35709129511679</v>
      </c>
      <c r="I81" s="448">
        <v>8.123763515182756E-4</v>
      </c>
      <c r="J81" s="439"/>
    </row>
    <row r="82" spans="4:10" x14ac:dyDescent="0.2">
      <c r="D82" s="446" t="s">
        <v>595</v>
      </c>
      <c r="E82" s="446" t="s">
        <v>574</v>
      </c>
      <c r="F82" s="446" t="s">
        <v>554</v>
      </c>
      <c r="G82" s="447">
        <v>6.4103449611734808E-2</v>
      </c>
      <c r="H82" s="310">
        <v>80.594346846846861</v>
      </c>
      <c r="I82" s="448">
        <v>4.3053130434062714E-4</v>
      </c>
      <c r="J82" s="439"/>
    </row>
    <row r="83" spans="4:10" x14ac:dyDescent="0.2">
      <c r="D83" s="446" t="s">
        <v>595</v>
      </c>
      <c r="E83" s="446" t="s">
        <v>601</v>
      </c>
      <c r="F83" s="446" t="s">
        <v>554</v>
      </c>
      <c r="G83" s="447">
        <v>3.1762970528337073E-3</v>
      </c>
      <c r="H83" s="310">
        <v>260.66500000000002</v>
      </c>
      <c r="I83" s="448">
        <v>6.8995789273074861E-5</v>
      </c>
      <c r="J83" s="439"/>
    </row>
    <row r="84" spans="4:10" x14ac:dyDescent="0.2">
      <c r="D84" s="446" t="s">
        <v>595</v>
      </c>
      <c r="E84" s="446" t="s">
        <v>559</v>
      </c>
      <c r="F84" s="446" t="s">
        <v>554</v>
      </c>
      <c r="G84" s="447">
        <v>1.2539154501754888</v>
      </c>
      <c r="H84" s="310">
        <v>62.405111111111097</v>
      </c>
      <c r="I84" s="448">
        <v>6.5208944160116888E-3</v>
      </c>
      <c r="J84" s="439"/>
    </row>
    <row r="85" spans="4:10" x14ac:dyDescent="0.2">
      <c r="D85" s="446" t="s">
        <v>595</v>
      </c>
      <c r="E85" s="446" t="s">
        <v>573</v>
      </c>
      <c r="F85" s="446" t="s">
        <v>554</v>
      </c>
      <c r="G85" s="447">
        <v>0.86799535825619312</v>
      </c>
      <c r="H85" s="310">
        <v>59.23674650698603</v>
      </c>
      <c r="I85" s="448">
        <v>4.2847684171885532E-3</v>
      </c>
      <c r="J85" s="439"/>
    </row>
    <row r="86" spans="4:10" x14ac:dyDescent="0.2">
      <c r="D86" s="446" t="s">
        <v>595</v>
      </c>
      <c r="E86" s="446" t="s">
        <v>562</v>
      </c>
      <c r="F86" s="446" t="s">
        <v>554</v>
      </c>
      <c r="G86" s="447">
        <v>0.14943033862194943</v>
      </c>
      <c r="H86" s="310">
        <v>69.259458937198048</v>
      </c>
      <c r="I86" s="448">
        <v>8.6245536681320886E-4</v>
      </c>
      <c r="J86" s="439"/>
    </row>
    <row r="87" spans="4:10" x14ac:dyDescent="0.2">
      <c r="D87" s="446" t="s">
        <v>595</v>
      </c>
      <c r="E87" s="446" t="s">
        <v>550</v>
      </c>
      <c r="F87" s="446" t="s">
        <v>554</v>
      </c>
      <c r="G87" s="447">
        <v>10.844166892651806</v>
      </c>
      <c r="H87" s="310">
        <v>53.649782052989224</v>
      </c>
      <c r="I87" s="448">
        <v>4.8482265861417566E-2</v>
      </c>
      <c r="J87" s="439"/>
    </row>
    <row r="88" spans="4:10" x14ac:dyDescent="0.2">
      <c r="D88" s="446" t="s">
        <v>595</v>
      </c>
      <c r="E88" s="446" t="s">
        <v>579</v>
      </c>
      <c r="F88" s="446" t="s">
        <v>554</v>
      </c>
      <c r="G88" s="447">
        <v>2.0790307982184265E-2</v>
      </c>
      <c r="H88" s="310">
        <v>89.686874999999986</v>
      </c>
      <c r="I88" s="448">
        <v>1.5538481276747184E-4</v>
      </c>
      <c r="J88" s="439"/>
    </row>
    <row r="89" spans="4:10" x14ac:dyDescent="0.2">
      <c r="D89" s="446" t="s">
        <v>595</v>
      </c>
      <c r="E89" s="446" t="s">
        <v>556</v>
      </c>
      <c r="F89" s="446" t="s">
        <v>554</v>
      </c>
      <c r="G89" s="447">
        <v>3.0607953418215716E-2</v>
      </c>
      <c r="H89" s="310">
        <v>62.467028301886799</v>
      </c>
      <c r="I89" s="448">
        <v>1.5933232436987616E-4</v>
      </c>
      <c r="J89" s="439"/>
    </row>
    <row r="90" spans="4:10" x14ac:dyDescent="0.2">
      <c r="D90" s="446" t="s">
        <v>595</v>
      </c>
      <c r="E90" s="446" t="s">
        <v>602</v>
      </c>
      <c r="F90" s="446" t="s">
        <v>554</v>
      </c>
      <c r="G90" s="447">
        <v>0.12315369936668871</v>
      </c>
      <c r="H90" s="310">
        <v>128.67813599062134</v>
      </c>
      <c r="I90" s="448">
        <v>1.3205990395712391E-3</v>
      </c>
      <c r="J90" s="439"/>
    </row>
    <row r="91" spans="4:10" x14ac:dyDescent="0.2">
      <c r="D91" s="446" t="s">
        <v>595</v>
      </c>
      <c r="E91" s="446" t="s">
        <v>577</v>
      </c>
      <c r="F91" s="446" t="s">
        <v>554</v>
      </c>
      <c r="G91" s="447">
        <v>8.036031543669278</v>
      </c>
      <c r="H91" s="310">
        <v>22.544211821774763</v>
      </c>
      <c r="I91" s="448">
        <v>1.5097166443911986E-2</v>
      </c>
      <c r="J91" s="439"/>
    </row>
    <row r="92" spans="4:10" x14ac:dyDescent="0.2">
      <c r="D92" s="446" t="s">
        <v>595</v>
      </c>
      <c r="E92" s="446" t="s">
        <v>576</v>
      </c>
      <c r="F92" s="446" t="s">
        <v>554</v>
      </c>
      <c r="G92" s="447">
        <v>0.36108722405168642</v>
      </c>
      <c r="H92" s="310">
        <v>71.284406237504996</v>
      </c>
      <c r="I92" s="448">
        <v>2.1449906972061165E-3</v>
      </c>
      <c r="J92" s="439"/>
    </row>
    <row r="93" spans="4:10" x14ac:dyDescent="0.2">
      <c r="D93" s="446" t="s">
        <v>595</v>
      </c>
      <c r="E93" s="446" t="s">
        <v>603</v>
      </c>
      <c r="F93" s="446" t="s">
        <v>554</v>
      </c>
      <c r="G93" s="447">
        <v>4.6200684404853918E-3</v>
      </c>
      <c r="H93" s="310">
        <v>142.68343750000005</v>
      </c>
      <c r="I93" s="448">
        <v>5.4933937214476671E-5</v>
      </c>
      <c r="J93" s="439"/>
    </row>
    <row r="94" spans="4:10" x14ac:dyDescent="0.2">
      <c r="D94" s="446" t="s">
        <v>595</v>
      </c>
      <c r="E94" s="446" t="s">
        <v>557</v>
      </c>
      <c r="F94" s="446" t="s">
        <v>554</v>
      </c>
      <c r="G94" s="447">
        <v>2.8586673475503366E-2</v>
      </c>
      <c r="H94" s="310">
        <v>82.907878787878801</v>
      </c>
      <c r="I94" s="448">
        <v>1.9750503828797522E-4</v>
      </c>
      <c r="J94" s="439"/>
    </row>
    <row r="95" spans="4:10" x14ac:dyDescent="0.2">
      <c r="D95" s="446" t="s">
        <v>595</v>
      </c>
      <c r="E95" s="446" t="s">
        <v>582</v>
      </c>
      <c r="F95" s="446" t="s">
        <v>554</v>
      </c>
      <c r="G95" s="447">
        <v>2.5987884977730332E-3</v>
      </c>
      <c r="H95" s="310">
        <v>93.181111111111107</v>
      </c>
      <c r="I95" s="448">
        <v>2.0179833313772211E-5</v>
      </c>
      <c r="J95" s="439"/>
    </row>
    <row r="96" spans="4:10" x14ac:dyDescent="0.2">
      <c r="D96" s="446" t="s">
        <v>595</v>
      </c>
      <c r="E96" s="446" t="s">
        <v>565</v>
      </c>
      <c r="F96" s="446" t="s">
        <v>554</v>
      </c>
      <c r="G96" s="447">
        <v>4.3601895907080884E-2</v>
      </c>
      <c r="H96" s="310">
        <v>59.778708609271533</v>
      </c>
      <c r="I96" s="448">
        <v>2.1720541918676477E-4</v>
      </c>
      <c r="J96" s="439"/>
    </row>
    <row r="97" spans="4:13" x14ac:dyDescent="0.2">
      <c r="D97" s="446" t="s">
        <v>595</v>
      </c>
      <c r="E97" s="446" t="s">
        <v>604</v>
      </c>
      <c r="F97" s="446" t="s">
        <v>554</v>
      </c>
      <c r="G97" s="447">
        <v>5.1687015677930333E-2</v>
      </c>
      <c r="H97" s="310">
        <v>105.60016759776533</v>
      </c>
      <c r="I97" s="448">
        <v>4.5484645985148059E-4</v>
      </c>
      <c r="J97" s="439"/>
    </row>
    <row r="98" spans="4:13" x14ac:dyDescent="0.2">
      <c r="D98" s="446" t="s">
        <v>595</v>
      </c>
      <c r="E98" s="446" t="s">
        <v>569</v>
      </c>
      <c r="F98" s="446" t="s">
        <v>554</v>
      </c>
      <c r="G98" s="447">
        <v>2.2234079369835947E-2</v>
      </c>
      <c r="H98" s="310">
        <v>83.661948051948059</v>
      </c>
      <c r="I98" s="448">
        <v>1.5501219943517543E-4</v>
      </c>
      <c r="J98" s="439"/>
    </row>
    <row r="99" spans="4:13" x14ac:dyDescent="0.2">
      <c r="D99" s="446" t="s">
        <v>595</v>
      </c>
      <c r="E99" s="446" t="s">
        <v>553</v>
      </c>
      <c r="F99" s="446" t="s">
        <v>554</v>
      </c>
      <c r="G99" s="447">
        <v>0.55195380149923923</v>
      </c>
      <c r="H99" s="310">
        <v>80.140737640596384</v>
      </c>
      <c r="I99" s="448">
        <v>3.6861653996400289E-3</v>
      </c>
      <c r="J99" s="439"/>
    </row>
    <row r="100" spans="4:13" x14ac:dyDescent="0.2">
      <c r="D100" s="446" t="s">
        <v>595</v>
      </c>
      <c r="E100" s="446" t="s">
        <v>570</v>
      </c>
      <c r="F100" s="446" t="s">
        <v>554</v>
      </c>
      <c r="G100" s="447">
        <v>0.21786510239663928</v>
      </c>
      <c r="H100" s="310">
        <v>65.513697813121198</v>
      </c>
      <c r="I100" s="448">
        <v>1.1894290402031777E-3</v>
      </c>
      <c r="J100" s="439"/>
    </row>
    <row r="101" spans="4:13" x14ac:dyDescent="0.2">
      <c r="D101" s="446" t="s">
        <v>595</v>
      </c>
      <c r="E101" s="446" t="s">
        <v>551</v>
      </c>
      <c r="F101" s="446" t="s">
        <v>554</v>
      </c>
      <c r="G101" s="447">
        <v>2.4399736451313481E-2</v>
      </c>
      <c r="H101" s="310">
        <v>89.649171597633128</v>
      </c>
      <c r="I101" s="448">
        <v>1.8228468000506886E-4</v>
      </c>
      <c r="J101" s="439"/>
    </row>
    <row r="102" spans="4:13" x14ac:dyDescent="0.2">
      <c r="D102" s="446" t="s">
        <v>595</v>
      </c>
      <c r="E102" s="446" t="s">
        <v>578</v>
      </c>
      <c r="F102" s="446" t="s">
        <v>554</v>
      </c>
      <c r="G102" s="447">
        <v>1.2849565350099998E-2</v>
      </c>
      <c r="H102" s="310">
        <v>69.099101123595489</v>
      </c>
      <c r="I102" s="448">
        <v>7.3991117960067377E-5</v>
      </c>
      <c r="J102" s="439"/>
    </row>
    <row r="103" spans="4:13" x14ac:dyDescent="0.2">
      <c r="D103" s="446" t="s">
        <v>595</v>
      </c>
      <c r="E103" s="446" t="s">
        <v>560</v>
      </c>
      <c r="F103" s="446" t="s">
        <v>554</v>
      </c>
      <c r="G103" s="447">
        <v>1.6892125235524715E-2</v>
      </c>
      <c r="H103" s="310">
        <v>63.453504273504272</v>
      </c>
      <c r="I103" s="448">
        <v>8.9322045068411401E-5</v>
      </c>
      <c r="J103" s="439"/>
    </row>
    <row r="104" spans="4:13" x14ac:dyDescent="0.2">
      <c r="D104" s="446" t="s">
        <v>595</v>
      </c>
      <c r="E104" s="446" t="s">
        <v>575</v>
      </c>
      <c r="F104" s="446" t="s">
        <v>554</v>
      </c>
      <c r="G104" s="447">
        <v>1.8191519484411233E-2</v>
      </c>
      <c r="H104" s="310">
        <v>119.53404761904763</v>
      </c>
      <c r="I104" s="448">
        <v>1.8120882969270376E-4</v>
      </c>
      <c r="J104" s="439"/>
    </row>
    <row r="105" spans="4:13" x14ac:dyDescent="0.2">
      <c r="D105" s="446" t="s">
        <v>595</v>
      </c>
      <c r="E105" s="446" t="s">
        <v>566</v>
      </c>
      <c r="F105" s="446" t="s">
        <v>554</v>
      </c>
      <c r="G105" s="447">
        <v>7.2188569382584241E-3</v>
      </c>
      <c r="H105" s="310">
        <v>93.070000000000022</v>
      </c>
      <c r="I105" s="448">
        <v>5.5988251270309308E-5</v>
      </c>
      <c r="J105" s="439"/>
    </row>
    <row r="106" spans="4:13" x14ac:dyDescent="0.2">
      <c r="D106" s="446" t="s">
        <v>595</v>
      </c>
      <c r="E106" s="446" t="s">
        <v>580</v>
      </c>
      <c r="F106" s="446" t="s">
        <v>554</v>
      </c>
      <c r="G106" s="447">
        <v>4.33131416295506E-4</v>
      </c>
      <c r="H106" s="310">
        <v>94.222857142857137</v>
      </c>
      <c r="I106" s="448">
        <v>7.9354488036628782E-6</v>
      </c>
      <c r="J106" s="439"/>
    </row>
    <row r="107" spans="4:13" x14ac:dyDescent="0.2">
      <c r="D107" s="451" t="s">
        <v>595</v>
      </c>
      <c r="E107" s="451" t="s">
        <v>558</v>
      </c>
      <c r="F107" s="451" t="s">
        <v>554</v>
      </c>
      <c r="G107" s="452">
        <v>3.1088729290303725</v>
      </c>
      <c r="H107" s="310">
        <v>5.2245390795523164E-2</v>
      </c>
      <c r="I107" s="454">
        <v>1.3535356759234546E-5</v>
      </c>
      <c r="J107" s="439"/>
    </row>
    <row r="108" spans="4:13" ht="16" x14ac:dyDescent="0.2">
      <c r="D108" s="461" t="s">
        <v>605</v>
      </c>
      <c r="E108" s="460"/>
      <c r="F108" s="460"/>
      <c r="G108" s="465">
        <v>86.637544675924786</v>
      </c>
      <c r="H108" s="466"/>
      <c r="I108" s="467">
        <v>0.31863046083486185</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0.84999932998961492</v>
      </c>
      <c r="J118" s="439"/>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803</v>
      </c>
      <c r="G3"/>
      <c r="H3"/>
      <c r="I3"/>
    </row>
    <row r="4" spans="2:19" x14ac:dyDescent="0.2">
      <c r="G4"/>
      <c r="H4"/>
      <c r="I4"/>
    </row>
    <row r="5" spans="2:19" ht="16" x14ac:dyDescent="0.2">
      <c r="D5" s="438" t="s">
        <v>804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3.8981827466595498E-3</v>
      </c>
      <c r="O9" s="310">
        <v>286.66703703703706</v>
      </c>
      <c r="P9" s="388">
        <v>9.3123374817815995E-5</v>
      </c>
      <c r="Q9" s="29">
        <f>'Assumptions-Output Override'!E19</f>
        <v>250</v>
      </c>
      <c r="R9" s="388">
        <f>N9*Q9/12000</f>
        <v>8.1212140555407287E-5</v>
      </c>
      <c r="S9" s="388">
        <f>P9-R9</f>
        <v>1.1911234262408708E-5</v>
      </c>
    </row>
    <row r="10" spans="2:19" x14ac:dyDescent="0.2">
      <c r="D10" s="446" t="s">
        <v>1</v>
      </c>
      <c r="E10" s="446" t="s">
        <v>46</v>
      </c>
      <c r="F10" s="446" t="s">
        <v>534</v>
      </c>
      <c r="G10" s="447">
        <v>0</v>
      </c>
      <c r="H10" s="310" t="s">
        <v>446</v>
      </c>
      <c r="I10" s="448">
        <v>0</v>
      </c>
      <c r="J10" s="439"/>
      <c r="K10" s="446" t="s">
        <v>462</v>
      </c>
      <c r="L10" s="446" t="s">
        <v>538</v>
      </c>
      <c r="M10" s="446" t="s">
        <v>539</v>
      </c>
      <c r="N10" s="449">
        <v>18.181701838975201</v>
      </c>
      <c r="O10" s="310">
        <v>350.64423593685791</v>
      </c>
      <c r="P10" s="388">
        <v>0.5312757457799353</v>
      </c>
      <c r="Q10" s="29">
        <v>0</v>
      </c>
      <c r="R10" s="388">
        <f>N10*Q10/12000</f>
        <v>0</v>
      </c>
      <c r="S10" s="388">
        <f>P10-R10</f>
        <v>0.5312757457799353</v>
      </c>
    </row>
    <row r="11" spans="2:19" x14ac:dyDescent="0.2">
      <c r="D11" s="446" t="s">
        <v>1</v>
      </c>
      <c r="E11" s="446" t="s">
        <v>540</v>
      </c>
      <c r="F11" s="446" t="s">
        <v>534</v>
      </c>
      <c r="G11" s="447">
        <v>0</v>
      </c>
      <c r="H11" s="310" t="s">
        <v>446</v>
      </c>
      <c r="I11" s="448">
        <v>0</v>
      </c>
      <c r="J11" s="439"/>
      <c r="K11" s="320" t="s">
        <v>463</v>
      </c>
      <c r="L11" s="450" t="s">
        <v>541</v>
      </c>
      <c r="M11" s="446" t="s">
        <v>539</v>
      </c>
      <c r="N11" s="449">
        <v>24.979555040594395</v>
      </c>
      <c r="O11" s="310">
        <v>61.647545024737539</v>
      </c>
      <c r="P11" s="388">
        <v>0.1283273536719127</v>
      </c>
      <c r="Q11" s="29">
        <f>'Assumptions-Output Override'!G19</f>
        <v>30</v>
      </c>
      <c r="R11" s="388">
        <f>N11*Q11/12000</f>
        <v>6.2448887601485988E-2</v>
      </c>
      <c r="S11" s="388">
        <f>P11-R11</f>
        <v>6.5878466070426717E-2</v>
      </c>
    </row>
    <row r="12" spans="2:19" x14ac:dyDescent="0.2">
      <c r="D12" s="446" t="s">
        <v>1</v>
      </c>
      <c r="E12" s="446" t="s">
        <v>542</v>
      </c>
      <c r="F12" s="446" t="s">
        <v>534</v>
      </c>
      <c r="G12" s="447">
        <v>0</v>
      </c>
      <c r="H12" s="310" t="s">
        <v>446</v>
      </c>
      <c r="I12" s="448">
        <v>0</v>
      </c>
      <c r="J12" s="439"/>
      <c r="K12" s="320" t="s">
        <v>464</v>
      </c>
      <c r="L12" s="450" t="s">
        <v>541</v>
      </c>
      <c r="M12" s="446" t="s">
        <v>539</v>
      </c>
      <c r="N12" s="449">
        <v>61.657989635330395</v>
      </c>
      <c r="O12" s="310">
        <v>37.037167437046179</v>
      </c>
      <c r="P12" s="388">
        <v>0.19030310716294915</v>
      </c>
      <c r="Q12" s="29">
        <f>'Assumptions-Output Override'!H19</f>
        <v>60</v>
      </c>
      <c r="R12" s="388">
        <f>N12*Q12/12000</f>
        <v>0.30828994817665195</v>
      </c>
      <c r="S12" s="388">
        <f>P12-R12</f>
        <v>-0.1179868410137028</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0.84999932998961503</v>
      </c>
      <c r="R15" s="388">
        <f>SUM(R8:R13)</f>
        <v>0.37082004791869333</v>
      </c>
      <c r="S15" s="388">
        <f>SUM(S8:S13)</f>
        <v>0.47917928207092153</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3.8981827466595498E-3</v>
      </c>
      <c r="H18" s="310">
        <v>286.66703703703706</v>
      </c>
      <c r="I18" s="448">
        <v>9.3123374817815995E-5</v>
      </c>
      <c r="J18" s="439"/>
    </row>
    <row r="19" spans="4:10" x14ac:dyDescent="0.2">
      <c r="D19" s="446" t="s">
        <v>462</v>
      </c>
      <c r="E19" s="446" t="s">
        <v>549</v>
      </c>
      <c r="F19" s="446" t="s">
        <v>537</v>
      </c>
      <c r="G19" s="447">
        <v>3.0319199140685388E-2</v>
      </c>
      <c r="H19" s="310">
        <v>1774.0048095238092</v>
      </c>
      <c r="I19" s="448">
        <v>4.4822004247071683E-3</v>
      </c>
      <c r="J19" s="439"/>
    </row>
    <row r="20" spans="4:10" x14ac:dyDescent="0.2">
      <c r="D20" s="446" t="s">
        <v>462</v>
      </c>
      <c r="E20" s="446" t="s">
        <v>550</v>
      </c>
      <c r="F20" s="446" t="s">
        <v>537</v>
      </c>
      <c r="G20" s="447">
        <v>1.557540572998638</v>
      </c>
      <c r="H20" s="310">
        <v>185.76917130144602</v>
      </c>
      <c r="I20" s="448">
        <v>2.411191845952803E-2</v>
      </c>
      <c r="J20" s="439"/>
    </row>
    <row r="21" spans="4:10" x14ac:dyDescent="0.2">
      <c r="D21" s="446" t="s">
        <v>462</v>
      </c>
      <c r="E21" s="446" t="s">
        <v>551</v>
      </c>
      <c r="F21" s="446" t="s">
        <v>537</v>
      </c>
      <c r="G21" s="447">
        <v>4.5623175849793245E-2</v>
      </c>
      <c r="H21" s="310">
        <v>190.08221518987344</v>
      </c>
      <c r="I21" s="448">
        <v>7.2267952746048636E-4</v>
      </c>
      <c r="J21" s="439"/>
    </row>
    <row r="22" spans="4:10" x14ac:dyDescent="0.2">
      <c r="D22" s="446" t="s">
        <v>462</v>
      </c>
      <c r="E22" s="446" t="s">
        <v>552</v>
      </c>
      <c r="F22" s="446" t="s">
        <v>537</v>
      </c>
      <c r="G22" s="447">
        <v>4.0425598854247182E-3</v>
      </c>
      <c r="H22" s="310">
        <v>313.95107142857142</v>
      </c>
      <c r="I22" s="448">
        <v>1.057638339452711E-4</v>
      </c>
      <c r="J22" s="439"/>
    </row>
    <row r="23" spans="4:10" x14ac:dyDescent="0.2">
      <c r="D23" s="446" t="s">
        <v>462</v>
      </c>
      <c r="E23" s="446" t="s">
        <v>553</v>
      </c>
      <c r="F23" s="446" t="s">
        <v>554</v>
      </c>
      <c r="G23" s="447">
        <v>1.0106399713561795E-3</v>
      </c>
      <c r="H23" s="310">
        <v>78.999999999999986</v>
      </c>
      <c r="I23" s="448">
        <v>6.6533798114281813E-6</v>
      </c>
      <c r="J23" s="439"/>
    </row>
    <row r="24" spans="4:10" x14ac:dyDescent="0.2">
      <c r="D24" s="446" t="s">
        <v>462</v>
      </c>
      <c r="E24" s="446" t="s">
        <v>555</v>
      </c>
      <c r="F24" s="446" t="s">
        <v>537</v>
      </c>
      <c r="G24" s="447">
        <v>6.4969712444325825E-3</v>
      </c>
      <c r="H24" s="310">
        <v>406.69555555555553</v>
      </c>
      <c r="I24" s="448">
        <v>2.2019077747358152E-4</v>
      </c>
      <c r="J24" s="439"/>
    </row>
    <row r="25" spans="4:10" x14ac:dyDescent="0.2">
      <c r="D25" s="446" t="s">
        <v>462</v>
      </c>
      <c r="E25" s="446" t="s">
        <v>556</v>
      </c>
      <c r="F25" s="446" t="s">
        <v>537</v>
      </c>
      <c r="G25" s="447">
        <v>1.4437713876516849E-4</v>
      </c>
      <c r="H25" s="310">
        <v>600</v>
      </c>
      <c r="I25" s="448">
        <v>7.2188569382584246E-6</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1.2993942488865166E-3</v>
      </c>
      <c r="H28" s="310">
        <v>38.371111111111105</v>
      </c>
      <c r="I28" s="448">
        <v>4.1549334250969406E-6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1.4437713876516849E-4</v>
      </c>
      <c r="H30" s="310">
        <v>-2</v>
      </c>
      <c r="I30" s="448">
        <v>-2.4062856460861417E-8</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6.7313106992724059</v>
      </c>
      <c r="H52" s="310">
        <v>364.03692439337783</v>
      </c>
      <c r="I52" s="448">
        <v>0.204203803674947</v>
      </c>
      <c r="J52" s="439"/>
    </row>
    <row r="53" spans="4:10" x14ac:dyDescent="0.2">
      <c r="D53" s="446" t="s">
        <v>462</v>
      </c>
      <c r="E53" s="446" t="s">
        <v>584</v>
      </c>
      <c r="F53" s="446" t="s">
        <v>554</v>
      </c>
      <c r="G53" s="447">
        <v>0.37201395461501158</v>
      </c>
      <c r="H53" s="310">
        <v>364.03692439337789</v>
      </c>
      <c r="I53" s="448">
        <v>1.1285567989122208E-2</v>
      </c>
      <c r="J53" s="439"/>
    </row>
    <row r="54" spans="4:10" x14ac:dyDescent="0.2">
      <c r="D54" s="446" t="s">
        <v>462</v>
      </c>
      <c r="E54" s="446" t="s">
        <v>585</v>
      </c>
      <c r="F54" s="446" t="s">
        <v>554</v>
      </c>
      <c r="G54" s="447">
        <v>1.6472600057279756</v>
      </c>
      <c r="H54" s="310">
        <v>364.03692439337789</v>
      </c>
      <c r="I54" s="448">
        <v>4.9971955513452522E-2</v>
      </c>
      <c r="J54" s="439"/>
    </row>
    <row r="55" spans="4:10" x14ac:dyDescent="0.2">
      <c r="D55" s="446" t="s">
        <v>462</v>
      </c>
      <c r="E55" s="446" t="s">
        <v>586</v>
      </c>
      <c r="F55" s="446" t="s">
        <v>537</v>
      </c>
      <c r="G55" s="447">
        <v>0.90045339011076941</v>
      </c>
      <c r="H55" s="310">
        <v>364.03692439337794</v>
      </c>
      <c r="I55" s="448">
        <v>2.7316523557959584E-2</v>
      </c>
      <c r="J55" s="439"/>
    </row>
    <row r="56" spans="4:10" x14ac:dyDescent="0.2">
      <c r="D56" s="446" t="s">
        <v>462</v>
      </c>
      <c r="E56" s="446" t="s">
        <v>5</v>
      </c>
      <c r="F56" s="446" t="s">
        <v>537</v>
      </c>
      <c r="G56" s="447">
        <v>0.77214819758570374</v>
      </c>
      <c r="H56" s="310">
        <v>364.03692439337789</v>
      </c>
      <c r="I56" s="448">
        <v>2.3424204585415821E-2</v>
      </c>
      <c r="J56" s="439"/>
    </row>
    <row r="57" spans="4:10" x14ac:dyDescent="0.2">
      <c r="D57" s="446" t="s">
        <v>462</v>
      </c>
      <c r="E57" s="446" t="s">
        <v>587</v>
      </c>
      <c r="F57" s="446" t="s">
        <v>537</v>
      </c>
      <c r="G57" s="447">
        <v>2.0391617580256116</v>
      </c>
      <c r="H57" s="310">
        <v>364.03692439337794</v>
      </c>
      <c r="I57" s="448">
        <v>6.1860847894353102E-2</v>
      </c>
      <c r="J57" s="439"/>
    </row>
    <row r="58" spans="4:10" x14ac:dyDescent="0.2">
      <c r="D58" s="446" t="s">
        <v>462</v>
      </c>
      <c r="E58" s="446" t="s">
        <v>588</v>
      </c>
      <c r="F58" s="446" t="s">
        <v>537</v>
      </c>
      <c r="G58" s="447">
        <v>1.3774959621621223</v>
      </c>
      <c r="H58" s="310">
        <v>364.03692439337783</v>
      </c>
      <c r="I58" s="448">
        <v>4.1788282785816318E-2</v>
      </c>
      <c r="J58" s="439"/>
    </row>
    <row r="59" spans="4:10" x14ac:dyDescent="0.2">
      <c r="D59" s="446" t="s">
        <v>462</v>
      </c>
      <c r="E59" s="446" t="s">
        <v>589</v>
      </c>
      <c r="F59" s="446" t="s">
        <v>537</v>
      </c>
      <c r="G59" s="447">
        <v>0.53246471180260491</v>
      </c>
      <c r="H59" s="310">
        <v>364.03692439337789</v>
      </c>
      <c r="I59" s="448">
        <v>1.6153068002718887E-2</v>
      </c>
      <c r="J59" s="439"/>
    </row>
    <row r="60" spans="4:10" x14ac:dyDescent="0.2">
      <c r="D60" s="446" t="s">
        <v>462</v>
      </c>
      <c r="E60" s="446" t="s">
        <v>590</v>
      </c>
      <c r="F60" s="446" t="s">
        <v>537</v>
      </c>
      <c r="G60" s="447">
        <v>0.50822778640219501</v>
      </c>
      <c r="H60" s="310">
        <v>364.03692439337789</v>
      </c>
      <c r="I60" s="448">
        <v>1.5417806687759139E-2</v>
      </c>
      <c r="J60" s="439"/>
    </row>
    <row r="61" spans="4:10" x14ac:dyDescent="0.2">
      <c r="D61" s="446" t="s">
        <v>462</v>
      </c>
      <c r="E61" s="446" t="s">
        <v>591</v>
      </c>
      <c r="F61" s="446" t="s">
        <v>537</v>
      </c>
      <c r="G61" s="447">
        <v>0.84266013799892614</v>
      </c>
      <c r="H61" s="310">
        <v>364.03692439337789</v>
      </c>
      <c r="I61" s="448">
        <v>2.5563283745502371E-2</v>
      </c>
      <c r="J61" s="439"/>
    </row>
    <row r="62" spans="4:10" x14ac:dyDescent="0.2">
      <c r="D62" s="446" t="s">
        <v>462</v>
      </c>
      <c r="E62" s="446" t="s">
        <v>592</v>
      </c>
      <c r="F62" s="446" t="s">
        <v>537</v>
      </c>
      <c r="G62" s="447">
        <v>0.81188396765512683</v>
      </c>
      <c r="H62" s="310">
        <v>364.03692439337783</v>
      </c>
      <c r="I62" s="448">
        <v>2.462964521245542E-2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18.185600021721861</v>
      </c>
      <c r="H64" s="463"/>
      <c r="I64" s="464">
        <v>0.53136886915475312</v>
      </c>
      <c r="J64" s="439"/>
    </row>
    <row r="65" spans="4:10" x14ac:dyDescent="0.2">
      <c r="D65" s="446" t="s">
        <v>595</v>
      </c>
      <c r="E65" s="446" t="s">
        <v>596</v>
      </c>
      <c r="F65" s="446" t="s">
        <v>554</v>
      </c>
      <c r="G65" s="447">
        <v>3.1185461973276398E-2</v>
      </c>
      <c r="H65" s="310">
        <v>72.937870370370362</v>
      </c>
      <c r="I65" s="448">
        <v>1.8955009857057903E-4</v>
      </c>
      <c r="J65" s="439"/>
    </row>
    <row r="66" spans="4:10" x14ac:dyDescent="0.2">
      <c r="D66" s="446" t="s">
        <v>595</v>
      </c>
      <c r="E66" s="446" t="s">
        <v>563</v>
      </c>
      <c r="F66" s="446" t="s">
        <v>554</v>
      </c>
      <c r="G66" s="447">
        <v>7.0889175133697732E-2</v>
      </c>
      <c r="H66" s="310">
        <v>262.92171079429744</v>
      </c>
      <c r="I66" s="448">
        <v>1.5531919335790311E-3</v>
      </c>
      <c r="J66" s="439"/>
    </row>
    <row r="67" spans="4:10" x14ac:dyDescent="0.2">
      <c r="D67" s="446" t="s">
        <v>595</v>
      </c>
      <c r="E67" s="446" t="s">
        <v>564</v>
      </c>
      <c r="F67" s="446" t="s">
        <v>554</v>
      </c>
      <c r="G67" s="447">
        <v>0.52105709380349308</v>
      </c>
      <c r="H67" s="310">
        <v>110.12171792740402</v>
      </c>
      <c r="I67" s="448">
        <v>4.7816418589917637E-3</v>
      </c>
      <c r="J67" s="439"/>
    </row>
    <row r="68" spans="4:10" x14ac:dyDescent="0.2">
      <c r="D68" s="446" t="s">
        <v>595</v>
      </c>
      <c r="E68" s="446" t="s">
        <v>597</v>
      </c>
      <c r="F68" s="446" t="s">
        <v>554</v>
      </c>
      <c r="G68" s="447">
        <v>2.8586673475503366E-2</v>
      </c>
      <c r="H68" s="310">
        <v>61.719242424242431</v>
      </c>
      <c r="I68" s="448">
        <v>1.4702898586143776E-4</v>
      </c>
      <c r="J68" s="439"/>
    </row>
    <row r="69" spans="4:10" x14ac:dyDescent="0.2">
      <c r="D69" s="446" t="s">
        <v>595</v>
      </c>
      <c r="E69" s="446" t="s">
        <v>572</v>
      </c>
      <c r="F69" s="446" t="s">
        <v>554</v>
      </c>
      <c r="G69" s="447">
        <v>4.6200684404853918E-3</v>
      </c>
      <c r="H69" s="310">
        <v>133.91812500000003</v>
      </c>
      <c r="I69" s="448">
        <v>5.1559241910123158E-5</v>
      </c>
      <c r="J69" s="439"/>
    </row>
    <row r="70" spans="4:10" x14ac:dyDescent="0.2">
      <c r="D70" s="446" t="s">
        <v>595</v>
      </c>
      <c r="E70" s="446" t="s">
        <v>567</v>
      </c>
      <c r="F70" s="446" t="s">
        <v>554</v>
      </c>
      <c r="G70" s="447">
        <v>1.7614010929350558E-2</v>
      </c>
      <c r="H70" s="310">
        <v>69.501803278688527</v>
      </c>
      <c r="I70" s="448">
        <v>1.0201712688003267E-4</v>
      </c>
      <c r="J70" s="439"/>
    </row>
    <row r="71" spans="4:10" x14ac:dyDescent="0.2">
      <c r="D71" s="446" t="s">
        <v>595</v>
      </c>
      <c r="E71" s="446" t="s">
        <v>568</v>
      </c>
      <c r="F71" s="446" t="s">
        <v>554</v>
      </c>
      <c r="G71" s="447">
        <v>0.29005367177922353</v>
      </c>
      <c r="H71" s="310">
        <v>68.264305624688902</v>
      </c>
      <c r="I71" s="448">
        <v>1.6500260414916764E-3</v>
      </c>
      <c r="J71" s="439"/>
    </row>
    <row r="72" spans="4:10" x14ac:dyDescent="0.2">
      <c r="D72" s="446" t="s">
        <v>595</v>
      </c>
      <c r="E72" s="446" t="s">
        <v>548</v>
      </c>
      <c r="F72" s="446" t="s">
        <v>554</v>
      </c>
      <c r="G72" s="447">
        <v>0.20241674854876623</v>
      </c>
      <c r="H72" s="310">
        <v>134.90415834522111</v>
      </c>
      <c r="I72" s="448">
        <v>2.2755717581622969E-3</v>
      </c>
      <c r="J72" s="439"/>
    </row>
    <row r="73" spans="4:10" x14ac:dyDescent="0.2">
      <c r="D73" s="446" t="s">
        <v>595</v>
      </c>
      <c r="E73" s="446" t="s">
        <v>598</v>
      </c>
      <c r="F73" s="446" t="s">
        <v>554</v>
      </c>
      <c r="G73" s="447">
        <v>5.2813157360298639</v>
      </c>
      <c r="H73" s="310">
        <v>68.195197648988255</v>
      </c>
      <c r="I73" s="448">
        <v>3.0013364205439035E-2</v>
      </c>
      <c r="J73" s="439"/>
    </row>
    <row r="74" spans="4:10" x14ac:dyDescent="0.2">
      <c r="D74" s="446" t="s">
        <v>595</v>
      </c>
      <c r="E74" s="446" t="s">
        <v>549</v>
      </c>
      <c r="F74" s="446" t="s">
        <v>554</v>
      </c>
      <c r="G74" s="447">
        <v>13.431405219323624</v>
      </c>
      <c r="H74" s="310">
        <v>58.234747930775136</v>
      </c>
      <c r="I74" s="448">
        <v>6.5181208108617397E-2</v>
      </c>
      <c r="J74" s="439"/>
    </row>
    <row r="75" spans="4:10" x14ac:dyDescent="0.2">
      <c r="D75" s="446" t="s">
        <v>595</v>
      </c>
      <c r="E75" s="446" t="s">
        <v>571</v>
      </c>
      <c r="F75" s="446" t="s">
        <v>554</v>
      </c>
      <c r="G75" s="447">
        <v>0.10871598549017189</v>
      </c>
      <c r="H75" s="310">
        <v>107.81849933598939</v>
      </c>
      <c r="I75" s="448">
        <v>9.7679953411529408E-4</v>
      </c>
      <c r="J75" s="439"/>
    </row>
    <row r="76" spans="4:10" x14ac:dyDescent="0.2">
      <c r="D76" s="446" t="s">
        <v>595</v>
      </c>
      <c r="E76" s="446" t="s">
        <v>561</v>
      </c>
      <c r="F76" s="446" t="s">
        <v>554</v>
      </c>
      <c r="G76" s="447">
        <v>7.6953014961834834E-2</v>
      </c>
      <c r="H76" s="310">
        <v>155.25726078799244</v>
      </c>
      <c r="I76" s="448">
        <v>9.9562619269598948E-4</v>
      </c>
      <c r="J76" s="439"/>
    </row>
    <row r="77" spans="4:10" x14ac:dyDescent="0.2">
      <c r="D77" s="446" t="s">
        <v>595</v>
      </c>
      <c r="E77" s="446" t="s">
        <v>599</v>
      </c>
      <c r="F77" s="446" t="s">
        <v>554</v>
      </c>
      <c r="G77" s="447">
        <v>30.668303062219564</v>
      </c>
      <c r="H77" s="310">
        <v>27.02454316489106</v>
      </c>
      <c r="I77" s="448">
        <v>6.9066406658242777E-2</v>
      </c>
      <c r="J77" s="439"/>
    </row>
    <row r="78" spans="4:10" x14ac:dyDescent="0.2">
      <c r="D78" s="446" t="s">
        <v>595</v>
      </c>
      <c r="E78" s="446" t="s">
        <v>600</v>
      </c>
      <c r="F78" s="446" t="s">
        <v>554</v>
      </c>
      <c r="G78" s="447">
        <v>3.0607953418215723E-2</v>
      </c>
      <c r="H78" s="310">
        <v>78.016273584905662</v>
      </c>
      <c r="I78" s="448">
        <v>1.989932056457972E-4</v>
      </c>
      <c r="J78" s="439"/>
    </row>
    <row r="79" spans="4:10" x14ac:dyDescent="0.2">
      <c r="D79" s="446" t="s">
        <v>595</v>
      </c>
      <c r="E79" s="446" t="s">
        <v>555</v>
      </c>
      <c r="F79" s="446" t="s">
        <v>554</v>
      </c>
      <c r="G79" s="447">
        <v>9.933147147043595</v>
      </c>
      <c r="H79" s="310">
        <v>65.816313372092722</v>
      </c>
      <c r="I79" s="448">
        <v>5.4480260450077499E-2</v>
      </c>
      <c r="J79" s="439"/>
    </row>
    <row r="80" spans="4:10" x14ac:dyDescent="0.2">
      <c r="D80" s="446" t="s">
        <v>595</v>
      </c>
      <c r="E80" s="446" t="s">
        <v>552</v>
      </c>
      <c r="F80" s="446" t="s">
        <v>554</v>
      </c>
      <c r="G80" s="447">
        <v>5.6307084118415712E-3</v>
      </c>
      <c r="H80" s="310">
        <v>102.10769230769232</v>
      </c>
      <c r="I80" s="448">
        <v>4.791155349922117E-5</v>
      </c>
      <c r="J80" s="439"/>
    </row>
    <row r="81" spans="4:10" x14ac:dyDescent="0.2">
      <c r="D81" s="446" t="s">
        <v>595</v>
      </c>
      <c r="E81" s="446" t="s">
        <v>581</v>
      </c>
      <c r="F81" s="446" t="s">
        <v>554</v>
      </c>
      <c r="G81" s="447">
        <v>6.8001632358394362E-2</v>
      </c>
      <c r="H81" s="310">
        <v>143.35709129511679</v>
      </c>
      <c r="I81" s="448">
        <v>8.123763515182756E-4</v>
      </c>
      <c r="J81" s="439"/>
    </row>
    <row r="82" spans="4:10" x14ac:dyDescent="0.2">
      <c r="D82" s="446" t="s">
        <v>595</v>
      </c>
      <c r="E82" s="446" t="s">
        <v>574</v>
      </c>
      <c r="F82" s="446" t="s">
        <v>554</v>
      </c>
      <c r="G82" s="447">
        <v>6.4103449611734808E-2</v>
      </c>
      <c r="H82" s="310">
        <v>80.594346846846861</v>
      </c>
      <c r="I82" s="448">
        <v>4.3053130434062714E-4</v>
      </c>
      <c r="J82" s="439"/>
    </row>
    <row r="83" spans="4:10" x14ac:dyDescent="0.2">
      <c r="D83" s="446" t="s">
        <v>595</v>
      </c>
      <c r="E83" s="446" t="s">
        <v>601</v>
      </c>
      <c r="F83" s="446" t="s">
        <v>554</v>
      </c>
      <c r="G83" s="447">
        <v>3.1762970528337073E-3</v>
      </c>
      <c r="H83" s="310">
        <v>260.66500000000002</v>
      </c>
      <c r="I83" s="448">
        <v>6.8995789273074861E-5</v>
      </c>
      <c r="J83" s="439"/>
    </row>
    <row r="84" spans="4:10" x14ac:dyDescent="0.2">
      <c r="D84" s="446" t="s">
        <v>595</v>
      </c>
      <c r="E84" s="446" t="s">
        <v>559</v>
      </c>
      <c r="F84" s="446" t="s">
        <v>554</v>
      </c>
      <c r="G84" s="447">
        <v>1.2539154501754888</v>
      </c>
      <c r="H84" s="310">
        <v>62.405111111111097</v>
      </c>
      <c r="I84" s="448">
        <v>6.5208944160116888E-3</v>
      </c>
      <c r="J84" s="439"/>
    </row>
    <row r="85" spans="4:10" x14ac:dyDescent="0.2">
      <c r="D85" s="446" t="s">
        <v>595</v>
      </c>
      <c r="E85" s="446" t="s">
        <v>573</v>
      </c>
      <c r="F85" s="446" t="s">
        <v>554</v>
      </c>
      <c r="G85" s="447">
        <v>0.86799535825619312</v>
      </c>
      <c r="H85" s="310">
        <v>59.23674650698603</v>
      </c>
      <c r="I85" s="448">
        <v>4.2847684171885532E-3</v>
      </c>
      <c r="J85" s="439"/>
    </row>
    <row r="86" spans="4:10" x14ac:dyDescent="0.2">
      <c r="D86" s="446" t="s">
        <v>595</v>
      </c>
      <c r="E86" s="446" t="s">
        <v>562</v>
      </c>
      <c r="F86" s="446" t="s">
        <v>554</v>
      </c>
      <c r="G86" s="447">
        <v>0.14943033862194943</v>
      </c>
      <c r="H86" s="310">
        <v>69.259458937198048</v>
      </c>
      <c r="I86" s="448">
        <v>8.6245536681320886E-4</v>
      </c>
      <c r="J86" s="439"/>
    </row>
    <row r="87" spans="4:10" x14ac:dyDescent="0.2">
      <c r="D87" s="446" t="s">
        <v>595</v>
      </c>
      <c r="E87" s="446" t="s">
        <v>550</v>
      </c>
      <c r="F87" s="446" t="s">
        <v>554</v>
      </c>
      <c r="G87" s="447">
        <v>10.844166892651806</v>
      </c>
      <c r="H87" s="310">
        <v>53.649782052989224</v>
      </c>
      <c r="I87" s="448">
        <v>4.8482265861417566E-2</v>
      </c>
      <c r="J87" s="439"/>
    </row>
    <row r="88" spans="4:10" x14ac:dyDescent="0.2">
      <c r="D88" s="446" t="s">
        <v>595</v>
      </c>
      <c r="E88" s="446" t="s">
        <v>579</v>
      </c>
      <c r="F88" s="446" t="s">
        <v>554</v>
      </c>
      <c r="G88" s="447">
        <v>2.0790307982184265E-2</v>
      </c>
      <c r="H88" s="310">
        <v>89.686874999999986</v>
      </c>
      <c r="I88" s="448">
        <v>1.5538481276747184E-4</v>
      </c>
      <c r="J88" s="439"/>
    </row>
    <row r="89" spans="4:10" x14ac:dyDescent="0.2">
      <c r="D89" s="446" t="s">
        <v>595</v>
      </c>
      <c r="E89" s="446" t="s">
        <v>556</v>
      </c>
      <c r="F89" s="446" t="s">
        <v>554</v>
      </c>
      <c r="G89" s="447">
        <v>3.0607953418215716E-2</v>
      </c>
      <c r="H89" s="310">
        <v>62.467028301886799</v>
      </c>
      <c r="I89" s="448">
        <v>1.5933232436987616E-4</v>
      </c>
      <c r="J89" s="439"/>
    </row>
    <row r="90" spans="4:10" x14ac:dyDescent="0.2">
      <c r="D90" s="446" t="s">
        <v>595</v>
      </c>
      <c r="E90" s="446" t="s">
        <v>602</v>
      </c>
      <c r="F90" s="446" t="s">
        <v>554</v>
      </c>
      <c r="G90" s="447">
        <v>0.12315369936668871</v>
      </c>
      <c r="H90" s="310">
        <v>128.67813599062134</v>
      </c>
      <c r="I90" s="448">
        <v>1.3205990395712391E-3</v>
      </c>
      <c r="J90" s="439"/>
    </row>
    <row r="91" spans="4:10" x14ac:dyDescent="0.2">
      <c r="D91" s="446" t="s">
        <v>595</v>
      </c>
      <c r="E91" s="446" t="s">
        <v>577</v>
      </c>
      <c r="F91" s="446" t="s">
        <v>554</v>
      </c>
      <c r="G91" s="447">
        <v>8.036031543669278</v>
      </c>
      <c r="H91" s="310">
        <v>22.544211821774763</v>
      </c>
      <c r="I91" s="448">
        <v>1.5097166443911986E-2</v>
      </c>
      <c r="J91" s="439"/>
    </row>
    <row r="92" spans="4:10" x14ac:dyDescent="0.2">
      <c r="D92" s="446" t="s">
        <v>595</v>
      </c>
      <c r="E92" s="446" t="s">
        <v>576</v>
      </c>
      <c r="F92" s="446" t="s">
        <v>554</v>
      </c>
      <c r="G92" s="447">
        <v>0.36108722405168642</v>
      </c>
      <c r="H92" s="310">
        <v>71.284406237504996</v>
      </c>
      <c r="I92" s="448">
        <v>2.1449906972061165E-3</v>
      </c>
      <c r="J92" s="439"/>
    </row>
    <row r="93" spans="4:10" x14ac:dyDescent="0.2">
      <c r="D93" s="446" t="s">
        <v>595</v>
      </c>
      <c r="E93" s="446" t="s">
        <v>603</v>
      </c>
      <c r="F93" s="446" t="s">
        <v>554</v>
      </c>
      <c r="G93" s="447">
        <v>4.6200684404853918E-3</v>
      </c>
      <c r="H93" s="310">
        <v>142.68343750000005</v>
      </c>
      <c r="I93" s="448">
        <v>5.4933937214476671E-5</v>
      </c>
      <c r="J93" s="439"/>
    </row>
    <row r="94" spans="4:10" x14ac:dyDescent="0.2">
      <c r="D94" s="446" t="s">
        <v>595</v>
      </c>
      <c r="E94" s="446" t="s">
        <v>557</v>
      </c>
      <c r="F94" s="446" t="s">
        <v>554</v>
      </c>
      <c r="G94" s="447">
        <v>2.8586673475503366E-2</v>
      </c>
      <c r="H94" s="310">
        <v>82.907878787878801</v>
      </c>
      <c r="I94" s="448">
        <v>1.9750503828797522E-4</v>
      </c>
      <c r="J94" s="439"/>
    </row>
    <row r="95" spans="4:10" x14ac:dyDescent="0.2">
      <c r="D95" s="446" t="s">
        <v>595</v>
      </c>
      <c r="E95" s="446" t="s">
        <v>582</v>
      </c>
      <c r="F95" s="446" t="s">
        <v>554</v>
      </c>
      <c r="G95" s="447">
        <v>2.5987884977730332E-3</v>
      </c>
      <c r="H95" s="310">
        <v>93.181111111111107</v>
      </c>
      <c r="I95" s="448">
        <v>2.0179833313772211E-5</v>
      </c>
      <c r="J95" s="439"/>
    </row>
    <row r="96" spans="4:10" x14ac:dyDescent="0.2">
      <c r="D96" s="446" t="s">
        <v>595</v>
      </c>
      <c r="E96" s="446" t="s">
        <v>565</v>
      </c>
      <c r="F96" s="446" t="s">
        <v>554</v>
      </c>
      <c r="G96" s="447">
        <v>4.3601895907080884E-2</v>
      </c>
      <c r="H96" s="310">
        <v>59.778708609271533</v>
      </c>
      <c r="I96" s="448">
        <v>2.1720541918676477E-4</v>
      </c>
      <c r="J96" s="439"/>
    </row>
    <row r="97" spans="4:13" x14ac:dyDescent="0.2">
      <c r="D97" s="446" t="s">
        <v>595</v>
      </c>
      <c r="E97" s="446" t="s">
        <v>604</v>
      </c>
      <c r="F97" s="446" t="s">
        <v>554</v>
      </c>
      <c r="G97" s="447">
        <v>5.1687015677930333E-2</v>
      </c>
      <c r="H97" s="310">
        <v>105.60016759776533</v>
      </c>
      <c r="I97" s="448">
        <v>4.5484645985148059E-4</v>
      </c>
      <c r="J97" s="439"/>
    </row>
    <row r="98" spans="4:13" x14ac:dyDescent="0.2">
      <c r="D98" s="446" t="s">
        <v>595</v>
      </c>
      <c r="E98" s="446" t="s">
        <v>569</v>
      </c>
      <c r="F98" s="446" t="s">
        <v>554</v>
      </c>
      <c r="G98" s="447">
        <v>2.2234079369835947E-2</v>
      </c>
      <c r="H98" s="310">
        <v>83.661948051948059</v>
      </c>
      <c r="I98" s="448">
        <v>1.5501219943517543E-4</v>
      </c>
      <c r="J98" s="439"/>
    </row>
    <row r="99" spans="4:13" x14ac:dyDescent="0.2">
      <c r="D99" s="446" t="s">
        <v>595</v>
      </c>
      <c r="E99" s="446" t="s">
        <v>553</v>
      </c>
      <c r="F99" s="446" t="s">
        <v>554</v>
      </c>
      <c r="G99" s="447">
        <v>0.55195380149923923</v>
      </c>
      <c r="H99" s="310">
        <v>80.140737640596384</v>
      </c>
      <c r="I99" s="448">
        <v>3.6861653996400289E-3</v>
      </c>
      <c r="J99" s="439"/>
    </row>
    <row r="100" spans="4:13" x14ac:dyDescent="0.2">
      <c r="D100" s="446" t="s">
        <v>595</v>
      </c>
      <c r="E100" s="446" t="s">
        <v>570</v>
      </c>
      <c r="F100" s="446" t="s">
        <v>554</v>
      </c>
      <c r="G100" s="447">
        <v>0.21786510239663928</v>
      </c>
      <c r="H100" s="310">
        <v>65.513697813121198</v>
      </c>
      <c r="I100" s="448">
        <v>1.1894290402031777E-3</v>
      </c>
      <c r="J100" s="439"/>
    </row>
    <row r="101" spans="4:13" x14ac:dyDescent="0.2">
      <c r="D101" s="446" t="s">
        <v>595</v>
      </c>
      <c r="E101" s="446" t="s">
        <v>551</v>
      </c>
      <c r="F101" s="446" t="s">
        <v>554</v>
      </c>
      <c r="G101" s="447">
        <v>2.4399736451313481E-2</v>
      </c>
      <c r="H101" s="310">
        <v>89.649171597633128</v>
      </c>
      <c r="I101" s="448">
        <v>1.8228468000506886E-4</v>
      </c>
      <c r="J101" s="439"/>
    </row>
    <row r="102" spans="4:13" x14ac:dyDescent="0.2">
      <c r="D102" s="446" t="s">
        <v>595</v>
      </c>
      <c r="E102" s="446" t="s">
        <v>578</v>
      </c>
      <c r="F102" s="446" t="s">
        <v>554</v>
      </c>
      <c r="G102" s="447">
        <v>1.2849565350099998E-2</v>
      </c>
      <c r="H102" s="310">
        <v>69.099101123595489</v>
      </c>
      <c r="I102" s="448">
        <v>7.3991117960067377E-5</v>
      </c>
      <c r="J102" s="439"/>
    </row>
    <row r="103" spans="4:13" x14ac:dyDescent="0.2">
      <c r="D103" s="446" t="s">
        <v>595</v>
      </c>
      <c r="E103" s="446" t="s">
        <v>560</v>
      </c>
      <c r="F103" s="446" t="s">
        <v>554</v>
      </c>
      <c r="G103" s="447">
        <v>1.6892125235524715E-2</v>
      </c>
      <c r="H103" s="310">
        <v>63.453504273504272</v>
      </c>
      <c r="I103" s="448">
        <v>8.9322045068411401E-5</v>
      </c>
      <c r="J103" s="439"/>
    </row>
    <row r="104" spans="4:13" x14ac:dyDescent="0.2">
      <c r="D104" s="446" t="s">
        <v>595</v>
      </c>
      <c r="E104" s="446" t="s">
        <v>575</v>
      </c>
      <c r="F104" s="446" t="s">
        <v>554</v>
      </c>
      <c r="G104" s="447">
        <v>1.8191519484411233E-2</v>
      </c>
      <c r="H104" s="310">
        <v>119.53404761904763</v>
      </c>
      <c r="I104" s="448">
        <v>1.8120882969270376E-4</v>
      </c>
      <c r="J104" s="439"/>
    </row>
    <row r="105" spans="4:13" x14ac:dyDescent="0.2">
      <c r="D105" s="446" t="s">
        <v>595</v>
      </c>
      <c r="E105" s="446" t="s">
        <v>566</v>
      </c>
      <c r="F105" s="446" t="s">
        <v>554</v>
      </c>
      <c r="G105" s="447">
        <v>7.2188569382584241E-3</v>
      </c>
      <c r="H105" s="310">
        <v>93.070000000000022</v>
      </c>
      <c r="I105" s="448">
        <v>5.5988251270309308E-5</v>
      </c>
      <c r="J105" s="439"/>
    </row>
    <row r="106" spans="4:13" x14ac:dyDescent="0.2">
      <c r="D106" s="446" t="s">
        <v>595</v>
      </c>
      <c r="E106" s="446" t="s">
        <v>580</v>
      </c>
      <c r="F106" s="446" t="s">
        <v>554</v>
      </c>
      <c r="G106" s="447">
        <v>4.33131416295506E-4</v>
      </c>
      <c r="H106" s="310">
        <v>94.222857142857137</v>
      </c>
      <c r="I106" s="448">
        <v>7.9354488036628782E-6</v>
      </c>
      <c r="J106" s="439"/>
    </row>
    <row r="107" spans="4:13" x14ac:dyDescent="0.2">
      <c r="D107" s="451" t="s">
        <v>595</v>
      </c>
      <c r="E107" s="451" t="s">
        <v>558</v>
      </c>
      <c r="F107" s="451" t="s">
        <v>554</v>
      </c>
      <c r="G107" s="452">
        <v>3.1088729290303725</v>
      </c>
      <c r="H107" s="310">
        <v>5.2245390795523164E-2</v>
      </c>
      <c r="I107" s="454">
        <v>1.3535356759234546E-5</v>
      </c>
      <c r="J107" s="439"/>
    </row>
    <row r="108" spans="4:13" ht="16" x14ac:dyDescent="0.2">
      <c r="D108" s="461" t="s">
        <v>605</v>
      </c>
      <c r="E108" s="460"/>
      <c r="F108" s="460"/>
      <c r="G108" s="465">
        <v>86.637544675924786</v>
      </c>
      <c r="H108" s="466"/>
      <c r="I108" s="467">
        <v>0.31863046083486185</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0.84999932998961492</v>
      </c>
      <c r="J118" s="439"/>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805</v>
      </c>
      <c r="G3"/>
      <c r="H3"/>
      <c r="I3"/>
    </row>
    <row r="4" spans="2:19" x14ac:dyDescent="0.2">
      <c r="G4"/>
      <c r="H4"/>
      <c r="I4"/>
    </row>
    <row r="5" spans="2:19" ht="16" x14ac:dyDescent="0.2">
      <c r="D5" s="438" t="s">
        <v>806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2.713882663222515E-3</v>
      </c>
      <c r="H8" s="310">
        <v>1506.0555555555554</v>
      </c>
      <c r="I8" s="448">
        <v>3.4060483850601462E-4</v>
      </c>
      <c r="J8" s="439"/>
      <c r="K8" s="446" t="s">
        <v>1</v>
      </c>
      <c r="L8" s="446" t="s">
        <v>535</v>
      </c>
      <c r="M8" s="446" t="s">
        <v>534</v>
      </c>
      <c r="N8" s="449">
        <v>6.8751694134970384E-2</v>
      </c>
      <c r="O8" s="310">
        <v>11013.182368421052</v>
      </c>
      <c r="P8" s="388">
        <v>6.3097912137194415E-2</v>
      </c>
      <c r="Q8" s="29">
        <f>'Assumptions-Output Target'!D17</f>
        <v>1018.5185313926721</v>
      </c>
      <c r="R8" s="388">
        <f>N8*Q8/12000</f>
        <v>5.8354062117590179E-3</v>
      </c>
      <c r="S8" s="388">
        <f>P8-R8</f>
        <v>5.72625059254354E-2</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5.3976110746314462E-2</v>
      </c>
      <c r="H10" s="310">
        <v>11680.51346368715</v>
      </c>
      <c r="I10" s="448">
        <v>5.2539057357482898E-2</v>
      </c>
      <c r="J10" s="439"/>
      <c r="K10" s="446" t="s">
        <v>462</v>
      </c>
      <c r="L10" s="446" t="s">
        <v>538</v>
      </c>
      <c r="M10" s="446" t="s">
        <v>539</v>
      </c>
      <c r="N10" s="449">
        <v>4.6752205074936866</v>
      </c>
      <c r="O10" s="310">
        <v>1085.3318862330859</v>
      </c>
      <c r="P10" s="388">
        <v>0.42284715766281072</v>
      </c>
      <c r="Q10" s="29">
        <v>0</v>
      </c>
      <c r="R10" s="388">
        <f>N10*Q10/12000</f>
        <v>0</v>
      </c>
      <c r="S10" s="388">
        <f>P10-R10</f>
        <v>0.42284715766281072</v>
      </c>
    </row>
    <row r="11" spans="2:19" x14ac:dyDescent="0.2">
      <c r="D11" s="446" t="s">
        <v>1</v>
      </c>
      <c r="E11" s="446" t="s">
        <v>540</v>
      </c>
      <c r="F11" s="446" t="s">
        <v>534</v>
      </c>
      <c r="G11" s="447">
        <v>1.085553065289006E-2</v>
      </c>
      <c r="H11" s="310">
        <v>11217.810277777777</v>
      </c>
      <c r="I11" s="448">
        <v>1.0147940277393484E-2</v>
      </c>
      <c r="J11" s="439"/>
      <c r="K11" s="320" t="s">
        <v>463</v>
      </c>
      <c r="L11" s="450" t="s">
        <v>541</v>
      </c>
      <c r="M11" s="446" t="s">
        <v>539</v>
      </c>
      <c r="N11" s="449">
        <v>0.69055585471380088</v>
      </c>
      <c r="O11" s="310">
        <v>156.80763746602531</v>
      </c>
      <c r="P11" s="388">
        <v>9.0237026763335774E-3</v>
      </c>
      <c r="Q11" s="29">
        <f>'Assumptions-Output Target'!G17</f>
        <v>30.555555941780163</v>
      </c>
      <c r="R11" s="388">
        <f>N11*Q11/12000</f>
        <v>1.7583598374692798E-3</v>
      </c>
      <c r="S11" s="388">
        <f>P11-R11</f>
        <v>7.2653428388642976E-3</v>
      </c>
    </row>
    <row r="12" spans="2:19" x14ac:dyDescent="0.2">
      <c r="D12" s="446" t="s">
        <v>1</v>
      </c>
      <c r="E12" s="446" t="s">
        <v>542</v>
      </c>
      <c r="F12" s="446" t="s">
        <v>534</v>
      </c>
      <c r="G12" s="447">
        <v>0</v>
      </c>
      <c r="H12" s="310" t="s">
        <v>446</v>
      </c>
      <c r="I12" s="448">
        <v>0</v>
      </c>
      <c r="J12" s="439"/>
      <c r="K12" s="320" t="s">
        <v>464</v>
      </c>
      <c r="L12" s="450" t="s">
        <v>541</v>
      </c>
      <c r="M12" s="446" t="s">
        <v>539</v>
      </c>
      <c r="N12" s="449">
        <v>9.2486551321579284</v>
      </c>
      <c r="O12" s="310">
        <v>237.64682964142435</v>
      </c>
      <c r="P12" s="388">
        <v>0.18315946421701834</v>
      </c>
      <c r="Q12" s="29">
        <f>'Assumptions-Output Target'!H17</f>
        <v>55.000000695204292</v>
      </c>
      <c r="R12" s="388">
        <f>N12*Q12/12000</f>
        <v>4.2389669891532568E-2</v>
      </c>
      <c r="S12" s="388">
        <f>P12-R12</f>
        <v>0.14076979432548578</v>
      </c>
    </row>
    <row r="13" spans="2:19" x14ac:dyDescent="0.2">
      <c r="D13" s="446" t="s">
        <v>1</v>
      </c>
      <c r="E13" s="446" t="s">
        <v>543</v>
      </c>
      <c r="F13" s="446" t="s">
        <v>534</v>
      </c>
      <c r="G13" s="447">
        <v>3.0154251813583504E-4</v>
      </c>
      <c r="H13" s="310">
        <v>2297</v>
      </c>
      <c r="I13" s="448">
        <v>5.7720263679834419E-5</v>
      </c>
      <c r="J13" s="439"/>
      <c r="K13" s="446" t="s">
        <v>465</v>
      </c>
      <c r="P13" s="388">
        <f>I117</f>
        <v>4.5091055267970725</v>
      </c>
      <c r="R13" s="388">
        <f>L117</f>
        <v>0.26069242154956229</v>
      </c>
      <c r="S13" s="388">
        <f>M117</f>
        <v>4.2484131052475096</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9.046275544075049E-4</v>
      </c>
      <c r="H15" s="310">
        <v>167</v>
      </c>
      <c r="I15" s="448">
        <v>1.2589400132171111E-5</v>
      </c>
      <c r="J15" s="439"/>
      <c r="K15" s="446" t="s">
        <v>403</v>
      </c>
      <c r="P15" s="388">
        <f>SUM(P8:P13)</f>
        <v>5.1872337634904291</v>
      </c>
      <c r="R15" s="388">
        <f>SUM(R8:R13)</f>
        <v>0.31067585749032317</v>
      </c>
      <c r="S15" s="388">
        <f>SUM(S8:S13)</f>
        <v>4.8765579060001061</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6.8751694134970384E-2</v>
      </c>
      <c r="H17" s="458"/>
      <c r="I17" s="459">
        <v>6.3097912137194415E-2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1.0106399713561795E-3</v>
      </c>
      <c r="H19" s="310">
        <v>519.04714285714283</v>
      </c>
      <c r="I19" s="448">
        <v>4.3714149132470806E-5</v>
      </c>
      <c r="J19" s="439"/>
    </row>
    <row r="20" spans="4:10" x14ac:dyDescent="0.2">
      <c r="D20" s="446" t="s">
        <v>462</v>
      </c>
      <c r="E20" s="446" t="s">
        <v>550</v>
      </c>
      <c r="F20" s="446" t="s">
        <v>537</v>
      </c>
      <c r="G20" s="447">
        <v>0.47716644361888189</v>
      </c>
      <c r="H20" s="310">
        <v>1010.0002269288956</v>
      </c>
      <c r="I20" s="448">
        <v>4.0161518028160398E-2</v>
      </c>
      <c r="J20" s="439"/>
    </row>
    <row r="21" spans="4:10" x14ac:dyDescent="0.2">
      <c r="D21" s="446" t="s">
        <v>462</v>
      </c>
      <c r="E21" s="446" t="s">
        <v>551</v>
      </c>
      <c r="F21" s="446" t="s">
        <v>537</v>
      </c>
      <c r="G21" s="447">
        <v>4.4612535878437061E-2</v>
      </c>
      <c r="H21" s="310">
        <v>1052.366084142395</v>
      </c>
      <c r="I21" s="448">
        <v>3.912393307171076E-3</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2.8875427753033699E-4</v>
      </c>
      <c r="H23" s="310">
        <v>98</v>
      </c>
      <c r="I23" s="448">
        <v>2.3581599331644188E-6</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1.8769028039471905E-3</v>
      </c>
      <c r="H26" s="310">
        <v>45.230769230769234</v>
      </c>
      <c r="I26" s="448">
        <v>7.0744797994932568E-6</v>
      </c>
      <c r="J26" s="439"/>
    </row>
    <row r="27" spans="4:10" x14ac:dyDescent="0.2">
      <c r="D27" s="446" t="s">
        <v>462</v>
      </c>
      <c r="E27" s="446" t="s">
        <v>558</v>
      </c>
      <c r="F27" s="446" t="s">
        <v>537</v>
      </c>
      <c r="G27" s="447">
        <v>1.443771387651685E-3</v>
      </c>
      <c r="H27" s="310">
        <v>54.634999999999998</v>
      </c>
      <c r="I27" s="448">
        <v>6.5733708136958176E-6</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8.6626283259101102E-4</v>
      </c>
      <c r="H31" s="310">
        <v>380.83333333333337</v>
      </c>
      <c r="I31" s="448">
        <v>2.7491813506534168E-5</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1.6886023067931246</v>
      </c>
      <c r="H52" s="310">
        <v>1095.5355583014202</v>
      </c>
      <c r="I52" s="448">
        <v>0.15416032257680598</v>
      </c>
      <c r="J52" s="439"/>
    </row>
    <row r="53" spans="4:10" x14ac:dyDescent="0.2">
      <c r="D53" s="446" t="s">
        <v>462</v>
      </c>
      <c r="E53" s="446" t="s">
        <v>584</v>
      </c>
      <c r="F53" s="446" t="s">
        <v>554</v>
      </c>
      <c r="G53" s="447">
        <v>9.3322630611901852E-2</v>
      </c>
      <c r="H53" s="310">
        <v>1095.53555830142</v>
      </c>
      <c r="I53" s="448">
        <v>8.519855019130591E-3</v>
      </c>
      <c r="J53" s="439"/>
    </row>
    <row r="54" spans="4:10" x14ac:dyDescent="0.2">
      <c r="D54" s="446" t="s">
        <v>462</v>
      </c>
      <c r="E54" s="446" t="s">
        <v>585</v>
      </c>
      <c r="F54" s="446" t="s">
        <v>554</v>
      </c>
      <c r="G54" s="447">
        <v>0.41322814676508363</v>
      </c>
      <c r="H54" s="310">
        <v>1095.53555830142</v>
      </c>
      <c r="I54" s="448">
        <v>3.7725510706012252E-2</v>
      </c>
      <c r="J54" s="439"/>
    </row>
    <row r="55" spans="4:10" x14ac:dyDescent="0.2">
      <c r="D55" s="446" t="s">
        <v>462</v>
      </c>
      <c r="E55" s="446" t="s">
        <v>586</v>
      </c>
      <c r="F55" s="446" t="s">
        <v>537</v>
      </c>
      <c r="G55" s="447">
        <v>0.22588582515810596</v>
      </c>
      <c r="H55" s="310">
        <v>1095.5355583014202</v>
      </c>
      <c r="I55" s="448">
        <v>2.0622162798080216E-2</v>
      </c>
      <c r="J55" s="439"/>
    </row>
    <row r="56" spans="4:10" x14ac:dyDescent="0.2">
      <c r="D56" s="446" t="s">
        <v>462</v>
      </c>
      <c r="E56" s="446" t="s">
        <v>5</v>
      </c>
      <c r="F56" s="446" t="s">
        <v>537</v>
      </c>
      <c r="G56" s="447">
        <v>0.19369945704189637</v>
      </c>
      <c r="H56" s="310">
        <v>1095.5355583014202</v>
      </c>
      <c r="I56" s="448">
        <v>1.7683720234422991E-2</v>
      </c>
      <c r="J56" s="439"/>
    </row>
    <row r="57" spans="4:10" x14ac:dyDescent="0.2">
      <c r="D57" s="446" t="s">
        <v>462</v>
      </c>
      <c r="E57" s="446" t="s">
        <v>587</v>
      </c>
      <c r="F57" s="446" t="s">
        <v>537</v>
      </c>
      <c r="G57" s="447">
        <v>0.51153978806810474</v>
      </c>
      <c r="H57" s="310">
        <v>1095.5355583014202</v>
      </c>
      <c r="I57" s="448">
        <v>4.6700835609548436E-2</v>
      </c>
      <c r="J57" s="439"/>
    </row>
    <row r="58" spans="4:10" x14ac:dyDescent="0.2">
      <c r="D58" s="446" t="s">
        <v>462</v>
      </c>
      <c r="E58" s="446" t="s">
        <v>588</v>
      </c>
      <c r="F58" s="446" t="s">
        <v>537</v>
      </c>
      <c r="G58" s="447">
        <v>0.34555571169172133</v>
      </c>
      <c r="H58" s="310">
        <v>1095.53555830142</v>
      </c>
      <c r="I58" s="448">
        <v>3.1547380794369542E-2</v>
      </c>
      <c r="J58" s="439"/>
    </row>
    <row r="59" spans="4:10" x14ac:dyDescent="0.2">
      <c r="D59" s="446" t="s">
        <v>462</v>
      </c>
      <c r="E59" s="446" t="s">
        <v>589</v>
      </c>
      <c r="F59" s="446" t="s">
        <v>537</v>
      </c>
      <c r="G59" s="447">
        <v>0.13357296681209532</v>
      </c>
      <c r="H59" s="310">
        <v>1095.53555830142</v>
      </c>
      <c r="I59" s="448">
        <v>1.2194494564205492E-2</v>
      </c>
      <c r="J59" s="439"/>
    </row>
    <row r="60" spans="4:10" x14ac:dyDescent="0.2">
      <c r="D60" s="446" t="s">
        <v>462</v>
      </c>
      <c r="E60" s="446" t="s">
        <v>590</v>
      </c>
      <c r="F60" s="446" t="s">
        <v>537</v>
      </c>
      <c r="G60" s="447">
        <v>0.12749294317789744</v>
      </c>
      <c r="H60" s="310">
        <v>1095.5355583014202</v>
      </c>
      <c r="I60" s="448">
        <v>1.163942105699076E-2</v>
      </c>
      <c r="J60" s="439"/>
    </row>
    <row r="61" spans="4:10" x14ac:dyDescent="0.2">
      <c r="D61" s="446" t="s">
        <v>462</v>
      </c>
      <c r="E61" s="446" t="s">
        <v>591</v>
      </c>
      <c r="F61" s="446" t="s">
        <v>537</v>
      </c>
      <c r="G61" s="447">
        <v>0.21138793266835898</v>
      </c>
      <c r="H61" s="310">
        <v>1095.53555830142</v>
      </c>
      <c r="I61" s="448">
        <v>1.9298583069501135E-2</v>
      </c>
      <c r="J61" s="439"/>
    </row>
    <row r="62" spans="4:10" x14ac:dyDescent="0.2">
      <c r="D62" s="446" t="s">
        <v>462</v>
      </c>
      <c r="E62" s="446" t="s">
        <v>592</v>
      </c>
      <c r="F62" s="446" t="s">
        <v>537</v>
      </c>
      <c r="G62" s="447">
        <v>0.20366748793500042</v>
      </c>
      <c r="H62" s="310">
        <v>1095.53555830142</v>
      </c>
      <c r="I62" s="448">
        <v>1.8593747925226535E-2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4.6752205074936866</v>
      </c>
      <c r="H64" s="463"/>
      <c r="I64" s="464">
        <v>0.42284715766281072</v>
      </c>
      <c r="J64" s="439"/>
    </row>
    <row r="65" spans="4:10" x14ac:dyDescent="0.2">
      <c r="D65" s="446" t="s">
        <v>595</v>
      </c>
      <c r="E65" s="446" t="s">
        <v>596</v>
      </c>
      <c r="F65" s="446" t="s">
        <v>554</v>
      </c>
      <c r="G65" s="447">
        <v>4.6200684404853918E-3</v>
      </c>
      <c r="H65" s="310">
        <v>1582.3475000000001</v>
      </c>
      <c r="I65" s="448">
        <v>6.0921281221924665E-4</v>
      </c>
      <c r="J65" s="439"/>
    </row>
    <row r="66" spans="4:10" x14ac:dyDescent="0.2">
      <c r="D66" s="446" t="s">
        <v>595</v>
      </c>
      <c r="E66" s="446" t="s">
        <v>563</v>
      </c>
      <c r="F66" s="446" t="s">
        <v>554</v>
      </c>
      <c r="G66" s="447">
        <v>2.685414781032134E-2</v>
      </c>
      <c r="H66" s="310">
        <v>680.47327956989261</v>
      </c>
      <c r="I66" s="448">
        <v>1.522794169212001E-3</v>
      </c>
      <c r="J66" s="439"/>
    </row>
    <row r="67" spans="4:10" x14ac:dyDescent="0.2">
      <c r="D67" s="446" t="s">
        <v>595</v>
      </c>
      <c r="E67" s="446" t="s">
        <v>564</v>
      </c>
      <c r="F67" s="446" t="s">
        <v>554</v>
      </c>
      <c r="G67" s="447">
        <v>2.9164182030564038E-2</v>
      </c>
      <c r="H67" s="310">
        <v>325.63212871287129</v>
      </c>
      <c r="I67" s="448">
        <v>7.9139955639851974E-4</v>
      </c>
      <c r="J67" s="439"/>
    </row>
    <row r="68" spans="4:10" x14ac:dyDescent="0.2">
      <c r="D68" s="446" t="s">
        <v>595</v>
      </c>
      <c r="E68" s="446" t="s">
        <v>597</v>
      </c>
      <c r="F68" s="446" t="s">
        <v>554</v>
      </c>
      <c r="G68" s="447">
        <v>6.3814695334204488E-2</v>
      </c>
      <c r="H68" s="310">
        <v>37.037737556561083</v>
      </c>
      <c r="I68" s="448">
        <v>1.9696266150334739E-4</v>
      </c>
      <c r="J68" s="439"/>
    </row>
    <row r="69" spans="4:10" x14ac:dyDescent="0.2">
      <c r="D69" s="446" t="s">
        <v>595</v>
      </c>
      <c r="E69" s="446" t="s">
        <v>572</v>
      </c>
      <c r="F69" s="446" t="s">
        <v>554</v>
      </c>
      <c r="G69" s="447">
        <v>1.2993942488865166E-3</v>
      </c>
      <c r="H69" s="310">
        <v>147.7544444444444</v>
      </c>
      <c r="I69" s="448">
        <v>1.5999272946544449E-5</v>
      </c>
      <c r="J69" s="439"/>
    </row>
    <row r="70" spans="4:10" x14ac:dyDescent="0.2">
      <c r="D70" s="446" t="s">
        <v>595</v>
      </c>
      <c r="E70" s="446" t="s">
        <v>567</v>
      </c>
      <c r="F70" s="446" t="s">
        <v>554</v>
      </c>
      <c r="G70" s="447">
        <v>7.218856938258425E-4</v>
      </c>
      <c r="H70" s="310">
        <v>67.8</v>
      </c>
      <c r="I70" s="448">
        <v>4.0786541701160105E-6</v>
      </c>
      <c r="J70" s="439"/>
    </row>
    <row r="71" spans="4:10" x14ac:dyDescent="0.2">
      <c r="D71" s="446" t="s">
        <v>595</v>
      </c>
      <c r="E71" s="446" t="s">
        <v>568</v>
      </c>
      <c r="F71" s="446" t="s">
        <v>554</v>
      </c>
      <c r="G71" s="447">
        <v>1.732525665182022E-3</v>
      </c>
      <c r="H71" s="310">
        <v>97.250000000000014</v>
      </c>
      <c r="I71" s="448">
        <v>1.4040676744912638E-5</v>
      </c>
      <c r="J71" s="439"/>
    </row>
    <row r="72" spans="4:10" x14ac:dyDescent="0.2">
      <c r="D72" s="446" t="s">
        <v>595</v>
      </c>
      <c r="E72" s="446" t="s">
        <v>548</v>
      </c>
      <c r="F72" s="446" t="s">
        <v>554</v>
      </c>
      <c r="G72" s="447">
        <v>5.9627758310014586E-2</v>
      </c>
      <c r="H72" s="310">
        <v>286.38520581113812</v>
      </c>
      <c r="I72" s="448">
        <v>1.4230423196391938E-3</v>
      </c>
      <c r="J72" s="439"/>
    </row>
    <row r="73" spans="4:10" x14ac:dyDescent="0.2">
      <c r="D73" s="446" t="s">
        <v>595</v>
      </c>
      <c r="E73" s="446" t="s">
        <v>598</v>
      </c>
      <c r="F73" s="446" t="s">
        <v>554</v>
      </c>
      <c r="G73" s="447">
        <v>3.7538056078943818E-3</v>
      </c>
      <c r="H73" s="310">
        <v>162.22192307692305</v>
      </c>
      <c r="I73" s="448">
        <v>5.0745797047463731E-5</v>
      </c>
      <c r="J73" s="439"/>
    </row>
    <row r="74" spans="4:10" x14ac:dyDescent="0.2">
      <c r="D74" s="446" t="s">
        <v>595</v>
      </c>
      <c r="E74" s="446" t="s">
        <v>549</v>
      </c>
      <c r="F74" s="446" t="s">
        <v>554</v>
      </c>
      <c r="G74" s="447">
        <v>0.29987131721525501</v>
      </c>
      <c r="H74" s="310">
        <v>97.151579200770342</v>
      </c>
      <c r="I74" s="448">
        <v>2.427747668706431E-3</v>
      </c>
      <c r="J74" s="439"/>
    </row>
    <row r="75" spans="4:10" x14ac:dyDescent="0.2">
      <c r="D75" s="446" t="s">
        <v>595</v>
      </c>
      <c r="E75" s="446" t="s">
        <v>571</v>
      </c>
      <c r="F75" s="446" t="s">
        <v>554</v>
      </c>
      <c r="G75" s="447">
        <v>7.3632340770235939E-3</v>
      </c>
      <c r="H75" s="310">
        <v>758.21764705882345</v>
      </c>
      <c r="I75" s="448">
        <v>4.6524450138534808E-4</v>
      </c>
      <c r="J75" s="439"/>
    </row>
    <row r="76" spans="4:10" x14ac:dyDescent="0.2">
      <c r="D76" s="446" t="s">
        <v>595</v>
      </c>
      <c r="E76" s="446" t="s">
        <v>561</v>
      </c>
      <c r="F76" s="446" t="s">
        <v>554</v>
      </c>
      <c r="G76" s="447">
        <v>1.0250776852326964E-2</v>
      </c>
      <c r="H76" s="310">
        <v>67.584647887323953</v>
      </c>
      <c r="I76" s="448">
        <v>5.7732928678004067E-5</v>
      </c>
      <c r="J76" s="439"/>
    </row>
    <row r="77" spans="4:10" x14ac:dyDescent="0.2">
      <c r="D77" s="446" t="s">
        <v>595</v>
      </c>
      <c r="E77" s="446" t="s">
        <v>599</v>
      </c>
      <c r="F77" s="446" t="s">
        <v>554</v>
      </c>
      <c r="G77" s="447">
        <v>1.675929826786076</v>
      </c>
      <c r="H77" s="310">
        <v>291.12361819434869</v>
      </c>
      <c r="I77" s="448">
        <v>4.0658562917815881E-2</v>
      </c>
      <c r="J77" s="439"/>
    </row>
    <row r="78" spans="4:10" x14ac:dyDescent="0.2">
      <c r="D78" s="446" t="s">
        <v>595</v>
      </c>
      <c r="E78" s="446" t="s">
        <v>600</v>
      </c>
      <c r="F78" s="446" t="s">
        <v>554</v>
      </c>
      <c r="G78" s="447">
        <v>1.9490913733297751E-2</v>
      </c>
      <c r="H78" s="310">
        <v>1343.6103703703704</v>
      </c>
      <c r="I78" s="448">
        <v>2.1823494850044273E-3</v>
      </c>
      <c r="J78" s="439"/>
    </row>
    <row r="79" spans="4:10" x14ac:dyDescent="0.2">
      <c r="D79" s="446" t="s">
        <v>595</v>
      </c>
      <c r="E79" s="446" t="s">
        <v>555</v>
      </c>
      <c r="F79" s="446" t="s">
        <v>554</v>
      </c>
      <c r="G79" s="447">
        <v>0.29554000305229988</v>
      </c>
      <c r="H79" s="310">
        <v>206.04099658036102</v>
      </c>
      <c r="I79" s="448">
        <v>5.0744463965215671E-3</v>
      </c>
      <c r="J79" s="439"/>
    </row>
    <row r="80" spans="4:10" x14ac:dyDescent="0.2">
      <c r="D80" s="446" t="s">
        <v>595</v>
      </c>
      <c r="E80" s="446" t="s">
        <v>552</v>
      </c>
      <c r="F80" s="446" t="s">
        <v>554</v>
      </c>
      <c r="G80" s="447">
        <v>3.7538056078943809E-3</v>
      </c>
      <c r="H80" s="310">
        <v>198.58500000000001</v>
      </c>
      <c r="I80" s="448">
        <v>6.2120790553642143E-5</v>
      </c>
      <c r="J80" s="439"/>
    </row>
    <row r="81" spans="4:10" x14ac:dyDescent="0.2">
      <c r="D81" s="446" t="s">
        <v>595</v>
      </c>
      <c r="E81" s="446" t="s">
        <v>581</v>
      </c>
      <c r="F81" s="446" t="s">
        <v>554</v>
      </c>
      <c r="G81" s="447">
        <v>1.4635510556625131</v>
      </c>
      <c r="H81" s="310">
        <v>474.55045181020125</v>
      </c>
      <c r="I81" s="448">
        <v>5.7877401225995218E-2</v>
      </c>
      <c r="J81" s="439"/>
    </row>
    <row r="82" spans="4:10" x14ac:dyDescent="0.2">
      <c r="D82" s="446" t="s">
        <v>595</v>
      </c>
      <c r="E82" s="446" t="s">
        <v>574</v>
      </c>
      <c r="F82" s="446" t="s">
        <v>554</v>
      </c>
      <c r="G82" s="447">
        <v>2.7431656365382016E-3</v>
      </c>
      <c r="H82" s="310">
        <v>107.10526315789473</v>
      </c>
      <c r="I82" s="448">
        <v>2.4483956448926491E-5</v>
      </c>
      <c r="J82" s="439"/>
    </row>
    <row r="83" spans="4:10" x14ac:dyDescent="0.2">
      <c r="D83" s="446" t="s">
        <v>595</v>
      </c>
      <c r="E83" s="446" t="s">
        <v>601</v>
      </c>
      <c r="F83" s="446" t="s">
        <v>554</v>
      </c>
      <c r="G83" s="447">
        <v>7.3632340770235939E-3</v>
      </c>
      <c r="H83" s="310">
        <v>159.29450980392158</v>
      </c>
      <c r="I83" s="448">
        <v>9.774356357258369E-5</v>
      </c>
      <c r="J83" s="439"/>
    </row>
    <row r="84" spans="4:10" x14ac:dyDescent="0.2">
      <c r="D84" s="446" t="s">
        <v>595</v>
      </c>
      <c r="E84" s="446" t="s">
        <v>559</v>
      </c>
      <c r="F84" s="446" t="s">
        <v>554</v>
      </c>
      <c r="G84" s="447">
        <v>8.7203791814161769E-2</v>
      </c>
      <c r="H84" s="310">
        <v>198.81177152317883</v>
      </c>
      <c r="I84" s="448">
        <v>1.4447616945093319E-3</v>
      </c>
      <c r="J84" s="439"/>
    </row>
    <row r="85" spans="4:10" x14ac:dyDescent="0.2">
      <c r="D85" s="446" t="s">
        <v>595</v>
      </c>
      <c r="E85" s="446" t="s">
        <v>573</v>
      </c>
      <c r="F85" s="446" t="s">
        <v>554</v>
      </c>
      <c r="G85" s="447">
        <v>1.8047142345646066E-2</v>
      </c>
      <c r="H85" s="310">
        <v>103.31927999999998</v>
      </c>
      <c r="I85" s="448">
        <v>1.5538481276747184E-4</v>
      </c>
      <c r="J85" s="439"/>
    </row>
    <row r="86" spans="4:10" x14ac:dyDescent="0.2">
      <c r="D86" s="446" t="s">
        <v>595</v>
      </c>
      <c r="E86" s="446" t="s">
        <v>562</v>
      </c>
      <c r="F86" s="446" t="s">
        <v>554</v>
      </c>
      <c r="G86" s="447">
        <v>0.11838925378743818</v>
      </c>
      <c r="H86" s="310">
        <v>966.98942682926827</v>
      </c>
      <c r="I86" s="448">
        <v>9.5400963885549691E-3</v>
      </c>
      <c r="J86" s="439"/>
    </row>
    <row r="87" spans="4:10" x14ac:dyDescent="0.2">
      <c r="D87" s="446" t="s">
        <v>595</v>
      </c>
      <c r="E87" s="446" t="s">
        <v>550</v>
      </c>
      <c r="F87" s="446" t="s">
        <v>554</v>
      </c>
      <c r="G87" s="447">
        <v>1.2479959874861166</v>
      </c>
      <c r="H87" s="310">
        <v>478.82252660805068</v>
      </c>
      <c r="I87" s="448">
        <v>4.9797382660400964E-2</v>
      </c>
      <c r="J87" s="439"/>
    </row>
    <row r="88" spans="4:10" x14ac:dyDescent="0.2">
      <c r="D88" s="446" t="s">
        <v>595</v>
      </c>
      <c r="E88" s="446" t="s">
        <v>579</v>
      </c>
      <c r="F88" s="446" t="s">
        <v>554</v>
      </c>
      <c r="G88" s="447">
        <v>3.2917987638458421E-2</v>
      </c>
      <c r="H88" s="310">
        <v>139.13842105263157</v>
      </c>
      <c r="I88" s="448">
        <v>3.8167973535376242E-4</v>
      </c>
      <c r="J88" s="439"/>
    </row>
    <row r="89" spans="4:10" x14ac:dyDescent="0.2">
      <c r="D89" s="446" t="s">
        <v>595</v>
      </c>
      <c r="E89" s="446" t="s">
        <v>556</v>
      </c>
      <c r="F89" s="446" t="s">
        <v>554</v>
      </c>
      <c r="G89" s="447">
        <v>6.0638398281370777E-3</v>
      </c>
      <c r="H89" s="310">
        <v>100.05357142857144</v>
      </c>
      <c r="I89" s="448">
        <v>5.0559069281327455E-5</v>
      </c>
      <c r="J89" s="439"/>
    </row>
    <row r="90" spans="4:10" x14ac:dyDescent="0.2">
      <c r="D90" s="446" t="s">
        <v>595</v>
      </c>
      <c r="E90" s="446" t="s">
        <v>602</v>
      </c>
      <c r="F90" s="446" t="s">
        <v>554</v>
      </c>
      <c r="G90" s="447">
        <v>4.6200684404853918E-3</v>
      </c>
      <c r="H90" s="310">
        <v>94.971250000000012</v>
      </c>
      <c r="I90" s="448">
        <v>3.6564472906537359E-5</v>
      </c>
      <c r="J90" s="439"/>
    </row>
    <row r="91" spans="4:10" x14ac:dyDescent="0.2">
      <c r="D91" s="446" t="s">
        <v>595</v>
      </c>
      <c r="E91" s="446" t="s">
        <v>577</v>
      </c>
      <c r="F91" s="446" t="s">
        <v>554</v>
      </c>
      <c r="G91" s="447">
        <v>0.2933743459708224</v>
      </c>
      <c r="H91" s="310">
        <v>74.489143700787309</v>
      </c>
      <c r="I91" s="448">
        <v>1.8211003179287569E-3</v>
      </c>
      <c r="J91" s="439"/>
    </row>
    <row r="92" spans="4:10" x14ac:dyDescent="0.2">
      <c r="D92" s="446" t="s">
        <v>595</v>
      </c>
      <c r="E92" s="446" t="s">
        <v>576</v>
      </c>
      <c r="F92" s="446" t="s">
        <v>554</v>
      </c>
      <c r="G92" s="447">
        <v>7.9407426320842675E-3</v>
      </c>
      <c r="H92" s="310">
        <v>115.97945454545456</v>
      </c>
      <c r="I92" s="448">
        <v>7.6746916596247538E-5</v>
      </c>
      <c r="J92" s="439"/>
    </row>
    <row r="93" spans="4:10" x14ac:dyDescent="0.2">
      <c r="D93" s="446" t="s">
        <v>595</v>
      </c>
      <c r="E93" s="446" t="s">
        <v>603</v>
      </c>
      <c r="F93" s="446" t="s">
        <v>554</v>
      </c>
      <c r="G93" s="447">
        <v>5.7750855506067398E-4</v>
      </c>
      <c r="H93" s="310">
        <v>31.932500000000005</v>
      </c>
      <c r="I93" s="448">
        <v>1.5367743278729145E-6</v>
      </c>
      <c r="J93" s="439"/>
    </row>
    <row r="94" spans="4:10" x14ac:dyDescent="0.2">
      <c r="D94" s="446" t="s">
        <v>595</v>
      </c>
      <c r="E94" s="446" t="s">
        <v>557</v>
      </c>
      <c r="F94" s="446" t="s">
        <v>554</v>
      </c>
      <c r="G94" s="447">
        <v>9.3845140197359525E-2</v>
      </c>
      <c r="H94" s="310">
        <v>89.291184615384452</v>
      </c>
      <c r="I94" s="448">
        <v>6.9829531155158892E-4</v>
      </c>
      <c r="J94" s="439"/>
    </row>
    <row r="95" spans="4:10" x14ac:dyDescent="0.2">
      <c r="D95" s="446" t="s">
        <v>595</v>
      </c>
      <c r="E95" s="446" t="s">
        <v>582</v>
      </c>
      <c r="F95" s="446" t="s">
        <v>554</v>
      </c>
      <c r="G95" s="447">
        <v>3.1762970528337073E-3</v>
      </c>
      <c r="H95" s="310">
        <v>92.492272727272706</v>
      </c>
      <c r="I95" s="448">
        <v>2.4481911106127316E-5</v>
      </c>
      <c r="J95" s="439"/>
    </row>
    <row r="96" spans="4:10" x14ac:dyDescent="0.2">
      <c r="D96" s="446" t="s">
        <v>595</v>
      </c>
      <c r="E96" s="446" t="s">
        <v>565</v>
      </c>
      <c r="F96" s="446" t="s">
        <v>554</v>
      </c>
      <c r="G96" s="447">
        <v>0.42620131363477753</v>
      </c>
      <c r="H96" s="310">
        <v>69.064478319783177</v>
      </c>
      <c r="I96" s="448">
        <v>2.4529476154493504E-3</v>
      </c>
      <c r="J96" s="439"/>
    </row>
    <row r="97" spans="4:13" x14ac:dyDescent="0.2">
      <c r="D97" s="446" t="s">
        <v>595</v>
      </c>
      <c r="E97" s="446" t="s">
        <v>604</v>
      </c>
      <c r="F97" s="446" t="s">
        <v>554</v>
      </c>
      <c r="G97" s="447">
        <v>5.1975769955460664E-3</v>
      </c>
      <c r="H97" s="310">
        <v>108.85277777777777</v>
      </c>
      <c r="I97" s="448">
        <v>4.7147557806588823E-5</v>
      </c>
      <c r="J97" s="439"/>
    </row>
    <row r="98" spans="4:13" x14ac:dyDescent="0.2">
      <c r="D98" s="446" t="s">
        <v>595</v>
      </c>
      <c r="E98" s="446" t="s">
        <v>569</v>
      </c>
      <c r="F98" s="446" t="s">
        <v>554</v>
      </c>
      <c r="G98" s="447">
        <v>1.2993942488865165E-2</v>
      </c>
      <c r="H98" s="310">
        <v>399.42977777777776</v>
      </c>
      <c r="I98" s="448">
        <v>4.3251396339871978E-4</v>
      </c>
      <c r="J98" s="439"/>
    </row>
    <row r="99" spans="4:13" x14ac:dyDescent="0.2">
      <c r="D99" s="446" t="s">
        <v>595</v>
      </c>
      <c r="E99" s="446" t="s">
        <v>553</v>
      </c>
      <c r="F99" s="446" t="s">
        <v>554</v>
      </c>
      <c r="G99" s="447">
        <v>0.27012962662963025</v>
      </c>
      <c r="H99" s="310">
        <v>193.33864243719938</v>
      </c>
      <c r="I99" s="448">
        <v>4.3522079412200215E-3</v>
      </c>
      <c r="J99" s="439"/>
    </row>
    <row r="100" spans="4:13" x14ac:dyDescent="0.2">
      <c r="D100" s="446" t="s">
        <v>595</v>
      </c>
      <c r="E100" s="446" t="s">
        <v>570</v>
      </c>
      <c r="F100" s="446" t="s">
        <v>554</v>
      </c>
      <c r="G100" s="447">
        <v>2.8586673475503366E-2</v>
      </c>
      <c r="H100" s="310">
        <v>858.97676767676762</v>
      </c>
      <c r="I100" s="448">
        <v>2.0462740317182559E-3</v>
      </c>
      <c r="J100" s="439"/>
    </row>
    <row r="101" spans="4:13" x14ac:dyDescent="0.2">
      <c r="D101" s="446" t="s">
        <v>595</v>
      </c>
      <c r="E101" s="446" t="s">
        <v>551</v>
      </c>
      <c r="F101" s="446" t="s">
        <v>554</v>
      </c>
      <c r="G101" s="447">
        <v>1.05395311298573E-2</v>
      </c>
      <c r="H101" s="310">
        <v>92.999863013698629</v>
      </c>
      <c r="I101" s="448">
        <v>8.1681245942111775E-5</v>
      </c>
      <c r="J101" s="439"/>
    </row>
    <row r="102" spans="4:13" x14ac:dyDescent="0.2">
      <c r="D102" s="446" t="s">
        <v>595</v>
      </c>
      <c r="E102" s="446" t="s">
        <v>578</v>
      </c>
      <c r="F102" s="446" t="s">
        <v>554</v>
      </c>
      <c r="G102" s="447">
        <v>8.3016854789971881E-2</v>
      </c>
      <c r="H102" s="310">
        <v>131.87756521739135</v>
      </c>
      <c r="I102" s="448">
        <v>9.123383901422687E-4</v>
      </c>
      <c r="J102" s="439"/>
    </row>
    <row r="103" spans="4:13" x14ac:dyDescent="0.2">
      <c r="D103" s="446" t="s">
        <v>595</v>
      </c>
      <c r="E103" s="446" t="s">
        <v>560</v>
      </c>
      <c r="F103" s="446" t="s">
        <v>554</v>
      </c>
      <c r="G103" s="447">
        <v>1.3282696766395504E-2</v>
      </c>
      <c r="H103" s="310">
        <v>78.793804347826068</v>
      </c>
      <c r="I103" s="448">
        <v>8.7216184185239109E-5</v>
      </c>
      <c r="J103" s="439"/>
    </row>
    <row r="104" spans="4:13" x14ac:dyDescent="0.2">
      <c r="D104" s="446" t="s">
        <v>595</v>
      </c>
      <c r="E104" s="446" t="s">
        <v>575</v>
      </c>
      <c r="F104" s="446" t="s">
        <v>554</v>
      </c>
      <c r="G104" s="447">
        <v>2.7431656365382016E-3</v>
      </c>
      <c r="H104" s="310">
        <v>192.8578947368421</v>
      </c>
      <c r="I104" s="448">
        <v>4.4086762464767245E-5</v>
      </c>
      <c r="J104" s="439"/>
    </row>
    <row r="105" spans="4:13" x14ac:dyDescent="0.2">
      <c r="D105" s="446" t="s">
        <v>595</v>
      </c>
      <c r="E105" s="446" t="s">
        <v>566</v>
      </c>
      <c r="F105" s="446" t="s">
        <v>554</v>
      </c>
      <c r="G105" s="447">
        <v>8.6048774704040432E-2</v>
      </c>
      <c r="H105" s="310">
        <v>457.40664429530199</v>
      </c>
      <c r="I105" s="448">
        <v>3.2799401069248E-3</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3.3276895927181549</v>
      </c>
      <c r="I107" s="454">
        <v>8.6211367425146474E-4</v>
      </c>
      <c r="J107" s="439"/>
    </row>
    <row r="108" spans="4:13" ht="16" x14ac:dyDescent="0.2">
      <c r="D108" s="461" t="s">
        <v>605</v>
      </c>
      <c r="E108" s="460"/>
      <c r="F108" s="460"/>
      <c r="G108" s="465">
        <v>9.9392109868717284</v>
      </c>
      <c r="H108" s="466"/>
      <c r="I108" s="467">
        <v>0.19218316689335191</v>
      </c>
      <c r="J108" s="439"/>
      <c r="K108" s="313" t="s">
        <v>311</v>
      </c>
      <c r="L108" s="313" t="s">
        <v>606</v>
      </c>
      <c r="M108" s="313" t="s">
        <v>528</v>
      </c>
    </row>
    <row r="109" spans="4:13" x14ac:dyDescent="0.2">
      <c r="D109" s="446" t="s">
        <v>607</v>
      </c>
      <c r="E109" s="446" t="s">
        <v>608</v>
      </c>
      <c r="F109" s="468" t="s">
        <v>609</v>
      </c>
      <c r="G109" s="469">
        <v>4.38593592628572</v>
      </c>
      <c r="H109" s="310">
        <v>48.612547853877402</v>
      </c>
      <c r="I109" s="470">
        <v>1.7767626675050389E-2</v>
      </c>
      <c r="J109" s="439"/>
      <c r="K109">
        <f>'Assumptions-Output Target'!$J$17</f>
        <v>10.185185313926722</v>
      </c>
      <c r="L109" s="470">
        <f>G109*K109/12000</f>
        <v>3.7226308486857421E-3</v>
      </c>
      <c r="M109" s="388">
        <f>I109-L109</f>
        <v>1.4044995826364646E-2</v>
      </c>
    </row>
    <row r="110" spans="4:13" x14ac:dyDescent="0.2">
      <c r="D110" s="446" t="s">
        <v>607</v>
      </c>
      <c r="E110" s="446" t="s">
        <v>610</v>
      </c>
      <c r="F110" s="468" t="s">
        <v>609</v>
      </c>
      <c r="G110" s="469">
        <v>0.13569413316112575</v>
      </c>
      <c r="H110" s="310">
        <v>376.79913726383569</v>
      </c>
      <c r="I110" s="470">
        <v>4.2607860255730184E-3</v>
      </c>
      <c r="J110" s="439"/>
      <c r="K110">
        <f>'Assumptions-Output Target'!$K$17</f>
        <v>50.92592656963361</v>
      </c>
      <c r="L110" s="470">
        <f t="shared" ref="L110:L116" si="0">G110*K110/12000</f>
        <v>5.7586245510779792E-4</v>
      </c>
      <c r="M110" s="388">
        <f t="shared" ref="M110:M116" si="1">I110-L110</f>
        <v>3.6849235704652207E-3</v>
      </c>
    </row>
    <row r="111" spans="4:13" x14ac:dyDescent="0.2">
      <c r="D111" s="446" t="s">
        <v>607</v>
      </c>
      <c r="E111" s="446" t="s">
        <v>611</v>
      </c>
      <c r="F111" s="468" t="s">
        <v>609</v>
      </c>
      <c r="G111" s="469">
        <v>0.12815557020772986</v>
      </c>
      <c r="H111" s="310">
        <v>458.27959359189578</v>
      </c>
      <c r="I111" s="470">
        <v>4.8942568859446757E-3</v>
      </c>
      <c r="J111" s="439"/>
      <c r="K111">
        <f>'Assumptions-Output Target'!$L$17</f>
        <v>81.481482511413773</v>
      </c>
      <c r="L111" s="470">
        <f t="shared" si="0"/>
        <v>8.7019215438511666E-4</v>
      </c>
      <c r="M111" s="388">
        <f t="shared" si="1"/>
        <v>4.0240647315595594E-3</v>
      </c>
    </row>
    <row r="112" spans="4:13" x14ac:dyDescent="0.2">
      <c r="D112" s="446" t="s">
        <v>607</v>
      </c>
      <c r="E112" s="446" t="s">
        <v>612</v>
      </c>
      <c r="F112" s="468" t="s">
        <v>609</v>
      </c>
      <c r="G112" s="469">
        <v>5.3448411339576758</v>
      </c>
      <c r="H112" s="310">
        <v>5048.2834276269577</v>
      </c>
      <c r="I112" s="470">
        <v>2.248522743321451</v>
      </c>
      <c r="J112" s="439"/>
      <c r="K112">
        <f>'Assumptions-Output Target'!$M$17</f>
        <v>203.70370627853444</v>
      </c>
      <c r="L112" s="470">
        <f t="shared" si="0"/>
        <v>9.0730329038095289E-2</v>
      </c>
      <c r="M112" s="388">
        <f t="shared" si="1"/>
        <v>2.1577924142833558</v>
      </c>
    </row>
    <row r="113" spans="4:13" x14ac:dyDescent="0.2">
      <c r="D113" s="446" t="s">
        <v>607</v>
      </c>
      <c r="E113" s="446" t="s">
        <v>613</v>
      </c>
      <c r="F113" s="468" t="s">
        <v>609</v>
      </c>
      <c r="G113" s="469">
        <v>0.64258710614746439</v>
      </c>
      <c r="H113" s="310">
        <v>125.96745643394912</v>
      </c>
      <c r="I113" s="470">
        <v>6.7454219415540133E-3</v>
      </c>
      <c r="J113" s="439"/>
      <c r="K113">
        <f>2*K109</f>
        <v>20.370370627853443</v>
      </c>
      <c r="L113" s="470">
        <f t="shared" si="0"/>
        <v>1.0908114594086376E-3</v>
      </c>
      <c r="M113" s="388">
        <f t="shared" si="1"/>
        <v>5.6546104821453757E-3</v>
      </c>
    </row>
    <row r="114" spans="4:13" x14ac:dyDescent="0.2">
      <c r="D114" s="446" t="s">
        <v>607</v>
      </c>
      <c r="E114" s="446" t="s">
        <v>614</v>
      </c>
      <c r="F114" s="468" t="s">
        <v>609</v>
      </c>
      <c r="G114" s="469">
        <v>4.342212261156024E-2</v>
      </c>
      <c r="H114" s="310">
        <v>556.04470870965861</v>
      </c>
      <c r="I114" s="470">
        <v>2.012053459925008E-3</v>
      </c>
      <c r="J114" s="439"/>
      <c r="K114">
        <f>2*K110</f>
        <v>101.85185313926722</v>
      </c>
      <c r="L114" s="470">
        <f t="shared" si="0"/>
        <v>3.6855197126899064E-4</v>
      </c>
      <c r="M114" s="388">
        <f t="shared" si="1"/>
        <v>1.6435014886560175E-3</v>
      </c>
    </row>
    <row r="115" spans="4:13" x14ac:dyDescent="0.2">
      <c r="D115" s="446" t="s">
        <v>607</v>
      </c>
      <c r="E115" s="446" t="s">
        <v>615</v>
      </c>
      <c r="F115" s="468" t="s">
        <v>609</v>
      </c>
      <c r="G115" s="469">
        <v>3.4978932103756862E-2</v>
      </c>
      <c r="H115" s="310">
        <v>823.02130405213654</v>
      </c>
      <c r="I115" s="470">
        <v>2.3990338595320931E-3</v>
      </c>
      <c r="J115" s="439"/>
      <c r="K115">
        <f>2*K111</f>
        <v>162.96296502282755</v>
      </c>
      <c r="L115" s="470">
        <f t="shared" si="0"/>
        <v>4.7502254074669912E-4</v>
      </c>
      <c r="M115" s="388">
        <f t="shared" si="1"/>
        <v>1.9240113187853941E-3</v>
      </c>
    </row>
    <row r="116" spans="4:13" x14ac:dyDescent="0.2">
      <c r="D116" s="446" t="s">
        <v>607</v>
      </c>
      <c r="E116" s="446" t="s">
        <v>616</v>
      </c>
      <c r="F116" s="468" t="s">
        <v>609</v>
      </c>
      <c r="G116" s="447">
        <v>4.7969383785048638</v>
      </c>
      <c r="H116" s="310">
        <v>5559.8052655930032</v>
      </c>
      <c r="I116" s="448">
        <v>2.222503604628042</v>
      </c>
      <c r="J116" s="439"/>
      <c r="K116">
        <f>2*K112</f>
        <v>407.40741255706888</v>
      </c>
      <c r="L116" s="470">
        <f t="shared" si="0"/>
        <v>0.16285902108186401</v>
      </c>
      <c r="M116" s="388">
        <f t="shared" si="1"/>
        <v>2.0596445835461781</v>
      </c>
    </row>
    <row r="117" spans="4:13" x14ac:dyDescent="0.2">
      <c r="D117" s="460" t="s">
        <v>617</v>
      </c>
      <c r="E117" s="460"/>
      <c r="F117" s="460"/>
      <c r="G117" s="471">
        <v>15.512553302979896</v>
      </c>
      <c r="H117" s="472"/>
      <c r="I117" s="473">
        <v>4.5091055267970725</v>
      </c>
      <c r="J117" s="439"/>
      <c r="L117" s="470">
        <f>SUM(L109:L116)</f>
        <v>0.26069242154956229</v>
      </c>
      <c r="M117" s="388">
        <f>SUM(M109:M116)</f>
        <v>4.2484131052475096</v>
      </c>
    </row>
    <row r="118" spans="4:13" ht="16" x14ac:dyDescent="0.2">
      <c r="D118" s="461" t="s">
        <v>618</v>
      </c>
      <c r="E118" s="461"/>
      <c r="F118" s="461"/>
      <c r="G118" s="474"/>
      <c r="H118" s="474"/>
      <c r="I118" s="473">
        <v>5.1872337634904291</v>
      </c>
      <c r="J118" s="439"/>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805</v>
      </c>
      <c r="G3"/>
      <c r="H3"/>
      <c r="I3"/>
    </row>
    <row r="4" spans="2:19" x14ac:dyDescent="0.2">
      <c r="G4"/>
      <c r="H4"/>
      <c r="I4"/>
    </row>
    <row r="5" spans="2:19" ht="16" x14ac:dyDescent="0.2">
      <c r="D5" s="438" t="s">
        <v>806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2.713882663222515E-3</v>
      </c>
      <c r="H8" s="310">
        <v>1506.0555555555554</v>
      </c>
      <c r="I8" s="448">
        <v>3.4060483850601462E-4</v>
      </c>
      <c r="J8" s="439"/>
      <c r="K8" s="446" t="s">
        <v>1</v>
      </c>
      <c r="L8" s="446" t="s">
        <v>535</v>
      </c>
      <c r="M8" s="446" t="s">
        <v>534</v>
      </c>
      <c r="N8" s="449">
        <v>6.8751694134970384E-2</v>
      </c>
      <c r="O8" s="310">
        <v>11013.182368421052</v>
      </c>
      <c r="P8" s="388">
        <v>6.3097912137194415E-2</v>
      </c>
      <c r="Q8" s="29">
        <f>'Assumptions-Output Override'!D19</f>
        <v>1000</v>
      </c>
      <c r="R8" s="388">
        <f>N8*Q8/12000</f>
        <v>5.7293078445808648E-3</v>
      </c>
      <c r="S8" s="388">
        <f>P8-R8</f>
        <v>5.7368604292613548E-2</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5.3976110746314462E-2</v>
      </c>
      <c r="H10" s="310">
        <v>11680.51346368715</v>
      </c>
      <c r="I10" s="448">
        <v>5.2539057357482898E-2</v>
      </c>
      <c r="J10" s="439"/>
      <c r="K10" s="446" t="s">
        <v>462</v>
      </c>
      <c r="L10" s="446" t="s">
        <v>538</v>
      </c>
      <c r="M10" s="446" t="s">
        <v>539</v>
      </c>
      <c r="N10" s="449">
        <v>4.6752205074936866</v>
      </c>
      <c r="O10" s="310">
        <v>1085.3318862330859</v>
      </c>
      <c r="P10" s="388">
        <v>0.42284715766281072</v>
      </c>
      <c r="Q10" s="29">
        <v>0</v>
      </c>
      <c r="R10" s="388">
        <f>N10*Q10/12000</f>
        <v>0</v>
      </c>
      <c r="S10" s="388">
        <f>P10-R10</f>
        <v>0.42284715766281072</v>
      </c>
    </row>
    <row r="11" spans="2:19" x14ac:dyDescent="0.2">
      <c r="D11" s="446" t="s">
        <v>1</v>
      </c>
      <c r="E11" s="446" t="s">
        <v>540</v>
      </c>
      <c r="F11" s="446" t="s">
        <v>534</v>
      </c>
      <c r="G11" s="447">
        <v>1.085553065289006E-2</v>
      </c>
      <c r="H11" s="310">
        <v>11217.810277777777</v>
      </c>
      <c r="I11" s="448">
        <v>1.0147940277393484E-2</v>
      </c>
      <c r="J11" s="439"/>
      <c r="K11" s="320" t="s">
        <v>463</v>
      </c>
      <c r="L11" s="450" t="s">
        <v>541</v>
      </c>
      <c r="M11" s="446" t="s">
        <v>539</v>
      </c>
      <c r="N11" s="449">
        <v>0.69055585471380088</v>
      </c>
      <c r="O11" s="310">
        <v>156.80763746602531</v>
      </c>
      <c r="P11" s="388">
        <v>9.0237026763335774E-3</v>
      </c>
      <c r="Q11" s="29">
        <f>'Assumptions-Output Override'!G19</f>
        <v>30</v>
      </c>
      <c r="R11" s="388">
        <f>N11*Q11/12000</f>
        <v>1.7263896367845023E-3</v>
      </c>
      <c r="S11" s="388">
        <f>P11-R11</f>
        <v>7.2973130395490755E-3</v>
      </c>
    </row>
    <row r="12" spans="2:19" x14ac:dyDescent="0.2">
      <c r="D12" s="446" t="s">
        <v>1</v>
      </c>
      <c r="E12" s="446" t="s">
        <v>542</v>
      </c>
      <c r="F12" s="446" t="s">
        <v>534</v>
      </c>
      <c r="G12" s="447">
        <v>0</v>
      </c>
      <c r="H12" s="310" t="s">
        <v>446</v>
      </c>
      <c r="I12" s="448">
        <v>0</v>
      </c>
      <c r="J12" s="439"/>
      <c r="K12" s="320" t="s">
        <v>464</v>
      </c>
      <c r="L12" s="450" t="s">
        <v>541</v>
      </c>
      <c r="M12" s="446" t="s">
        <v>539</v>
      </c>
      <c r="N12" s="449">
        <v>9.2486551321579284</v>
      </c>
      <c r="O12" s="310">
        <v>237.64682964142435</v>
      </c>
      <c r="P12" s="388">
        <v>0.18315946421701834</v>
      </c>
      <c r="Q12" s="29">
        <f>'Assumptions-Output Override'!H19</f>
        <v>60</v>
      </c>
      <c r="R12" s="388">
        <f>N12*Q12/12000</f>
        <v>4.6243275660789646E-2</v>
      </c>
      <c r="S12" s="388">
        <f>P12-R12</f>
        <v>0.1369161885562287</v>
      </c>
    </row>
    <row r="13" spans="2:19" x14ac:dyDescent="0.2">
      <c r="D13" s="446" t="s">
        <v>1</v>
      </c>
      <c r="E13" s="446" t="s">
        <v>543</v>
      </c>
      <c r="F13" s="446" t="s">
        <v>534</v>
      </c>
      <c r="G13" s="447">
        <v>3.0154251813583504E-4</v>
      </c>
      <c r="H13" s="310">
        <v>2297</v>
      </c>
      <c r="I13" s="448">
        <v>5.7720263679834419E-5</v>
      </c>
      <c r="J13" s="439"/>
      <c r="K13" s="446" t="s">
        <v>465</v>
      </c>
      <c r="P13" s="388">
        <f>I117</f>
        <v>4.5091055267970725</v>
      </c>
      <c r="R13" s="388">
        <f>L117</f>
        <v>0.25595255610430995</v>
      </c>
      <c r="S13" s="388">
        <f>M117</f>
        <v>4.2531529706927618</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9.046275544075049E-4</v>
      </c>
      <c r="H15" s="310">
        <v>167</v>
      </c>
      <c r="I15" s="448">
        <v>1.2589400132171111E-5</v>
      </c>
      <c r="J15" s="439"/>
      <c r="K15" s="446" t="s">
        <v>403</v>
      </c>
      <c r="P15" s="388">
        <f>SUM(P8:P13)</f>
        <v>5.1872337634904291</v>
      </c>
      <c r="R15" s="388">
        <f>SUM(R8:R13)</f>
        <v>0.30965152924646494</v>
      </c>
      <c r="S15" s="388">
        <f>SUM(S8:S13)</f>
        <v>4.8775822342439641</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6.8751694134970384E-2</v>
      </c>
      <c r="H17" s="458"/>
      <c r="I17" s="459">
        <v>6.3097912137194415E-2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1.0106399713561795E-3</v>
      </c>
      <c r="H19" s="310">
        <v>519.04714285714283</v>
      </c>
      <c r="I19" s="448">
        <v>4.3714149132470806E-5</v>
      </c>
      <c r="J19" s="439"/>
    </row>
    <row r="20" spans="4:10" x14ac:dyDescent="0.2">
      <c r="D20" s="446" t="s">
        <v>462</v>
      </c>
      <c r="E20" s="446" t="s">
        <v>550</v>
      </c>
      <c r="F20" s="446" t="s">
        <v>537</v>
      </c>
      <c r="G20" s="447">
        <v>0.47716644361888189</v>
      </c>
      <c r="H20" s="310">
        <v>1010.0002269288956</v>
      </c>
      <c r="I20" s="448">
        <v>4.0161518028160398E-2</v>
      </c>
      <c r="J20" s="439"/>
    </row>
    <row r="21" spans="4:10" x14ac:dyDescent="0.2">
      <c r="D21" s="446" t="s">
        <v>462</v>
      </c>
      <c r="E21" s="446" t="s">
        <v>551</v>
      </c>
      <c r="F21" s="446" t="s">
        <v>537</v>
      </c>
      <c r="G21" s="447">
        <v>4.4612535878437061E-2</v>
      </c>
      <c r="H21" s="310">
        <v>1052.366084142395</v>
      </c>
      <c r="I21" s="448">
        <v>3.912393307171076E-3</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2.8875427753033699E-4</v>
      </c>
      <c r="H23" s="310">
        <v>98</v>
      </c>
      <c r="I23" s="448">
        <v>2.3581599331644188E-6</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1.8769028039471905E-3</v>
      </c>
      <c r="H26" s="310">
        <v>45.230769230769234</v>
      </c>
      <c r="I26" s="448">
        <v>7.0744797994932568E-6</v>
      </c>
      <c r="J26" s="439"/>
    </row>
    <row r="27" spans="4:10" x14ac:dyDescent="0.2">
      <c r="D27" s="446" t="s">
        <v>462</v>
      </c>
      <c r="E27" s="446" t="s">
        <v>558</v>
      </c>
      <c r="F27" s="446" t="s">
        <v>537</v>
      </c>
      <c r="G27" s="447">
        <v>1.443771387651685E-3</v>
      </c>
      <c r="H27" s="310">
        <v>54.634999999999998</v>
      </c>
      <c r="I27" s="448">
        <v>6.5733708136958176E-6</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8.6626283259101102E-4</v>
      </c>
      <c r="H31" s="310">
        <v>380.83333333333337</v>
      </c>
      <c r="I31" s="448">
        <v>2.7491813506534168E-5</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1.6886023067931246</v>
      </c>
      <c r="H52" s="310">
        <v>1095.5355583014202</v>
      </c>
      <c r="I52" s="448">
        <v>0.15416032257680598</v>
      </c>
      <c r="J52" s="439"/>
    </row>
    <row r="53" spans="4:10" x14ac:dyDescent="0.2">
      <c r="D53" s="446" t="s">
        <v>462</v>
      </c>
      <c r="E53" s="446" t="s">
        <v>584</v>
      </c>
      <c r="F53" s="446" t="s">
        <v>554</v>
      </c>
      <c r="G53" s="447">
        <v>9.3322630611901852E-2</v>
      </c>
      <c r="H53" s="310">
        <v>1095.53555830142</v>
      </c>
      <c r="I53" s="448">
        <v>8.519855019130591E-3</v>
      </c>
      <c r="J53" s="439"/>
    </row>
    <row r="54" spans="4:10" x14ac:dyDescent="0.2">
      <c r="D54" s="446" t="s">
        <v>462</v>
      </c>
      <c r="E54" s="446" t="s">
        <v>585</v>
      </c>
      <c r="F54" s="446" t="s">
        <v>554</v>
      </c>
      <c r="G54" s="447">
        <v>0.41322814676508363</v>
      </c>
      <c r="H54" s="310">
        <v>1095.53555830142</v>
      </c>
      <c r="I54" s="448">
        <v>3.7725510706012252E-2</v>
      </c>
      <c r="J54" s="439"/>
    </row>
    <row r="55" spans="4:10" x14ac:dyDescent="0.2">
      <c r="D55" s="446" t="s">
        <v>462</v>
      </c>
      <c r="E55" s="446" t="s">
        <v>586</v>
      </c>
      <c r="F55" s="446" t="s">
        <v>537</v>
      </c>
      <c r="G55" s="447">
        <v>0.22588582515810596</v>
      </c>
      <c r="H55" s="310">
        <v>1095.5355583014202</v>
      </c>
      <c r="I55" s="448">
        <v>2.0622162798080216E-2</v>
      </c>
      <c r="J55" s="439"/>
    </row>
    <row r="56" spans="4:10" x14ac:dyDescent="0.2">
      <c r="D56" s="446" t="s">
        <v>462</v>
      </c>
      <c r="E56" s="446" t="s">
        <v>5</v>
      </c>
      <c r="F56" s="446" t="s">
        <v>537</v>
      </c>
      <c r="G56" s="447">
        <v>0.19369945704189637</v>
      </c>
      <c r="H56" s="310">
        <v>1095.5355583014202</v>
      </c>
      <c r="I56" s="448">
        <v>1.7683720234422991E-2</v>
      </c>
      <c r="J56" s="439"/>
    </row>
    <row r="57" spans="4:10" x14ac:dyDescent="0.2">
      <c r="D57" s="446" t="s">
        <v>462</v>
      </c>
      <c r="E57" s="446" t="s">
        <v>587</v>
      </c>
      <c r="F57" s="446" t="s">
        <v>537</v>
      </c>
      <c r="G57" s="447">
        <v>0.51153978806810474</v>
      </c>
      <c r="H57" s="310">
        <v>1095.5355583014202</v>
      </c>
      <c r="I57" s="448">
        <v>4.6700835609548436E-2</v>
      </c>
      <c r="J57" s="439"/>
    </row>
    <row r="58" spans="4:10" x14ac:dyDescent="0.2">
      <c r="D58" s="446" t="s">
        <v>462</v>
      </c>
      <c r="E58" s="446" t="s">
        <v>588</v>
      </c>
      <c r="F58" s="446" t="s">
        <v>537</v>
      </c>
      <c r="G58" s="447">
        <v>0.34555571169172133</v>
      </c>
      <c r="H58" s="310">
        <v>1095.53555830142</v>
      </c>
      <c r="I58" s="448">
        <v>3.1547380794369542E-2</v>
      </c>
      <c r="J58" s="439"/>
    </row>
    <row r="59" spans="4:10" x14ac:dyDescent="0.2">
      <c r="D59" s="446" t="s">
        <v>462</v>
      </c>
      <c r="E59" s="446" t="s">
        <v>589</v>
      </c>
      <c r="F59" s="446" t="s">
        <v>537</v>
      </c>
      <c r="G59" s="447">
        <v>0.13357296681209532</v>
      </c>
      <c r="H59" s="310">
        <v>1095.53555830142</v>
      </c>
      <c r="I59" s="448">
        <v>1.2194494564205492E-2</v>
      </c>
      <c r="J59" s="439"/>
    </row>
    <row r="60" spans="4:10" x14ac:dyDescent="0.2">
      <c r="D60" s="446" t="s">
        <v>462</v>
      </c>
      <c r="E60" s="446" t="s">
        <v>590</v>
      </c>
      <c r="F60" s="446" t="s">
        <v>537</v>
      </c>
      <c r="G60" s="447">
        <v>0.12749294317789744</v>
      </c>
      <c r="H60" s="310">
        <v>1095.5355583014202</v>
      </c>
      <c r="I60" s="448">
        <v>1.163942105699076E-2</v>
      </c>
      <c r="J60" s="439"/>
    </row>
    <row r="61" spans="4:10" x14ac:dyDescent="0.2">
      <c r="D61" s="446" t="s">
        <v>462</v>
      </c>
      <c r="E61" s="446" t="s">
        <v>591</v>
      </c>
      <c r="F61" s="446" t="s">
        <v>537</v>
      </c>
      <c r="G61" s="447">
        <v>0.21138793266835898</v>
      </c>
      <c r="H61" s="310">
        <v>1095.53555830142</v>
      </c>
      <c r="I61" s="448">
        <v>1.9298583069501135E-2</v>
      </c>
      <c r="J61" s="439"/>
    </row>
    <row r="62" spans="4:10" x14ac:dyDescent="0.2">
      <c r="D62" s="446" t="s">
        <v>462</v>
      </c>
      <c r="E62" s="446" t="s">
        <v>592</v>
      </c>
      <c r="F62" s="446" t="s">
        <v>537</v>
      </c>
      <c r="G62" s="447">
        <v>0.20366748793500042</v>
      </c>
      <c r="H62" s="310">
        <v>1095.53555830142</v>
      </c>
      <c r="I62" s="448">
        <v>1.8593747925226535E-2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4.6752205074936866</v>
      </c>
      <c r="H64" s="463"/>
      <c r="I64" s="464">
        <v>0.42284715766281072</v>
      </c>
      <c r="J64" s="439"/>
    </row>
    <row r="65" spans="4:10" x14ac:dyDescent="0.2">
      <c r="D65" s="446" t="s">
        <v>595</v>
      </c>
      <c r="E65" s="446" t="s">
        <v>596</v>
      </c>
      <c r="F65" s="446" t="s">
        <v>554</v>
      </c>
      <c r="G65" s="447">
        <v>4.6200684404853918E-3</v>
      </c>
      <c r="H65" s="310">
        <v>1582.3475000000001</v>
      </c>
      <c r="I65" s="448">
        <v>6.0921281221924665E-4</v>
      </c>
      <c r="J65" s="439"/>
    </row>
    <row r="66" spans="4:10" x14ac:dyDescent="0.2">
      <c r="D66" s="446" t="s">
        <v>595</v>
      </c>
      <c r="E66" s="446" t="s">
        <v>563</v>
      </c>
      <c r="F66" s="446" t="s">
        <v>554</v>
      </c>
      <c r="G66" s="447">
        <v>2.685414781032134E-2</v>
      </c>
      <c r="H66" s="310">
        <v>680.47327956989261</v>
      </c>
      <c r="I66" s="448">
        <v>1.522794169212001E-3</v>
      </c>
      <c r="J66" s="439"/>
    </row>
    <row r="67" spans="4:10" x14ac:dyDescent="0.2">
      <c r="D67" s="446" t="s">
        <v>595</v>
      </c>
      <c r="E67" s="446" t="s">
        <v>564</v>
      </c>
      <c r="F67" s="446" t="s">
        <v>554</v>
      </c>
      <c r="G67" s="447">
        <v>2.9164182030564038E-2</v>
      </c>
      <c r="H67" s="310">
        <v>325.63212871287129</v>
      </c>
      <c r="I67" s="448">
        <v>7.9139955639851974E-4</v>
      </c>
      <c r="J67" s="439"/>
    </row>
    <row r="68" spans="4:10" x14ac:dyDescent="0.2">
      <c r="D68" s="446" t="s">
        <v>595</v>
      </c>
      <c r="E68" s="446" t="s">
        <v>597</v>
      </c>
      <c r="F68" s="446" t="s">
        <v>554</v>
      </c>
      <c r="G68" s="447">
        <v>6.3814695334204488E-2</v>
      </c>
      <c r="H68" s="310">
        <v>37.037737556561083</v>
      </c>
      <c r="I68" s="448">
        <v>1.9696266150334739E-4</v>
      </c>
      <c r="J68" s="439"/>
    </row>
    <row r="69" spans="4:10" x14ac:dyDescent="0.2">
      <c r="D69" s="446" t="s">
        <v>595</v>
      </c>
      <c r="E69" s="446" t="s">
        <v>572</v>
      </c>
      <c r="F69" s="446" t="s">
        <v>554</v>
      </c>
      <c r="G69" s="447">
        <v>1.2993942488865166E-3</v>
      </c>
      <c r="H69" s="310">
        <v>147.7544444444444</v>
      </c>
      <c r="I69" s="448">
        <v>1.5999272946544449E-5</v>
      </c>
      <c r="J69" s="439"/>
    </row>
    <row r="70" spans="4:10" x14ac:dyDescent="0.2">
      <c r="D70" s="446" t="s">
        <v>595</v>
      </c>
      <c r="E70" s="446" t="s">
        <v>567</v>
      </c>
      <c r="F70" s="446" t="s">
        <v>554</v>
      </c>
      <c r="G70" s="447">
        <v>7.218856938258425E-4</v>
      </c>
      <c r="H70" s="310">
        <v>67.8</v>
      </c>
      <c r="I70" s="448">
        <v>4.0786541701160105E-6</v>
      </c>
      <c r="J70" s="439"/>
    </row>
    <row r="71" spans="4:10" x14ac:dyDescent="0.2">
      <c r="D71" s="446" t="s">
        <v>595</v>
      </c>
      <c r="E71" s="446" t="s">
        <v>568</v>
      </c>
      <c r="F71" s="446" t="s">
        <v>554</v>
      </c>
      <c r="G71" s="447">
        <v>1.732525665182022E-3</v>
      </c>
      <c r="H71" s="310">
        <v>97.250000000000014</v>
      </c>
      <c r="I71" s="448">
        <v>1.4040676744912638E-5</v>
      </c>
      <c r="J71" s="439"/>
    </row>
    <row r="72" spans="4:10" x14ac:dyDescent="0.2">
      <c r="D72" s="446" t="s">
        <v>595</v>
      </c>
      <c r="E72" s="446" t="s">
        <v>548</v>
      </c>
      <c r="F72" s="446" t="s">
        <v>554</v>
      </c>
      <c r="G72" s="447">
        <v>5.9627758310014586E-2</v>
      </c>
      <c r="H72" s="310">
        <v>286.38520581113812</v>
      </c>
      <c r="I72" s="448">
        <v>1.4230423196391938E-3</v>
      </c>
      <c r="J72" s="439"/>
    </row>
    <row r="73" spans="4:10" x14ac:dyDescent="0.2">
      <c r="D73" s="446" t="s">
        <v>595</v>
      </c>
      <c r="E73" s="446" t="s">
        <v>598</v>
      </c>
      <c r="F73" s="446" t="s">
        <v>554</v>
      </c>
      <c r="G73" s="447">
        <v>3.7538056078943818E-3</v>
      </c>
      <c r="H73" s="310">
        <v>162.22192307692305</v>
      </c>
      <c r="I73" s="448">
        <v>5.0745797047463731E-5</v>
      </c>
      <c r="J73" s="439"/>
    </row>
    <row r="74" spans="4:10" x14ac:dyDescent="0.2">
      <c r="D74" s="446" t="s">
        <v>595</v>
      </c>
      <c r="E74" s="446" t="s">
        <v>549</v>
      </c>
      <c r="F74" s="446" t="s">
        <v>554</v>
      </c>
      <c r="G74" s="447">
        <v>0.29987131721525501</v>
      </c>
      <c r="H74" s="310">
        <v>97.151579200770342</v>
      </c>
      <c r="I74" s="448">
        <v>2.427747668706431E-3</v>
      </c>
      <c r="J74" s="439"/>
    </row>
    <row r="75" spans="4:10" x14ac:dyDescent="0.2">
      <c r="D75" s="446" t="s">
        <v>595</v>
      </c>
      <c r="E75" s="446" t="s">
        <v>571</v>
      </c>
      <c r="F75" s="446" t="s">
        <v>554</v>
      </c>
      <c r="G75" s="447">
        <v>7.3632340770235939E-3</v>
      </c>
      <c r="H75" s="310">
        <v>758.21764705882345</v>
      </c>
      <c r="I75" s="448">
        <v>4.6524450138534808E-4</v>
      </c>
      <c r="J75" s="439"/>
    </row>
    <row r="76" spans="4:10" x14ac:dyDescent="0.2">
      <c r="D76" s="446" t="s">
        <v>595</v>
      </c>
      <c r="E76" s="446" t="s">
        <v>561</v>
      </c>
      <c r="F76" s="446" t="s">
        <v>554</v>
      </c>
      <c r="G76" s="447">
        <v>1.0250776852326964E-2</v>
      </c>
      <c r="H76" s="310">
        <v>67.584647887323953</v>
      </c>
      <c r="I76" s="448">
        <v>5.7732928678004067E-5</v>
      </c>
      <c r="J76" s="439"/>
    </row>
    <row r="77" spans="4:10" x14ac:dyDescent="0.2">
      <c r="D77" s="446" t="s">
        <v>595</v>
      </c>
      <c r="E77" s="446" t="s">
        <v>599</v>
      </c>
      <c r="F77" s="446" t="s">
        <v>554</v>
      </c>
      <c r="G77" s="447">
        <v>1.675929826786076</v>
      </c>
      <c r="H77" s="310">
        <v>291.12361819434869</v>
      </c>
      <c r="I77" s="448">
        <v>4.0658562917815881E-2</v>
      </c>
      <c r="J77" s="439"/>
    </row>
    <row r="78" spans="4:10" x14ac:dyDescent="0.2">
      <c r="D78" s="446" t="s">
        <v>595</v>
      </c>
      <c r="E78" s="446" t="s">
        <v>600</v>
      </c>
      <c r="F78" s="446" t="s">
        <v>554</v>
      </c>
      <c r="G78" s="447">
        <v>1.9490913733297751E-2</v>
      </c>
      <c r="H78" s="310">
        <v>1343.6103703703704</v>
      </c>
      <c r="I78" s="448">
        <v>2.1823494850044273E-3</v>
      </c>
      <c r="J78" s="439"/>
    </row>
    <row r="79" spans="4:10" x14ac:dyDescent="0.2">
      <c r="D79" s="446" t="s">
        <v>595</v>
      </c>
      <c r="E79" s="446" t="s">
        <v>555</v>
      </c>
      <c r="F79" s="446" t="s">
        <v>554</v>
      </c>
      <c r="G79" s="447">
        <v>0.29554000305229988</v>
      </c>
      <c r="H79" s="310">
        <v>206.04099658036102</v>
      </c>
      <c r="I79" s="448">
        <v>5.0744463965215671E-3</v>
      </c>
      <c r="J79" s="439"/>
    </row>
    <row r="80" spans="4:10" x14ac:dyDescent="0.2">
      <c r="D80" s="446" t="s">
        <v>595</v>
      </c>
      <c r="E80" s="446" t="s">
        <v>552</v>
      </c>
      <c r="F80" s="446" t="s">
        <v>554</v>
      </c>
      <c r="G80" s="447">
        <v>3.7538056078943809E-3</v>
      </c>
      <c r="H80" s="310">
        <v>198.58500000000001</v>
      </c>
      <c r="I80" s="448">
        <v>6.2120790553642143E-5</v>
      </c>
      <c r="J80" s="439"/>
    </row>
    <row r="81" spans="4:10" x14ac:dyDescent="0.2">
      <c r="D81" s="446" t="s">
        <v>595</v>
      </c>
      <c r="E81" s="446" t="s">
        <v>581</v>
      </c>
      <c r="F81" s="446" t="s">
        <v>554</v>
      </c>
      <c r="G81" s="447">
        <v>1.4635510556625131</v>
      </c>
      <c r="H81" s="310">
        <v>474.55045181020125</v>
      </c>
      <c r="I81" s="448">
        <v>5.7877401225995218E-2</v>
      </c>
      <c r="J81" s="439"/>
    </row>
    <row r="82" spans="4:10" x14ac:dyDescent="0.2">
      <c r="D82" s="446" t="s">
        <v>595</v>
      </c>
      <c r="E82" s="446" t="s">
        <v>574</v>
      </c>
      <c r="F82" s="446" t="s">
        <v>554</v>
      </c>
      <c r="G82" s="447">
        <v>2.7431656365382016E-3</v>
      </c>
      <c r="H82" s="310">
        <v>107.10526315789473</v>
      </c>
      <c r="I82" s="448">
        <v>2.4483956448926491E-5</v>
      </c>
      <c r="J82" s="439"/>
    </row>
    <row r="83" spans="4:10" x14ac:dyDescent="0.2">
      <c r="D83" s="446" t="s">
        <v>595</v>
      </c>
      <c r="E83" s="446" t="s">
        <v>601</v>
      </c>
      <c r="F83" s="446" t="s">
        <v>554</v>
      </c>
      <c r="G83" s="447">
        <v>7.3632340770235939E-3</v>
      </c>
      <c r="H83" s="310">
        <v>159.29450980392158</v>
      </c>
      <c r="I83" s="448">
        <v>9.774356357258369E-5</v>
      </c>
      <c r="J83" s="439"/>
    </row>
    <row r="84" spans="4:10" x14ac:dyDescent="0.2">
      <c r="D84" s="446" t="s">
        <v>595</v>
      </c>
      <c r="E84" s="446" t="s">
        <v>559</v>
      </c>
      <c r="F84" s="446" t="s">
        <v>554</v>
      </c>
      <c r="G84" s="447">
        <v>8.7203791814161769E-2</v>
      </c>
      <c r="H84" s="310">
        <v>198.81177152317883</v>
      </c>
      <c r="I84" s="448">
        <v>1.4447616945093319E-3</v>
      </c>
      <c r="J84" s="439"/>
    </row>
    <row r="85" spans="4:10" x14ac:dyDescent="0.2">
      <c r="D85" s="446" t="s">
        <v>595</v>
      </c>
      <c r="E85" s="446" t="s">
        <v>573</v>
      </c>
      <c r="F85" s="446" t="s">
        <v>554</v>
      </c>
      <c r="G85" s="447">
        <v>1.8047142345646066E-2</v>
      </c>
      <c r="H85" s="310">
        <v>103.31927999999998</v>
      </c>
      <c r="I85" s="448">
        <v>1.5538481276747184E-4</v>
      </c>
      <c r="J85" s="439"/>
    </row>
    <row r="86" spans="4:10" x14ac:dyDescent="0.2">
      <c r="D86" s="446" t="s">
        <v>595</v>
      </c>
      <c r="E86" s="446" t="s">
        <v>562</v>
      </c>
      <c r="F86" s="446" t="s">
        <v>554</v>
      </c>
      <c r="G86" s="447">
        <v>0.11838925378743818</v>
      </c>
      <c r="H86" s="310">
        <v>966.98942682926827</v>
      </c>
      <c r="I86" s="448">
        <v>9.5400963885549691E-3</v>
      </c>
      <c r="J86" s="439"/>
    </row>
    <row r="87" spans="4:10" x14ac:dyDescent="0.2">
      <c r="D87" s="446" t="s">
        <v>595</v>
      </c>
      <c r="E87" s="446" t="s">
        <v>550</v>
      </c>
      <c r="F87" s="446" t="s">
        <v>554</v>
      </c>
      <c r="G87" s="447">
        <v>1.2479959874861166</v>
      </c>
      <c r="H87" s="310">
        <v>478.82252660805068</v>
      </c>
      <c r="I87" s="448">
        <v>4.9797382660400964E-2</v>
      </c>
      <c r="J87" s="439"/>
    </row>
    <row r="88" spans="4:10" x14ac:dyDescent="0.2">
      <c r="D88" s="446" t="s">
        <v>595</v>
      </c>
      <c r="E88" s="446" t="s">
        <v>579</v>
      </c>
      <c r="F88" s="446" t="s">
        <v>554</v>
      </c>
      <c r="G88" s="447">
        <v>3.2917987638458421E-2</v>
      </c>
      <c r="H88" s="310">
        <v>139.13842105263157</v>
      </c>
      <c r="I88" s="448">
        <v>3.8167973535376242E-4</v>
      </c>
      <c r="J88" s="439"/>
    </row>
    <row r="89" spans="4:10" x14ac:dyDescent="0.2">
      <c r="D89" s="446" t="s">
        <v>595</v>
      </c>
      <c r="E89" s="446" t="s">
        <v>556</v>
      </c>
      <c r="F89" s="446" t="s">
        <v>554</v>
      </c>
      <c r="G89" s="447">
        <v>6.0638398281370777E-3</v>
      </c>
      <c r="H89" s="310">
        <v>100.05357142857144</v>
      </c>
      <c r="I89" s="448">
        <v>5.0559069281327455E-5</v>
      </c>
      <c r="J89" s="439"/>
    </row>
    <row r="90" spans="4:10" x14ac:dyDescent="0.2">
      <c r="D90" s="446" t="s">
        <v>595</v>
      </c>
      <c r="E90" s="446" t="s">
        <v>602</v>
      </c>
      <c r="F90" s="446" t="s">
        <v>554</v>
      </c>
      <c r="G90" s="447">
        <v>4.6200684404853918E-3</v>
      </c>
      <c r="H90" s="310">
        <v>94.971250000000012</v>
      </c>
      <c r="I90" s="448">
        <v>3.6564472906537359E-5</v>
      </c>
      <c r="J90" s="439"/>
    </row>
    <row r="91" spans="4:10" x14ac:dyDescent="0.2">
      <c r="D91" s="446" t="s">
        <v>595</v>
      </c>
      <c r="E91" s="446" t="s">
        <v>577</v>
      </c>
      <c r="F91" s="446" t="s">
        <v>554</v>
      </c>
      <c r="G91" s="447">
        <v>0.2933743459708224</v>
      </c>
      <c r="H91" s="310">
        <v>74.489143700787309</v>
      </c>
      <c r="I91" s="448">
        <v>1.8211003179287569E-3</v>
      </c>
      <c r="J91" s="439"/>
    </row>
    <row r="92" spans="4:10" x14ac:dyDescent="0.2">
      <c r="D92" s="446" t="s">
        <v>595</v>
      </c>
      <c r="E92" s="446" t="s">
        <v>576</v>
      </c>
      <c r="F92" s="446" t="s">
        <v>554</v>
      </c>
      <c r="G92" s="447">
        <v>7.9407426320842675E-3</v>
      </c>
      <c r="H92" s="310">
        <v>115.97945454545456</v>
      </c>
      <c r="I92" s="448">
        <v>7.6746916596247538E-5</v>
      </c>
      <c r="J92" s="439"/>
    </row>
    <row r="93" spans="4:10" x14ac:dyDescent="0.2">
      <c r="D93" s="446" t="s">
        <v>595</v>
      </c>
      <c r="E93" s="446" t="s">
        <v>603</v>
      </c>
      <c r="F93" s="446" t="s">
        <v>554</v>
      </c>
      <c r="G93" s="447">
        <v>5.7750855506067398E-4</v>
      </c>
      <c r="H93" s="310">
        <v>31.932500000000005</v>
      </c>
      <c r="I93" s="448">
        <v>1.5367743278729145E-6</v>
      </c>
      <c r="J93" s="439"/>
    </row>
    <row r="94" spans="4:10" x14ac:dyDescent="0.2">
      <c r="D94" s="446" t="s">
        <v>595</v>
      </c>
      <c r="E94" s="446" t="s">
        <v>557</v>
      </c>
      <c r="F94" s="446" t="s">
        <v>554</v>
      </c>
      <c r="G94" s="447">
        <v>9.3845140197359525E-2</v>
      </c>
      <c r="H94" s="310">
        <v>89.291184615384452</v>
      </c>
      <c r="I94" s="448">
        <v>6.9829531155158892E-4</v>
      </c>
      <c r="J94" s="439"/>
    </row>
    <row r="95" spans="4:10" x14ac:dyDescent="0.2">
      <c r="D95" s="446" t="s">
        <v>595</v>
      </c>
      <c r="E95" s="446" t="s">
        <v>582</v>
      </c>
      <c r="F95" s="446" t="s">
        <v>554</v>
      </c>
      <c r="G95" s="447">
        <v>3.1762970528337073E-3</v>
      </c>
      <c r="H95" s="310">
        <v>92.492272727272706</v>
      </c>
      <c r="I95" s="448">
        <v>2.4481911106127316E-5</v>
      </c>
      <c r="J95" s="439"/>
    </row>
    <row r="96" spans="4:10" x14ac:dyDescent="0.2">
      <c r="D96" s="446" t="s">
        <v>595</v>
      </c>
      <c r="E96" s="446" t="s">
        <v>565</v>
      </c>
      <c r="F96" s="446" t="s">
        <v>554</v>
      </c>
      <c r="G96" s="447">
        <v>0.42620131363477753</v>
      </c>
      <c r="H96" s="310">
        <v>69.064478319783177</v>
      </c>
      <c r="I96" s="448">
        <v>2.4529476154493504E-3</v>
      </c>
      <c r="J96" s="439"/>
    </row>
    <row r="97" spans="4:13" x14ac:dyDescent="0.2">
      <c r="D97" s="446" t="s">
        <v>595</v>
      </c>
      <c r="E97" s="446" t="s">
        <v>604</v>
      </c>
      <c r="F97" s="446" t="s">
        <v>554</v>
      </c>
      <c r="G97" s="447">
        <v>5.1975769955460664E-3</v>
      </c>
      <c r="H97" s="310">
        <v>108.85277777777777</v>
      </c>
      <c r="I97" s="448">
        <v>4.7147557806588823E-5</v>
      </c>
      <c r="J97" s="439"/>
    </row>
    <row r="98" spans="4:13" x14ac:dyDescent="0.2">
      <c r="D98" s="446" t="s">
        <v>595</v>
      </c>
      <c r="E98" s="446" t="s">
        <v>569</v>
      </c>
      <c r="F98" s="446" t="s">
        <v>554</v>
      </c>
      <c r="G98" s="447">
        <v>1.2993942488865165E-2</v>
      </c>
      <c r="H98" s="310">
        <v>399.42977777777776</v>
      </c>
      <c r="I98" s="448">
        <v>4.3251396339871978E-4</v>
      </c>
      <c r="J98" s="439"/>
    </row>
    <row r="99" spans="4:13" x14ac:dyDescent="0.2">
      <c r="D99" s="446" t="s">
        <v>595</v>
      </c>
      <c r="E99" s="446" t="s">
        <v>553</v>
      </c>
      <c r="F99" s="446" t="s">
        <v>554</v>
      </c>
      <c r="G99" s="447">
        <v>0.27012962662963025</v>
      </c>
      <c r="H99" s="310">
        <v>193.33864243719938</v>
      </c>
      <c r="I99" s="448">
        <v>4.3522079412200215E-3</v>
      </c>
      <c r="J99" s="439"/>
    </row>
    <row r="100" spans="4:13" x14ac:dyDescent="0.2">
      <c r="D100" s="446" t="s">
        <v>595</v>
      </c>
      <c r="E100" s="446" t="s">
        <v>570</v>
      </c>
      <c r="F100" s="446" t="s">
        <v>554</v>
      </c>
      <c r="G100" s="447">
        <v>2.8586673475503366E-2</v>
      </c>
      <c r="H100" s="310">
        <v>858.97676767676762</v>
      </c>
      <c r="I100" s="448">
        <v>2.0462740317182559E-3</v>
      </c>
      <c r="J100" s="439"/>
    </row>
    <row r="101" spans="4:13" x14ac:dyDescent="0.2">
      <c r="D101" s="446" t="s">
        <v>595</v>
      </c>
      <c r="E101" s="446" t="s">
        <v>551</v>
      </c>
      <c r="F101" s="446" t="s">
        <v>554</v>
      </c>
      <c r="G101" s="447">
        <v>1.05395311298573E-2</v>
      </c>
      <c r="H101" s="310">
        <v>92.999863013698629</v>
      </c>
      <c r="I101" s="448">
        <v>8.1681245942111775E-5</v>
      </c>
      <c r="J101" s="439"/>
    </row>
    <row r="102" spans="4:13" x14ac:dyDescent="0.2">
      <c r="D102" s="446" t="s">
        <v>595</v>
      </c>
      <c r="E102" s="446" t="s">
        <v>578</v>
      </c>
      <c r="F102" s="446" t="s">
        <v>554</v>
      </c>
      <c r="G102" s="447">
        <v>8.3016854789971881E-2</v>
      </c>
      <c r="H102" s="310">
        <v>131.87756521739135</v>
      </c>
      <c r="I102" s="448">
        <v>9.123383901422687E-4</v>
      </c>
      <c r="J102" s="439"/>
    </row>
    <row r="103" spans="4:13" x14ac:dyDescent="0.2">
      <c r="D103" s="446" t="s">
        <v>595</v>
      </c>
      <c r="E103" s="446" t="s">
        <v>560</v>
      </c>
      <c r="F103" s="446" t="s">
        <v>554</v>
      </c>
      <c r="G103" s="447">
        <v>1.3282696766395504E-2</v>
      </c>
      <c r="H103" s="310">
        <v>78.793804347826068</v>
      </c>
      <c r="I103" s="448">
        <v>8.7216184185239109E-5</v>
      </c>
      <c r="J103" s="439"/>
    </row>
    <row r="104" spans="4:13" x14ac:dyDescent="0.2">
      <c r="D104" s="446" t="s">
        <v>595</v>
      </c>
      <c r="E104" s="446" t="s">
        <v>575</v>
      </c>
      <c r="F104" s="446" t="s">
        <v>554</v>
      </c>
      <c r="G104" s="447">
        <v>2.7431656365382016E-3</v>
      </c>
      <c r="H104" s="310">
        <v>192.8578947368421</v>
      </c>
      <c r="I104" s="448">
        <v>4.4086762464767245E-5</v>
      </c>
      <c r="J104" s="439"/>
    </row>
    <row r="105" spans="4:13" x14ac:dyDescent="0.2">
      <c r="D105" s="446" t="s">
        <v>595</v>
      </c>
      <c r="E105" s="446" t="s">
        <v>566</v>
      </c>
      <c r="F105" s="446" t="s">
        <v>554</v>
      </c>
      <c r="G105" s="447">
        <v>8.6048774704040432E-2</v>
      </c>
      <c r="H105" s="310">
        <v>457.40664429530199</v>
      </c>
      <c r="I105" s="448">
        <v>3.2799401069248E-3</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3.3276895927181549</v>
      </c>
      <c r="I107" s="454">
        <v>8.6211367425146474E-4</v>
      </c>
      <c r="J107" s="439"/>
    </row>
    <row r="108" spans="4:13" ht="16" x14ac:dyDescent="0.2">
      <c r="D108" s="461" t="s">
        <v>605</v>
      </c>
      <c r="E108" s="460"/>
      <c r="F108" s="460"/>
      <c r="G108" s="465">
        <v>9.9392109868717284</v>
      </c>
      <c r="H108" s="466"/>
      <c r="I108" s="467">
        <v>0.19218316689335191</v>
      </c>
      <c r="J108" s="439"/>
      <c r="K108" s="313" t="s">
        <v>311</v>
      </c>
      <c r="L108" s="313" t="s">
        <v>606</v>
      </c>
      <c r="M108" s="313" t="s">
        <v>528</v>
      </c>
    </row>
    <row r="109" spans="4:13" x14ac:dyDescent="0.2">
      <c r="D109" s="446" t="s">
        <v>607</v>
      </c>
      <c r="E109" s="446" t="s">
        <v>608</v>
      </c>
      <c r="F109" s="468" t="s">
        <v>609</v>
      </c>
      <c r="G109" s="469">
        <v>4.38593592628572</v>
      </c>
      <c r="H109" s="310">
        <v>48.612547853877402</v>
      </c>
      <c r="I109" s="470">
        <v>1.7767626675050389E-2</v>
      </c>
      <c r="J109" s="439"/>
      <c r="K109">
        <f>'Assumptions-Output Override'!$J$19</f>
        <v>10</v>
      </c>
      <c r="L109" s="470">
        <f>G109*K109/12000</f>
        <v>3.6549466052380997E-3</v>
      </c>
      <c r="M109" s="388">
        <f>I109-L109</f>
        <v>1.4112680069812289E-2</v>
      </c>
    </row>
    <row r="110" spans="4:13" x14ac:dyDescent="0.2">
      <c r="D110" s="446" t="s">
        <v>607</v>
      </c>
      <c r="E110" s="446" t="s">
        <v>610</v>
      </c>
      <c r="F110" s="468" t="s">
        <v>609</v>
      </c>
      <c r="G110" s="469">
        <v>0.13569413316112575</v>
      </c>
      <c r="H110" s="310">
        <v>376.79913726383569</v>
      </c>
      <c r="I110" s="470">
        <v>4.2607860255730184E-3</v>
      </c>
      <c r="J110" s="439"/>
      <c r="K110">
        <f>'Assumptions-Output Override'!$K$19</f>
        <v>50</v>
      </c>
      <c r="L110" s="470">
        <f t="shared" ref="L110:L116" si="0">G110*K110/12000</f>
        <v>5.6539222150469063E-4</v>
      </c>
      <c r="M110" s="388">
        <f t="shared" ref="M110:M116" si="1">I110-L110</f>
        <v>3.6953938040683279E-3</v>
      </c>
    </row>
    <row r="111" spans="4:13" x14ac:dyDescent="0.2">
      <c r="D111" s="446" t="s">
        <v>607</v>
      </c>
      <c r="E111" s="446" t="s">
        <v>611</v>
      </c>
      <c r="F111" s="468" t="s">
        <v>609</v>
      </c>
      <c r="G111" s="469">
        <v>0.12815557020772986</v>
      </c>
      <c r="H111" s="310">
        <v>458.27959359189578</v>
      </c>
      <c r="I111" s="470">
        <v>4.8942568859446757E-3</v>
      </c>
      <c r="J111" s="439"/>
      <c r="K111">
        <f>'Assumptions-Output Override'!$L$19</f>
        <v>80</v>
      </c>
      <c r="L111" s="470">
        <f t="shared" si="0"/>
        <v>8.5437046805153234E-4</v>
      </c>
      <c r="M111" s="388">
        <f t="shared" si="1"/>
        <v>4.0398864178931432E-3</v>
      </c>
    </row>
    <row r="112" spans="4:13" x14ac:dyDescent="0.2">
      <c r="D112" s="446" t="s">
        <v>607</v>
      </c>
      <c r="E112" s="446" t="s">
        <v>612</v>
      </c>
      <c r="F112" s="468" t="s">
        <v>609</v>
      </c>
      <c r="G112" s="469">
        <v>5.3448411339576758</v>
      </c>
      <c r="H112" s="310">
        <v>5048.2834276269577</v>
      </c>
      <c r="I112" s="470">
        <v>2.248522743321451</v>
      </c>
      <c r="J112" s="439"/>
      <c r="K112">
        <f>'Assumptions-Output Override'!$M$19</f>
        <v>200</v>
      </c>
      <c r="L112" s="470">
        <f t="shared" si="0"/>
        <v>8.9080685565961271E-2</v>
      </c>
      <c r="M112" s="388">
        <f t="shared" si="1"/>
        <v>2.1594420577554896</v>
      </c>
    </row>
    <row r="113" spans="4:13" x14ac:dyDescent="0.2">
      <c r="D113" s="446" t="s">
        <v>607</v>
      </c>
      <c r="E113" s="446" t="s">
        <v>613</v>
      </c>
      <c r="F113" s="468" t="s">
        <v>609</v>
      </c>
      <c r="G113" s="469">
        <v>0.64258710614746439</v>
      </c>
      <c r="H113" s="310">
        <v>125.96745643394912</v>
      </c>
      <c r="I113" s="470">
        <v>6.7454219415540133E-3</v>
      </c>
      <c r="J113" s="439"/>
      <c r="K113">
        <f>2*K109</f>
        <v>20</v>
      </c>
      <c r="L113" s="470">
        <f t="shared" si="0"/>
        <v>1.070978510245774E-3</v>
      </c>
      <c r="M113" s="388">
        <f t="shared" si="1"/>
        <v>5.6744434313082395E-3</v>
      </c>
    </row>
    <row r="114" spans="4:13" x14ac:dyDescent="0.2">
      <c r="D114" s="446" t="s">
        <v>607</v>
      </c>
      <c r="E114" s="446" t="s">
        <v>614</v>
      </c>
      <c r="F114" s="468" t="s">
        <v>609</v>
      </c>
      <c r="G114" s="469">
        <v>4.342212261156024E-2</v>
      </c>
      <c r="H114" s="310">
        <v>556.04470870965861</v>
      </c>
      <c r="I114" s="470">
        <v>2.012053459925008E-3</v>
      </c>
      <c r="J114" s="439"/>
      <c r="K114">
        <f>2*K110</f>
        <v>100</v>
      </c>
      <c r="L114" s="470">
        <f t="shared" si="0"/>
        <v>3.6185102176300199E-4</v>
      </c>
      <c r="M114" s="388">
        <f t="shared" si="1"/>
        <v>1.6502024381620059E-3</v>
      </c>
    </row>
    <row r="115" spans="4:13" x14ac:dyDescent="0.2">
      <c r="D115" s="446" t="s">
        <v>607</v>
      </c>
      <c r="E115" s="446" t="s">
        <v>615</v>
      </c>
      <c r="F115" s="468" t="s">
        <v>609</v>
      </c>
      <c r="G115" s="469">
        <v>3.4978932103756862E-2</v>
      </c>
      <c r="H115" s="310">
        <v>823.02130405213654</v>
      </c>
      <c r="I115" s="470">
        <v>2.3990338595320931E-3</v>
      </c>
      <c r="J115" s="439"/>
      <c r="K115">
        <f>2*K111</f>
        <v>160</v>
      </c>
      <c r="L115" s="470">
        <f t="shared" si="0"/>
        <v>4.6638576138342483E-4</v>
      </c>
      <c r="M115" s="388">
        <f t="shared" si="1"/>
        <v>1.9326480981486684E-3</v>
      </c>
    </row>
    <row r="116" spans="4:13" x14ac:dyDescent="0.2">
      <c r="D116" s="446" t="s">
        <v>607</v>
      </c>
      <c r="E116" s="446" t="s">
        <v>616</v>
      </c>
      <c r="F116" s="468" t="s">
        <v>609</v>
      </c>
      <c r="G116" s="447">
        <v>4.7969383785048638</v>
      </c>
      <c r="H116" s="310">
        <v>5559.8052655930032</v>
      </c>
      <c r="I116" s="448">
        <v>2.222503604628042</v>
      </c>
      <c r="J116" s="439"/>
      <c r="K116">
        <f>2*K112</f>
        <v>400</v>
      </c>
      <c r="L116" s="470">
        <f t="shared" si="0"/>
        <v>0.15989794595016213</v>
      </c>
      <c r="M116" s="388">
        <f t="shared" si="1"/>
        <v>2.0626056586778798</v>
      </c>
    </row>
    <row r="117" spans="4:13" x14ac:dyDescent="0.2">
      <c r="D117" s="460" t="s">
        <v>617</v>
      </c>
      <c r="E117" s="460"/>
      <c r="F117" s="460"/>
      <c r="G117" s="471">
        <v>15.512553302979896</v>
      </c>
      <c r="H117" s="472"/>
      <c r="I117" s="473">
        <v>4.5091055267970725</v>
      </c>
      <c r="J117" s="439"/>
      <c r="L117" s="470">
        <f>SUM(L109:L116)</f>
        <v>0.25595255610430995</v>
      </c>
      <c r="M117" s="388">
        <f>SUM(M109:M116)</f>
        <v>4.2531529706927618</v>
      </c>
    </row>
    <row r="118" spans="4:13" ht="16" x14ac:dyDescent="0.2">
      <c r="D118" s="461" t="s">
        <v>618</v>
      </c>
      <c r="E118" s="461"/>
      <c r="F118" s="461"/>
      <c r="G118" s="474"/>
      <c r="H118" s="474"/>
      <c r="I118" s="473">
        <v>5.1872337634904291</v>
      </c>
      <c r="J118" s="439"/>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807</v>
      </c>
      <c r="G3"/>
      <c r="H3"/>
      <c r="I3"/>
    </row>
    <row r="4" spans="2:19" x14ac:dyDescent="0.2">
      <c r="G4"/>
      <c r="H4"/>
      <c r="I4"/>
    </row>
    <row r="5" spans="2:19" ht="16" x14ac:dyDescent="0.2">
      <c r="D5" s="438" t="s">
        <v>808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3.0154251813583504E-4</v>
      </c>
      <c r="H8" s="310">
        <v>505.99999999999994</v>
      </c>
      <c r="I8" s="448">
        <v>1.2715042848061043E-5</v>
      </c>
      <c r="J8" s="439"/>
      <c r="K8" s="446" t="s">
        <v>1</v>
      </c>
      <c r="L8" s="446" t="s">
        <v>535</v>
      </c>
      <c r="M8" s="446" t="s">
        <v>534</v>
      </c>
      <c r="N8" s="449">
        <v>1.7187923533742593E-2</v>
      </c>
      <c r="O8" s="310">
        <v>18139.423684210531</v>
      </c>
      <c r="P8" s="388">
        <v>2.5981585602530829E-2</v>
      </c>
      <c r="Q8" s="29">
        <f>'Assumptions-Output Target'!D17</f>
        <v>1018.5185313926721</v>
      </c>
      <c r="R8" s="388">
        <f>N8*Q8/12000</f>
        <v>1.4588515529397543E-3</v>
      </c>
      <c r="S8" s="388">
        <f>P8-R8</f>
        <v>2.4522734049591075E-2</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8.4431905078033807E-3</v>
      </c>
      <c r="H10" s="310">
        <v>12919.215714285714</v>
      </c>
      <c r="I10" s="448">
        <v>9.0899499572601183E-3</v>
      </c>
      <c r="J10" s="439"/>
      <c r="K10" s="446" t="s">
        <v>462</v>
      </c>
      <c r="L10" s="446" t="s">
        <v>538</v>
      </c>
      <c r="M10" s="446" t="s">
        <v>539</v>
      </c>
      <c r="N10" s="449">
        <v>0.50777439703709759</v>
      </c>
      <c r="O10" s="310">
        <v>684.70641455786176</v>
      </c>
      <c r="P10" s="388">
        <v>2.8973032233295934E-2</v>
      </c>
      <c r="Q10" s="29">
        <v>0</v>
      </c>
      <c r="R10" s="388">
        <f>N10*Q10/12000</f>
        <v>0</v>
      </c>
      <c r="S10" s="388">
        <f>P10-R10</f>
        <v>2.8973032233295934E-2</v>
      </c>
    </row>
    <row r="11" spans="2:19" x14ac:dyDescent="0.2">
      <c r="D11" s="446" t="s">
        <v>1</v>
      </c>
      <c r="E11" s="446" t="s">
        <v>540</v>
      </c>
      <c r="F11" s="446" t="s">
        <v>534</v>
      </c>
      <c r="G11" s="447">
        <v>7.2370204352600392E-3</v>
      </c>
      <c r="H11" s="310">
        <v>27799.832083333335</v>
      </c>
      <c r="I11" s="448">
        <v>1.6765662740323418E-2</v>
      </c>
      <c r="J11" s="439"/>
      <c r="K11" s="320" t="s">
        <v>463</v>
      </c>
      <c r="L11" s="450" t="s">
        <v>541</v>
      </c>
      <c r="M11" s="446" t="s">
        <v>539</v>
      </c>
      <c r="N11" s="449">
        <v>8.8070054646752799E-2</v>
      </c>
      <c r="O11" s="310">
        <v>108.13942622950817</v>
      </c>
      <c r="P11" s="388">
        <v>7.9365376479177316E-4</v>
      </c>
      <c r="Q11" s="29">
        <f>'Assumptions-Output Target'!G17</f>
        <v>30.555555941780163</v>
      </c>
      <c r="R11" s="388">
        <f>N11*Q11/12000</f>
        <v>2.2425245679620761E-4</v>
      </c>
      <c r="S11" s="388">
        <f>P11-R11</f>
        <v>5.6940130799556555E-4</v>
      </c>
    </row>
    <row r="12" spans="2:19" x14ac:dyDescent="0.2">
      <c r="D12" s="446" t="s">
        <v>1</v>
      </c>
      <c r="E12" s="446" t="s">
        <v>542</v>
      </c>
      <c r="F12" s="446" t="s">
        <v>534</v>
      </c>
      <c r="G12" s="447">
        <v>0</v>
      </c>
      <c r="H12" s="310" t="s">
        <v>446</v>
      </c>
      <c r="I12" s="448">
        <v>0</v>
      </c>
      <c r="J12" s="439"/>
      <c r="K12" s="320" t="s">
        <v>464</v>
      </c>
      <c r="L12" s="450" t="s">
        <v>541</v>
      </c>
      <c r="M12" s="446" t="s">
        <v>539</v>
      </c>
      <c r="N12" s="449">
        <v>3.7678101903546013</v>
      </c>
      <c r="O12" s="310">
        <v>29.45832969306818</v>
      </c>
      <c r="P12" s="388">
        <v>9.2494495673639855E-3</v>
      </c>
      <c r="Q12" s="29">
        <f>'Assumptions-Output Target'!H17</f>
        <v>55.000000695204292</v>
      </c>
      <c r="R12" s="388">
        <f>N12*Q12/12000</f>
        <v>1.7269130257408408E-2</v>
      </c>
      <c r="S12" s="388">
        <f>P12-R12</f>
        <v>-8.0196806900444222E-3</v>
      </c>
    </row>
    <row r="13" spans="2:19" x14ac:dyDescent="0.2">
      <c r="D13" s="446" t="s">
        <v>1</v>
      </c>
      <c r="E13" s="446" t="s">
        <v>543</v>
      </c>
      <c r="F13" s="446" t="s">
        <v>534</v>
      </c>
      <c r="G13" s="447">
        <v>3.0154251813583504E-4</v>
      </c>
      <c r="H13" s="310">
        <v>508.48999999999995</v>
      </c>
      <c r="I13" s="448">
        <v>1.2777612920574229E-5</v>
      </c>
      <c r="J13" s="439"/>
      <c r="K13" s="446" t="s">
        <v>465</v>
      </c>
      <c r="P13" s="388">
        <f>I117</f>
        <v>8.2139953548993894E-2</v>
      </c>
      <c r="R13" s="388">
        <f>L117</f>
        <v>1.2377971518390412E-2</v>
      </c>
      <c r="S13" s="388">
        <f>M117</f>
        <v>6.9761982030603464E-2</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6.0308503627167008E-4</v>
      </c>
      <c r="H15" s="310">
        <v>1990.8249999999996</v>
      </c>
      <c r="I15" s="448">
        <v>1.0005306394462894E-4</v>
      </c>
      <c r="J15" s="439"/>
      <c r="K15" s="446" t="s">
        <v>403</v>
      </c>
      <c r="P15" s="388">
        <f>SUM(P8:P13)</f>
        <v>0.14713767471697642</v>
      </c>
      <c r="R15" s="388">
        <f>SUM(R8:R13)</f>
        <v>3.1330205785534783E-2</v>
      </c>
      <c r="S15" s="388">
        <f>SUM(S8:S13)</f>
        <v>0.11580746893144162</v>
      </c>
    </row>
    <row r="16" spans="2:19" x14ac:dyDescent="0.2">
      <c r="D16" s="451" t="s">
        <v>1</v>
      </c>
      <c r="E16" s="451" t="s">
        <v>546</v>
      </c>
      <c r="F16" s="451" t="s">
        <v>534</v>
      </c>
      <c r="G16" s="452">
        <v>3.0154251813583504E-4</v>
      </c>
      <c r="H16" s="453">
        <v>16.999999999999996</v>
      </c>
      <c r="I16" s="454">
        <v>4.2718523402576624E-7</v>
      </c>
      <c r="J16" s="439"/>
    </row>
    <row r="17" spans="4:10" ht="16" x14ac:dyDescent="0.2">
      <c r="D17" s="456" t="s">
        <v>547</v>
      </c>
      <c r="E17" s="456"/>
      <c r="F17" s="456"/>
      <c r="G17" s="457">
        <v>1.7187923533742593E-2</v>
      </c>
      <c r="H17" s="458"/>
      <c r="I17" s="459">
        <v>2.5981585602530829E-2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1.8769028039471905E-3</v>
      </c>
      <c r="H19" s="310">
        <v>5353.3461538461543</v>
      </c>
      <c r="I19" s="448">
        <v>8.3730920055447955E-4</v>
      </c>
      <c r="J19" s="439"/>
    </row>
    <row r="20" spans="4:10" x14ac:dyDescent="0.2">
      <c r="D20" s="446" t="s">
        <v>462</v>
      </c>
      <c r="E20" s="446" t="s">
        <v>550</v>
      </c>
      <c r="F20" s="446" t="s">
        <v>537</v>
      </c>
      <c r="G20" s="447">
        <v>6.7135369525803359E-2</v>
      </c>
      <c r="H20" s="310">
        <v>234.34759139784947</v>
      </c>
      <c r="I20" s="448">
        <v>1.31108434549805E-3</v>
      </c>
      <c r="J20" s="439"/>
    </row>
    <row r="21" spans="4:10" x14ac:dyDescent="0.2">
      <c r="D21" s="446" t="s">
        <v>462</v>
      </c>
      <c r="E21" s="446" t="s">
        <v>551</v>
      </c>
      <c r="F21" s="446" t="s">
        <v>537</v>
      </c>
      <c r="G21" s="447">
        <v>4.3313141629550551E-4</v>
      </c>
      <c r="H21" s="310">
        <v>2193.4766666666665</v>
      </c>
      <c r="I21" s="448">
        <v>7.9171971270373148E-5</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0.17844053614423688</v>
      </c>
      <c r="H52" s="310">
        <v>732.20253623188398</v>
      </c>
      <c r="I52" s="448">
        <v>1.0887884427615617E-2</v>
      </c>
      <c r="J52" s="439"/>
    </row>
    <row r="53" spans="4:10" x14ac:dyDescent="0.2">
      <c r="D53" s="446" t="s">
        <v>462</v>
      </c>
      <c r="E53" s="446" t="s">
        <v>584</v>
      </c>
      <c r="F53" s="446" t="s">
        <v>554</v>
      </c>
      <c r="G53" s="447">
        <v>9.86173012661796E-3</v>
      </c>
      <c r="H53" s="310">
        <v>732.20253623188398</v>
      </c>
      <c r="I53" s="448">
        <v>6.0173198419533741E-4</v>
      </c>
      <c r="J53" s="439"/>
    </row>
    <row r="54" spans="4:10" x14ac:dyDescent="0.2">
      <c r="D54" s="446" t="s">
        <v>462</v>
      </c>
      <c r="E54" s="446" t="s">
        <v>585</v>
      </c>
      <c r="F54" s="446" t="s">
        <v>554</v>
      </c>
      <c r="G54" s="447">
        <v>4.3667269529369779E-2</v>
      </c>
      <c r="H54" s="310">
        <v>732.2025362318841</v>
      </c>
      <c r="I54" s="448">
        <v>2.6644404583104852E-3</v>
      </c>
      <c r="J54" s="439"/>
    </row>
    <row r="55" spans="4:10" x14ac:dyDescent="0.2">
      <c r="D55" s="446" t="s">
        <v>462</v>
      </c>
      <c r="E55" s="446" t="s">
        <v>586</v>
      </c>
      <c r="F55" s="446" t="s">
        <v>537</v>
      </c>
      <c r="G55" s="447">
        <v>2.3870148457361982E-2</v>
      </c>
      <c r="H55" s="310">
        <v>732.20253623188398</v>
      </c>
      <c r="I55" s="448">
        <v>1.4564819367260029E-3</v>
      </c>
      <c r="J55" s="439"/>
    </row>
    <row r="56" spans="4:10" x14ac:dyDescent="0.2">
      <c r="D56" s="446" t="s">
        <v>462</v>
      </c>
      <c r="E56" s="446" t="s">
        <v>5</v>
      </c>
      <c r="F56" s="446" t="s">
        <v>537</v>
      </c>
      <c r="G56" s="447">
        <v>2.0468901899728414E-2</v>
      </c>
      <c r="H56" s="310">
        <v>732.20253623188398</v>
      </c>
      <c r="I56" s="448">
        <v>1.2489484904052311E-3</v>
      </c>
      <c r="J56" s="439"/>
    </row>
    <row r="57" spans="4:10" x14ac:dyDescent="0.2">
      <c r="D57" s="446" t="s">
        <v>462</v>
      </c>
      <c r="E57" s="446" t="s">
        <v>587</v>
      </c>
      <c r="F57" s="446" t="s">
        <v>537</v>
      </c>
      <c r="G57" s="447">
        <v>5.4056205937165536E-2</v>
      </c>
      <c r="H57" s="310">
        <v>732.20253623188398</v>
      </c>
      <c r="I57" s="448">
        <v>3.2983409238554694E-3</v>
      </c>
      <c r="J57" s="439"/>
    </row>
    <row r="58" spans="4:10" x14ac:dyDescent="0.2">
      <c r="D58" s="446" t="s">
        <v>462</v>
      </c>
      <c r="E58" s="446" t="s">
        <v>588</v>
      </c>
      <c r="F58" s="446" t="s">
        <v>537</v>
      </c>
      <c r="G58" s="447">
        <v>3.6516085649010301E-2</v>
      </c>
      <c r="H58" s="310">
        <v>732.20253623188398</v>
      </c>
      <c r="I58" s="448">
        <v>2.2280975437888369E-3</v>
      </c>
      <c r="J58" s="439"/>
    </row>
    <row r="59" spans="4:10" x14ac:dyDescent="0.2">
      <c r="D59" s="446" t="s">
        <v>462</v>
      </c>
      <c r="E59" s="446" t="s">
        <v>589</v>
      </c>
      <c r="F59" s="446" t="s">
        <v>537</v>
      </c>
      <c r="G59" s="447">
        <v>1.4115124512409375E-2</v>
      </c>
      <c r="H59" s="310">
        <v>732.2025362318841</v>
      </c>
      <c r="I59" s="448">
        <v>8.6126083060124835E-4</v>
      </c>
      <c r="J59" s="439"/>
    </row>
    <row r="60" spans="4:10" x14ac:dyDescent="0.2">
      <c r="D60" s="446" t="s">
        <v>462</v>
      </c>
      <c r="E60" s="446" t="s">
        <v>590</v>
      </c>
      <c r="F60" s="446" t="s">
        <v>537</v>
      </c>
      <c r="G60" s="447">
        <v>1.3472627061889895E-2</v>
      </c>
      <c r="H60" s="310">
        <v>732.20253623188398</v>
      </c>
      <c r="I60" s="448">
        <v>8.2205764203517465E-4</v>
      </c>
      <c r="J60" s="439"/>
    </row>
    <row r="61" spans="4:10" x14ac:dyDescent="0.2">
      <c r="D61" s="446" t="s">
        <v>462</v>
      </c>
      <c r="E61" s="446" t="s">
        <v>591</v>
      </c>
      <c r="F61" s="446" t="s">
        <v>537</v>
      </c>
      <c r="G61" s="447">
        <v>2.2338105241250881E-2</v>
      </c>
      <c r="H61" s="310">
        <v>732.20253623188398</v>
      </c>
      <c r="I61" s="448">
        <v>1.3630014426882196E-3</v>
      </c>
      <c r="J61" s="439"/>
    </row>
    <row r="62" spans="4:10" x14ac:dyDescent="0.2">
      <c r="D62" s="446" t="s">
        <v>462</v>
      </c>
      <c r="E62" s="446" t="s">
        <v>592</v>
      </c>
      <c r="F62" s="446" t="s">
        <v>537</v>
      </c>
      <c r="G62" s="447">
        <v>2.1522258732010486E-2</v>
      </c>
      <c r="H62" s="310">
        <v>732.20253623188387</v>
      </c>
      <c r="I62" s="448">
        <v>1.3132210357514073E-3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0.50777439703709759</v>
      </c>
      <c r="H64" s="463"/>
      <c r="I64" s="464">
        <v>2.8973032233295934E-2</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2.1656570814775275E-3</v>
      </c>
      <c r="H66" s="310">
        <v>978.25466666666659</v>
      </c>
      <c r="I66" s="448">
        <v>1.7654701219625872E-4</v>
      </c>
      <c r="J66" s="439"/>
    </row>
    <row r="67" spans="4:10" x14ac:dyDescent="0.2">
      <c r="D67" s="446" t="s">
        <v>595</v>
      </c>
      <c r="E67" s="446" t="s">
        <v>564</v>
      </c>
      <c r="F67" s="446" t="s">
        <v>554</v>
      </c>
      <c r="G67" s="447">
        <v>2.7431656365382016E-3</v>
      </c>
      <c r="H67" s="310">
        <v>99.964736842105268</v>
      </c>
      <c r="I67" s="448">
        <v>2.2851652580903959E-5</v>
      </c>
      <c r="J67" s="439"/>
    </row>
    <row r="68" spans="4:10" x14ac:dyDescent="0.2">
      <c r="D68" s="446" t="s">
        <v>595</v>
      </c>
      <c r="E68" s="446" t="s">
        <v>597</v>
      </c>
      <c r="F68" s="446" t="s">
        <v>554</v>
      </c>
      <c r="G68" s="447">
        <v>6.0638398281370768E-3</v>
      </c>
      <c r="H68" s="310">
        <v>26.332380952380952</v>
      </c>
      <c r="I68" s="448">
        <v>1.3306278365727146E-5</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2.88754277530337E-3</v>
      </c>
      <c r="H71" s="310">
        <v>106.04999999999998</v>
      </c>
      <c r="I71" s="448">
        <v>2.5518659276743531E-5</v>
      </c>
      <c r="J71" s="439"/>
    </row>
    <row r="72" spans="4:10" x14ac:dyDescent="0.2">
      <c r="D72" s="446" t="s">
        <v>595</v>
      </c>
      <c r="E72" s="446" t="s">
        <v>548</v>
      </c>
      <c r="F72" s="446" t="s">
        <v>554</v>
      </c>
      <c r="G72" s="447">
        <v>6.2082169669022448E-3</v>
      </c>
      <c r="H72" s="310">
        <v>240.25465116279076</v>
      </c>
      <c r="I72" s="448">
        <v>1.2429608347716813E-4</v>
      </c>
      <c r="J72" s="439"/>
    </row>
    <row r="73" spans="4:10" x14ac:dyDescent="0.2">
      <c r="D73" s="446" t="s">
        <v>595</v>
      </c>
      <c r="E73" s="446" t="s">
        <v>598</v>
      </c>
      <c r="F73" s="446" t="s">
        <v>554</v>
      </c>
      <c r="G73" s="447">
        <v>2.8875427753033699E-4</v>
      </c>
      <c r="H73" s="310">
        <v>58.500000000000007</v>
      </c>
      <c r="I73" s="448">
        <v>1.4076771029603929E-6</v>
      </c>
      <c r="J73" s="439"/>
    </row>
    <row r="74" spans="4:10" x14ac:dyDescent="0.2">
      <c r="D74" s="446" t="s">
        <v>595</v>
      </c>
      <c r="E74" s="446" t="s">
        <v>549</v>
      </c>
      <c r="F74" s="446" t="s">
        <v>554</v>
      </c>
      <c r="G74" s="447">
        <v>4.4468158739671901E-2</v>
      </c>
      <c r="H74" s="310">
        <v>103.37431818181818</v>
      </c>
      <c r="I74" s="448">
        <v>3.8307213254287016E-4</v>
      </c>
      <c r="J74" s="439"/>
    </row>
    <row r="75" spans="4:10" x14ac:dyDescent="0.2">
      <c r="D75" s="446" t="s">
        <v>595</v>
      </c>
      <c r="E75" s="446" t="s">
        <v>571</v>
      </c>
      <c r="F75" s="446" t="s">
        <v>554</v>
      </c>
      <c r="G75" s="447">
        <v>2.1656570814775275E-3</v>
      </c>
      <c r="H75" s="310">
        <v>153.21266666666668</v>
      </c>
      <c r="I75" s="448">
        <v>2.765050804489355E-5</v>
      </c>
      <c r="J75" s="439"/>
    </row>
    <row r="76" spans="4:10" x14ac:dyDescent="0.2">
      <c r="D76" s="446" t="s">
        <v>595</v>
      </c>
      <c r="E76" s="446" t="s">
        <v>561</v>
      </c>
      <c r="F76" s="446" t="s">
        <v>554</v>
      </c>
      <c r="G76" s="447">
        <v>2.8875427753033699E-4</v>
      </c>
      <c r="H76" s="310">
        <v>184.00000000000003</v>
      </c>
      <c r="I76" s="448">
        <v>4.4275655887985012E-6</v>
      </c>
      <c r="J76" s="439"/>
    </row>
    <row r="77" spans="4:10" x14ac:dyDescent="0.2">
      <c r="D77" s="446" t="s">
        <v>595</v>
      </c>
      <c r="E77" s="446" t="s">
        <v>599</v>
      </c>
      <c r="F77" s="446" t="s">
        <v>554</v>
      </c>
      <c r="G77" s="447">
        <v>9.3700763058594372E-2</v>
      </c>
      <c r="H77" s="310">
        <v>137.36098613251187</v>
      </c>
      <c r="I77" s="448">
        <v>1.0725691012581134E-3</v>
      </c>
      <c r="J77" s="439"/>
    </row>
    <row r="78" spans="4:10" x14ac:dyDescent="0.2">
      <c r="D78" s="446" t="s">
        <v>595</v>
      </c>
      <c r="E78" s="446" t="s">
        <v>600</v>
      </c>
      <c r="F78" s="446" t="s">
        <v>554</v>
      </c>
      <c r="G78" s="447">
        <v>2.7431656365382016E-3</v>
      </c>
      <c r="H78" s="310">
        <v>150.71315789473687</v>
      </c>
      <c r="I78" s="448">
        <v>3.4452596309249857E-5</v>
      </c>
      <c r="J78" s="439"/>
    </row>
    <row r="79" spans="4:10" x14ac:dyDescent="0.2">
      <c r="D79" s="446" t="s">
        <v>595</v>
      </c>
      <c r="E79" s="446" t="s">
        <v>555</v>
      </c>
      <c r="F79" s="446" t="s">
        <v>554</v>
      </c>
      <c r="G79" s="447">
        <v>3.4939267581170781E-2</v>
      </c>
      <c r="H79" s="310">
        <v>107.90516528925619</v>
      </c>
      <c r="I79" s="448">
        <v>3.1417728695264861E-4</v>
      </c>
      <c r="J79" s="439"/>
    </row>
    <row r="80" spans="4:10" x14ac:dyDescent="0.2">
      <c r="D80" s="446" t="s">
        <v>595</v>
      </c>
      <c r="E80" s="446" t="s">
        <v>552</v>
      </c>
      <c r="F80" s="446" t="s">
        <v>554</v>
      </c>
      <c r="G80" s="447">
        <v>1.732525665182022E-3</v>
      </c>
      <c r="H80" s="310">
        <v>65.500833333333347</v>
      </c>
      <c r="I80" s="448">
        <v>9.4568229034008427E-6</v>
      </c>
      <c r="J80" s="439"/>
    </row>
    <row r="81" spans="4:10" x14ac:dyDescent="0.2">
      <c r="D81" s="446" t="s">
        <v>595</v>
      </c>
      <c r="E81" s="446" t="s">
        <v>581</v>
      </c>
      <c r="F81" s="446" t="s">
        <v>554</v>
      </c>
      <c r="G81" s="447">
        <v>0.23230281627315613</v>
      </c>
      <c r="H81" s="310">
        <v>210.97060285891857</v>
      </c>
      <c r="I81" s="448">
        <v>4.084088766247696E-3</v>
      </c>
      <c r="J81" s="439"/>
    </row>
    <row r="82" spans="4:10" x14ac:dyDescent="0.2">
      <c r="D82" s="446" t="s">
        <v>595</v>
      </c>
      <c r="E82" s="446" t="s">
        <v>574</v>
      </c>
      <c r="F82" s="446" t="s">
        <v>554</v>
      </c>
      <c r="G82" s="447">
        <v>5.7750855506067398E-4</v>
      </c>
      <c r="H82" s="310">
        <v>116.60000000000001</v>
      </c>
      <c r="I82" s="448">
        <v>5.6114581266728825E-6</v>
      </c>
      <c r="J82" s="439"/>
    </row>
    <row r="83" spans="4:10" x14ac:dyDescent="0.2">
      <c r="D83" s="446" t="s">
        <v>595</v>
      </c>
      <c r="E83" s="446" t="s">
        <v>601</v>
      </c>
      <c r="F83" s="446" t="s">
        <v>554</v>
      </c>
      <c r="G83" s="447">
        <v>7.5076112157887618E-3</v>
      </c>
      <c r="H83" s="310">
        <v>530.0215384615384</v>
      </c>
      <c r="I83" s="448">
        <v>3.3159963723028836E-4</v>
      </c>
      <c r="J83" s="439"/>
    </row>
    <row r="84" spans="4:10" x14ac:dyDescent="0.2">
      <c r="D84" s="446" t="s">
        <v>595</v>
      </c>
      <c r="E84" s="446" t="s">
        <v>559</v>
      </c>
      <c r="F84" s="446" t="s">
        <v>554</v>
      </c>
      <c r="G84" s="447">
        <v>8.3738740483797723E-3</v>
      </c>
      <c r="H84" s="310">
        <v>125.81465517241382</v>
      </c>
      <c r="I84" s="448">
        <v>8.7796339654510502E-5</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5.7750855506067398E-4</v>
      </c>
      <c r="H86" s="310">
        <v>18.420000000000002</v>
      </c>
      <c r="I86" s="448">
        <v>8.8647563201813457E-7</v>
      </c>
      <c r="J86" s="439"/>
    </row>
    <row r="87" spans="4:10" x14ac:dyDescent="0.2">
      <c r="D87" s="446" t="s">
        <v>595</v>
      </c>
      <c r="E87" s="446" t="s">
        <v>550</v>
      </c>
      <c r="F87" s="446" t="s">
        <v>554</v>
      </c>
      <c r="G87" s="447">
        <v>9.9475848609201084E-2</v>
      </c>
      <c r="H87" s="310">
        <v>243.9262699564587</v>
      </c>
      <c r="I87" s="448">
        <v>2.0220643918329832E-3</v>
      </c>
      <c r="J87" s="439"/>
    </row>
    <row r="88" spans="4:10" x14ac:dyDescent="0.2">
      <c r="D88" s="446" t="s">
        <v>595</v>
      </c>
      <c r="E88" s="446" t="s">
        <v>579</v>
      </c>
      <c r="F88" s="446" t="s">
        <v>554</v>
      </c>
      <c r="G88" s="447">
        <v>2.8875427753033699E-4</v>
      </c>
      <c r="H88" s="310">
        <v>257.50000000000006</v>
      </c>
      <c r="I88" s="448">
        <v>6.1961855386718156E-6</v>
      </c>
      <c r="J88" s="439"/>
    </row>
    <row r="89" spans="4:10" x14ac:dyDescent="0.2">
      <c r="D89" s="446" t="s">
        <v>595</v>
      </c>
      <c r="E89" s="446" t="s">
        <v>556</v>
      </c>
      <c r="F89" s="446" t="s">
        <v>554</v>
      </c>
      <c r="G89" s="447">
        <v>6.3525941056674145E-3</v>
      </c>
      <c r="H89" s="310">
        <v>34.090909090909093</v>
      </c>
      <c r="I89" s="448">
        <v>1.8047142345646065E-5</v>
      </c>
      <c r="J89" s="439"/>
    </row>
    <row r="90" spans="4:10" x14ac:dyDescent="0.2">
      <c r="D90" s="446" t="s">
        <v>595</v>
      </c>
      <c r="E90" s="446" t="s">
        <v>602</v>
      </c>
      <c r="F90" s="446" t="s">
        <v>554</v>
      </c>
      <c r="G90" s="447">
        <v>8.6626283259101102E-4</v>
      </c>
      <c r="H90" s="310">
        <v>146.17499999999998</v>
      </c>
      <c r="I90" s="448">
        <v>1.0552164129499252E-5</v>
      </c>
      <c r="J90" s="439"/>
    </row>
    <row r="91" spans="4:10" x14ac:dyDescent="0.2">
      <c r="D91" s="446" t="s">
        <v>595</v>
      </c>
      <c r="E91" s="446" t="s">
        <v>577</v>
      </c>
      <c r="F91" s="446" t="s">
        <v>554</v>
      </c>
      <c r="G91" s="447">
        <v>1.9490913733297751E-2</v>
      </c>
      <c r="H91" s="310">
        <v>42.445037037037032</v>
      </c>
      <c r="I91" s="448">
        <v>6.89410462746264E-5</v>
      </c>
      <c r="J91" s="439"/>
    </row>
    <row r="92" spans="4:10" x14ac:dyDescent="0.2">
      <c r="D92" s="446" t="s">
        <v>595</v>
      </c>
      <c r="E92" s="446" t="s">
        <v>576</v>
      </c>
      <c r="F92" s="446" t="s">
        <v>554</v>
      </c>
      <c r="G92" s="447">
        <v>2.8875427753033699E-4</v>
      </c>
      <c r="H92" s="310">
        <v>357.73</v>
      </c>
      <c r="I92" s="448">
        <v>8.608005641743955E-6</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2.5265999283904488E-2</v>
      </c>
      <c r="H94" s="310">
        <v>62.52731428571429</v>
      </c>
      <c r="I94" s="448">
        <v>1.3165125649727735E-4</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9.4133894474889859E-2</v>
      </c>
      <c r="H96" s="310">
        <v>58.172177914110442</v>
      </c>
      <c r="I96" s="448">
        <v>4.5633113809511589E-4</v>
      </c>
      <c r="J96" s="439"/>
    </row>
    <row r="97" spans="4:13" x14ac:dyDescent="0.2">
      <c r="D97" s="446" t="s">
        <v>595</v>
      </c>
      <c r="E97" s="446" t="s">
        <v>604</v>
      </c>
      <c r="F97" s="446" t="s">
        <v>554</v>
      </c>
      <c r="G97" s="447">
        <v>4.3313141629550551E-4</v>
      </c>
      <c r="H97" s="310">
        <v>143.66666666666669</v>
      </c>
      <c r="I97" s="448">
        <v>5.1855455673156362E-6</v>
      </c>
      <c r="J97" s="439"/>
    </row>
    <row r="98" spans="4:13" x14ac:dyDescent="0.2">
      <c r="D98" s="446" t="s">
        <v>595</v>
      </c>
      <c r="E98" s="446" t="s">
        <v>569</v>
      </c>
      <c r="F98" s="446" t="s">
        <v>554</v>
      </c>
      <c r="G98" s="447">
        <v>1.2993942488865166E-3</v>
      </c>
      <c r="H98" s="310">
        <v>202.71666666666664</v>
      </c>
      <c r="I98" s="448">
        <v>2.1950739235009305E-5</v>
      </c>
      <c r="J98" s="439"/>
    </row>
    <row r="99" spans="4:13" x14ac:dyDescent="0.2">
      <c r="D99" s="446" t="s">
        <v>595</v>
      </c>
      <c r="E99" s="446" t="s">
        <v>553</v>
      </c>
      <c r="F99" s="446" t="s">
        <v>554</v>
      </c>
      <c r="G99" s="447">
        <v>1.2849565350099994E-2</v>
      </c>
      <c r="H99" s="310">
        <v>247.55123595505623</v>
      </c>
      <c r="I99" s="448">
        <v>2.6507714865854317E-4</v>
      </c>
      <c r="J99" s="439"/>
    </row>
    <row r="100" spans="4:13" x14ac:dyDescent="0.2">
      <c r="D100" s="446" t="s">
        <v>595</v>
      </c>
      <c r="E100" s="446" t="s">
        <v>570</v>
      </c>
      <c r="F100" s="446" t="s">
        <v>554</v>
      </c>
      <c r="G100" s="447">
        <v>1.155017110121348E-3</v>
      </c>
      <c r="H100" s="310">
        <v>63.545000000000002</v>
      </c>
      <c r="I100" s="448">
        <v>6.1162968552217553E-6</v>
      </c>
      <c r="J100" s="439"/>
    </row>
    <row r="101" spans="4:13" x14ac:dyDescent="0.2">
      <c r="D101" s="446" t="s">
        <v>595</v>
      </c>
      <c r="E101" s="446" t="s">
        <v>551</v>
      </c>
      <c r="F101" s="446" t="s">
        <v>554</v>
      </c>
      <c r="G101" s="447">
        <v>5.7750855506067398E-4</v>
      </c>
      <c r="H101" s="310">
        <v>231.9325</v>
      </c>
      <c r="I101" s="448">
        <v>1.116191691221748E-5</v>
      </c>
      <c r="J101" s="439"/>
    </row>
    <row r="102" spans="4:13" x14ac:dyDescent="0.2">
      <c r="D102" s="446" t="s">
        <v>595</v>
      </c>
      <c r="E102" s="446" t="s">
        <v>578</v>
      </c>
      <c r="F102" s="446" t="s">
        <v>554</v>
      </c>
      <c r="G102" s="447">
        <v>4.6200684404853918E-3</v>
      </c>
      <c r="H102" s="310">
        <v>176.42937500000002</v>
      </c>
      <c r="I102" s="448">
        <v>6.7926315617671877E-5</v>
      </c>
      <c r="J102" s="439"/>
    </row>
    <row r="103" spans="4:13" x14ac:dyDescent="0.2">
      <c r="D103" s="446" t="s">
        <v>595</v>
      </c>
      <c r="E103" s="446" t="s">
        <v>560</v>
      </c>
      <c r="F103" s="446" t="s">
        <v>554</v>
      </c>
      <c r="G103" s="447">
        <v>5.7750855506067398E-4</v>
      </c>
      <c r="H103" s="310">
        <v>83.5</v>
      </c>
      <c r="I103" s="448">
        <v>4.018497028963857E-6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2.9597313446859546E-2</v>
      </c>
      <c r="H105" s="310">
        <v>89.018682926829271</v>
      </c>
      <c r="I105" s="448">
        <v>2.1955948843433085E-4</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3.8558802450013543</v>
      </c>
      <c r="H108" s="466"/>
      <c r="I108" s="467">
        <v>1.0043103332155759E-2</v>
      </c>
      <c r="J108" s="439"/>
      <c r="K108" s="313" t="s">
        <v>311</v>
      </c>
      <c r="L108" s="313" t="s">
        <v>606</v>
      </c>
      <c r="M108" s="313" t="s">
        <v>528</v>
      </c>
    </row>
    <row r="109" spans="4:13" x14ac:dyDescent="0.2">
      <c r="D109" s="446" t="s">
        <v>607</v>
      </c>
      <c r="E109" s="446" t="s">
        <v>608</v>
      </c>
      <c r="F109" s="468" t="s">
        <v>609</v>
      </c>
      <c r="G109" s="469">
        <v>2.7811266447668062</v>
      </c>
      <c r="H109" s="310">
        <v>62.930060578240919</v>
      </c>
      <c r="I109" s="470">
        <v>1.4584705685911253E-2</v>
      </c>
      <c r="J109" s="439"/>
      <c r="K109">
        <f>'Assumptions-Output Target'!$J$17</f>
        <v>10.185185313926722</v>
      </c>
      <c r="L109" s="470">
        <f>G109*K109/12000</f>
        <v>2.3605241882040978E-3</v>
      </c>
      <c r="M109" s="388">
        <f>I109-L109</f>
        <v>1.2224181497707156E-2</v>
      </c>
    </row>
    <row r="110" spans="4:13" x14ac:dyDescent="0.2">
      <c r="D110" s="446" t="s">
        <v>607</v>
      </c>
      <c r="E110" s="446" t="s">
        <v>610</v>
      </c>
      <c r="F110" s="468" t="s">
        <v>609</v>
      </c>
      <c r="G110" s="469">
        <v>0.25631114041545972</v>
      </c>
      <c r="H110" s="310">
        <v>377.971737273011</v>
      </c>
      <c r="I110" s="470">
        <v>8.0731972521048308E-3</v>
      </c>
      <c r="J110" s="439"/>
      <c r="K110">
        <f>'Assumptions-Output Target'!$K$17</f>
        <v>50.92592656963361</v>
      </c>
      <c r="L110" s="470">
        <f t="shared" ref="L110:L116" si="0">G110*K110/12000</f>
        <v>1.0877401929813959E-3</v>
      </c>
      <c r="M110" s="388">
        <f t="shared" ref="M110:M116" si="1">I110-L110</f>
        <v>6.9854570591234349E-3</v>
      </c>
    </row>
    <row r="111" spans="4:13" x14ac:dyDescent="0.2">
      <c r="D111" s="446" t="s">
        <v>607</v>
      </c>
      <c r="E111" s="446" t="s">
        <v>611</v>
      </c>
      <c r="F111" s="468" t="s">
        <v>609</v>
      </c>
      <c r="G111" s="469">
        <v>0.25028029005274305</v>
      </c>
      <c r="H111" s="310">
        <v>403.17257507067069</v>
      </c>
      <c r="I111" s="470">
        <v>8.4088457524998991E-3</v>
      </c>
      <c r="J111" s="439"/>
      <c r="K111">
        <f>'Assumptions-Output Target'!$L$17</f>
        <v>81.481482511413773</v>
      </c>
      <c r="L111" s="470">
        <f t="shared" si="0"/>
        <v>1.6994340897403457E-3</v>
      </c>
      <c r="M111" s="388">
        <f t="shared" si="1"/>
        <v>6.7094116627595532E-3</v>
      </c>
    </row>
    <row r="112" spans="4:13" x14ac:dyDescent="0.2">
      <c r="D112" s="446" t="s">
        <v>607</v>
      </c>
      <c r="E112" s="446" t="s">
        <v>612</v>
      </c>
      <c r="F112" s="468" t="s">
        <v>609</v>
      </c>
      <c r="G112" s="469">
        <v>0.2180152406122087</v>
      </c>
      <c r="H112" s="310">
        <v>1179.530212659103</v>
      </c>
      <c r="I112" s="470">
        <v>2.1429630260187002E-2</v>
      </c>
      <c r="J112" s="439"/>
      <c r="K112">
        <f>'Assumptions-Output Target'!$M$17</f>
        <v>203.70370627853444</v>
      </c>
      <c r="L112" s="470">
        <f t="shared" si="0"/>
        <v>3.7008760448261147E-3</v>
      </c>
      <c r="M112" s="388">
        <f t="shared" si="1"/>
        <v>1.7728754215360888E-2</v>
      </c>
    </row>
    <row r="113" spans="4:13" x14ac:dyDescent="0.2">
      <c r="D113" s="446" t="s">
        <v>607</v>
      </c>
      <c r="E113" s="446" t="s">
        <v>613</v>
      </c>
      <c r="F113" s="468" t="s">
        <v>609</v>
      </c>
      <c r="G113" s="469">
        <v>0.62720843772253676</v>
      </c>
      <c r="H113" s="310">
        <v>145.38842547023106</v>
      </c>
      <c r="I113" s="470">
        <v>7.5990706001769241E-3</v>
      </c>
      <c r="J113" s="439"/>
      <c r="K113">
        <f>2*K109</f>
        <v>20.370370627853443</v>
      </c>
      <c r="L113" s="470">
        <f t="shared" si="0"/>
        <v>1.0647056947770839E-3</v>
      </c>
      <c r="M113" s="388">
        <f t="shared" si="1"/>
        <v>6.5343649053998401E-3</v>
      </c>
    </row>
    <row r="114" spans="4:13" x14ac:dyDescent="0.2">
      <c r="D114" s="446" t="s">
        <v>607</v>
      </c>
      <c r="E114" s="446" t="s">
        <v>614</v>
      </c>
      <c r="F114" s="468" t="s">
        <v>609</v>
      </c>
      <c r="G114" s="469">
        <v>0.1154907844460248</v>
      </c>
      <c r="H114" s="310">
        <v>894.93211028040071</v>
      </c>
      <c r="I114" s="470">
        <v>8.6130342868516539E-3</v>
      </c>
      <c r="J114" s="439"/>
      <c r="K114">
        <f>2*K110</f>
        <v>101.85185313926722</v>
      </c>
      <c r="L114" s="470">
        <f t="shared" si="0"/>
        <v>9.8024586802794036E-4</v>
      </c>
      <c r="M114" s="388">
        <f t="shared" si="1"/>
        <v>7.6327884188237133E-3</v>
      </c>
    </row>
    <row r="115" spans="4:13" x14ac:dyDescent="0.2">
      <c r="D115" s="446" t="s">
        <v>607</v>
      </c>
      <c r="E115" s="446" t="s">
        <v>615</v>
      </c>
      <c r="F115" s="468" t="s">
        <v>609</v>
      </c>
      <c r="G115" s="469">
        <v>6.4831641399204526E-2</v>
      </c>
      <c r="H115" s="310">
        <v>1217.6341351272117</v>
      </c>
      <c r="I115" s="470">
        <v>6.5784349669998285E-3</v>
      </c>
      <c r="J115" s="439"/>
      <c r="K115">
        <f>2*K111</f>
        <v>162.96296502282755</v>
      </c>
      <c r="L115" s="470">
        <f t="shared" si="0"/>
        <v>8.804297091425889E-4</v>
      </c>
      <c r="M115" s="388">
        <f t="shared" si="1"/>
        <v>5.6980052578572398E-3</v>
      </c>
    </row>
    <row r="116" spans="4:13" x14ac:dyDescent="0.2">
      <c r="D116" s="446" t="s">
        <v>607</v>
      </c>
      <c r="E116" s="446" t="s">
        <v>616</v>
      </c>
      <c r="F116" s="468" t="s">
        <v>609</v>
      </c>
      <c r="G116" s="447">
        <v>1.7791008570014265E-2</v>
      </c>
      <c r="H116" s="310">
        <v>4622.3583450886899</v>
      </c>
      <c r="I116" s="448">
        <v>6.8530347442624867E-3</v>
      </c>
      <c r="J116" s="439"/>
      <c r="K116">
        <f>2*K112</f>
        <v>407.40741255706888</v>
      </c>
      <c r="L116" s="470">
        <f t="shared" si="0"/>
        <v>6.0401573069084578E-4</v>
      </c>
      <c r="M116" s="388">
        <f t="shared" si="1"/>
        <v>6.249019013571641E-3</v>
      </c>
    </row>
    <row r="117" spans="4:13" x14ac:dyDescent="0.2">
      <c r="D117" s="460" t="s">
        <v>617</v>
      </c>
      <c r="E117" s="460"/>
      <c r="F117" s="460"/>
      <c r="G117" s="471">
        <v>4.3310551879849983</v>
      </c>
      <c r="H117" s="472"/>
      <c r="I117" s="473">
        <v>8.2139953548993894E-2</v>
      </c>
      <c r="J117" s="439"/>
      <c r="L117" s="470">
        <f>SUM(L109:L116)</f>
        <v>1.2377971518390412E-2</v>
      </c>
      <c r="M117" s="388">
        <f>SUM(M109:M116)</f>
        <v>6.9761982030603464E-2</v>
      </c>
    </row>
    <row r="118" spans="4:13" ht="16" x14ac:dyDescent="0.2">
      <c r="D118" s="461" t="s">
        <v>618</v>
      </c>
      <c r="E118" s="461"/>
      <c r="F118" s="461"/>
      <c r="G118" s="474"/>
      <c r="H118" s="474"/>
      <c r="I118" s="473">
        <v>0.14713767471697642</v>
      </c>
      <c r="J118" s="439"/>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807</v>
      </c>
      <c r="G3"/>
      <c r="H3"/>
      <c r="I3"/>
    </row>
    <row r="4" spans="2:19" x14ac:dyDescent="0.2">
      <c r="G4"/>
      <c r="H4"/>
      <c r="I4"/>
    </row>
    <row r="5" spans="2:19" ht="16" x14ac:dyDescent="0.2">
      <c r="D5" s="438" t="s">
        <v>808</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3.0154251813583504E-4</v>
      </c>
      <c r="H8" s="310">
        <v>505.99999999999994</v>
      </c>
      <c r="I8" s="448">
        <v>1.2715042848061043E-5</v>
      </c>
      <c r="J8" s="439"/>
      <c r="K8" s="446" t="s">
        <v>1</v>
      </c>
      <c r="L8" s="446" t="s">
        <v>535</v>
      </c>
      <c r="M8" s="446" t="s">
        <v>534</v>
      </c>
      <c r="N8" s="449">
        <v>1.7187923533742593E-2</v>
      </c>
      <c r="O8" s="310">
        <v>18139.423684210531</v>
      </c>
      <c r="P8" s="388">
        <v>2.5981585602530829E-2</v>
      </c>
      <c r="Q8" s="29">
        <f>'Assumptions-Output Override'!D19</f>
        <v>1000</v>
      </c>
      <c r="R8" s="388">
        <f>N8*Q8/12000</f>
        <v>1.432326961145216E-3</v>
      </c>
      <c r="S8" s="388">
        <f>P8-R8</f>
        <v>2.4549258641385612E-2</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8.4431905078033807E-3</v>
      </c>
      <c r="H10" s="310">
        <v>12919.215714285714</v>
      </c>
      <c r="I10" s="448">
        <v>9.0899499572601183E-3</v>
      </c>
      <c r="J10" s="439"/>
      <c r="K10" s="446" t="s">
        <v>462</v>
      </c>
      <c r="L10" s="446" t="s">
        <v>538</v>
      </c>
      <c r="M10" s="446" t="s">
        <v>539</v>
      </c>
      <c r="N10" s="449">
        <v>0.50777439703709759</v>
      </c>
      <c r="O10" s="310">
        <v>684.70641455786176</v>
      </c>
      <c r="P10" s="388">
        <v>2.8973032233295934E-2</v>
      </c>
      <c r="Q10" s="29">
        <v>0</v>
      </c>
      <c r="R10" s="388">
        <f>N10*Q10/12000</f>
        <v>0</v>
      </c>
      <c r="S10" s="388">
        <f>P10-R10</f>
        <v>2.8973032233295934E-2</v>
      </c>
    </row>
    <row r="11" spans="2:19" x14ac:dyDescent="0.2">
      <c r="D11" s="446" t="s">
        <v>1</v>
      </c>
      <c r="E11" s="446" t="s">
        <v>540</v>
      </c>
      <c r="F11" s="446" t="s">
        <v>534</v>
      </c>
      <c r="G11" s="447">
        <v>7.2370204352600392E-3</v>
      </c>
      <c r="H11" s="310">
        <v>27799.832083333335</v>
      </c>
      <c r="I11" s="448">
        <v>1.6765662740323418E-2</v>
      </c>
      <c r="J11" s="439"/>
      <c r="K11" s="320" t="s">
        <v>463</v>
      </c>
      <c r="L11" s="450" t="s">
        <v>541</v>
      </c>
      <c r="M11" s="446" t="s">
        <v>539</v>
      </c>
      <c r="N11" s="449">
        <v>8.8070054646752799E-2</v>
      </c>
      <c r="O11" s="310">
        <v>108.13942622950817</v>
      </c>
      <c r="P11" s="388">
        <v>7.9365376479177316E-4</v>
      </c>
      <c r="Q11" s="29">
        <f>'Assumptions-Output Override'!G19</f>
        <v>30</v>
      </c>
      <c r="R11" s="388">
        <f>N11*Q11/12000</f>
        <v>2.20175136616882E-4</v>
      </c>
      <c r="S11" s="388">
        <f>P11-R11</f>
        <v>5.7347862817489111E-4</v>
      </c>
    </row>
    <row r="12" spans="2:19" x14ac:dyDescent="0.2">
      <c r="D12" s="446" t="s">
        <v>1</v>
      </c>
      <c r="E12" s="446" t="s">
        <v>542</v>
      </c>
      <c r="F12" s="446" t="s">
        <v>534</v>
      </c>
      <c r="G12" s="447">
        <v>0</v>
      </c>
      <c r="H12" s="310" t="s">
        <v>446</v>
      </c>
      <c r="I12" s="448">
        <v>0</v>
      </c>
      <c r="J12" s="439"/>
      <c r="K12" s="320" t="s">
        <v>464</v>
      </c>
      <c r="L12" s="450" t="s">
        <v>541</v>
      </c>
      <c r="M12" s="446" t="s">
        <v>539</v>
      </c>
      <c r="N12" s="449">
        <v>3.7678101903546013</v>
      </c>
      <c r="O12" s="310">
        <v>29.45832969306818</v>
      </c>
      <c r="P12" s="388">
        <v>9.2494495673639855E-3</v>
      </c>
      <c r="Q12" s="29">
        <f>'Assumptions-Output Override'!H19</f>
        <v>60</v>
      </c>
      <c r="R12" s="388">
        <f>N12*Q12/12000</f>
        <v>1.8839050951773007E-2</v>
      </c>
      <c r="S12" s="388">
        <f>P12-R12</f>
        <v>-9.5896013844090217E-3</v>
      </c>
    </row>
    <row r="13" spans="2:19" x14ac:dyDescent="0.2">
      <c r="D13" s="446" t="s">
        <v>1</v>
      </c>
      <c r="E13" s="446" t="s">
        <v>543</v>
      </c>
      <c r="F13" s="446" t="s">
        <v>534</v>
      </c>
      <c r="G13" s="447">
        <v>3.0154251813583504E-4</v>
      </c>
      <c r="H13" s="310">
        <v>508.48999999999995</v>
      </c>
      <c r="I13" s="448">
        <v>1.2777612920574229E-5</v>
      </c>
      <c r="J13" s="439"/>
      <c r="K13" s="446" t="s">
        <v>465</v>
      </c>
      <c r="P13" s="388">
        <f>I117</f>
        <v>8.2139953548993894E-2</v>
      </c>
      <c r="R13" s="388">
        <f>L117</f>
        <v>1.2152917337169491E-2</v>
      </c>
      <c r="S13" s="388">
        <f>M117</f>
        <v>6.9987036211824394E-2</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6.0308503627167008E-4</v>
      </c>
      <c r="H15" s="310">
        <v>1990.8249999999996</v>
      </c>
      <c r="I15" s="448">
        <v>1.0005306394462894E-4</v>
      </c>
      <c r="J15" s="439"/>
      <c r="K15" s="446" t="s">
        <v>403</v>
      </c>
      <c r="P15" s="388">
        <f>SUM(P8:P13)</f>
        <v>0.14713767471697642</v>
      </c>
      <c r="R15" s="388">
        <f>SUM(R8:R13)</f>
        <v>3.2644470386704594E-2</v>
      </c>
      <c r="S15" s="388">
        <f>SUM(S8:S13)</f>
        <v>0.11449320433027181</v>
      </c>
    </row>
    <row r="16" spans="2:19" x14ac:dyDescent="0.2">
      <c r="D16" s="451" t="s">
        <v>1</v>
      </c>
      <c r="E16" s="451" t="s">
        <v>546</v>
      </c>
      <c r="F16" s="451" t="s">
        <v>534</v>
      </c>
      <c r="G16" s="452">
        <v>3.0154251813583504E-4</v>
      </c>
      <c r="H16" s="453">
        <v>16.999999999999996</v>
      </c>
      <c r="I16" s="454">
        <v>4.2718523402576624E-7</v>
      </c>
      <c r="J16" s="439"/>
    </row>
    <row r="17" spans="4:10" ht="16" x14ac:dyDescent="0.2">
      <c r="D17" s="456" t="s">
        <v>547</v>
      </c>
      <c r="E17" s="456"/>
      <c r="F17" s="456"/>
      <c r="G17" s="457">
        <v>1.7187923533742593E-2</v>
      </c>
      <c r="H17" s="458"/>
      <c r="I17" s="459">
        <v>2.5981585602530829E-2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1.8769028039471905E-3</v>
      </c>
      <c r="H19" s="310">
        <v>5353.3461538461543</v>
      </c>
      <c r="I19" s="448">
        <v>8.3730920055447955E-4</v>
      </c>
      <c r="J19" s="439"/>
    </row>
    <row r="20" spans="4:10" x14ac:dyDescent="0.2">
      <c r="D20" s="446" t="s">
        <v>462</v>
      </c>
      <c r="E20" s="446" t="s">
        <v>550</v>
      </c>
      <c r="F20" s="446" t="s">
        <v>537</v>
      </c>
      <c r="G20" s="447">
        <v>6.7135369525803359E-2</v>
      </c>
      <c r="H20" s="310">
        <v>234.34759139784947</v>
      </c>
      <c r="I20" s="448">
        <v>1.31108434549805E-3</v>
      </c>
      <c r="J20" s="439"/>
    </row>
    <row r="21" spans="4:10" x14ac:dyDescent="0.2">
      <c r="D21" s="446" t="s">
        <v>462</v>
      </c>
      <c r="E21" s="446" t="s">
        <v>551</v>
      </c>
      <c r="F21" s="446" t="s">
        <v>537</v>
      </c>
      <c r="G21" s="447">
        <v>4.3313141629550551E-4</v>
      </c>
      <c r="H21" s="310">
        <v>2193.4766666666665</v>
      </c>
      <c r="I21" s="448">
        <v>7.9171971270373148E-5</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0.17844053614423688</v>
      </c>
      <c r="H52" s="310">
        <v>732.20253623188398</v>
      </c>
      <c r="I52" s="448">
        <v>1.0887884427615617E-2</v>
      </c>
      <c r="J52" s="439"/>
    </row>
    <row r="53" spans="4:10" x14ac:dyDescent="0.2">
      <c r="D53" s="446" t="s">
        <v>462</v>
      </c>
      <c r="E53" s="446" t="s">
        <v>584</v>
      </c>
      <c r="F53" s="446" t="s">
        <v>554</v>
      </c>
      <c r="G53" s="447">
        <v>9.86173012661796E-3</v>
      </c>
      <c r="H53" s="310">
        <v>732.20253623188398</v>
      </c>
      <c r="I53" s="448">
        <v>6.0173198419533741E-4</v>
      </c>
      <c r="J53" s="439"/>
    </row>
    <row r="54" spans="4:10" x14ac:dyDescent="0.2">
      <c r="D54" s="446" t="s">
        <v>462</v>
      </c>
      <c r="E54" s="446" t="s">
        <v>585</v>
      </c>
      <c r="F54" s="446" t="s">
        <v>554</v>
      </c>
      <c r="G54" s="447">
        <v>4.3667269529369779E-2</v>
      </c>
      <c r="H54" s="310">
        <v>732.2025362318841</v>
      </c>
      <c r="I54" s="448">
        <v>2.6644404583104852E-3</v>
      </c>
      <c r="J54" s="439"/>
    </row>
    <row r="55" spans="4:10" x14ac:dyDescent="0.2">
      <c r="D55" s="446" t="s">
        <v>462</v>
      </c>
      <c r="E55" s="446" t="s">
        <v>586</v>
      </c>
      <c r="F55" s="446" t="s">
        <v>537</v>
      </c>
      <c r="G55" s="447">
        <v>2.3870148457361982E-2</v>
      </c>
      <c r="H55" s="310">
        <v>732.20253623188398</v>
      </c>
      <c r="I55" s="448">
        <v>1.4564819367260029E-3</v>
      </c>
      <c r="J55" s="439"/>
    </row>
    <row r="56" spans="4:10" x14ac:dyDescent="0.2">
      <c r="D56" s="446" t="s">
        <v>462</v>
      </c>
      <c r="E56" s="446" t="s">
        <v>5</v>
      </c>
      <c r="F56" s="446" t="s">
        <v>537</v>
      </c>
      <c r="G56" s="447">
        <v>2.0468901899728414E-2</v>
      </c>
      <c r="H56" s="310">
        <v>732.20253623188398</v>
      </c>
      <c r="I56" s="448">
        <v>1.2489484904052311E-3</v>
      </c>
      <c r="J56" s="439"/>
    </row>
    <row r="57" spans="4:10" x14ac:dyDescent="0.2">
      <c r="D57" s="446" t="s">
        <v>462</v>
      </c>
      <c r="E57" s="446" t="s">
        <v>587</v>
      </c>
      <c r="F57" s="446" t="s">
        <v>537</v>
      </c>
      <c r="G57" s="447">
        <v>5.4056205937165536E-2</v>
      </c>
      <c r="H57" s="310">
        <v>732.20253623188398</v>
      </c>
      <c r="I57" s="448">
        <v>3.2983409238554694E-3</v>
      </c>
      <c r="J57" s="439"/>
    </row>
    <row r="58" spans="4:10" x14ac:dyDescent="0.2">
      <c r="D58" s="446" t="s">
        <v>462</v>
      </c>
      <c r="E58" s="446" t="s">
        <v>588</v>
      </c>
      <c r="F58" s="446" t="s">
        <v>537</v>
      </c>
      <c r="G58" s="447">
        <v>3.6516085649010301E-2</v>
      </c>
      <c r="H58" s="310">
        <v>732.20253623188398</v>
      </c>
      <c r="I58" s="448">
        <v>2.2280975437888369E-3</v>
      </c>
      <c r="J58" s="439"/>
    </row>
    <row r="59" spans="4:10" x14ac:dyDescent="0.2">
      <c r="D59" s="446" t="s">
        <v>462</v>
      </c>
      <c r="E59" s="446" t="s">
        <v>589</v>
      </c>
      <c r="F59" s="446" t="s">
        <v>537</v>
      </c>
      <c r="G59" s="447">
        <v>1.4115124512409375E-2</v>
      </c>
      <c r="H59" s="310">
        <v>732.2025362318841</v>
      </c>
      <c r="I59" s="448">
        <v>8.6126083060124835E-4</v>
      </c>
      <c r="J59" s="439"/>
    </row>
    <row r="60" spans="4:10" x14ac:dyDescent="0.2">
      <c r="D60" s="446" t="s">
        <v>462</v>
      </c>
      <c r="E60" s="446" t="s">
        <v>590</v>
      </c>
      <c r="F60" s="446" t="s">
        <v>537</v>
      </c>
      <c r="G60" s="447">
        <v>1.3472627061889895E-2</v>
      </c>
      <c r="H60" s="310">
        <v>732.20253623188398</v>
      </c>
      <c r="I60" s="448">
        <v>8.2205764203517465E-4</v>
      </c>
      <c r="J60" s="439"/>
    </row>
    <row r="61" spans="4:10" x14ac:dyDescent="0.2">
      <c r="D61" s="446" t="s">
        <v>462</v>
      </c>
      <c r="E61" s="446" t="s">
        <v>591</v>
      </c>
      <c r="F61" s="446" t="s">
        <v>537</v>
      </c>
      <c r="G61" s="447">
        <v>2.2338105241250881E-2</v>
      </c>
      <c r="H61" s="310">
        <v>732.20253623188398</v>
      </c>
      <c r="I61" s="448">
        <v>1.3630014426882196E-3</v>
      </c>
      <c r="J61" s="439"/>
    </row>
    <row r="62" spans="4:10" x14ac:dyDescent="0.2">
      <c r="D62" s="446" t="s">
        <v>462</v>
      </c>
      <c r="E62" s="446" t="s">
        <v>592</v>
      </c>
      <c r="F62" s="446" t="s">
        <v>537</v>
      </c>
      <c r="G62" s="447">
        <v>2.1522258732010486E-2</v>
      </c>
      <c r="H62" s="310">
        <v>732.20253623188387</v>
      </c>
      <c r="I62" s="448">
        <v>1.3132210357514073E-3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0.50777439703709759</v>
      </c>
      <c r="H64" s="463"/>
      <c r="I64" s="464">
        <v>2.8973032233295934E-2</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2.1656570814775275E-3</v>
      </c>
      <c r="H66" s="310">
        <v>978.25466666666659</v>
      </c>
      <c r="I66" s="448">
        <v>1.7654701219625872E-4</v>
      </c>
      <c r="J66" s="439"/>
    </row>
    <row r="67" spans="4:10" x14ac:dyDescent="0.2">
      <c r="D67" s="446" t="s">
        <v>595</v>
      </c>
      <c r="E67" s="446" t="s">
        <v>564</v>
      </c>
      <c r="F67" s="446" t="s">
        <v>554</v>
      </c>
      <c r="G67" s="447">
        <v>2.7431656365382016E-3</v>
      </c>
      <c r="H67" s="310">
        <v>99.964736842105268</v>
      </c>
      <c r="I67" s="448">
        <v>2.2851652580903959E-5</v>
      </c>
      <c r="J67" s="439"/>
    </row>
    <row r="68" spans="4:10" x14ac:dyDescent="0.2">
      <c r="D68" s="446" t="s">
        <v>595</v>
      </c>
      <c r="E68" s="446" t="s">
        <v>597</v>
      </c>
      <c r="F68" s="446" t="s">
        <v>554</v>
      </c>
      <c r="G68" s="447">
        <v>6.0638398281370768E-3</v>
      </c>
      <c r="H68" s="310">
        <v>26.332380952380952</v>
      </c>
      <c r="I68" s="448">
        <v>1.3306278365727146E-5</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2.88754277530337E-3</v>
      </c>
      <c r="H71" s="310">
        <v>106.04999999999998</v>
      </c>
      <c r="I71" s="448">
        <v>2.5518659276743531E-5</v>
      </c>
      <c r="J71" s="439"/>
    </row>
    <row r="72" spans="4:10" x14ac:dyDescent="0.2">
      <c r="D72" s="446" t="s">
        <v>595</v>
      </c>
      <c r="E72" s="446" t="s">
        <v>548</v>
      </c>
      <c r="F72" s="446" t="s">
        <v>554</v>
      </c>
      <c r="G72" s="447">
        <v>6.2082169669022448E-3</v>
      </c>
      <c r="H72" s="310">
        <v>240.25465116279076</v>
      </c>
      <c r="I72" s="448">
        <v>1.2429608347716813E-4</v>
      </c>
      <c r="J72" s="439"/>
    </row>
    <row r="73" spans="4:10" x14ac:dyDescent="0.2">
      <c r="D73" s="446" t="s">
        <v>595</v>
      </c>
      <c r="E73" s="446" t="s">
        <v>598</v>
      </c>
      <c r="F73" s="446" t="s">
        <v>554</v>
      </c>
      <c r="G73" s="447">
        <v>2.8875427753033699E-4</v>
      </c>
      <c r="H73" s="310">
        <v>58.500000000000007</v>
      </c>
      <c r="I73" s="448">
        <v>1.4076771029603929E-6</v>
      </c>
      <c r="J73" s="439"/>
    </row>
    <row r="74" spans="4:10" x14ac:dyDescent="0.2">
      <c r="D74" s="446" t="s">
        <v>595</v>
      </c>
      <c r="E74" s="446" t="s">
        <v>549</v>
      </c>
      <c r="F74" s="446" t="s">
        <v>554</v>
      </c>
      <c r="G74" s="447">
        <v>4.4468158739671901E-2</v>
      </c>
      <c r="H74" s="310">
        <v>103.37431818181818</v>
      </c>
      <c r="I74" s="448">
        <v>3.8307213254287016E-4</v>
      </c>
      <c r="J74" s="439"/>
    </row>
    <row r="75" spans="4:10" x14ac:dyDescent="0.2">
      <c r="D75" s="446" t="s">
        <v>595</v>
      </c>
      <c r="E75" s="446" t="s">
        <v>571</v>
      </c>
      <c r="F75" s="446" t="s">
        <v>554</v>
      </c>
      <c r="G75" s="447">
        <v>2.1656570814775275E-3</v>
      </c>
      <c r="H75" s="310">
        <v>153.21266666666668</v>
      </c>
      <c r="I75" s="448">
        <v>2.765050804489355E-5</v>
      </c>
      <c r="J75" s="439"/>
    </row>
    <row r="76" spans="4:10" x14ac:dyDescent="0.2">
      <c r="D76" s="446" t="s">
        <v>595</v>
      </c>
      <c r="E76" s="446" t="s">
        <v>561</v>
      </c>
      <c r="F76" s="446" t="s">
        <v>554</v>
      </c>
      <c r="G76" s="447">
        <v>2.8875427753033699E-4</v>
      </c>
      <c r="H76" s="310">
        <v>184.00000000000003</v>
      </c>
      <c r="I76" s="448">
        <v>4.4275655887985012E-6</v>
      </c>
      <c r="J76" s="439"/>
    </row>
    <row r="77" spans="4:10" x14ac:dyDescent="0.2">
      <c r="D77" s="446" t="s">
        <v>595</v>
      </c>
      <c r="E77" s="446" t="s">
        <v>599</v>
      </c>
      <c r="F77" s="446" t="s">
        <v>554</v>
      </c>
      <c r="G77" s="447">
        <v>9.3700763058594372E-2</v>
      </c>
      <c r="H77" s="310">
        <v>137.36098613251187</v>
      </c>
      <c r="I77" s="448">
        <v>1.0725691012581134E-3</v>
      </c>
      <c r="J77" s="439"/>
    </row>
    <row r="78" spans="4:10" x14ac:dyDescent="0.2">
      <c r="D78" s="446" t="s">
        <v>595</v>
      </c>
      <c r="E78" s="446" t="s">
        <v>600</v>
      </c>
      <c r="F78" s="446" t="s">
        <v>554</v>
      </c>
      <c r="G78" s="447">
        <v>2.7431656365382016E-3</v>
      </c>
      <c r="H78" s="310">
        <v>150.71315789473687</v>
      </c>
      <c r="I78" s="448">
        <v>3.4452596309249857E-5</v>
      </c>
      <c r="J78" s="439"/>
    </row>
    <row r="79" spans="4:10" x14ac:dyDescent="0.2">
      <c r="D79" s="446" t="s">
        <v>595</v>
      </c>
      <c r="E79" s="446" t="s">
        <v>555</v>
      </c>
      <c r="F79" s="446" t="s">
        <v>554</v>
      </c>
      <c r="G79" s="447">
        <v>3.4939267581170781E-2</v>
      </c>
      <c r="H79" s="310">
        <v>107.90516528925619</v>
      </c>
      <c r="I79" s="448">
        <v>3.1417728695264861E-4</v>
      </c>
      <c r="J79" s="439"/>
    </row>
    <row r="80" spans="4:10" x14ac:dyDescent="0.2">
      <c r="D80" s="446" t="s">
        <v>595</v>
      </c>
      <c r="E80" s="446" t="s">
        <v>552</v>
      </c>
      <c r="F80" s="446" t="s">
        <v>554</v>
      </c>
      <c r="G80" s="447">
        <v>1.732525665182022E-3</v>
      </c>
      <c r="H80" s="310">
        <v>65.500833333333347</v>
      </c>
      <c r="I80" s="448">
        <v>9.4568229034008427E-6</v>
      </c>
      <c r="J80" s="439"/>
    </row>
    <row r="81" spans="4:10" x14ac:dyDescent="0.2">
      <c r="D81" s="446" t="s">
        <v>595</v>
      </c>
      <c r="E81" s="446" t="s">
        <v>581</v>
      </c>
      <c r="F81" s="446" t="s">
        <v>554</v>
      </c>
      <c r="G81" s="447">
        <v>0.23230281627315613</v>
      </c>
      <c r="H81" s="310">
        <v>210.97060285891857</v>
      </c>
      <c r="I81" s="448">
        <v>4.084088766247696E-3</v>
      </c>
      <c r="J81" s="439"/>
    </row>
    <row r="82" spans="4:10" x14ac:dyDescent="0.2">
      <c r="D82" s="446" t="s">
        <v>595</v>
      </c>
      <c r="E82" s="446" t="s">
        <v>574</v>
      </c>
      <c r="F82" s="446" t="s">
        <v>554</v>
      </c>
      <c r="G82" s="447">
        <v>5.7750855506067398E-4</v>
      </c>
      <c r="H82" s="310">
        <v>116.60000000000001</v>
      </c>
      <c r="I82" s="448">
        <v>5.6114581266728825E-6</v>
      </c>
      <c r="J82" s="439"/>
    </row>
    <row r="83" spans="4:10" x14ac:dyDescent="0.2">
      <c r="D83" s="446" t="s">
        <v>595</v>
      </c>
      <c r="E83" s="446" t="s">
        <v>601</v>
      </c>
      <c r="F83" s="446" t="s">
        <v>554</v>
      </c>
      <c r="G83" s="447">
        <v>7.5076112157887618E-3</v>
      </c>
      <c r="H83" s="310">
        <v>530.0215384615384</v>
      </c>
      <c r="I83" s="448">
        <v>3.3159963723028836E-4</v>
      </c>
      <c r="J83" s="439"/>
    </row>
    <row r="84" spans="4:10" x14ac:dyDescent="0.2">
      <c r="D84" s="446" t="s">
        <v>595</v>
      </c>
      <c r="E84" s="446" t="s">
        <v>559</v>
      </c>
      <c r="F84" s="446" t="s">
        <v>554</v>
      </c>
      <c r="G84" s="447">
        <v>8.3738740483797723E-3</v>
      </c>
      <c r="H84" s="310">
        <v>125.81465517241382</v>
      </c>
      <c r="I84" s="448">
        <v>8.7796339654510502E-5</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5.7750855506067398E-4</v>
      </c>
      <c r="H86" s="310">
        <v>18.420000000000002</v>
      </c>
      <c r="I86" s="448">
        <v>8.8647563201813457E-7</v>
      </c>
      <c r="J86" s="439"/>
    </row>
    <row r="87" spans="4:10" x14ac:dyDescent="0.2">
      <c r="D87" s="446" t="s">
        <v>595</v>
      </c>
      <c r="E87" s="446" t="s">
        <v>550</v>
      </c>
      <c r="F87" s="446" t="s">
        <v>554</v>
      </c>
      <c r="G87" s="447">
        <v>9.9475848609201084E-2</v>
      </c>
      <c r="H87" s="310">
        <v>243.9262699564587</v>
      </c>
      <c r="I87" s="448">
        <v>2.0220643918329832E-3</v>
      </c>
      <c r="J87" s="439"/>
    </row>
    <row r="88" spans="4:10" x14ac:dyDescent="0.2">
      <c r="D88" s="446" t="s">
        <v>595</v>
      </c>
      <c r="E88" s="446" t="s">
        <v>579</v>
      </c>
      <c r="F88" s="446" t="s">
        <v>554</v>
      </c>
      <c r="G88" s="447">
        <v>2.8875427753033699E-4</v>
      </c>
      <c r="H88" s="310">
        <v>257.50000000000006</v>
      </c>
      <c r="I88" s="448">
        <v>6.1961855386718156E-6</v>
      </c>
      <c r="J88" s="439"/>
    </row>
    <row r="89" spans="4:10" x14ac:dyDescent="0.2">
      <c r="D89" s="446" t="s">
        <v>595</v>
      </c>
      <c r="E89" s="446" t="s">
        <v>556</v>
      </c>
      <c r="F89" s="446" t="s">
        <v>554</v>
      </c>
      <c r="G89" s="447">
        <v>6.3525941056674145E-3</v>
      </c>
      <c r="H89" s="310">
        <v>34.090909090909093</v>
      </c>
      <c r="I89" s="448">
        <v>1.8047142345646065E-5</v>
      </c>
      <c r="J89" s="439"/>
    </row>
    <row r="90" spans="4:10" x14ac:dyDescent="0.2">
      <c r="D90" s="446" t="s">
        <v>595</v>
      </c>
      <c r="E90" s="446" t="s">
        <v>602</v>
      </c>
      <c r="F90" s="446" t="s">
        <v>554</v>
      </c>
      <c r="G90" s="447">
        <v>8.6626283259101102E-4</v>
      </c>
      <c r="H90" s="310">
        <v>146.17499999999998</v>
      </c>
      <c r="I90" s="448">
        <v>1.0552164129499252E-5</v>
      </c>
      <c r="J90" s="439"/>
    </row>
    <row r="91" spans="4:10" x14ac:dyDescent="0.2">
      <c r="D91" s="446" t="s">
        <v>595</v>
      </c>
      <c r="E91" s="446" t="s">
        <v>577</v>
      </c>
      <c r="F91" s="446" t="s">
        <v>554</v>
      </c>
      <c r="G91" s="447">
        <v>1.9490913733297751E-2</v>
      </c>
      <c r="H91" s="310">
        <v>42.445037037037032</v>
      </c>
      <c r="I91" s="448">
        <v>6.89410462746264E-5</v>
      </c>
      <c r="J91" s="439"/>
    </row>
    <row r="92" spans="4:10" x14ac:dyDescent="0.2">
      <c r="D92" s="446" t="s">
        <v>595</v>
      </c>
      <c r="E92" s="446" t="s">
        <v>576</v>
      </c>
      <c r="F92" s="446" t="s">
        <v>554</v>
      </c>
      <c r="G92" s="447">
        <v>2.8875427753033699E-4</v>
      </c>
      <c r="H92" s="310">
        <v>357.73</v>
      </c>
      <c r="I92" s="448">
        <v>8.608005641743955E-6</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2.5265999283904488E-2</v>
      </c>
      <c r="H94" s="310">
        <v>62.52731428571429</v>
      </c>
      <c r="I94" s="448">
        <v>1.3165125649727735E-4</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9.4133894474889859E-2</v>
      </c>
      <c r="H96" s="310">
        <v>58.172177914110442</v>
      </c>
      <c r="I96" s="448">
        <v>4.5633113809511589E-4</v>
      </c>
      <c r="J96" s="439"/>
    </row>
    <row r="97" spans="4:13" x14ac:dyDescent="0.2">
      <c r="D97" s="446" t="s">
        <v>595</v>
      </c>
      <c r="E97" s="446" t="s">
        <v>604</v>
      </c>
      <c r="F97" s="446" t="s">
        <v>554</v>
      </c>
      <c r="G97" s="447">
        <v>4.3313141629550551E-4</v>
      </c>
      <c r="H97" s="310">
        <v>143.66666666666669</v>
      </c>
      <c r="I97" s="448">
        <v>5.1855455673156362E-6</v>
      </c>
      <c r="J97" s="439"/>
    </row>
    <row r="98" spans="4:13" x14ac:dyDescent="0.2">
      <c r="D98" s="446" t="s">
        <v>595</v>
      </c>
      <c r="E98" s="446" t="s">
        <v>569</v>
      </c>
      <c r="F98" s="446" t="s">
        <v>554</v>
      </c>
      <c r="G98" s="447">
        <v>1.2993942488865166E-3</v>
      </c>
      <c r="H98" s="310">
        <v>202.71666666666664</v>
      </c>
      <c r="I98" s="448">
        <v>2.1950739235009305E-5</v>
      </c>
      <c r="J98" s="439"/>
    </row>
    <row r="99" spans="4:13" x14ac:dyDescent="0.2">
      <c r="D99" s="446" t="s">
        <v>595</v>
      </c>
      <c r="E99" s="446" t="s">
        <v>553</v>
      </c>
      <c r="F99" s="446" t="s">
        <v>554</v>
      </c>
      <c r="G99" s="447">
        <v>1.2849565350099994E-2</v>
      </c>
      <c r="H99" s="310">
        <v>247.55123595505623</v>
      </c>
      <c r="I99" s="448">
        <v>2.6507714865854317E-4</v>
      </c>
      <c r="J99" s="439"/>
    </row>
    <row r="100" spans="4:13" x14ac:dyDescent="0.2">
      <c r="D100" s="446" t="s">
        <v>595</v>
      </c>
      <c r="E100" s="446" t="s">
        <v>570</v>
      </c>
      <c r="F100" s="446" t="s">
        <v>554</v>
      </c>
      <c r="G100" s="447">
        <v>1.155017110121348E-3</v>
      </c>
      <c r="H100" s="310">
        <v>63.545000000000002</v>
      </c>
      <c r="I100" s="448">
        <v>6.1162968552217553E-6</v>
      </c>
      <c r="J100" s="439"/>
    </row>
    <row r="101" spans="4:13" x14ac:dyDescent="0.2">
      <c r="D101" s="446" t="s">
        <v>595</v>
      </c>
      <c r="E101" s="446" t="s">
        <v>551</v>
      </c>
      <c r="F101" s="446" t="s">
        <v>554</v>
      </c>
      <c r="G101" s="447">
        <v>5.7750855506067398E-4</v>
      </c>
      <c r="H101" s="310">
        <v>231.9325</v>
      </c>
      <c r="I101" s="448">
        <v>1.116191691221748E-5</v>
      </c>
      <c r="J101" s="439"/>
    </row>
    <row r="102" spans="4:13" x14ac:dyDescent="0.2">
      <c r="D102" s="446" t="s">
        <v>595</v>
      </c>
      <c r="E102" s="446" t="s">
        <v>578</v>
      </c>
      <c r="F102" s="446" t="s">
        <v>554</v>
      </c>
      <c r="G102" s="447">
        <v>4.6200684404853918E-3</v>
      </c>
      <c r="H102" s="310">
        <v>176.42937500000002</v>
      </c>
      <c r="I102" s="448">
        <v>6.7926315617671877E-5</v>
      </c>
      <c r="J102" s="439"/>
    </row>
    <row r="103" spans="4:13" x14ac:dyDescent="0.2">
      <c r="D103" s="446" t="s">
        <v>595</v>
      </c>
      <c r="E103" s="446" t="s">
        <v>560</v>
      </c>
      <c r="F103" s="446" t="s">
        <v>554</v>
      </c>
      <c r="G103" s="447">
        <v>5.7750855506067398E-4</v>
      </c>
      <c r="H103" s="310">
        <v>83.5</v>
      </c>
      <c r="I103" s="448">
        <v>4.018497028963857E-6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2.9597313446859546E-2</v>
      </c>
      <c r="H105" s="310">
        <v>89.018682926829271</v>
      </c>
      <c r="I105" s="448">
        <v>2.1955948843433085E-4</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3.8558802450013543</v>
      </c>
      <c r="H108" s="466"/>
      <c r="I108" s="467">
        <v>1.0043103332155759E-2</v>
      </c>
      <c r="J108" s="439"/>
      <c r="K108" s="313" t="s">
        <v>311</v>
      </c>
      <c r="L108" s="313" t="s">
        <v>606</v>
      </c>
      <c r="M108" s="313" t="s">
        <v>528</v>
      </c>
    </row>
    <row r="109" spans="4:13" x14ac:dyDescent="0.2">
      <c r="D109" s="446" t="s">
        <v>607</v>
      </c>
      <c r="E109" s="446" t="s">
        <v>608</v>
      </c>
      <c r="F109" s="468" t="s">
        <v>609</v>
      </c>
      <c r="G109" s="469">
        <v>2.7811266447668062</v>
      </c>
      <c r="H109" s="310">
        <v>62.930060578240919</v>
      </c>
      <c r="I109" s="470">
        <v>1.4584705685911253E-2</v>
      </c>
      <c r="J109" s="439"/>
      <c r="K109">
        <f>'Assumptions-Output Override'!$J$19</f>
        <v>10</v>
      </c>
      <c r="L109" s="470">
        <f>G109*K109/12000</f>
        <v>2.3176055373056717E-3</v>
      </c>
      <c r="M109" s="388">
        <f>I109-L109</f>
        <v>1.2267100148605582E-2</v>
      </c>
    </row>
    <row r="110" spans="4:13" x14ac:dyDescent="0.2">
      <c r="D110" s="446" t="s">
        <v>607</v>
      </c>
      <c r="E110" s="446" t="s">
        <v>610</v>
      </c>
      <c r="F110" s="468" t="s">
        <v>609</v>
      </c>
      <c r="G110" s="469">
        <v>0.25631114041545972</v>
      </c>
      <c r="H110" s="310">
        <v>377.971737273011</v>
      </c>
      <c r="I110" s="470">
        <v>8.0731972521048308E-3</v>
      </c>
      <c r="J110" s="439"/>
      <c r="K110">
        <f>'Assumptions-Output Override'!$K$19</f>
        <v>50</v>
      </c>
      <c r="L110" s="470">
        <f t="shared" ref="L110:L116" si="0">G110*K110/12000</f>
        <v>1.0679630850644155E-3</v>
      </c>
      <c r="M110" s="388">
        <f t="shared" ref="M110:M116" si="1">I110-L110</f>
        <v>7.0052341670404153E-3</v>
      </c>
    </row>
    <row r="111" spans="4:13" x14ac:dyDescent="0.2">
      <c r="D111" s="446" t="s">
        <v>607</v>
      </c>
      <c r="E111" s="446" t="s">
        <v>611</v>
      </c>
      <c r="F111" s="468" t="s">
        <v>609</v>
      </c>
      <c r="G111" s="469">
        <v>0.25028029005274305</v>
      </c>
      <c r="H111" s="310">
        <v>403.17257507067069</v>
      </c>
      <c r="I111" s="470">
        <v>8.4088457524998991E-3</v>
      </c>
      <c r="J111" s="439"/>
      <c r="K111">
        <f>'Assumptions-Output Override'!$L$19</f>
        <v>80</v>
      </c>
      <c r="L111" s="470">
        <f t="shared" si="0"/>
        <v>1.6685352670182869E-3</v>
      </c>
      <c r="M111" s="388">
        <f t="shared" si="1"/>
        <v>6.7403104854816126E-3</v>
      </c>
    </row>
    <row r="112" spans="4:13" x14ac:dyDescent="0.2">
      <c r="D112" s="446" t="s">
        <v>607</v>
      </c>
      <c r="E112" s="446" t="s">
        <v>612</v>
      </c>
      <c r="F112" s="468" t="s">
        <v>609</v>
      </c>
      <c r="G112" s="469">
        <v>0.2180152406122087</v>
      </c>
      <c r="H112" s="310">
        <v>1179.530212659103</v>
      </c>
      <c r="I112" s="470">
        <v>2.1429630260187002E-2</v>
      </c>
      <c r="J112" s="439"/>
      <c r="K112">
        <f>'Assumptions-Output Override'!$M$19</f>
        <v>200</v>
      </c>
      <c r="L112" s="470">
        <f t="shared" si="0"/>
        <v>3.6335873435368116E-3</v>
      </c>
      <c r="M112" s="388">
        <f t="shared" si="1"/>
        <v>1.7796042916650191E-2</v>
      </c>
    </row>
    <row r="113" spans="4:13" x14ac:dyDescent="0.2">
      <c r="D113" s="446" t="s">
        <v>607</v>
      </c>
      <c r="E113" s="446" t="s">
        <v>613</v>
      </c>
      <c r="F113" s="468" t="s">
        <v>609</v>
      </c>
      <c r="G113" s="469">
        <v>0.62720843772253676</v>
      </c>
      <c r="H113" s="310">
        <v>145.38842547023106</v>
      </c>
      <c r="I113" s="470">
        <v>7.5990706001769241E-3</v>
      </c>
      <c r="J113" s="439"/>
      <c r="K113">
        <f>2*K109</f>
        <v>20</v>
      </c>
      <c r="L113" s="470">
        <f t="shared" si="0"/>
        <v>1.0453473962042279E-3</v>
      </c>
      <c r="M113" s="388">
        <f t="shared" si="1"/>
        <v>6.5537232039726964E-3</v>
      </c>
    </row>
    <row r="114" spans="4:13" x14ac:dyDescent="0.2">
      <c r="D114" s="446" t="s">
        <v>607</v>
      </c>
      <c r="E114" s="446" t="s">
        <v>614</v>
      </c>
      <c r="F114" s="468" t="s">
        <v>609</v>
      </c>
      <c r="G114" s="469">
        <v>0.1154907844460248</v>
      </c>
      <c r="H114" s="310">
        <v>894.93211028040071</v>
      </c>
      <c r="I114" s="470">
        <v>8.6130342868516539E-3</v>
      </c>
      <c r="J114" s="439"/>
      <c r="K114">
        <f>2*K110</f>
        <v>100</v>
      </c>
      <c r="L114" s="470">
        <f t="shared" si="0"/>
        <v>9.6242320371687335E-4</v>
      </c>
      <c r="M114" s="388">
        <f t="shared" si="1"/>
        <v>7.6506110831347802E-3</v>
      </c>
    </row>
    <row r="115" spans="4:13" x14ac:dyDescent="0.2">
      <c r="D115" s="446" t="s">
        <v>607</v>
      </c>
      <c r="E115" s="446" t="s">
        <v>615</v>
      </c>
      <c r="F115" s="468" t="s">
        <v>609</v>
      </c>
      <c r="G115" s="469">
        <v>6.4831641399204526E-2</v>
      </c>
      <c r="H115" s="310">
        <v>1217.6341351272117</v>
      </c>
      <c r="I115" s="470">
        <v>6.5784349669998285E-3</v>
      </c>
      <c r="J115" s="439"/>
      <c r="K115">
        <f>2*K111</f>
        <v>160</v>
      </c>
      <c r="L115" s="470">
        <f t="shared" si="0"/>
        <v>8.644218853227269E-4</v>
      </c>
      <c r="M115" s="388">
        <f t="shared" si="1"/>
        <v>5.7140130816771013E-3</v>
      </c>
    </row>
    <row r="116" spans="4:13" x14ac:dyDescent="0.2">
      <c r="D116" s="446" t="s">
        <v>607</v>
      </c>
      <c r="E116" s="446" t="s">
        <v>616</v>
      </c>
      <c r="F116" s="468" t="s">
        <v>609</v>
      </c>
      <c r="G116" s="447">
        <v>1.7791008570014265E-2</v>
      </c>
      <c r="H116" s="310">
        <v>4622.3583450886899</v>
      </c>
      <c r="I116" s="448">
        <v>6.8530347442624867E-3</v>
      </c>
      <c r="J116" s="439"/>
      <c r="K116">
        <f>2*K112</f>
        <v>400</v>
      </c>
      <c r="L116" s="470">
        <f t="shared" si="0"/>
        <v>5.9303361900047552E-4</v>
      </c>
      <c r="M116" s="388">
        <f t="shared" si="1"/>
        <v>6.2600011252620111E-3</v>
      </c>
    </row>
    <row r="117" spans="4:13" x14ac:dyDescent="0.2">
      <c r="D117" s="460" t="s">
        <v>617</v>
      </c>
      <c r="E117" s="460"/>
      <c r="F117" s="460"/>
      <c r="G117" s="471">
        <v>4.3310551879849983</v>
      </c>
      <c r="H117" s="472"/>
      <c r="I117" s="473">
        <v>8.2139953548993894E-2</v>
      </c>
      <c r="J117" s="439"/>
      <c r="L117" s="470">
        <f>SUM(L109:L116)</f>
        <v>1.2152917337169491E-2</v>
      </c>
      <c r="M117" s="388">
        <f>SUM(M109:M116)</f>
        <v>6.9987036211824394E-2</v>
      </c>
    </row>
    <row r="118" spans="4:13" ht="16" x14ac:dyDescent="0.2">
      <c r="D118" s="461" t="s">
        <v>618</v>
      </c>
      <c r="E118" s="461"/>
      <c r="F118" s="461"/>
      <c r="G118" s="474"/>
      <c r="H118" s="474"/>
      <c r="I118" s="473">
        <v>0.14713767471697642</v>
      </c>
      <c r="J118" s="439"/>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c r="H2" s="436">
        <v>39795383</v>
      </c>
      <c r="I2"/>
    </row>
    <row r="3" spans="2:19" ht="16" thickBot="1" x14ac:dyDescent="0.25">
      <c r="B3" s="437" t="s">
        <v>809</v>
      </c>
      <c r="G3"/>
      <c r="H3"/>
      <c r="I3"/>
    </row>
    <row r="4" spans="2:19" x14ac:dyDescent="0.2">
      <c r="G4"/>
      <c r="H4"/>
      <c r="I4"/>
    </row>
    <row r="5" spans="2:19" ht="16" x14ac:dyDescent="0.2">
      <c r="D5" s="438" t="s">
        <v>810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2.1107976269508452E-3</v>
      </c>
      <c r="H8" s="310">
        <v>279.71428571428572</v>
      </c>
      <c r="I8" s="448">
        <v>4.9201687542497075E-5</v>
      </c>
      <c r="J8" s="439"/>
      <c r="K8" s="446" t="s">
        <v>1</v>
      </c>
      <c r="L8" s="446" t="s">
        <v>535</v>
      </c>
      <c r="M8" s="446" t="s">
        <v>534</v>
      </c>
      <c r="N8" s="449">
        <v>6.5434726435476209E-2</v>
      </c>
      <c r="O8" s="310">
        <v>3571.247373271889</v>
      </c>
      <c r="P8" s="388">
        <v>1.9473632908621585E-2</v>
      </c>
      <c r="Q8" s="29">
        <f>'Assumptions-Output Target'!D17</f>
        <v>1018.5185313926721</v>
      </c>
      <c r="R8" s="388">
        <f>N8*Q8/12000</f>
        <v>5.5538734559285414E-3</v>
      </c>
      <c r="S8" s="388">
        <f>P8-R8</f>
        <v>1.3919759452693043E-2</v>
      </c>
    </row>
    <row r="9" spans="2:19" x14ac:dyDescent="0.2">
      <c r="D9" s="446" t="s">
        <v>1</v>
      </c>
      <c r="E9" s="446" t="s">
        <v>536</v>
      </c>
      <c r="F9" s="446" t="s">
        <v>534</v>
      </c>
      <c r="G9" s="447">
        <v>6.0308503627167008E-4</v>
      </c>
      <c r="H9" s="310">
        <v>3804</v>
      </c>
      <c r="I9" s="448">
        <v>1.911779564981194E-4</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4.0105154912066059E-2</v>
      </c>
      <c r="H10" s="310">
        <v>3151.6778947368416</v>
      </c>
      <c r="I10" s="448">
        <v>1.0533210850112938E-2</v>
      </c>
      <c r="J10" s="439"/>
      <c r="K10" s="446" t="s">
        <v>462</v>
      </c>
      <c r="L10" s="446" t="s">
        <v>538</v>
      </c>
      <c r="M10" s="446" t="s">
        <v>539</v>
      </c>
      <c r="N10" s="449">
        <v>6.5508239171919911</v>
      </c>
      <c r="O10" s="310">
        <v>754.95093778237469</v>
      </c>
      <c r="P10" s="388">
        <v>0.41212922162760857</v>
      </c>
      <c r="Q10" s="29">
        <v>0</v>
      </c>
      <c r="R10" s="388">
        <f>N10*Q10/12000</f>
        <v>0</v>
      </c>
      <c r="S10" s="388">
        <f>P10-R10</f>
        <v>0.41212922162760857</v>
      </c>
    </row>
    <row r="11" spans="2:19" x14ac:dyDescent="0.2">
      <c r="D11" s="446" t="s">
        <v>1</v>
      </c>
      <c r="E11" s="446" t="s">
        <v>540</v>
      </c>
      <c r="F11" s="446" t="s">
        <v>534</v>
      </c>
      <c r="G11" s="447">
        <v>2.0806433751372616E-2</v>
      </c>
      <c r="H11" s="310">
        <v>4880.1101449275366</v>
      </c>
      <c r="I11" s="448">
        <v>8.4614740358196841E-3</v>
      </c>
      <c r="J11" s="439"/>
      <c r="K11" s="320" t="s">
        <v>463</v>
      </c>
      <c r="L11" s="450" t="s">
        <v>541</v>
      </c>
      <c r="M11" s="446" t="s">
        <v>539</v>
      </c>
      <c r="N11" s="449">
        <v>2.4847305581485499</v>
      </c>
      <c r="O11" s="310">
        <v>185.44676525275995</v>
      </c>
      <c r="P11" s="388">
        <v>3.839877037777778E-2</v>
      </c>
      <c r="Q11" s="29">
        <f>'Assumptions-Output Target'!G17</f>
        <v>30.555555941780163</v>
      </c>
      <c r="R11" s="388">
        <f>N11*Q11/12000</f>
        <v>6.3268602974798881E-3</v>
      </c>
      <c r="S11" s="388">
        <f>P11-R11</f>
        <v>3.2071910080297888E-2</v>
      </c>
    </row>
    <row r="12" spans="2:19" x14ac:dyDescent="0.2">
      <c r="D12" s="446" t="s">
        <v>1</v>
      </c>
      <c r="E12" s="446" t="s">
        <v>542</v>
      </c>
      <c r="F12" s="446" t="s">
        <v>534</v>
      </c>
      <c r="G12" s="447">
        <v>0</v>
      </c>
      <c r="H12" s="310" t="s">
        <v>446</v>
      </c>
      <c r="I12" s="448">
        <v>0</v>
      </c>
      <c r="J12" s="439"/>
      <c r="K12" s="320" t="s">
        <v>464</v>
      </c>
      <c r="L12" s="450" t="s">
        <v>541</v>
      </c>
      <c r="M12" s="446" t="s">
        <v>539</v>
      </c>
      <c r="N12" s="449">
        <v>23.280524871605895</v>
      </c>
      <c r="O12" s="310">
        <v>166.73327166848642</v>
      </c>
      <c r="P12" s="388">
        <v>0.32346983983353506</v>
      </c>
      <c r="Q12" s="29">
        <f>'Assumptions-Output Target'!H17</f>
        <v>55.000000695204292</v>
      </c>
      <c r="R12" s="388">
        <f>N12*Q12/12000</f>
        <v>0.10670240701025376</v>
      </c>
      <c r="S12" s="388">
        <f>P12-R12</f>
        <v>0.21676743282328131</v>
      </c>
    </row>
    <row r="13" spans="2:19" x14ac:dyDescent="0.2">
      <c r="D13" s="446" t="s">
        <v>1</v>
      </c>
      <c r="E13" s="446" t="s">
        <v>543</v>
      </c>
      <c r="F13" s="446" t="s">
        <v>534</v>
      </c>
      <c r="G13" s="447">
        <v>0</v>
      </c>
      <c r="H13" s="310" t="s">
        <v>446</v>
      </c>
      <c r="I13" s="448">
        <v>0</v>
      </c>
      <c r="J13" s="439"/>
      <c r="K13" s="446" t="s">
        <v>465</v>
      </c>
      <c r="P13" s="388">
        <f>I117</f>
        <v>2.2943907589304753</v>
      </c>
      <c r="R13" s="388">
        <f>L117</f>
        <v>0.25188249380301975</v>
      </c>
      <c r="S13" s="388">
        <f>M117</f>
        <v>2.0425082651274558</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1.5077125906791751E-3</v>
      </c>
      <c r="H15" s="310">
        <v>1738.38</v>
      </c>
      <c r="I15" s="448">
        <v>2.1841478444873869E-4</v>
      </c>
      <c r="J15" s="439"/>
      <c r="K15" s="446" t="s">
        <v>403</v>
      </c>
      <c r="P15" s="388">
        <f>SUM(P8:P13)</f>
        <v>3.0878622236780182</v>
      </c>
      <c r="R15" s="388">
        <f>SUM(R8:R13)</f>
        <v>0.37046563456668191</v>
      </c>
      <c r="S15" s="388">
        <f>SUM(S8:S13)</f>
        <v>2.7173965891113365</v>
      </c>
    </row>
    <row r="16" spans="2:19" x14ac:dyDescent="0.2">
      <c r="D16" s="451" t="s">
        <v>1</v>
      </c>
      <c r="E16" s="451" t="s">
        <v>546</v>
      </c>
      <c r="F16" s="451" t="s">
        <v>534</v>
      </c>
      <c r="G16" s="452">
        <v>3.0154251813583504E-4</v>
      </c>
      <c r="H16" s="453">
        <v>802.01999999999987</v>
      </c>
      <c r="I16" s="454">
        <v>2.0153594199608532E-5</v>
      </c>
      <c r="J16" s="439"/>
    </row>
    <row r="17" spans="4:10" ht="16" x14ac:dyDescent="0.2">
      <c r="D17" s="456" t="s">
        <v>547</v>
      </c>
      <c r="E17" s="456"/>
      <c r="F17" s="456"/>
      <c r="G17" s="457">
        <v>6.5434726435476209E-2</v>
      </c>
      <c r="H17" s="458"/>
      <c r="I17" s="459">
        <v>1.9473632908621585E-2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1.7180879513055053E-2</v>
      </c>
      <c r="H19" s="310">
        <v>854.14025210084026</v>
      </c>
      <c r="I19" s="448">
        <v>1.2229067298829171E-3</v>
      </c>
      <c r="J19" s="439"/>
    </row>
    <row r="20" spans="4:10" x14ac:dyDescent="0.2">
      <c r="D20" s="446" t="s">
        <v>462</v>
      </c>
      <c r="E20" s="446" t="s">
        <v>550</v>
      </c>
      <c r="F20" s="446" t="s">
        <v>537</v>
      </c>
      <c r="G20" s="447">
        <v>0.64377766175388629</v>
      </c>
      <c r="H20" s="310">
        <v>585.0955012334606</v>
      </c>
      <c r="I20" s="448">
        <v>3.138928447389961E-2</v>
      </c>
      <c r="J20" s="439"/>
    </row>
    <row r="21" spans="4:10" x14ac:dyDescent="0.2">
      <c r="D21" s="446" t="s">
        <v>462</v>
      </c>
      <c r="E21" s="446" t="s">
        <v>551</v>
      </c>
      <c r="F21" s="446" t="s">
        <v>537</v>
      </c>
      <c r="G21" s="447">
        <v>2.7431656365382015E-2</v>
      </c>
      <c r="H21" s="310">
        <v>194.57721052631581</v>
      </c>
      <c r="I21" s="448">
        <v>4.4479793130770731E-4</v>
      </c>
      <c r="J21" s="439"/>
    </row>
    <row r="22" spans="4:10" x14ac:dyDescent="0.2">
      <c r="D22" s="446" t="s">
        <v>462</v>
      </c>
      <c r="E22" s="446" t="s">
        <v>552</v>
      </c>
      <c r="F22" s="446" t="s">
        <v>537</v>
      </c>
      <c r="G22" s="447">
        <v>1.0250776852326964E-2</v>
      </c>
      <c r="H22" s="310">
        <v>112.94366197183098</v>
      </c>
      <c r="I22" s="448">
        <v>9.6480022979823852E-5</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7.3632340770235939E-3</v>
      </c>
      <c r="H24" s="310">
        <v>1771.1176470588236</v>
      </c>
      <c r="I24" s="448">
        <v>1.0867628177701147E-3</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1.0106399713561795E-3</v>
      </c>
      <c r="H28" s="310">
        <v>140.71428571428572</v>
      </c>
      <c r="I28" s="448">
        <v>1.1850956806974249E-5</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1.4437713876516849E-4</v>
      </c>
      <c r="H38" s="310">
        <v>139.00000000000003</v>
      </c>
      <c r="I38" s="448">
        <v>1.6723685240298685E-6</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2.3789132741890611</v>
      </c>
      <c r="H52" s="310">
        <v>775.96950463248174</v>
      </c>
      <c r="I52" s="448">
        <v>0.15383034624467673</v>
      </c>
      <c r="J52" s="439"/>
    </row>
    <row r="53" spans="4:10" x14ac:dyDescent="0.2">
      <c r="D53" s="446" t="s">
        <v>462</v>
      </c>
      <c r="E53" s="446" t="s">
        <v>584</v>
      </c>
      <c r="F53" s="446" t="s">
        <v>554</v>
      </c>
      <c r="G53" s="447">
        <v>0.13147349370054742</v>
      </c>
      <c r="H53" s="310">
        <v>775.96950463248174</v>
      </c>
      <c r="I53" s="448">
        <v>8.5016184815929572E-3</v>
      </c>
      <c r="J53" s="439"/>
    </row>
    <row r="54" spans="4:10" x14ac:dyDescent="0.2">
      <c r="D54" s="446" t="s">
        <v>462</v>
      </c>
      <c r="E54" s="446" t="s">
        <v>585</v>
      </c>
      <c r="F54" s="446" t="s">
        <v>554</v>
      </c>
      <c r="G54" s="447">
        <v>0.58215834459856464</v>
      </c>
      <c r="H54" s="310">
        <v>775.96950463248163</v>
      </c>
      <c r="I54" s="448">
        <v>3.7644760189651148E-2</v>
      </c>
      <c r="J54" s="439"/>
    </row>
    <row r="55" spans="4:10" x14ac:dyDescent="0.2">
      <c r="D55" s="446" t="s">
        <v>462</v>
      </c>
      <c r="E55" s="446" t="s">
        <v>586</v>
      </c>
      <c r="F55" s="446" t="s">
        <v>537</v>
      </c>
      <c r="G55" s="447">
        <v>0.31822933425946187</v>
      </c>
      <c r="H55" s="310">
        <v>775.96950463248174</v>
      </c>
      <c r="I55" s="448">
        <v>2.0578021572069925E-2</v>
      </c>
      <c r="J55" s="439"/>
    </row>
    <row r="56" spans="4:10" x14ac:dyDescent="0.2">
      <c r="D56" s="446" t="s">
        <v>462</v>
      </c>
      <c r="E56" s="446" t="s">
        <v>5</v>
      </c>
      <c r="F56" s="446" t="s">
        <v>537</v>
      </c>
      <c r="G56" s="447">
        <v>0.27288498168363223</v>
      </c>
      <c r="H56" s="310">
        <v>775.96950463248186</v>
      </c>
      <c r="I56" s="448">
        <v>1.7645868671557666E-2</v>
      </c>
      <c r="J56" s="439"/>
    </row>
    <row r="57" spans="4:10" x14ac:dyDescent="0.2">
      <c r="D57" s="446" t="s">
        <v>462</v>
      </c>
      <c r="E57" s="446" t="s">
        <v>587</v>
      </c>
      <c r="F57" s="446" t="s">
        <v>537</v>
      </c>
      <c r="G57" s="447">
        <v>0.72066038712344382</v>
      </c>
      <c r="H57" s="310">
        <v>775.96950463248163</v>
      </c>
      <c r="I57" s="448">
        <v>4.6600873633702598E-2</v>
      </c>
      <c r="J57" s="439"/>
    </row>
    <row r="58" spans="4:10" x14ac:dyDescent="0.2">
      <c r="D58" s="446" t="s">
        <v>462</v>
      </c>
      <c r="E58" s="446" t="s">
        <v>588</v>
      </c>
      <c r="F58" s="446" t="s">
        <v>537</v>
      </c>
      <c r="G58" s="447">
        <v>0.48682100350582747</v>
      </c>
      <c r="H58" s="310">
        <v>775.96950463248152</v>
      </c>
      <c r="I58" s="448">
        <v>3.1479854411258709E-2</v>
      </c>
      <c r="J58" s="439"/>
    </row>
    <row r="59" spans="4:10" x14ac:dyDescent="0.2">
      <c r="D59" s="446" t="s">
        <v>462</v>
      </c>
      <c r="E59" s="446" t="s">
        <v>589</v>
      </c>
      <c r="F59" s="446" t="s">
        <v>537</v>
      </c>
      <c r="G59" s="447">
        <v>0.18817841391296752</v>
      </c>
      <c r="H59" s="310">
        <v>775.96950463248186</v>
      </c>
      <c r="I59" s="448">
        <v>1.2168392552214295E-2</v>
      </c>
      <c r="J59" s="439"/>
    </row>
    <row r="60" spans="4:10" x14ac:dyDescent="0.2">
      <c r="D60" s="446" t="s">
        <v>462</v>
      </c>
      <c r="E60" s="446" t="s">
        <v>590</v>
      </c>
      <c r="F60" s="446" t="s">
        <v>537</v>
      </c>
      <c r="G60" s="447">
        <v>0.1796128393708806</v>
      </c>
      <c r="H60" s="310">
        <v>775.96950463248174</v>
      </c>
      <c r="I60" s="448">
        <v>1.1614507166021311E-2</v>
      </c>
      <c r="J60" s="439"/>
    </row>
    <row r="61" spans="4:10" x14ac:dyDescent="0.2">
      <c r="D61" s="446" t="s">
        <v>462</v>
      </c>
      <c r="E61" s="446" t="s">
        <v>591</v>
      </c>
      <c r="F61" s="446" t="s">
        <v>537</v>
      </c>
      <c r="G61" s="447">
        <v>0.29780461450580675</v>
      </c>
      <c r="H61" s="310">
        <v>775.96950463248186</v>
      </c>
      <c r="I61" s="448">
        <v>1.9257274932944841E-2</v>
      </c>
      <c r="J61" s="439"/>
    </row>
    <row r="62" spans="4:10" x14ac:dyDescent="0.2">
      <c r="D62" s="446" t="s">
        <v>462</v>
      </c>
      <c r="E62" s="446" t="s">
        <v>592</v>
      </c>
      <c r="F62" s="446" t="s">
        <v>537</v>
      </c>
      <c r="G62" s="447">
        <v>0.28692800467000146</v>
      </c>
      <c r="H62" s="310">
        <v>775.96950463248174</v>
      </c>
      <c r="I62" s="448">
        <v>1.8553948470747286E-2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6.5508239171919911</v>
      </c>
      <c r="H64" s="463"/>
      <c r="I64" s="464">
        <v>0.41212922162760857</v>
      </c>
      <c r="J64" s="439"/>
    </row>
    <row r="65" spans="4:10" x14ac:dyDescent="0.2">
      <c r="D65" s="446" t="s">
        <v>595</v>
      </c>
      <c r="E65" s="446" t="s">
        <v>596</v>
      </c>
      <c r="F65" s="446" t="s">
        <v>554</v>
      </c>
      <c r="G65" s="447">
        <v>3.1329839112041569E-2</v>
      </c>
      <c r="H65" s="310">
        <v>484.92732718894001</v>
      </c>
      <c r="I65" s="448">
        <v>1.2660579284884859E-3</v>
      </c>
      <c r="J65" s="439"/>
    </row>
    <row r="66" spans="4:10" x14ac:dyDescent="0.2">
      <c r="D66" s="446" t="s">
        <v>595</v>
      </c>
      <c r="E66" s="446" t="s">
        <v>563</v>
      </c>
      <c r="F66" s="446" t="s">
        <v>554</v>
      </c>
      <c r="G66" s="447">
        <v>5.5440821285824705E-2</v>
      </c>
      <c r="H66" s="310">
        <v>282.42898437499997</v>
      </c>
      <c r="I66" s="448">
        <v>1.3048412373892794E-3</v>
      </c>
      <c r="J66" s="439"/>
    </row>
    <row r="67" spans="4:10" x14ac:dyDescent="0.2">
      <c r="D67" s="446" t="s">
        <v>595</v>
      </c>
      <c r="E67" s="446" t="s">
        <v>564</v>
      </c>
      <c r="F67" s="446" t="s">
        <v>554</v>
      </c>
      <c r="G67" s="447">
        <v>5.5585198424589879E-2</v>
      </c>
      <c r="H67" s="310">
        <v>102.08864935064933</v>
      </c>
      <c r="I67" s="448">
        <v>4.7288481925451852E-4</v>
      </c>
      <c r="J67" s="439"/>
    </row>
    <row r="68" spans="4:10" x14ac:dyDescent="0.2">
      <c r="D68" s="446" t="s">
        <v>595</v>
      </c>
      <c r="E68" s="446" t="s">
        <v>597</v>
      </c>
      <c r="F68" s="446" t="s">
        <v>554</v>
      </c>
      <c r="G68" s="447">
        <v>6.4247826750499989E-2</v>
      </c>
      <c r="H68" s="310">
        <v>39.533775280898872</v>
      </c>
      <c r="I68" s="448">
        <v>2.1166326208669917E-4</v>
      </c>
      <c r="J68" s="439"/>
    </row>
    <row r="69" spans="4:10" x14ac:dyDescent="0.2">
      <c r="D69" s="446" t="s">
        <v>595</v>
      </c>
      <c r="E69" s="446" t="s">
        <v>572</v>
      </c>
      <c r="F69" s="446" t="s">
        <v>554</v>
      </c>
      <c r="G69" s="447">
        <v>2.4544113590078648E-3</v>
      </c>
      <c r="H69" s="310">
        <v>151.62764705882353</v>
      </c>
      <c r="I69" s="448">
        <v>3.1013051606734324E-5</v>
      </c>
      <c r="J69" s="439"/>
    </row>
    <row r="70" spans="4:10" x14ac:dyDescent="0.2">
      <c r="D70" s="446" t="s">
        <v>595</v>
      </c>
      <c r="E70" s="446" t="s">
        <v>567</v>
      </c>
      <c r="F70" s="446" t="s">
        <v>554</v>
      </c>
      <c r="G70" s="447">
        <v>8.8070054646752789E-3</v>
      </c>
      <c r="H70" s="310">
        <v>81.996721311475412</v>
      </c>
      <c r="I70" s="448">
        <v>6.0178797722968322E-5</v>
      </c>
      <c r="J70" s="439"/>
    </row>
    <row r="71" spans="4:10" x14ac:dyDescent="0.2">
      <c r="D71" s="446" t="s">
        <v>595</v>
      </c>
      <c r="E71" s="446" t="s">
        <v>568</v>
      </c>
      <c r="F71" s="446" t="s">
        <v>554</v>
      </c>
      <c r="G71" s="447">
        <v>5.3419541343112352E-3</v>
      </c>
      <c r="H71" s="310">
        <v>149.92837837837831</v>
      </c>
      <c r="I71" s="448">
        <v>6.6742543394079779E-5</v>
      </c>
      <c r="J71" s="439"/>
    </row>
    <row r="72" spans="4:10" x14ac:dyDescent="0.2">
      <c r="D72" s="446" t="s">
        <v>595</v>
      </c>
      <c r="E72" s="446" t="s">
        <v>548</v>
      </c>
      <c r="F72" s="446" t="s">
        <v>554</v>
      </c>
      <c r="G72" s="447">
        <v>0.1012083742743831</v>
      </c>
      <c r="H72" s="310">
        <v>246.77109843081317</v>
      </c>
      <c r="I72" s="448">
        <v>2.0812751408405311E-3</v>
      </c>
      <c r="J72" s="439"/>
    </row>
    <row r="73" spans="4:10" x14ac:dyDescent="0.2">
      <c r="D73" s="446" t="s">
        <v>595</v>
      </c>
      <c r="E73" s="446" t="s">
        <v>598</v>
      </c>
      <c r="F73" s="446" t="s">
        <v>554</v>
      </c>
      <c r="G73" s="447">
        <v>2.3244719341192131E-2</v>
      </c>
      <c r="H73" s="310">
        <v>72.286086956521729</v>
      </c>
      <c r="I73" s="448">
        <v>1.400224836314464E-4</v>
      </c>
      <c r="J73" s="439"/>
    </row>
    <row r="74" spans="4:10" x14ac:dyDescent="0.2">
      <c r="D74" s="446" t="s">
        <v>595</v>
      </c>
      <c r="E74" s="446" t="s">
        <v>549</v>
      </c>
      <c r="F74" s="446" t="s">
        <v>554</v>
      </c>
      <c r="G74" s="447">
        <v>0.84359562180487957</v>
      </c>
      <c r="H74" s="310">
        <v>71.954980318329632</v>
      </c>
      <c r="I74" s="448">
        <v>5.0584088636332625E-3</v>
      </c>
      <c r="J74" s="439"/>
    </row>
    <row r="75" spans="4:10" x14ac:dyDescent="0.2">
      <c r="D75" s="446" t="s">
        <v>595</v>
      </c>
      <c r="E75" s="446" t="s">
        <v>571</v>
      </c>
      <c r="F75" s="446" t="s">
        <v>554</v>
      </c>
      <c r="G75" s="447">
        <v>2.122343939847977E-2</v>
      </c>
      <c r="H75" s="310">
        <v>291.49884353741493</v>
      </c>
      <c r="I75" s="448">
        <v>5.1555067004527191E-4</v>
      </c>
      <c r="J75" s="439"/>
    </row>
    <row r="76" spans="4:10" x14ac:dyDescent="0.2">
      <c r="D76" s="446" t="s">
        <v>595</v>
      </c>
      <c r="E76" s="446" t="s">
        <v>561</v>
      </c>
      <c r="F76" s="446" t="s">
        <v>554</v>
      </c>
      <c r="G76" s="447">
        <v>1.05395311298573E-2</v>
      </c>
      <c r="H76" s="310">
        <v>113.4313698630137</v>
      </c>
      <c r="I76" s="448">
        <v>9.9626121147799174E-5</v>
      </c>
      <c r="J76" s="439"/>
    </row>
    <row r="77" spans="4:10" x14ac:dyDescent="0.2">
      <c r="D77" s="446" t="s">
        <v>595</v>
      </c>
      <c r="E77" s="446" t="s">
        <v>599</v>
      </c>
      <c r="F77" s="446" t="s">
        <v>554</v>
      </c>
      <c r="G77" s="447">
        <v>5.7088164439135278</v>
      </c>
      <c r="H77" s="310">
        <v>88.499207404972566</v>
      </c>
      <c r="I77" s="448">
        <v>4.2102144208901772E-2</v>
      </c>
      <c r="J77" s="439"/>
    </row>
    <row r="78" spans="4:10" x14ac:dyDescent="0.2">
      <c r="D78" s="446" t="s">
        <v>595</v>
      </c>
      <c r="E78" s="446" t="s">
        <v>600</v>
      </c>
      <c r="F78" s="446" t="s">
        <v>554</v>
      </c>
      <c r="G78" s="447">
        <v>2.8442296336738195E-2</v>
      </c>
      <c r="H78" s="310">
        <v>375.64005076142132</v>
      </c>
      <c r="I78" s="448">
        <v>8.9033880330864363E-4</v>
      </c>
      <c r="J78" s="439"/>
    </row>
    <row r="79" spans="4:10" x14ac:dyDescent="0.2">
      <c r="D79" s="446" t="s">
        <v>595</v>
      </c>
      <c r="E79" s="446" t="s">
        <v>555</v>
      </c>
      <c r="F79" s="446" t="s">
        <v>554</v>
      </c>
      <c r="G79" s="447">
        <v>1.3393867163244684</v>
      </c>
      <c r="H79" s="310">
        <v>238.12872049153805</v>
      </c>
      <c r="I79" s="448">
        <v>2.6578870416809026E-2</v>
      </c>
      <c r="J79" s="439"/>
    </row>
    <row r="80" spans="4:10" x14ac:dyDescent="0.2">
      <c r="D80" s="446" t="s">
        <v>595</v>
      </c>
      <c r="E80" s="446" t="s">
        <v>552</v>
      </c>
      <c r="F80" s="446" t="s">
        <v>554</v>
      </c>
      <c r="G80" s="447">
        <v>6.4969712444325825E-3</v>
      </c>
      <c r="H80" s="310">
        <v>58.477777777777774</v>
      </c>
      <c r="I80" s="448">
        <v>3.1660703388378404E-5</v>
      </c>
      <c r="J80" s="439"/>
    </row>
    <row r="81" spans="4:10" x14ac:dyDescent="0.2">
      <c r="D81" s="446" t="s">
        <v>595</v>
      </c>
      <c r="E81" s="446" t="s">
        <v>581</v>
      </c>
      <c r="F81" s="446" t="s">
        <v>554</v>
      </c>
      <c r="G81" s="447">
        <v>3.7682433217708977E-2</v>
      </c>
      <c r="H81" s="310">
        <v>159.20747126436783</v>
      </c>
      <c r="I81" s="448">
        <v>4.9994374197332174E-4</v>
      </c>
      <c r="J81" s="439"/>
    </row>
    <row r="82" spans="4:10" x14ac:dyDescent="0.2">
      <c r="D82" s="446" t="s">
        <v>595</v>
      </c>
      <c r="E82" s="446" t="s">
        <v>574</v>
      </c>
      <c r="F82" s="446" t="s">
        <v>554</v>
      </c>
      <c r="G82" s="447">
        <v>7.6519883545539307E-3</v>
      </c>
      <c r="H82" s="310">
        <v>173.14264150943396</v>
      </c>
      <c r="I82" s="448">
        <v>1.1040712304224123E-4</v>
      </c>
      <c r="J82" s="439"/>
    </row>
    <row r="83" spans="4:10" x14ac:dyDescent="0.2">
      <c r="D83" s="446" t="s">
        <v>595</v>
      </c>
      <c r="E83" s="446" t="s">
        <v>601</v>
      </c>
      <c r="F83" s="446" t="s">
        <v>554</v>
      </c>
      <c r="G83" s="447">
        <v>1.443771387651685E-3</v>
      </c>
      <c r="H83" s="310">
        <v>114.379</v>
      </c>
      <c r="I83" s="448">
        <v>1.376142729568434E-5</v>
      </c>
      <c r="J83" s="439"/>
    </row>
    <row r="84" spans="4:10" x14ac:dyDescent="0.2">
      <c r="D84" s="446" t="s">
        <v>595</v>
      </c>
      <c r="E84" s="446" t="s">
        <v>559</v>
      </c>
      <c r="F84" s="446" t="s">
        <v>554</v>
      </c>
      <c r="G84" s="447">
        <v>0.17974953776263478</v>
      </c>
      <c r="H84" s="310">
        <v>298.20205622489965</v>
      </c>
      <c r="I84" s="448">
        <v>4.4668068138577445E-3</v>
      </c>
      <c r="J84" s="439"/>
    </row>
    <row r="85" spans="4:10" x14ac:dyDescent="0.2">
      <c r="D85" s="446" t="s">
        <v>595</v>
      </c>
      <c r="E85" s="446" t="s">
        <v>573</v>
      </c>
      <c r="F85" s="446" t="s">
        <v>554</v>
      </c>
      <c r="G85" s="447">
        <v>2.9019804891798874E-2</v>
      </c>
      <c r="H85" s="310">
        <v>85.675074626865666</v>
      </c>
      <c r="I85" s="448">
        <v>2.0718949581349579E-4</v>
      </c>
      <c r="J85" s="439"/>
    </row>
    <row r="86" spans="4:10" x14ac:dyDescent="0.2">
      <c r="D86" s="446" t="s">
        <v>595</v>
      </c>
      <c r="E86" s="446" t="s">
        <v>562</v>
      </c>
      <c r="F86" s="446" t="s">
        <v>554</v>
      </c>
      <c r="G86" s="447">
        <v>0.12690750497458311</v>
      </c>
      <c r="H86" s="310">
        <v>495.65579067121735</v>
      </c>
      <c r="I86" s="448">
        <v>5.2418699766907037E-3</v>
      </c>
      <c r="J86" s="439"/>
    </row>
    <row r="87" spans="4:10" x14ac:dyDescent="0.2">
      <c r="D87" s="446" t="s">
        <v>595</v>
      </c>
      <c r="E87" s="446" t="s">
        <v>550</v>
      </c>
      <c r="F87" s="446" t="s">
        <v>554</v>
      </c>
      <c r="G87" s="447">
        <v>3.3888202010960353</v>
      </c>
      <c r="H87" s="310">
        <v>193.62828561690418</v>
      </c>
      <c r="I87" s="448">
        <v>5.4680953816846484E-2</v>
      </c>
      <c r="J87" s="439"/>
    </row>
    <row r="88" spans="4:10" x14ac:dyDescent="0.2">
      <c r="D88" s="446" t="s">
        <v>595</v>
      </c>
      <c r="E88" s="446" t="s">
        <v>579</v>
      </c>
      <c r="F88" s="446" t="s">
        <v>554</v>
      </c>
      <c r="G88" s="447">
        <v>0.11853363092620335</v>
      </c>
      <c r="H88" s="310">
        <v>116.74593179049938</v>
      </c>
      <c r="I88" s="448">
        <v>1.153193265915897E-3</v>
      </c>
      <c r="J88" s="439"/>
    </row>
    <row r="89" spans="4:10" x14ac:dyDescent="0.2">
      <c r="D89" s="446" t="s">
        <v>595</v>
      </c>
      <c r="E89" s="446" t="s">
        <v>556</v>
      </c>
      <c r="F89" s="446" t="s">
        <v>554</v>
      </c>
      <c r="G89" s="447">
        <v>0.33351119054753925</v>
      </c>
      <c r="H89" s="310">
        <v>128.61827272727274</v>
      </c>
      <c r="I89" s="448">
        <v>3.5746361052867355E-3</v>
      </c>
      <c r="J89" s="439"/>
    </row>
    <row r="90" spans="4:10" x14ac:dyDescent="0.2">
      <c r="D90" s="446" t="s">
        <v>595</v>
      </c>
      <c r="E90" s="446" t="s">
        <v>602</v>
      </c>
      <c r="F90" s="446" t="s">
        <v>554</v>
      </c>
      <c r="G90" s="447">
        <v>1.2993942488865167E-2</v>
      </c>
      <c r="H90" s="310">
        <v>66.141888888888886</v>
      </c>
      <c r="I90" s="448">
        <v>7.1620325027261014E-5</v>
      </c>
      <c r="J90" s="439"/>
    </row>
    <row r="91" spans="4:10" x14ac:dyDescent="0.2">
      <c r="D91" s="446" t="s">
        <v>595</v>
      </c>
      <c r="E91" s="446" t="s">
        <v>577</v>
      </c>
      <c r="F91" s="446" t="s">
        <v>554</v>
      </c>
      <c r="G91" s="447">
        <v>1.618323348418774</v>
      </c>
      <c r="H91" s="310">
        <v>41.340846641092057</v>
      </c>
      <c r="I91" s="448">
        <v>5.5752381135565935E-3</v>
      </c>
      <c r="J91" s="439"/>
    </row>
    <row r="92" spans="4:10" x14ac:dyDescent="0.2">
      <c r="D92" s="446" t="s">
        <v>595</v>
      </c>
      <c r="E92" s="446" t="s">
        <v>576</v>
      </c>
      <c r="F92" s="446" t="s">
        <v>554</v>
      </c>
      <c r="G92" s="447">
        <v>0.12199868225656739</v>
      </c>
      <c r="H92" s="310">
        <v>225.70908875739642</v>
      </c>
      <c r="I92" s="448">
        <v>2.2946842834777477E-3</v>
      </c>
      <c r="J92" s="439"/>
    </row>
    <row r="93" spans="4:10" x14ac:dyDescent="0.2">
      <c r="D93" s="446" t="s">
        <v>595</v>
      </c>
      <c r="E93" s="446" t="s">
        <v>603</v>
      </c>
      <c r="F93" s="446" t="s">
        <v>554</v>
      </c>
      <c r="G93" s="447">
        <v>5.77508555060674E-3</v>
      </c>
      <c r="H93" s="310">
        <v>258.53449999999992</v>
      </c>
      <c r="I93" s="448">
        <v>1.244215712736115E-4</v>
      </c>
      <c r="J93" s="439"/>
    </row>
    <row r="94" spans="4:10" x14ac:dyDescent="0.2">
      <c r="D94" s="446" t="s">
        <v>595</v>
      </c>
      <c r="E94" s="446" t="s">
        <v>557</v>
      </c>
      <c r="F94" s="446" t="s">
        <v>554</v>
      </c>
      <c r="G94" s="447">
        <v>9.687706011142809E-2</v>
      </c>
      <c r="H94" s="310">
        <v>58.493323397913564</v>
      </c>
      <c r="I94" s="448">
        <v>4.7222176724473963E-4</v>
      </c>
      <c r="J94" s="439"/>
    </row>
    <row r="95" spans="4:10" x14ac:dyDescent="0.2">
      <c r="D95" s="446" t="s">
        <v>595</v>
      </c>
      <c r="E95" s="446" t="s">
        <v>582</v>
      </c>
      <c r="F95" s="446" t="s">
        <v>554</v>
      </c>
      <c r="G95" s="447">
        <v>0.10395153991092132</v>
      </c>
      <c r="H95" s="310">
        <v>100.19236111111111</v>
      </c>
      <c r="I95" s="448">
        <v>8.6792918540092565E-4</v>
      </c>
      <c r="J95" s="439"/>
    </row>
    <row r="96" spans="4:10" x14ac:dyDescent="0.2">
      <c r="D96" s="446" t="s">
        <v>595</v>
      </c>
      <c r="E96" s="446" t="s">
        <v>565</v>
      </c>
      <c r="F96" s="446" t="s">
        <v>554</v>
      </c>
      <c r="G96" s="447">
        <v>0.64406641603141668</v>
      </c>
      <c r="H96" s="310">
        <v>52.268025106478348</v>
      </c>
      <c r="I96" s="448">
        <v>2.8053399669474679E-3</v>
      </c>
      <c r="J96" s="439"/>
    </row>
    <row r="97" spans="4:13" x14ac:dyDescent="0.2">
      <c r="D97" s="446" t="s">
        <v>595</v>
      </c>
      <c r="E97" s="446" t="s">
        <v>604</v>
      </c>
      <c r="F97" s="446" t="s">
        <v>554</v>
      </c>
      <c r="G97" s="447">
        <v>2.223407936983595E-2</v>
      </c>
      <c r="H97" s="310">
        <v>124.50435064935064</v>
      </c>
      <c r="I97" s="448">
        <v>2.3068663451896235E-4</v>
      </c>
      <c r="J97" s="439"/>
    </row>
    <row r="98" spans="4:13" x14ac:dyDescent="0.2">
      <c r="D98" s="446" t="s">
        <v>595</v>
      </c>
      <c r="E98" s="446" t="s">
        <v>569</v>
      </c>
      <c r="F98" s="446" t="s">
        <v>554</v>
      </c>
      <c r="G98" s="447">
        <v>6.3525941056674128E-3</v>
      </c>
      <c r="H98" s="310">
        <v>358.4545454545455</v>
      </c>
      <c r="I98" s="448">
        <v>1.8975968605035312E-4</v>
      </c>
      <c r="J98" s="439"/>
    </row>
    <row r="99" spans="4:13" x14ac:dyDescent="0.2">
      <c r="D99" s="446" t="s">
        <v>595</v>
      </c>
      <c r="E99" s="446" t="s">
        <v>553</v>
      </c>
      <c r="F99" s="446" t="s">
        <v>554</v>
      </c>
      <c r="G99" s="447">
        <v>0.5713003380937719</v>
      </c>
      <c r="H99" s="310">
        <v>72.460159211523859</v>
      </c>
      <c r="I99" s="448">
        <v>3.4497094546560099E-3</v>
      </c>
      <c r="J99" s="439"/>
    </row>
    <row r="100" spans="4:13" x14ac:dyDescent="0.2">
      <c r="D100" s="446" t="s">
        <v>595</v>
      </c>
      <c r="E100" s="446" t="s">
        <v>570</v>
      </c>
      <c r="F100" s="446" t="s">
        <v>554</v>
      </c>
      <c r="G100" s="447">
        <v>6.8407332118324486</v>
      </c>
      <c r="H100" s="310">
        <v>334.27175217914566</v>
      </c>
      <c r="I100" s="448">
        <v>0.19055532307577561</v>
      </c>
      <c r="J100" s="439"/>
    </row>
    <row r="101" spans="4:13" x14ac:dyDescent="0.2">
      <c r="D101" s="446" t="s">
        <v>595</v>
      </c>
      <c r="E101" s="446" t="s">
        <v>551</v>
      </c>
      <c r="F101" s="446" t="s">
        <v>554</v>
      </c>
      <c r="G101" s="447">
        <v>1.4870845292812355E-2</v>
      </c>
      <c r="H101" s="310">
        <v>90.313398058252432</v>
      </c>
      <c r="I101" s="448">
        <v>1.1191971419937097E-4</v>
      </c>
      <c r="J101" s="439"/>
    </row>
    <row r="102" spans="4:13" x14ac:dyDescent="0.2">
      <c r="D102" s="446" t="s">
        <v>595</v>
      </c>
      <c r="E102" s="446" t="s">
        <v>578</v>
      </c>
      <c r="F102" s="446" t="s">
        <v>554</v>
      </c>
      <c r="G102" s="447">
        <v>2.7431656365382016E-3</v>
      </c>
      <c r="H102" s="310">
        <v>54.418421052631587</v>
      </c>
      <c r="I102" s="448">
        <v>1.2439895218853832E-5</v>
      </c>
      <c r="J102" s="439"/>
    </row>
    <row r="103" spans="4:13" x14ac:dyDescent="0.2">
      <c r="D103" s="446" t="s">
        <v>595</v>
      </c>
      <c r="E103" s="446" t="s">
        <v>560</v>
      </c>
      <c r="F103" s="446" t="s">
        <v>554</v>
      </c>
      <c r="G103" s="447">
        <v>4.5767552988558419E-2</v>
      </c>
      <c r="H103" s="310">
        <v>79.744889589905355</v>
      </c>
      <c r="I103" s="448">
        <v>3.0414403832272781E-4</v>
      </c>
      <c r="J103" s="439"/>
    </row>
    <row r="104" spans="4:13" x14ac:dyDescent="0.2">
      <c r="D104" s="446" t="s">
        <v>595</v>
      </c>
      <c r="E104" s="446" t="s">
        <v>575</v>
      </c>
      <c r="F104" s="446" t="s">
        <v>554</v>
      </c>
      <c r="G104" s="447">
        <v>1.8769028039471905E-3</v>
      </c>
      <c r="H104" s="310">
        <v>91.230769230769241</v>
      </c>
      <c r="I104" s="448">
        <v>1.4269273881290821E-5</v>
      </c>
      <c r="J104" s="439"/>
    </row>
    <row r="105" spans="4:13" x14ac:dyDescent="0.2">
      <c r="D105" s="446" t="s">
        <v>595</v>
      </c>
      <c r="E105" s="446" t="s">
        <v>566</v>
      </c>
      <c r="F105" s="446" t="s">
        <v>554</v>
      </c>
      <c r="G105" s="447">
        <v>1.5303976709107861E-2</v>
      </c>
      <c r="H105" s="310">
        <v>181.73726415094342</v>
      </c>
      <c r="I105" s="448">
        <v>2.3177523814525176E-4</v>
      </c>
      <c r="J105" s="439"/>
    </row>
    <row r="106" spans="4:13" x14ac:dyDescent="0.2">
      <c r="D106" s="446" t="s">
        <v>595</v>
      </c>
      <c r="E106" s="446" t="s">
        <v>580</v>
      </c>
      <c r="F106" s="446" t="s">
        <v>554</v>
      </c>
      <c r="G106" s="447">
        <v>4.33131416295506E-4</v>
      </c>
      <c r="H106" s="310">
        <v>107</v>
      </c>
      <c r="I106" s="448">
        <v>1.5448353847873029E-5</v>
      </c>
      <c r="J106" s="439"/>
    </row>
    <row r="107" spans="4:13" x14ac:dyDescent="0.2">
      <c r="D107" s="451" t="s">
        <v>595</v>
      </c>
      <c r="E107" s="451" t="s">
        <v>558</v>
      </c>
      <c r="F107" s="451" t="s">
        <v>554</v>
      </c>
      <c r="G107" s="452">
        <v>3.1088729290303725</v>
      </c>
      <c r="H107" s="310">
        <v>14.210830353411048</v>
      </c>
      <c r="I107" s="454">
        <v>3.6816388153968938E-3</v>
      </c>
      <c r="J107" s="439"/>
    </row>
    <row r="108" spans="4:13" ht="16" x14ac:dyDescent="0.2">
      <c r="D108" s="461" t="s">
        <v>605</v>
      </c>
      <c r="E108" s="460"/>
      <c r="F108" s="460"/>
      <c r="G108" s="465">
        <v>25.765255429754443</v>
      </c>
      <c r="H108" s="466"/>
      <c r="I108" s="467">
        <v>0.36186861021131284</v>
      </c>
      <c r="J108" s="439"/>
      <c r="K108" s="313" t="s">
        <v>311</v>
      </c>
      <c r="L108" s="313" t="s">
        <v>606</v>
      </c>
      <c r="M108" s="313" t="s">
        <v>528</v>
      </c>
    </row>
    <row r="109" spans="4:13" x14ac:dyDescent="0.2">
      <c r="D109" s="446" t="s">
        <v>607</v>
      </c>
      <c r="E109" s="446" t="s">
        <v>608</v>
      </c>
      <c r="F109" s="468" t="s">
        <v>609</v>
      </c>
      <c r="G109" s="469">
        <v>34.794991167694</v>
      </c>
      <c r="H109" s="310">
        <v>28.888910812065831</v>
      </c>
      <c r="I109" s="470">
        <v>8.3765783045844186E-2</v>
      </c>
      <c r="J109" s="439"/>
      <c r="K109">
        <f>'Assumptions-Output Target'!$J$17</f>
        <v>10.185185313926722</v>
      </c>
      <c r="L109" s="470">
        <f>G109*K109/12000</f>
        <v>2.9532786086617246E-2</v>
      </c>
      <c r="M109" s="388">
        <f>I109-L109</f>
        <v>5.423299695922694E-2</v>
      </c>
    </row>
    <row r="110" spans="4:13" x14ac:dyDescent="0.2">
      <c r="D110" s="446" t="s">
        <v>607</v>
      </c>
      <c r="E110" s="446" t="s">
        <v>610</v>
      </c>
      <c r="F110" s="468" t="s">
        <v>609</v>
      </c>
      <c r="G110" s="469">
        <v>0.60278349375353413</v>
      </c>
      <c r="H110" s="310">
        <v>237.94164878521113</v>
      </c>
      <c r="I110" s="470">
        <v>1.1952274863685493E-2</v>
      </c>
      <c r="J110" s="439"/>
      <c r="K110">
        <f>'Assumptions-Output Target'!$K$17</f>
        <v>50.92592656963361</v>
      </c>
      <c r="L110" s="470">
        <f t="shared" ref="L110:L116" si="0">G110*K110/12000</f>
        <v>2.5581089950233067E-3</v>
      </c>
      <c r="M110" s="388">
        <f t="shared" ref="M110:M116" si="1">I110-L110</f>
        <v>9.3941658686621868E-3</v>
      </c>
    </row>
    <row r="111" spans="4:13" x14ac:dyDescent="0.2">
      <c r="D111" s="446" t="s">
        <v>607</v>
      </c>
      <c r="E111" s="446" t="s">
        <v>611</v>
      </c>
      <c r="F111" s="468" t="s">
        <v>609</v>
      </c>
      <c r="G111" s="469">
        <v>0.43060271589797239</v>
      </c>
      <c r="H111" s="310">
        <v>270.92143571883724</v>
      </c>
      <c r="I111" s="470">
        <v>9.7216255012924392E-3</v>
      </c>
      <c r="J111" s="439"/>
      <c r="K111">
        <f>'Assumptions-Output Target'!$L$17</f>
        <v>81.481482511413773</v>
      </c>
      <c r="L111" s="470">
        <f t="shared" si="0"/>
        <v>2.9238456387339923E-3</v>
      </c>
      <c r="M111" s="388">
        <f t="shared" si="1"/>
        <v>6.7977798625584469E-3</v>
      </c>
    </row>
    <row r="112" spans="4:13" x14ac:dyDescent="0.2">
      <c r="D112" s="446" t="s">
        <v>607</v>
      </c>
      <c r="E112" s="446" t="s">
        <v>612</v>
      </c>
      <c r="F112" s="468" t="s">
        <v>609</v>
      </c>
      <c r="G112" s="469">
        <v>4.5650521820584062</v>
      </c>
      <c r="H112" s="310">
        <v>2946.1742985674855</v>
      </c>
      <c r="I112" s="470">
        <v>1.1207866175333245</v>
      </c>
      <c r="J112" s="439"/>
      <c r="K112">
        <f>'Assumptions-Output Target'!$M$17</f>
        <v>203.70370627853444</v>
      </c>
      <c r="L112" s="470">
        <f t="shared" si="0"/>
        <v>7.7493170736684019E-2</v>
      </c>
      <c r="M112" s="388">
        <f t="shared" si="1"/>
        <v>1.0432934467966406</v>
      </c>
    </row>
    <row r="113" spans="4:13" x14ac:dyDescent="0.2">
      <c r="D113" s="446" t="s">
        <v>607</v>
      </c>
      <c r="E113" s="446" t="s">
        <v>613</v>
      </c>
      <c r="F113" s="468" t="s">
        <v>609</v>
      </c>
      <c r="G113" s="469">
        <v>5.0031934609097748</v>
      </c>
      <c r="H113" s="310">
        <v>57.658020710171165</v>
      </c>
      <c r="I113" s="470">
        <v>2.4039519348844064E-2</v>
      </c>
      <c r="J113" s="439"/>
      <c r="K113">
        <f>2*K109</f>
        <v>20.370370627853443</v>
      </c>
      <c r="L113" s="470">
        <f t="shared" si="0"/>
        <v>8.4930754267987414E-3</v>
      </c>
      <c r="M113" s="388">
        <f t="shared" si="1"/>
        <v>1.5546443922045322E-2</v>
      </c>
    </row>
    <row r="114" spans="4:13" x14ac:dyDescent="0.2">
      <c r="D114" s="446" t="s">
        <v>607</v>
      </c>
      <c r="E114" s="446" t="s">
        <v>614</v>
      </c>
      <c r="F114" s="468" t="s">
        <v>609</v>
      </c>
      <c r="G114" s="469">
        <v>0.15589748187622671</v>
      </c>
      <c r="H114" s="310">
        <v>665.12228619337918</v>
      </c>
      <c r="I114" s="470">
        <v>8.6409074631088999E-3</v>
      </c>
      <c r="J114" s="439"/>
      <c r="K114">
        <f>2*K110</f>
        <v>101.85185313926722</v>
      </c>
      <c r="L114" s="470">
        <f t="shared" si="0"/>
        <v>1.3232039524032513E-3</v>
      </c>
      <c r="M114" s="388">
        <f t="shared" si="1"/>
        <v>7.3177035107056488E-3</v>
      </c>
    </row>
    <row r="115" spans="4:13" x14ac:dyDescent="0.2">
      <c r="D115" s="446" t="s">
        <v>607</v>
      </c>
      <c r="E115" s="446" t="s">
        <v>615</v>
      </c>
      <c r="F115" s="468" t="s">
        <v>609</v>
      </c>
      <c r="G115" s="469">
        <v>9.7398233357874703E-2</v>
      </c>
      <c r="H115" s="310">
        <v>782.70618249563779</v>
      </c>
      <c r="I115" s="470">
        <v>6.3528499511134491E-3</v>
      </c>
      <c r="J115" s="439"/>
      <c r="K115">
        <f>2*K111</f>
        <v>162.96296502282755</v>
      </c>
      <c r="L115" s="470">
        <f t="shared" si="0"/>
        <v>1.3226920746653775E-3</v>
      </c>
      <c r="M115" s="388">
        <f t="shared" si="1"/>
        <v>5.0301578764480716E-3</v>
      </c>
    </row>
    <row r="116" spans="4:13" x14ac:dyDescent="0.2">
      <c r="D116" s="446" t="s">
        <v>607</v>
      </c>
      <c r="E116" s="446" t="s">
        <v>616</v>
      </c>
      <c r="F116" s="468" t="s">
        <v>609</v>
      </c>
      <c r="G116" s="447">
        <v>3.7771215821694692</v>
      </c>
      <c r="H116" s="310">
        <v>3269.5728495946132</v>
      </c>
      <c r="I116" s="448">
        <v>1.0291311812232622</v>
      </c>
      <c r="J116" s="439"/>
      <c r="K116">
        <f>2*K112</f>
        <v>407.40741255706888</v>
      </c>
      <c r="L116" s="470">
        <f t="shared" si="0"/>
        <v>0.12823561089209382</v>
      </c>
      <c r="M116" s="388">
        <f t="shared" si="1"/>
        <v>0.9008955703311684</v>
      </c>
    </row>
    <row r="117" spans="4:13" x14ac:dyDescent="0.2">
      <c r="D117" s="460" t="s">
        <v>617</v>
      </c>
      <c r="E117" s="460"/>
      <c r="F117" s="460"/>
      <c r="G117" s="471">
        <v>49.427040317717257</v>
      </c>
      <c r="H117" s="472"/>
      <c r="I117" s="473">
        <v>2.2943907589304753</v>
      </c>
      <c r="J117" s="439"/>
      <c r="L117" s="470">
        <f>SUM(L109:L116)</f>
        <v>0.25188249380301975</v>
      </c>
      <c r="M117" s="388">
        <f>SUM(M109:M116)</f>
        <v>2.0425082651274558</v>
      </c>
    </row>
    <row r="118" spans="4:13" ht="16" x14ac:dyDescent="0.2">
      <c r="D118" s="461" t="s">
        <v>618</v>
      </c>
      <c r="E118" s="461"/>
      <c r="F118" s="461"/>
      <c r="G118" s="474"/>
      <c r="H118" s="474"/>
      <c r="I118" s="473">
        <v>3.0878622236780182</v>
      </c>
      <c r="J118" s="439"/>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c r="H2" s="436">
        <v>39795383</v>
      </c>
      <c r="I2"/>
    </row>
    <row r="3" spans="2:19" ht="16" thickBot="1" x14ac:dyDescent="0.25">
      <c r="B3" s="437" t="s">
        <v>809</v>
      </c>
      <c r="G3"/>
      <c r="H3"/>
      <c r="I3"/>
    </row>
    <row r="4" spans="2:19" x14ac:dyDescent="0.2">
      <c r="G4"/>
      <c r="H4"/>
      <c r="I4"/>
    </row>
    <row r="5" spans="2:19" ht="16" x14ac:dyDescent="0.2">
      <c r="D5" s="438" t="s">
        <v>810</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2.1107976269508452E-3</v>
      </c>
      <c r="H8" s="310">
        <v>279.71428571428572</v>
      </c>
      <c r="I8" s="448">
        <v>4.9201687542497075E-5</v>
      </c>
      <c r="J8" s="439"/>
      <c r="K8" s="446" t="s">
        <v>1</v>
      </c>
      <c r="L8" s="446" t="s">
        <v>535</v>
      </c>
      <c r="M8" s="446" t="s">
        <v>534</v>
      </c>
      <c r="N8" s="449">
        <v>6.5434726435476209E-2</v>
      </c>
      <c r="O8" s="310">
        <v>3571.247373271889</v>
      </c>
      <c r="P8" s="388">
        <v>1.9473632908621585E-2</v>
      </c>
      <c r="Q8" s="29">
        <f>'Assumptions-Output Override'!D19</f>
        <v>1000</v>
      </c>
      <c r="R8" s="388">
        <f>N8*Q8/12000</f>
        <v>5.4528938696230171E-3</v>
      </c>
      <c r="S8" s="388">
        <f>P8-R8</f>
        <v>1.4020739038998569E-2</v>
      </c>
    </row>
    <row r="9" spans="2:19" x14ac:dyDescent="0.2">
      <c r="D9" s="446" t="s">
        <v>1</v>
      </c>
      <c r="E9" s="446" t="s">
        <v>536</v>
      </c>
      <c r="F9" s="446" t="s">
        <v>534</v>
      </c>
      <c r="G9" s="447">
        <v>6.0308503627167008E-4</v>
      </c>
      <c r="H9" s="310">
        <v>3804</v>
      </c>
      <c r="I9" s="448">
        <v>1.911779564981194E-4</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4.0105154912066059E-2</v>
      </c>
      <c r="H10" s="310">
        <v>3151.6778947368416</v>
      </c>
      <c r="I10" s="448">
        <v>1.0533210850112938E-2</v>
      </c>
      <c r="J10" s="439"/>
      <c r="K10" s="446" t="s">
        <v>462</v>
      </c>
      <c r="L10" s="446" t="s">
        <v>538</v>
      </c>
      <c r="M10" s="446" t="s">
        <v>539</v>
      </c>
      <c r="N10" s="449">
        <v>6.5508239171919911</v>
      </c>
      <c r="O10" s="310">
        <v>754.95093778237469</v>
      </c>
      <c r="P10" s="388">
        <v>0.41212922162760857</v>
      </c>
      <c r="Q10" s="29">
        <v>0</v>
      </c>
      <c r="R10" s="388">
        <f>N10*Q10/12000</f>
        <v>0</v>
      </c>
      <c r="S10" s="388">
        <f>P10-R10</f>
        <v>0.41212922162760857</v>
      </c>
    </row>
    <row r="11" spans="2:19" x14ac:dyDescent="0.2">
      <c r="D11" s="446" t="s">
        <v>1</v>
      </c>
      <c r="E11" s="446" t="s">
        <v>540</v>
      </c>
      <c r="F11" s="446" t="s">
        <v>534</v>
      </c>
      <c r="G11" s="447">
        <v>2.0806433751372616E-2</v>
      </c>
      <c r="H11" s="310">
        <v>4880.1101449275366</v>
      </c>
      <c r="I11" s="448">
        <v>8.4614740358196841E-3</v>
      </c>
      <c r="J11" s="439"/>
      <c r="K11" s="320" t="s">
        <v>463</v>
      </c>
      <c r="L11" s="450" t="s">
        <v>541</v>
      </c>
      <c r="M11" s="446" t="s">
        <v>539</v>
      </c>
      <c r="N11" s="449">
        <v>2.4847305581485499</v>
      </c>
      <c r="O11" s="310">
        <v>185.44676525275995</v>
      </c>
      <c r="P11" s="388">
        <v>3.839877037777778E-2</v>
      </c>
      <c r="Q11" s="29">
        <f>'Assumptions-Output Override'!G19</f>
        <v>30</v>
      </c>
      <c r="R11" s="388">
        <f>N11*Q11/12000</f>
        <v>6.2118263953713747E-3</v>
      </c>
      <c r="S11" s="388">
        <f>P11-R11</f>
        <v>3.2186943982406402E-2</v>
      </c>
    </row>
    <row r="12" spans="2:19" x14ac:dyDescent="0.2">
      <c r="D12" s="446" t="s">
        <v>1</v>
      </c>
      <c r="E12" s="446" t="s">
        <v>542</v>
      </c>
      <c r="F12" s="446" t="s">
        <v>534</v>
      </c>
      <c r="G12" s="447">
        <v>0</v>
      </c>
      <c r="H12" s="310" t="s">
        <v>446</v>
      </c>
      <c r="I12" s="448">
        <v>0</v>
      </c>
      <c r="J12" s="439"/>
      <c r="K12" s="320" t="s">
        <v>464</v>
      </c>
      <c r="L12" s="450" t="s">
        <v>541</v>
      </c>
      <c r="M12" s="446" t="s">
        <v>539</v>
      </c>
      <c r="N12" s="449">
        <v>23.280524871605895</v>
      </c>
      <c r="O12" s="310">
        <v>166.73327166848642</v>
      </c>
      <c r="P12" s="388">
        <v>0.32346983983353506</v>
      </c>
      <c r="Q12" s="29">
        <f>'Assumptions-Output Override'!H19</f>
        <v>60</v>
      </c>
      <c r="R12" s="388">
        <f>N12*Q12/12000</f>
        <v>0.11640262435802948</v>
      </c>
      <c r="S12" s="388">
        <f>P12-R12</f>
        <v>0.20706721547550558</v>
      </c>
    </row>
    <row r="13" spans="2:19" x14ac:dyDescent="0.2">
      <c r="D13" s="446" t="s">
        <v>1</v>
      </c>
      <c r="E13" s="446" t="s">
        <v>543</v>
      </c>
      <c r="F13" s="446" t="s">
        <v>534</v>
      </c>
      <c r="G13" s="447">
        <v>0</v>
      </c>
      <c r="H13" s="310" t="s">
        <v>446</v>
      </c>
      <c r="I13" s="448">
        <v>0</v>
      </c>
      <c r="J13" s="439"/>
      <c r="K13" s="446" t="s">
        <v>465</v>
      </c>
      <c r="P13" s="388">
        <f>I117</f>
        <v>2.2943907589304753</v>
      </c>
      <c r="R13" s="388">
        <f>L117</f>
        <v>0.24730280897158347</v>
      </c>
      <c r="S13" s="388">
        <f>M117</f>
        <v>2.0470879499588914</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1.5077125906791751E-3</v>
      </c>
      <c r="H15" s="310">
        <v>1738.38</v>
      </c>
      <c r="I15" s="448">
        <v>2.1841478444873869E-4</v>
      </c>
      <c r="J15" s="439"/>
      <c r="K15" s="446" t="s">
        <v>403</v>
      </c>
      <c r="P15" s="388">
        <f>SUM(P8:P13)</f>
        <v>3.0878622236780182</v>
      </c>
      <c r="R15" s="388">
        <f>SUM(R8:R13)</f>
        <v>0.37537015359460735</v>
      </c>
      <c r="S15" s="388">
        <f>SUM(S8:S13)</f>
        <v>2.7124920700834103</v>
      </c>
    </row>
    <row r="16" spans="2:19" x14ac:dyDescent="0.2">
      <c r="D16" s="451" t="s">
        <v>1</v>
      </c>
      <c r="E16" s="451" t="s">
        <v>546</v>
      </c>
      <c r="F16" s="451" t="s">
        <v>534</v>
      </c>
      <c r="G16" s="452">
        <v>3.0154251813583504E-4</v>
      </c>
      <c r="H16" s="453">
        <v>802.01999999999987</v>
      </c>
      <c r="I16" s="454">
        <v>2.0153594199608532E-5</v>
      </c>
      <c r="J16" s="439"/>
    </row>
    <row r="17" spans="4:10" ht="16" x14ac:dyDescent="0.2">
      <c r="D17" s="456" t="s">
        <v>547</v>
      </c>
      <c r="E17" s="456"/>
      <c r="F17" s="456"/>
      <c r="G17" s="457">
        <v>6.5434726435476209E-2</v>
      </c>
      <c r="H17" s="458"/>
      <c r="I17" s="459">
        <v>1.9473632908621585E-2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1.7180879513055053E-2</v>
      </c>
      <c r="H19" s="310">
        <v>854.14025210084026</v>
      </c>
      <c r="I19" s="448">
        <v>1.2229067298829171E-3</v>
      </c>
      <c r="J19" s="439"/>
    </row>
    <row r="20" spans="4:10" x14ac:dyDescent="0.2">
      <c r="D20" s="446" t="s">
        <v>462</v>
      </c>
      <c r="E20" s="446" t="s">
        <v>550</v>
      </c>
      <c r="F20" s="446" t="s">
        <v>537</v>
      </c>
      <c r="G20" s="447">
        <v>0.64377766175388629</v>
      </c>
      <c r="H20" s="310">
        <v>585.0955012334606</v>
      </c>
      <c r="I20" s="448">
        <v>3.138928447389961E-2</v>
      </c>
      <c r="J20" s="439"/>
    </row>
    <row r="21" spans="4:10" x14ac:dyDescent="0.2">
      <c r="D21" s="446" t="s">
        <v>462</v>
      </c>
      <c r="E21" s="446" t="s">
        <v>551</v>
      </c>
      <c r="F21" s="446" t="s">
        <v>537</v>
      </c>
      <c r="G21" s="447">
        <v>2.7431656365382015E-2</v>
      </c>
      <c r="H21" s="310">
        <v>194.57721052631581</v>
      </c>
      <c r="I21" s="448">
        <v>4.4479793130770731E-4</v>
      </c>
      <c r="J21" s="439"/>
    </row>
    <row r="22" spans="4:10" x14ac:dyDescent="0.2">
      <c r="D22" s="446" t="s">
        <v>462</v>
      </c>
      <c r="E22" s="446" t="s">
        <v>552</v>
      </c>
      <c r="F22" s="446" t="s">
        <v>537</v>
      </c>
      <c r="G22" s="447">
        <v>1.0250776852326964E-2</v>
      </c>
      <c r="H22" s="310">
        <v>112.94366197183098</v>
      </c>
      <c r="I22" s="448">
        <v>9.6480022979823852E-5</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7.3632340770235939E-3</v>
      </c>
      <c r="H24" s="310">
        <v>1771.1176470588236</v>
      </c>
      <c r="I24" s="448">
        <v>1.0867628177701147E-3</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1.0106399713561795E-3</v>
      </c>
      <c r="H28" s="310">
        <v>140.71428571428572</v>
      </c>
      <c r="I28" s="448">
        <v>1.1850956806974249E-5</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1.4437713876516849E-4</v>
      </c>
      <c r="H38" s="310">
        <v>139.00000000000003</v>
      </c>
      <c r="I38" s="448">
        <v>1.6723685240298685E-6</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2.3789132741890611</v>
      </c>
      <c r="H52" s="310">
        <v>775.96950463248174</v>
      </c>
      <c r="I52" s="448">
        <v>0.15383034624467673</v>
      </c>
      <c r="J52" s="439"/>
    </row>
    <row r="53" spans="4:10" x14ac:dyDescent="0.2">
      <c r="D53" s="446" t="s">
        <v>462</v>
      </c>
      <c r="E53" s="446" t="s">
        <v>584</v>
      </c>
      <c r="F53" s="446" t="s">
        <v>554</v>
      </c>
      <c r="G53" s="447">
        <v>0.13147349370054742</v>
      </c>
      <c r="H53" s="310">
        <v>775.96950463248174</v>
      </c>
      <c r="I53" s="448">
        <v>8.5016184815929572E-3</v>
      </c>
      <c r="J53" s="439"/>
    </row>
    <row r="54" spans="4:10" x14ac:dyDescent="0.2">
      <c r="D54" s="446" t="s">
        <v>462</v>
      </c>
      <c r="E54" s="446" t="s">
        <v>585</v>
      </c>
      <c r="F54" s="446" t="s">
        <v>554</v>
      </c>
      <c r="G54" s="447">
        <v>0.58215834459856464</v>
      </c>
      <c r="H54" s="310">
        <v>775.96950463248163</v>
      </c>
      <c r="I54" s="448">
        <v>3.7644760189651148E-2</v>
      </c>
      <c r="J54" s="439"/>
    </row>
    <row r="55" spans="4:10" x14ac:dyDescent="0.2">
      <c r="D55" s="446" t="s">
        <v>462</v>
      </c>
      <c r="E55" s="446" t="s">
        <v>586</v>
      </c>
      <c r="F55" s="446" t="s">
        <v>537</v>
      </c>
      <c r="G55" s="447">
        <v>0.31822933425946187</v>
      </c>
      <c r="H55" s="310">
        <v>775.96950463248174</v>
      </c>
      <c r="I55" s="448">
        <v>2.0578021572069925E-2</v>
      </c>
      <c r="J55" s="439"/>
    </row>
    <row r="56" spans="4:10" x14ac:dyDescent="0.2">
      <c r="D56" s="446" t="s">
        <v>462</v>
      </c>
      <c r="E56" s="446" t="s">
        <v>5</v>
      </c>
      <c r="F56" s="446" t="s">
        <v>537</v>
      </c>
      <c r="G56" s="447">
        <v>0.27288498168363223</v>
      </c>
      <c r="H56" s="310">
        <v>775.96950463248186</v>
      </c>
      <c r="I56" s="448">
        <v>1.7645868671557666E-2</v>
      </c>
      <c r="J56" s="439"/>
    </row>
    <row r="57" spans="4:10" x14ac:dyDescent="0.2">
      <c r="D57" s="446" t="s">
        <v>462</v>
      </c>
      <c r="E57" s="446" t="s">
        <v>587</v>
      </c>
      <c r="F57" s="446" t="s">
        <v>537</v>
      </c>
      <c r="G57" s="447">
        <v>0.72066038712344382</v>
      </c>
      <c r="H57" s="310">
        <v>775.96950463248163</v>
      </c>
      <c r="I57" s="448">
        <v>4.6600873633702598E-2</v>
      </c>
      <c r="J57" s="439"/>
    </row>
    <row r="58" spans="4:10" x14ac:dyDescent="0.2">
      <c r="D58" s="446" t="s">
        <v>462</v>
      </c>
      <c r="E58" s="446" t="s">
        <v>588</v>
      </c>
      <c r="F58" s="446" t="s">
        <v>537</v>
      </c>
      <c r="G58" s="447">
        <v>0.48682100350582747</v>
      </c>
      <c r="H58" s="310">
        <v>775.96950463248152</v>
      </c>
      <c r="I58" s="448">
        <v>3.1479854411258709E-2</v>
      </c>
      <c r="J58" s="439"/>
    </row>
    <row r="59" spans="4:10" x14ac:dyDescent="0.2">
      <c r="D59" s="446" t="s">
        <v>462</v>
      </c>
      <c r="E59" s="446" t="s">
        <v>589</v>
      </c>
      <c r="F59" s="446" t="s">
        <v>537</v>
      </c>
      <c r="G59" s="447">
        <v>0.18817841391296752</v>
      </c>
      <c r="H59" s="310">
        <v>775.96950463248186</v>
      </c>
      <c r="I59" s="448">
        <v>1.2168392552214295E-2</v>
      </c>
      <c r="J59" s="439"/>
    </row>
    <row r="60" spans="4:10" x14ac:dyDescent="0.2">
      <c r="D60" s="446" t="s">
        <v>462</v>
      </c>
      <c r="E60" s="446" t="s">
        <v>590</v>
      </c>
      <c r="F60" s="446" t="s">
        <v>537</v>
      </c>
      <c r="G60" s="447">
        <v>0.1796128393708806</v>
      </c>
      <c r="H60" s="310">
        <v>775.96950463248174</v>
      </c>
      <c r="I60" s="448">
        <v>1.1614507166021311E-2</v>
      </c>
      <c r="J60" s="439"/>
    </row>
    <row r="61" spans="4:10" x14ac:dyDescent="0.2">
      <c r="D61" s="446" t="s">
        <v>462</v>
      </c>
      <c r="E61" s="446" t="s">
        <v>591</v>
      </c>
      <c r="F61" s="446" t="s">
        <v>537</v>
      </c>
      <c r="G61" s="447">
        <v>0.29780461450580675</v>
      </c>
      <c r="H61" s="310">
        <v>775.96950463248186</v>
      </c>
      <c r="I61" s="448">
        <v>1.9257274932944841E-2</v>
      </c>
      <c r="J61" s="439"/>
    </row>
    <row r="62" spans="4:10" x14ac:dyDescent="0.2">
      <c r="D62" s="446" t="s">
        <v>462</v>
      </c>
      <c r="E62" s="446" t="s">
        <v>592</v>
      </c>
      <c r="F62" s="446" t="s">
        <v>537</v>
      </c>
      <c r="G62" s="447">
        <v>0.28692800467000146</v>
      </c>
      <c r="H62" s="310">
        <v>775.96950463248174</v>
      </c>
      <c r="I62" s="448">
        <v>1.8553948470747286E-2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6.5508239171919911</v>
      </c>
      <c r="H64" s="463"/>
      <c r="I64" s="464">
        <v>0.41212922162760857</v>
      </c>
      <c r="J64" s="439"/>
    </row>
    <row r="65" spans="4:10" x14ac:dyDescent="0.2">
      <c r="D65" s="446" t="s">
        <v>595</v>
      </c>
      <c r="E65" s="446" t="s">
        <v>596</v>
      </c>
      <c r="F65" s="446" t="s">
        <v>554</v>
      </c>
      <c r="G65" s="447">
        <v>3.1329839112041569E-2</v>
      </c>
      <c r="H65" s="310">
        <v>484.92732718894001</v>
      </c>
      <c r="I65" s="448">
        <v>1.2660579284884859E-3</v>
      </c>
      <c r="J65" s="439"/>
    </row>
    <row r="66" spans="4:10" x14ac:dyDescent="0.2">
      <c r="D66" s="446" t="s">
        <v>595</v>
      </c>
      <c r="E66" s="446" t="s">
        <v>563</v>
      </c>
      <c r="F66" s="446" t="s">
        <v>554</v>
      </c>
      <c r="G66" s="447">
        <v>5.5440821285824705E-2</v>
      </c>
      <c r="H66" s="310">
        <v>282.42898437499997</v>
      </c>
      <c r="I66" s="448">
        <v>1.3048412373892794E-3</v>
      </c>
      <c r="J66" s="439"/>
    </row>
    <row r="67" spans="4:10" x14ac:dyDescent="0.2">
      <c r="D67" s="446" t="s">
        <v>595</v>
      </c>
      <c r="E67" s="446" t="s">
        <v>564</v>
      </c>
      <c r="F67" s="446" t="s">
        <v>554</v>
      </c>
      <c r="G67" s="447">
        <v>5.5585198424589879E-2</v>
      </c>
      <c r="H67" s="310">
        <v>102.08864935064933</v>
      </c>
      <c r="I67" s="448">
        <v>4.7288481925451852E-4</v>
      </c>
      <c r="J67" s="439"/>
    </row>
    <row r="68" spans="4:10" x14ac:dyDescent="0.2">
      <c r="D68" s="446" t="s">
        <v>595</v>
      </c>
      <c r="E68" s="446" t="s">
        <v>597</v>
      </c>
      <c r="F68" s="446" t="s">
        <v>554</v>
      </c>
      <c r="G68" s="447">
        <v>6.4247826750499989E-2</v>
      </c>
      <c r="H68" s="310">
        <v>39.533775280898872</v>
      </c>
      <c r="I68" s="448">
        <v>2.1166326208669917E-4</v>
      </c>
      <c r="J68" s="439"/>
    </row>
    <row r="69" spans="4:10" x14ac:dyDescent="0.2">
      <c r="D69" s="446" t="s">
        <v>595</v>
      </c>
      <c r="E69" s="446" t="s">
        <v>572</v>
      </c>
      <c r="F69" s="446" t="s">
        <v>554</v>
      </c>
      <c r="G69" s="447">
        <v>2.4544113590078648E-3</v>
      </c>
      <c r="H69" s="310">
        <v>151.62764705882353</v>
      </c>
      <c r="I69" s="448">
        <v>3.1013051606734324E-5</v>
      </c>
      <c r="J69" s="439"/>
    </row>
    <row r="70" spans="4:10" x14ac:dyDescent="0.2">
      <c r="D70" s="446" t="s">
        <v>595</v>
      </c>
      <c r="E70" s="446" t="s">
        <v>567</v>
      </c>
      <c r="F70" s="446" t="s">
        <v>554</v>
      </c>
      <c r="G70" s="447">
        <v>8.8070054646752789E-3</v>
      </c>
      <c r="H70" s="310">
        <v>81.996721311475412</v>
      </c>
      <c r="I70" s="448">
        <v>6.0178797722968322E-5</v>
      </c>
      <c r="J70" s="439"/>
    </row>
    <row r="71" spans="4:10" x14ac:dyDescent="0.2">
      <c r="D71" s="446" t="s">
        <v>595</v>
      </c>
      <c r="E71" s="446" t="s">
        <v>568</v>
      </c>
      <c r="F71" s="446" t="s">
        <v>554</v>
      </c>
      <c r="G71" s="447">
        <v>5.3419541343112352E-3</v>
      </c>
      <c r="H71" s="310">
        <v>149.92837837837831</v>
      </c>
      <c r="I71" s="448">
        <v>6.6742543394079779E-5</v>
      </c>
      <c r="J71" s="439"/>
    </row>
    <row r="72" spans="4:10" x14ac:dyDescent="0.2">
      <c r="D72" s="446" t="s">
        <v>595</v>
      </c>
      <c r="E72" s="446" t="s">
        <v>548</v>
      </c>
      <c r="F72" s="446" t="s">
        <v>554</v>
      </c>
      <c r="G72" s="447">
        <v>0.1012083742743831</v>
      </c>
      <c r="H72" s="310">
        <v>246.77109843081317</v>
      </c>
      <c r="I72" s="448">
        <v>2.0812751408405311E-3</v>
      </c>
      <c r="J72" s="439"/>
    </row>
    <row r="73" spans="4:10" x14ac:dyDescent="0.2">
      <c r="D73" s="446" t="s">
        <v>595</v>
      </c>
      <c r="E73" s="446" t="s">
        <v>598</v>
      </c>
      <c r="F73" s="446" t="s">
        <v>554</v>
      </c>
      <c r="G73" s="447">
        <v>2.3244719341192131E-2</v>
      </c>
      <c r="H73" s="310">
        <v>72.286086956521729</v>
      </c>
      <c r="I73" s="448">
        <v>1.400224836314464E-4</v>
      </c>
      <c r="J73" s="439"/>
    </row>
    <row r="74" spans="4:10" x14ac:dyDescent="0.2">
      <c r="D74" s="446" t="s">
        <v>595</v>
      </c>
      <c r="E74" s="446" t="s">
        <v>549</v>
      </c>
      <c r="F74" s="446" t="s">
        <v>554</v>
      </c>
      <c r="G74" s="447">
        <v>0.84359562180487957</v>
      </c>
      <c r="H74" s="310">
        <v>71.954980318329632</v>
      </c>
      <c r="I74" s="448">
        <v>5.0584088636332625E-3</v>
      </c>
      <c r="J74" s="439"/>
    </row>
    <row r="75" spans="4:10" x14ac:dyDescent="0.2">
      <c r="D75" s="446" t="s">
        <v>595</v>
      </c>
      <c r="E75" s="446" t="s">
        <v>571</v>
      </c>
      <c r="F75" s="446" t="s">
        <v>554</v>
      </c>
      <c r="G75" s="447">
        <v>2.122343939847977E-2</v>
      </c>
      <c r="H75" s="310">
        <v>291.49884353741493</v>
      </c>
      <c r="I75" s="448">
        <v>5.1555067004527191E-4</v>
      </c>
      <c r="J75" s="439"/>
    </row>
    <row r="76" spans="4:10" x14ac:dyDescent="0.2">
      <c r="D76" s="446" t="s">
        <v>595</v>
      </c>
      <c r="E76" s="446" t="s">
        <v>561</v>
      </c>
      <c r="F76" s="446" t="s">
        <v>554</v>
      </c>
      <c r="G76" s="447">
        <v>1.05395311298573E-2</v>
      </c>
      <c r="H76" s="310">
        <v>113.4313698630137</v>
      </c>
      <c r="I76" s="448">
        <v>9.9626121147799174E-5</v>
      </c>
      <c r="J76" s="439"/>
    </row>
    <row r="77" spans="4:10" x14ac:dyDescent="0.2">
      <c r="D77" s="446" t="s">
        <v>595</v>
      </c>
      <c r="E77" s="446" t="s">
        <v>599</v>
      </c>
      <c r="F77" s="446" t="s">
        <v>554</v>
      </c>
      <c r="G77" s="447">
        <v>5.7088164439135278</v>
      </c>
      <c r="H77" s="310">
        <v>88.499207404972566</v>
      </c>
      <c r="I77" s="448">
        <v>4.2102144208901772E-2</v>
      </c>
      <c r="J77" s="439"/>
    </row>
    <row r="78" spans="4:10" x14ac:dyDescent="0.2">
      <c r="D78" s="446" t="s">
        <v>595</v>
      </c>
      <c r="E78" s="446" t="s">
        <v>600</v>
      </c>
      <c r="F78" s="446" t="s">
        <v>554</v>
      </c>
      <c r="G78" s="447">
        <v>2.8442296336738195E-2</v>
      </c>
      <c r="H78" s="310">
        <v>375.64005076142132</v>
      </c>
      <c r="I78" s="448">
        <v>8.9033880330864363E-4</v>
      </c>
      <c r="J78" s="439"/>
    </row>
    <row r="79" spans="4:10" x14ac:dyDescent="0.2">
      <c r="D79" s="446" t="s">
        <v>595</v>
      </c>
      <c r="E79" s="446" t="s">
        <v>555</v>
      </c>
      <c r="F79" s="446" t="s">
        <v>554</v>
      </c>
      <c r="G79" s="447">
        <v>1.3393867163244684</v>
      </c>
      <c r="H79" s="310">
        <v>238.12872049153805</v>
      </c>
      <c r="I79" s="448">
        <v>2.6578870416809026E-2</v>
      </c>
      <c r="J79" s="439"/>
    </row>
    <row r="80" spans="4:10" x14ac:dyDescent="0.2">
      <c r="D80" s="446" t="s">
        <v>595</v>
      </c>
      <c r="E80" s="446" t="s">
        <v>552</v>
      </c>
      <c r="F80" s="446" t="s">
        <v>554</v>
      </c>
      <c r="G80" s="447">
        <v>6.4969712444325825E-3</v>
      </c>
      <c r="H80" s="310">
        <v>58.477777777777774</v>
      </c>
      <c r="I80" s="448">
        <v>3.1660703388378404E-5</v>
      </c>
      <c r="J80" s="439"/>
    </row>
    <row r="81" spans="4:10" x14ac:dyDescent="0.2">
      <c r="D81" s="446" t="s">
        <v>595</v>
      </c>
      <c r="E81" s="446" t="s">
        <v>581</v>
      </c>
      <c r="F81" s="446" t="s">
        <v>554</v>
      </c>
      <c r="G81" s="447">
        <v>3.7682433217708977E-2</v>
      </c>
      <c r="H81" s="310">
        <v>159.20747126436783</v>
      </c>
      <c r="I81" s="448">
        <v>4.9994374197332174E-4</v>
      </c>
      <c r="J81" s="439"/>
    </row>
    <row r="82" spans="4:10" x14ac:dyDescent="0.2">
      <c r="D82" s="446" t="s">
        <v>595</v>
      </c>
      <c r="E82" s="446" t="s">
        <v>574</v>
      </c>
      <c r="F82" s="446" t="s">
        <v>554</v>
      </c>
      <c r="G82" s="447">
        <v>7.6519883545539307E-3</v>
      </c>
      <c r="H82" s="310">
        <v>173.14264150943396</v>
      </c>
      <c r="I82" s="448">
        <v>1.1040712304224123E-4</v>
      </c>
      <c r="J82" s="439"/>
    </row>
    <row r="83" spans="4:10" x14ac:dyDescent="0.2">
      <c r="D83" s="446" t="s">
        <v>595</v>
      </c>
      <c r="E83" s="446" t="s">
        <v>601</v>
      </c>
      <c r="F83" s="446" t="s">
        <v>554</v>
      </c>
      <c r="G83" s="447">
        <v>1.443771387651685E-3</v>
      </c>
      <c r="H83" s="310">
        <v>114.379</v>
      </c>
      <c r="I83" s="448">
        <v>1.376142729568434E-5</v>
      </c>
      <c r="J83" s="439"/>
    </row>
    <row r="84" spans="4:10" x14ac:dyDescent="0.2">
      <c r="D84" s="446" t="s">
        <v>595</v>
      </c>
      <c r="E84" s="446" t="s">
        <v>559</v>
      </c>
      <c r="F84" s="446" t="s">
        <v>554</v>
      </c>
      <c r="G84" s="447">
        <v>0.17974953776263478</v>
      </c>
      <c r="H84" s="310">
        <v>298.20205622489965</v>
      </c>
      <c r="I84" s="448">
        <v>4.4668068138577445E-3</v>
      </c>
      <c r="J84" s="439"/>
    </row>
    <row r="85" spans="4:10" x14ac:dyDescent="0.2">
      <c r="D85" s="446" t="s">
        <v>595</v>
      </c>
      <c r="E85" s="446" t="s">
        <v>573</v>
      </c>
      <c r="F85" s="446" t="s">
        <v>554</v>
      </c>
      <c r="G85" s="447">
        <v>2.9019804891798874E-2</v>
      </c>
      <c r="H85" s="310">
        <v>85.675074626865666</v>
      </c>
      <c r="I85" s="448">
        <v>2.0718949581349579E-4</v>
      </c>
      <c r="J85" s="439"/>
    </row>
    <row r="86" spans="4:10" x14ac:dyDescent="0.2">
      <c r="D86" s="446" t="s">
        <v>595</v>
      </c>
      <c r="E86" s="446" t="s">
        <v>562</v>
      </c>
      <c r="F86" s="446" t="s">
        <v>554</v>
      </c>
      <c r="G86" s="447">
        <v>0.12690750497458311</v>
      </c>
      <c r="H86" s="310">
        <v>495.65579067121735</v>
      </c>
      <c r="I86" s="448">
        <v>5.2418699766907037E-3</v>
      </c>
      <c r="J86" s="439"/>
    </row>
    <row r="87" spans="4:10" x14ac:dyDescent="0.2">
      <c r="D87" s="446" t="s">
        <v>595</v>
      </c>
      <c r="E87" s="446" t="s">
        <v>550</v>
      </c>
      <c r="F87" s="446" t="s">
        <v>554</v>
      </c>
      <c r="G87" s="447">
        <v>3.3888202010960353</v>
      </c>
      <c r="H87" s="310">
        <v>193.62828561690418</v>
      </c>
      <c r="I87" s="448">
        <v>5.4680953816846484E-2</v>
      </c>
      <c r="J87" s="439"/>
    </row>
    <row r="88" spans="4:10" x14ac:dyDescent="0.2">
      <c r="D88" s="446" t="s">
        <v>595</v>
      </c>
      <c r="E88" s="446" t="s">
        <v>579</v>
      </c>
      <c r="F88" s="446" t="s">
        <v>554</v>
      </c>
      <c r="G88" s="447">
        <v>0.11853363092620335</v>
      </c>
      <c r="H88" s="310">
        <v>116.74593179049938</v>
      </c>
      <c r="I88" s="448">
        <v>1.153193265915897E-3</v>
      </c>
      <c r="J88" s="439"/>
    </row>
    <row r="89" spans="4:10" x14ac:dyDescent="0.2">
      <c r="D89" s="446" t="s">
        <v>595</v>
      </c>
      <c r="E89" s="446" t="s">
        <v>556</v>
      </c>
      <c r="F89" s="446" t="s">
        <v>554</v>
      </c>
      <c r="G89" s="447">
        <v>0.33351119054753925</v>
      </c>
      <c r="H89" s="310">
        <v>128.61827272727274</v>
      </c>
      <c r="I89" s="448">
        <v>3.5746361052867355E-3</v>
      </c>
      <c r="J89" s="439"/>
    </row>
    <row r="90" spans="4:10" x14ac:dyDescent="0.2">
      <c r="D90" s="446" t="s">
        <v>595</v>
      </c>
      <c r="E90" s="446" t="s">
        <v>602</v>
      </c>
      <c r="F90" s="446" t="s">
        <v>554</v>
      </c>
      <c r="G90" s="447">
        <v>1.2993942488865167E-2</v>
      </c>
      <c r="H90" s="310">
        <v>66.141888888888886</v>
      </c>
      <c r="I90" s="448">
        <v>7.1620325027261014E-5</v>
      </c>
      <c r="J90" s="439"/>
    </row>
    <row r="91" spans="4:10" x14ac:dyDescent="0.2">
      <c r="D91" s="446" t="s">
        <v>595</v>
      </c>
      <c r="E91" s="446" t="s">
        <v>577</v>
      </c>
      <c r="F91" s="446" t="s">
        <v>554</v>
      </c>
      <c r="G91" s="447">
        <v>1.618323348418774</v>
      </c>
      <c r="H91" s="310">
        <v>41.340846641092057</v>
      </c>
      <c r="I91" s="448">
        <v>5.5752381135565935E-3</v>
      </c>
      <c r="J91" s="439"/>
    </row>
    <row r="92" spans="4:10" x14ac:dyDescent="0.2">
      <c r="D92" s="446" t="s">
        <v>595</v>
      </c>
      <c r="E92" s="446" t="s">
        <v>576</v>
      </c>
      <c r="F92" s="446" t="s">
        <v>554</v>
      </c>
      <c r="G92" s="447">
        <v>0.12199868225656739</v>
      </c>
      <c r="H92" s="310">
        <v>225.70908875739642</v>
      </c>
      <c r="I92" s="448">
        <v>2.2946842834777477E-3</v>
      </c>
      <c r="J92" s="439"/>
    </row>
    <row r="93" spans="4:10" x14ac:dyDescent="0.2">
      <c r="D93" s="446" t="s">
        <v>595</v>
      </c>
      <c r="E93" s="446" t="s">
        <v>603</v>
      </c>
      <c r="F93" s="446" t="s">
        <v>554</v>
      </c>
      <c r="G93" s="447">
        <v>5.77508555060674E-3</v>
      </c>
      <c r="H93" s="310">
        <v>258.53449999999992</v>
      </c>
      <c r="I93" s="448">
        <v>1.244215712736115E-4</v>
      </c>
      <c r="J93" s="439"/>
    </row>
    <row r="94" spans="4:10" x14ac:dyDescent="0.2">
      <c r="D94" s="446" t="s">
        <v>595</v>
      </c>
      <c r="E94" s="446" t="s">
        <v>557</v>
      </c>
      <c r="F94" s="446" t="s">
        <v>554</v>
      </c>
      <c r="G94" s="447">
        <v>9.687706011142809E-2</v>
      </c>
      <c r="H94" s="310">
        <v>58.493323397913564</v>
      </c>
      <c r="I94" s="448">
        <v>4.7222176724473963E-4</v>
      </c>
      <c r="J94" s="439"/>
    </row>
    <row r="95" spans="4:10" x14ac:dyDescent="0.2">
      <c r="D95" s="446" t="s">
        <v>595</v>
      </c>
      <c r="E95" s="446" t="s">
        <v>582</v>
      </c>
      <c r="F95" s="446" t="s">
        <v>554</v>
      </c>
      <c r="G95" s="447">
        <v>0.10395153991092132</v>
      </c>
      <c r="H95" s="310">
        <v>100.19236111111111</v>
      </c>
      <c r="I95" s="448">
        <v>8.6792918540092565E-4</v>
      </c>
      <c r="J95" s="439"/>
    </row>
    <row r="96" spans="4:10" x14ac:dyDescent="0.2">
      <c r="D96" s="446" t="s">
        <v>595</v>
      </c>
      <c r="E96" s="446" t="s">
        <v>565</v>
      </c>
      <c r="F96" s="446" t="s">
        <v>554</v>
      </c>
      <c r="G96" s="447">
        <v>0.64406641603141668</v>
      </c>
      <c r="H96" s="310">
        <v>52.268025106478348</v>
      </c>
      <c r="I96" s="448">
        <v>2.8053399669474679E-3</v>
      </c>
      <c r="J96" s="439"/>
    </row>
    <row r="97" spans="4:13" x14ac:dyDescent="0.2">
      <c r="D97" s="446" t="s">
        <v>595</v>
      </c>
      <c r="E97" s="446" t="s">
        <v>604</v>
      </c>
      <c r="F97" s="446" t="s">
        <v>554</v>
      </c>
      <c r="G97" s="447">
        <v>2.223407936983595E-2</v>
      </c>
      <c r="H97" s="310">
        <v>124.50435064935064</v>
      </c>
      <c r="I97" s="448">
        <v>2.3068663451896235E-4</v>
      </c>
      <c r="J97" s="439"/>
    </row>
    <row r="98" spans="4:13" x14ac:dyDescent="0.2">
      <c r="D98" s="446" t="s">
        <v>595</v>
      </c>
      <c r="E98" s="446" t="s">
        <v>569</v>
      </c>
      <c r="F98" s="446" t="s">
        <v>554</v>
      </c>
      <c r="G98" s="447">
        <v>6.3525941056674128E-3</v>
      </c>
      <c r="H98" s="310">
        <v>358.4545454545455</v>
      </c>
      <c r="I98" s="448">
        <v>1.8975968605035312E-4</v>
      </c>
      <c r="J98" s="439"/>
    </row>
    <row r="99" spans="4:13" x14ac:dyDescent="0.2">
      <c r="D99" s="446" t="s">
        <v>595</v>
      </c>
      <c r="E99" s="446" t="s">
        <v>553</v>
      </c>
      <c r="F99" s="446" t="s">
        <v>554</v>
      </c>
      <c r="G99" s="447">
        <v>0.5713003380937719</v>
      </c>
      <c r="H99" s="310">
        <v>72.460159211523859</v>
      </c>
      <c r="I99" s="448">
        <v>3.4497094546560099E-3</v>
      </c>
      <c r="J99" s="439"/>
    </row>
    <row r="100" spans="4:13" x14ac:dyDescent="0.2">
      <c r="D100" s="446" t="s">
        <v>595</v>
      </c>
      <c r="E100" s="446" t="s">
        <v>570</v>
      </c>
      <c r="F100" s="446" t="s">
        <v>554</v>
      </c>
      <c r="G100" s="447">
        <v>6.8407332118324486</v>
      </c>
      <c r="H100" s="310">
        <v>334.27175217914566</v>
      </c>
      <c r="I100" s="448">
        <v>0.19055532307577561</v>
      </c>
      <c r="J100" s="439"/>
    </row>
    <row r="101" spans="4:13" x14ac:dyDescent="0.2">
      <c r="D101" s="446" t="s">
        <v>595</v>
      </c>
      <c r="E101" s="446" t="s">
        <v>551</v>
      </c>
      <c r="F101" s="446" t="s">
        <v>554</v>
      </c>
      <c r="G101" s="447">
        <v>1.4870845292812355E-2</v>
      </c>
      <c r="H101" s="310">
        <v>90.313398058252432</v>
      </c>
      <c r="I101" s="448">
        <v>1.1191971419937097E-4</v>
      </c>
      <c r="J101" s="439"/>
    </row>
    <row r="102" spans="4:13" x14ac:dyDescent="0.2">
      <c r="D102" s="446" t="s">
        <v>595</v>
      </c>
      <c r="E102" s="446" t="s">
        <v>578</v>
      </c>
      <c r="F102" s="446" t="s">
        <v>554</v>
      </c>
      <c r="G102" s="447">
        <v>2.7431656365382016E-3</v>
      </c>
      <c r="H102" s="310">
        <v>54.418421052631587</v>
      </c>
      <c r="I102" s="448">
        <v>1.2439895218853832E-5</v>
      </c>
      <c r="J102" s="439"/>
    </row>
    <row r="103" spans="4:13" x14ac:dyDescent="0.2">
      <c r="D103" s="446" t="s">
        <v>595</v>
      </c>
      <c r="E103" s="446" t="s">
        <v>560</v>
      </c>
      <c r="F103" s="446" t="s">
        <v>554</v>
      </c>
      <c r="G103" s="447">
        <v>4.5767552988558419E-2</v>
      </c>
      <c r="H103" s="310">
        <v>79.744889589905355</v>
      </c>
      <c r="I103" s="448">
        <v>3.0414403832272781E-4</v>
      </c>
      <c r="J103" s="439"/>
    </row>
    <row r="104" spans="4:13" x14ac:dyDescent="0.2">
      <c r="D104" s="446" t="s">
        <v>595</v>
      </c>
      <c r="E104" s="446" t="s">
        <v>575</v>
      </c>
      <c r="F104" s="446" t="s">
        <v>554</v>
      </c>
      <c r="G104" s="447">
        <v>1.8769028039471905E-3</v>
      </c>
      <c r="H104" s="310">
        <v>91.230769230769241</v>
      </c>
      <c r="I104" s="448">
        <v>1.4269273881290821E-5</v>
      </c>
      <c r="J104" s="439"/>
    </row>
    <row r="105" spans="4:13" x14ac:dyDescent="0.2">
      <c r="D105" s="446" t="s">
        <v>595</v>
      </c>
      <c r="E105" s="446" t="s">
        <v>566</v>
      </c>
      <c r="F105" s="446" t="s">
        <v>554</v>
      </c>
      <c r="G105" s="447">
        <v>1.5303976709107861E-2</v>
      </c>
      <c r="H105" s="310">
        <v>181.73726415094342</v>
      </c>
      <c r="I105" s="448">
        <v>2.3177523814525176E-4</v>
      </c>
      <c r="J105" s="439"/>
    </row>
    <row r="106" spans="4:13" x14ac:dyDescent="0.2">
      <c r="D106" s="446" t="s">
        <v>595</v>
      </c>
      <c r="E106" s="446" t="s">
        <v>580</v>
      </c>
      <c r="F106" s="446" t="s">
        <v>554</v>
      </c>
      <c r="G106" s="447">
        <v>4.33131416295506E-4</v>
      </c>
      <c r="H106" s="310">
        <v>107</v>
      </c>
      <c r="I106" s="448">
        <v>1.5448353847873029E-5</v>
      </c>
      <c r="J106" s="439"/>
    </row>
    <row r="107" spans="4:13" x14ac:dyDescent="0.2">
      <c r="D107" s="451" t="s">
        <v>595</v>
      </c>
      <c r="E107" s="451" t="s">
        <v>558</v>
      </c>
      <c r="F107" s="451" t="s">
        <v>554</v>
      </c>
      <c r="G107" s="452">
        <v>3.1088729290303725</v>
      </c>
      <c r="H107" s="310">
        <v>14.210830353411048</v>
      </c>
      <c r="I107" s="454">
        <v>3.6816388153968938E-3</v>
      </c>
      <c r="J107" s="439"/>
    </row>
    <row r="108" spans="4:13" ht="16" x14ac:dyDescent="0.2">
      <c r="D108" s="461" t="s">
        <v>605</v>
      </c>
      <c r="E108" s="460"/>
      <c r="F108" s="460"/>
      <c r="G108" s="465">
        <v>25.765255429754443</v>
      </c>
      <c r="H108" s="466"/>
      <c r="I108" s="467">
        <v>0.36186861021131284</v>
      </c>
      <c r="J108" s="439"/>
      <c r="K108" s="313" t="s">
        <v>311</v>
      </c>
      <c r="L108" s="313" t="s">
        <v>606</v>
      </c>
      <c r="M108" s="313" t="s">
        <v>528</v>
      </c>
    </row>
    <row r="109" spans="4:13" x14ac:dyDescent="0.2">
      <c r="D109" s="446" t="s">
        <v>607</v>
      </c>
      <c r="E109" s="446" t="s">
        <v>608</v>
      </c>
      <c r="F109" s="468" t="s">
        <v>609</v>
      </c>
      <c r="G109" s="469">
        <v>34.794991167694</v>
      </c>
      <c r="H109" s="310">
        <v>28.888910812065831</v>
      </c>
      <c r="I109" s="470">
        <v>8.3765783045844186E-2</v>
      </c>
      <c r="J109" s="439"/>
      <c r="K109">
        <f>'Assumptions-Output Override'!$J$19</f>
        <v>10</v>
      </c>
      <c r="L109" s="470">
        <f>G109*K109/12000</f>
        <v>2.8995825973078336E-2</v>
      </c>
      <c r="M109" s="388">
        <f>I109-L109</f>
        <v>5.476995707276585E-2</v>
      </c>
    </row>
    <row r="110" spans="4:13" x14ac:dyDescent="0.2">
      <c r="D110" s="446" t="s">
        <v>607</v>
      </c>
      <c r="E110" s="446" t="s">
        <v>610</v>
      </c>
      <c r="F110" s="468" t="s">
        <v>609</v>
      </c>
      <c r="G110" s="469">
        <v>0.60278349375353413</v>
      </c>
      <c r="H110" s="310">
        <v>237.94164878521113</v>
      </c>
      <c r="I110" s="470">
        <v>1.1952274863685493E-2</v>
      </c>
      <c r="J110" s="439"/>
      <c r="K110">
        <f>'Assumptions-Output Override'!$K$19</f>
        <v>50</v>
      </c>
      <c r="L110" s="470">
        <f t="shared" ref="L110:L116" si="0">G110*K110/12000</f>
        <v>2.5115978906397256E-3</v>
      </c>
      <c r="M110" s="388">
        <f t="shared" ref="M110:M116" si="1">I110-L110</f>
        <v>9.4406769730457675E-3</v>
      </c>
    </row>
    <row r="111" spans="4:13" x14ac:dyDescent="0.2">
      <c r="D111" s="446" t="s">
        <v>607</v>
      </c>
      <c r="E111" s="446" t="s">
        <v>611</v>
      </c>
      <c r="F111" s="468" t="s">
        <v>609</v>
      </c>
      <c r="G111" s="469">
        <v>0.43060271589797239</v>
      </c>
      <c r="H111" s="310">
        <v>270.92143571883724</v>
      </c>
      <c r="I111" s="470">
        <v>9.7216255012924392E-3</v>
      </c>
      <c r="J111" s="439"/>
      <c r="K111">
        <f>'Assumptions-Output Override'!$L$19</f>
        <v>80</v>
      </c>
      <c r="L111" s="470">
        <f t="shared" si="0"/>
        <v>2.8706847726531494E-3</v>
      </c>
      <c r="M111" s="388">
        <f t="shared" si="1"/>
        <v>6.8509407286392893E-3</v>
      </c>
    </row>
    <row r="112" spans="4:13" x14ac:dyDescent="0.2">
      <c r="D112" s="446" t="s">
        <v>607</v>
      </c>
      <c r="E112" s="446" t="s">
        <v>612</v>
      </c>
      <c r="F112" s="468" t="s">
        <v>609</v>
      </c>
      <c r="G112" s="469">
        <v>4.5650521820584062</v>
      </c>
      <c r="H112" s="310">
        <v>2946.1742985674855</v>
      </c>
      <c r="I112" s="470">
        <v>1.1207866175333245</v>
      </c>
      <c r="J112" s="439"/>
      <c r="K112">
        <f>'Assumptions-Output Override'!$M$19</f>
        <v>200</v>
      </c>
      <c r="L112" s="470">
        <f t="shared" si="0"/>
        <v>7.6084203034306769E-2</v>
      </c>
      <c r="M112" s="388">
        <f t="shared" si="1"/>
        <v>1.0447024144990178</v>
      </c>
    </row>
    <row r="113" spans="4:13" x14ac:dyDescent="0.2">
      <c r="D113" s="446" t="s">
        <v>607</v>
      </c>
      <c r="E113" s="446" t="s">
        <v>613</v>
      </c>
      <c r="F113" s="468" t="s">
        <v>609</v>
      </c>
      <c r="G113" s="469">
        <v>5.0031934609097748</v>
      </c>
      <c r="H113" s="310">
        <v>57.658020710171165</v>
      </c>
      <c r="I113" s="470">
        <v>2.4039519348844064E-2</v>
      </c>
      <c r="J113" s="439"/>
      <c r="K113">
        <f>2*K109</f>
        <v>20</v>
      </c>
      <c r="L113" s="470">
        <f t="shared" si="0"/>
        <v>8.3386557681829569E-3</v>
      </c>
      <c r="M113" s="388">
        <f t="shared" si="1"/>
        <v>1.5700863580661105E-2</v>
      </c>
    </row>
    <row r="114" spans="4:13" x14ac:dyDescent="0.2">
      <c r="D114" s="446" t="s">
        <v>607</v>
      </c>
      <c r="E114" s="446" t="s">
        <v>614</v>
      </c>
      <c r="F114" s="468" t="s">
        <v>609</v>
      </c>
      <c r="G114" s="469">
        <v>0.15589748187622671</v>
      </c>
      <c r="H114" s="310">
        <v>665.12228619337918</v>
      </c>
      <c r="I114" s="470">
        <v>8.6409074631088999E-3</v>
      </c>
      <c r="J114" s="439"/>
      <c r="K114">
        <f>2*K110</f>
        <v>100</v>
      </c>
      <c r="L114" s="470">
        <f t="shared" si="0"/>
        <v>1.2991456823018893E-3</v>
      </c>
      <c r="M114" s="388">
        <f t="shared" si="1"/>
        <v>7.3417617808070107E-3</v>
      </c>
    </row>
    <row r="115" spans="4:13" x14ac:dyDescent="0.2">
      <c r="D115" s="446" t="s">
        <v>607</v>
      </c>
      <c r="E115" s="446" t="s">
        <v>615</v>
      </c>
      <c r="F115" s="468" t="s">
        <v>609</v>
      </c>
      <c r="G115" s="469">
        <v>9.7398233357874703E-2</v>
      </c>
      <c r="H115" s="310">
        <v>782.70618249563779</v>
      </c>
      <c r="I115" s="470">
        <v>6.3528499511134491E-3</v>
      </c>
      <c r="J115" s="439"/>
      <c r="K115">
        <f>2*K111</f>
        <v>160</v>
      </c>
      <c r="L115" s="470">
        <f t="shared" si="0"/>
        <v>1.2986431114383292E-3</v>
      </c>
      <c r="M115" s="388">
        <f t="shared" si="1"/>
        <v>5.0542068396751197E-3</v>
      </c>
    </row>
    <row r="116" spans="4:13" x14ac:dyDescent="0.2">
      <c r="D116" s="446" t="s">
        <v>607</v>
      </c>
      <c r="E116" s="446" t="s">
        <v>616</v>
      </c>
      <c r="F116" s="468" t="s">
        <v>609</v>
      </c>
      <c r="G116" s="447">
        <v>3.7771215821694692</v>
      </c>
      <c r="H116" s="310">
        <v>3269.5728495946132</v>
      </c>
      <c r="I116" s="448">
        <v>1.0291311812232622</v>
      </c>
      <c r="J116" s="439"/>
      <c r="K116">
        <f>2*K112</f>
        <v>400</v>
      </c>
      <c r="L116" s="470">
        <f t="shared" si="0"/>
        <v>0.12590405273898231</v>
      </c>
      <c r="M116" s="388">
        <f t="shared" si="1"/>
        <v>0.90322712848427988</v>
      </c>
    </row>
    <row r="117" spans="4:13" x14ac:dyDescent="0.2">
      <c r="D117" s="460" t="s">
        <v>617</v>
      </c>
      <c r="E117" s="460"/>
      <c r="F117" s="460"/>
      <c r="G117" s="471">
        <v>49.427040317717257</v>
      </c>
      <c r="H117" s="472"/>
      <c r="I117" s="473">
        <v>2.2943907589304753</v>
      </c>
      <c r="J117" s="439"/>
      <c r="L117" s="470">
        <f>SUM(L109:L116)</f>
        <v>0.24730280897158347</v>
      </c>
      <c r="M117" s="388">
        <f>SUM(M109:M116)</f>
        <v>2.0470879499588914</v>
      </c>
    </row>
    <row r="118" spans="4:13" ht="16" x14ac:dyDescent="0.2">
      <c r="D118" s="461" t="s">
        <v>618</v>
      </c>
      <c r="E118" s="461"/>
      <c r="F118" s="461"/>
      <c r="G118" s="474"/>
      <c r="H118" s="474"/>
      <c r="I118" s="473">
        <v>3.0878622236780182</v>
      </c>
      <c r="J118" s="439"/>
    </row>
  </sheetData>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811</v>
      </c>
      <c r="G3"/>
      <c r="H3"/>
      <c r="I3"/>
    </row>
    <row r="4" spans="2:19" x14ac:dyDescent="0.2">
      <c r="G4"/>
      <c r="H4"/>
      <c r="I4"/>
    </row>
    <row r="5" spans="2:19" ht="16" x14ac:dyDescent="0.2">
      <c r="D5" s="438" t="s">
        <v>812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0.31752427159703428</v>
      </c>
      <c r="H8" s="310">
        <v>16211.441785375115</v>
      </c>
      <c r="I8" s="448">
        <v>0.42896052036991317</v>
      </c>
      <c r="J8" s="439"/>
      <c r="K8" s="446" t="s">
        <v>1</v>
      </c>
      <c r="L8" s="446" t="s">
        <v>535</v>
      </c>
      <c r="M8" s="446" t="s">
        <v>534</v>
      </c>
      <c r="N8" s="449">
        <v>0.40346388926574733</v>
      </c>
      <c r="O8" s="310">
        <v>13709.076547085193</v>
      </c>
      <c r="P8" s="388">
        <v>0.46092644516073622</v>
      </c>
      <c r="Q8" s="29">
        <f>'Assumptions-Output Target'!D17</f>
        <v>1018.5185313926721</v>
      </c>
      <c r="R8" s="388">
        <f>N8*Q8/12000</f>
        <v>3.4244620663743723E-2</v>
      </c>
      <c r="S8" s="388">
        <f>P8-R8</f>
        <v>0.42668182449699249</v>
      </c>
    </row>
    <row r="9" spans="2:19" x14ac:dyDescent="0.2">
      <c r="D9" s="446" t="s">
        <v>1</v>
      </c>
      <c r="E9" s="446" t="s">
        <v>536</v>
      </c>
      <c r="F9" s="446" t="s">
        <v>534</v>
      </c>
      <c r="G9" s="447">
        <v>3.0154251813583504E-4</v>
      </c>
      <c r="H9" s="310">
        <v>453.99999999999994</v>
      </c>
      <c r="I9" s="448">
        <v>1.1408358602805758E-5</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5.33730257100428E-2</v>
      </c>
      <c r="H10" s="310">
        <v>3981.9558192090394</v>
      </c>
      <c r="I10" s="448">
        <v>1.771075252624155E-2</v>
      </c>
      <c r="J10" s="439"/>
      <c r="K10" s="446" t="s">
        <v>462</v>
      </c>
      <c r="L10" s="446" t="s">
        <v>538</v>
      </c>
      <c r="M10" s="446" t="s">
        <v>539</v>
      </c>
      <c r="N10" s="449">
        <v>3.8566021306951801</v>
      </c>
      <c r="O10" s="310">
        <v>933.72395477688315</v>
      </c>
      <c r="P10" s="388">
        <v>0.30008348278947145</v>
      </c>
      <c r="Q10" s="29">
        <v>0</v>
      </c>
      <c r="R10" s="388">
        <f>N10*Q10/12000</f>
        <v>0</v>
      </c>
      <c r="S10" s="388">
        <f>P10-R10</f>
        <v>0.30008348278947145</v>
      </c>
    </row>
    <row r="11" spans="2:19" x14ac:dyDescent="0.2">
      <c r="D11" s="446" t="s">
        <v>1</v>
      </c>
      <c r="E11" s="446" t="s">
        <v>540</v>
      </c>
      <c r="F11" s="446" t="s">
        <v>534</v>
      </c>
      <c r="G11" s="447">
        <v>9.9509030984825542E-3</v>
      </c>
      <c r="H11" s="310">
        <v>4077.0312121212123</v>
      </c>
      <c r="I11" s="448">
        <v>3.3808452101089215E-3</v>
      </c>
      <c r="J11" s="439"/>
      <c r="K11" s="320" t="s">
        <v>463</v>
      </c>
      <c r="L11" s="450" t="s">
        <v>541</v>
      </c>
      <c r="M11" s="446" t="s">
        <v>539</v>
      </c>
      <c r="N11" s="449">
        <v>0.90495590578007612</v>
      </c>
      <c r="O11" s="310">
        <v>107.04195915762605</v>
      </c>
      <c r="P11" s="388">
        <v>8.0723544254969505E-3</v>
      </c>
      <c r="Q11" s="29">
        <f>'Assumptions-Output Target'!G17</f>
        <v>30.555555941780163</v>
      </c>
      <c r="R11" s="388">
        <f>N11*Q11/12000</f>
        <v>2.3042859003256214E-3</v>
      </c>
      <c r="S11" s="388">
        <f>P11-R11</f>
        <v>5.7680685251713295E-3</v>
      </c>
    </row>
    <row r="12" spans="2:19" x14ac:dyDescent="0.2">
      <c r="D12" s="446" t="s">
        <v>1</v>
      </c>
      <c r="E12" s="446" t="s">
        <v>542</v>
      </c>
      <c r="F12" s="446" t="s">
        <v>534</v>
      </c>
      <c r="G12" s="447">
        <v>0</v>
      </c>
      <c r="H12" s="310" t="s">
        <v>446</v>
      </c>
      <c r="I12" s="448">
        <v>0</v>
      </c>
      <c r="J12" s="439"/>
      <c r="K12" s="320" t="s">
        <v>464</v>
      </c>
      <c r="L12" s="450" t="s">
        <v>541</v>
      </c>
      <c r="M12" s="446" t="s">
        <v>539</v>
      </c>
      <c r="N12" s="449">
        <v>10.944509004093598</v>
      </c>
      <c r="O12" s="310">
        <v>117.03422716179715</v>
      </c>
      <c r="P12" s="388">
        <v>0.10674017941328537</v>
      </c>
      <c r="Q12" s="29">
        <f>'Assumptions-Output Target'!H17</f>
        <v>55.000000695204292</v>
      </c>
      <c r="R12" s="388">
        <f>N12*Q12/12000</f>
        <v>5.0162333569484796E-2</v>
      </c>
      <c r="S12" s="388">
        <f>P12-R12</f>
        <v>5.6577845843800573E-2</v>
      </c>
    </row>
    <row r="13" spans="2:19" x14ac:dyDescent="0.2">
      <c r="D13" s="446" t="s">
        <v>1</v>
      </c>
      <c r="E13" s="446" t="s">
        <v>543</v>
      </c>
      <c r="F13" s="446" t="s">
        <v>534</v>
      </c>
      <c r="G13" s="447">
        <v>2.171106130578012E-2</v>
      </c>
      <c r="H13" s="310">
        <v>5601.5886111111122</v>
      </c>
      <c r="I13" s="448">
        <v>1.0134702812132756E-2</v>
      </c>
      <c r="J13" s="439"/>
      <c r="K13" s="446" t="s">
        <v>465</v>
      </c>
      <c r="P13" s="388">
        <f>I117</f>
        <v>0.24783942830191413</v>
      </c>
      <c r="R13" s="388">
        <f>L117</f>
        <v>5.4793952450679313E-2</v>
      </c>
      <c r="S13" s="388">
        <f>M117</f>
        <v>0.19304547585123483</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3.0154251813583504E-4</v>
      </c>
      <c r="H15" s="310">
        <v>28746.629999999997</v>
      </c>
      <c r="I15" s="448">
        <v>7.2236093317659493E-4</v>
      </c>
      <c r="J15" s="439"/>
      <c r="K15" s="446" t="s">
        <v>403</v>
      </c>
      <c r="P15" s="388">
        <f>SUM(P8:P13)</f>
        <v>1.1236618900909041</v>
      </c>
      <c r="R15" s="388">
        <f>SUM(R8:R13)</f>
        <v>0.14150519258423344</v>
      </c>
      <c r="S15" s="388">
        <f>SUM(S8:S13)</f>
        <v>0.98215669750667067</v>
      </c>
    </row>
    <row r="16" spans="2:19" x14ac:dyDescent="0.2">
      <c r="D16" s="451" t="s">
        <v>1</v>
      </c>
      <c r="E16" s="451" t="s">
        <v>546</v>
      </c>
      <c r="F16" s="451" t="s">
        <v>534</v>
      </c>
      <c r="G16" s="452">
        <v>3.0154251813583504E-4</v>
      </c>
      <c r="H16" s="453">
        <v>232.99999999999994</v>
      </c>
      <c r="I16" s="454">
        <v>5.8549505604707962E-6</v>
      </c>
      <c r="J16" s="439"/>
      <c r="O16" s="352"/>
    </row>
    <row r="17" spans="4:10" ht="16" x14ac:dyDescent="0.2">
      <c r="D17" s="456" t="s">
        <v>547</v>
      </c>
      <c r="E17" s="456"/>
      <c r="F17" s="456"/>
      <c r="G17" s="457">
        <v>0.40346388926574733</v>
      </c>
      <c r="H17" s="458"/>
      <c r="I17" s="459">
        <v>0.46092644516073622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9.9620225747966262E-3</v>
      </c>
      <c r="H19" s="310">
        <v>144.81</v>
      </c>
      <c r="I19" s="448">
        <v>1.2021670742135828E-4</v>
      </c>
      <c r="J19" s="439"/>
    </row>
    <row r="20" spans="4:10" x14ac:dyDescent="0.2">
      <c r="D20" s="446" t="s">
        <v>462</v>
      </c>
      <c r="E20" s="446" t="s">
        <v>550</v>
      </c>
      <c r="F20" s="446" t="s">
        <v>537</v>
      </c>
      <c r="G20" s="447">
        <v>0.36007658408033028</v>
      </c>
      <c r="H20" s="310">
        <v>472.23594226142745</v>
      </c>
      <c r="I20" s="448">
        <v>1.4170092080787573E-2</v>
      </c>
      <c r="J20" s="439"/>
    </row>
    <row r="21" spans="4:10" x14ac:dyDescent="0.2">
      <c r="D21" s="446" t="s">
        <v>462</v>
      </c>
      <c r="E21" s="446" t="s">
        <v>551</v>
      </c>
      <c r="F21" s="446" t="s">
        <v>537</v>
      </c>
      <c r="G21" s="447">
        <v>5.6307084118415712E-3</v>
      </c>
      <c r="H21" s="310">
        <v>995.86179487179493</v>
      </c>
      <c r="I21" s="448">
        <v>4.6728394878468843E-4</v>
      </c>
      <c r="J21" s="439"/>
    </row>
    <row r="22" spans="4:10" x14ac:dyDescent="0.2">
      <c r="D22" s="446" t="s">
        <v>462</v>
      </c>
      <c r="E22" s="446" t="s">
        <v>552</v>
      </c>
      <c r="F22" s="446" t="s">
        <v>537</v>
      </c>
      <c r="G22" s="447">
        <v>4.6778192959914602E-2</v>
      </c>
      <c r="H22" s="310">
        <v>435.54592592592587</v>
      </c>
      <c r="I22" s="448">
        <v>1.6978376138223027E-3</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7.8396786349486505E-2</v>
      </c>
      <c r="H38" s="310">
        <v>685.27885819521168</v>
      </c>
      <c r="I38" s="448">
        <v>4.4769716863125057E-3</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4.3313141629550551E-4</v>
      </c>
      <c r="H45" s="310">
        <v>478.97</v>
      </c>
      <c r="I45" s="448">
        <v>1.728807953858819E-5</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1.3659282147536447</v>
      </c>
      <c r="H52" s="310">
        <v>998.29548752151891</v>
      </c>
      <c r="I52" s="448">
        <v>0.11363333108890732</v>
      </c>
      <c r="J52" s="439"/>
    </row>
    <row r="53" spans="4:10" x14ac:dyDescent="0.2">
      <c r="D53" s="446" t="s">
        <v>462</v>
      </c>
      <c r="E53" s="446" t="s">
        <v>584</v>
      </c>
      <c r="F53" s="446" t="s">
        <v>554</v>
      </c>
      <c r="G53" s="447">
        <v>7.5489660126021541E-2</v>
      </c>
      <c r="H53" s="310">
        <v>998.29548752151891</v>
      </c>
      <c r="I53" s="448">
        <v>6.280082254861704E-3</v>
      </c>
      <c r="J53" s="439"/>
    </row>
    <row r="54" spans="4:10" x14ac:dyDescent="0.2">
      <c r="D54" s="446" t="s">
        <v>462</v>
      </c>
      <c r="E54" s="446" t="s">
        <v>585</v>
      </c>
      <c r="F54" s="446" t="s">
        <v>554</v>
      </c>
      <c r="G54" s="447">
        <v>0.33426460601533386</v>
      </c>
      <c r="H54" s="310">
        <v>998.29548752151914</v>
      </c>
      <c r="I54" s="448">
        <v>2.7807903985272185E-2</v>
      </c>
      <c r="J54" s="439"/>
    </row>
    <row r="55" spans="4:10" x14ac:dyDescent="0.2">
      <c r="D55" s="446" t="s">
        <v>462</v>
      </c>
      <c r="E55" s="446" t="s">
        <v>586</v>
      </c>
      <c r="F55" s="446" t="s">
        <v>537</v>
      </c>
      <c r="G55" s="447">
        <v>0.18272142626781701</v>
      </c>
      <c r="H55" s="310">
        <v>998.29548752151902</v>
      </c>
      <c r="I55" s="448">
        <v>1.5200831276388138E-2</v>
      </c>
      <c r="J55" s="439"/>
    </row>
    <row r="56" spans="4:10" x14ac:dyDescent="0.2">
      <c r="D56" s="446" t="s">
        <v>462</v>
      </c>
      <c r="E56" s="446" t="s">
        <v>5</v>
      </c>
      <c r="F56" s="446" t="s">
        <v>537</v>
      </c>
      <c r="G56" s="447">
        <v>0.15668553364614241</v>
      </c>
      <c r="H56" s="310">
        <v>998.29548752151891</v>
      </c>
      <c r="I56" s="448">
        <v>1.3034871766570423E-2</v>
      </c>
      <c r="J56" s="439"/>
    </row>
    <row r="57" spans="4:10" x14ac:dyDescent="0.2">
      <c r="D57" s="446" t="s">
        <v>462</v>
      </c>
      <c r="E57" s="446" t="s">
        <v>587</v>
      </c>
      <c r="F57" s="446" t="s">
        <v>537</v>
      </c>
      <c r="G57" s="447">
        <v>0.41378992950583887</v>
      </c>
      <c r="H57" s="310">
        <v>998.29548752151902</v>
      </c>
      <c r="I57" s="448">
        <v>3.4423718283960535E-2</v>
      </c>
      <c r="J57" s="439"/>
    </row>
    <row r="58" spans="4:10" x14ac:dyDescent="0.2">
      <c r="D58" s="446" t="s">
        <v>462</v>
      </c>
      <c r="E58" s="446" t="s">
        <v>588</v>
      </c>
      <c r="F58" s="446" t="s">
        <v>537</v>
      </c>
      <c r="G58" s="447">
        <v>0.27952365957938058</v>
      </c>
      <c r="H58" s="310">
        <v>998.29548752151902</v>
      </c>
      <c r="I58" s="448">
        <v>2.325393400113307E-2</v>
      </c>
      <c r="J58" s="439"/>
    </row>
    <row r="59" spans="4:10" x14ac:dyDescent="0.2">
      <c r="D59" s="446" t="s">
        <v>462</v>
      </c>
      <c r="E59" s="446" t="s">
        <v>589</v>
      </c>
      <c r="F59" s="446" t="s">
        <v>537</v>
      </c>
      <c r="G59" s="447">
        <v>0.10804858157720484</v>
      </c>
      <c r="H59" s="310">
        <v>998.29548752151902</v>
      </c>
      <c r="I59" s="448">
        <v>8.9887009518020266E-3</v>
      </c>
      <c r="J59" s="439"/>
    </row>
    <row r="60" spans="4:10" x14ac:dyDescent="0.2">
      <c r="D60" s="446" t="s">
        <v>462</v>
      </c>
      <c r="E60" s="446" t="s">
        <v>590</v>
      </c>
      <c r="F60" s="446" t="s">
        <v>537</v>
      </c>
      <c r="G60" s="447">
        <v>0.10313038633673292</v>
      </c>
      <c r="H60" s="310">
        <v>998.29548752151879</v>
      </c>
      <c r="I60" s="448">
        <v>8.5795499421926144E-3</v>
      </c>
      <c r="J60" s="439"/>
    </row>
    <row r="61" spans="4:10" x14ac:dyDescent="0.2">
      <c r="D61" s="446" t="s">
        <v>462</v>
      </c>
      <c r="E61" s="446" t="s">
        <v>591</v>
      </c>
      <c r="F61" s="446" t="s">
        <v>537</v>
      </c>
      <c r="G61" s="447">
        <v>0.17099392813131437</v>
      </c>
      <c r="H61" s="310">
        <v>998.29548752151891</v>
      </c>
      <c r="I61" s="448">
        <v>1.4225205570589171E-2</v>
      </c>
      <c r="J61" s="439"/>
    </row>
    <row r="62" spans="4:10" x14ac:dyDescent="0.2">
      <c r="D62" s="446" t="s">
        <v>462</v>
      </c>
      <c r="E62" s="446" t="s">
        <v>592</v>
      </c>
      <c r="F62" s="446" t="s">
        <v>537</v>
      </c>
      <c r="G62" s="447">
        <v>0.16474877896308421</v>
      </c>
      <c r="H62" s="310">
        <v>998.29548752151891</v>
      </c>
      <c r="I62" s="448">
        <v>1.3705663551127258E-2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3.8566021306951801</v>
      </c>
      <c r="H64" s="463"/>
      <c r="I64" s="464">
        <v>0.30008348278947145</v>
      </c>
      <c r="J64" s="439"/>
    </row>
    <row r="65" spans="4:10" x14ac:dyDescent="0.2">
      <c r="D65" s="446" t="s">
        <v>595</v>
      </c>
      <c r="E65" s="446" t="s">
        <v>596</v>
      </c>
      <c r="F65" s="446" t="s">
        <v>554</v>
      </c>
      <c r="G65" s="447">
        <v>3.7538056078943809E-3</v>
      </c>
      <c r="H65" s="310">
        <v>239.50000000000003</v>
      </c>
      <c r="I65" s="448">
        <v>7.4919703590892029E-5</v>
      </c>
      <c r="J65" s="439"/>
    </row>
    <row r="66" spans="4:10" x14ac:dyDescent="0.2">
      <c r="D66" s="446" t="s">
        <v>595</v>
      </c>
      <c r="E66" s="446" t="s">
        <v>563</v>
      </c>
      <c r="F66" s="446" t="s">
        <v>554</v>
      </c>
      <c r="G66" s="447">
        <v>6.0349644003840436E-2</v>
      </c>
      <c r="H66" s="310">
        <v>327.84188995215311</v>
      </c>
      <c r="I66" s="448">
        <v>1.6487617790132227E-3</v>
      </c>
      <c r="J66" s="439"/>
    </row>
    <row r="67" spans="4:10" x14ac:dyDescent="0.2">
      <c r="D67" s="446" t="s">
        <v>595</v>
      </c>
      <c r="E67" s="446" t="s">
        <v>564</v>
      </c>
      <c r="F67" s="446" t="s">
        <v>554</v>
      </c>
      <c r="G67" s="447">
        <v>2.8153542059207858E-2</v>
      </c>
      <c r="H67" s="310">
        <v>121.52230769230769</v>
      </c>
      <c r="I67" s="448">
        <v>2.8510695006228192E-4</v>
      </c>
      <c r="J67" s="439"/>
    </row>
    <row r="68" spans="4:10" x14ac:dyDescent="0.2">
      <c r="D68" s="446" t="s">
        <v>595</v>
      </c>
      <c r="E68" s="446" t="s">
        <v>597</v>
      </c>
      <c r="F68" s="446" t="s">
        <v>554</v>
      </c>
      <c r="G68" s="447">
        <v>4.3313141629550551E-4</v>
      </c>
      <c r="H68" s="310">
        <v>84.333333333333343</v>
      </c>
      <c r="I68" s="448">
        <v>3.0439513422989695E-6</v>
      </c>
      <c r="J68" s="439"/>
    </row>
    <row r="69" spans="4:10" x14ac:dyDescent="0.2">
      <c r="D69" s="446" t="s">
        <v>595</v>
      </c>
      <c r="E69" s="446" t="s">
        <v>572</v>
      </c>
      <c r="F69" s="446" t="s">
        <v>554</v>
      </c>
      <c r="G69" s="447">
        <v>2.8875427753033699E-4</v>
      </c>
      <c r="H69" s="310">
        <v>176.00000000000003</v>
      </c>
      <c r="I69" s="448">
        <v>4.2350627371116095E-6</v>
      </c>
      <c r="J69" s="439"/>
    </row>
    <row r="70" spans="4:10" x14ac:dyDescent="0.2">
      <c r="D70" s="446" t="s">
        <v>595</v>
      </c>
      <c r="E70" s="446" t="s">
        <v>567</v>
      </c>
      <c r="F70" s="446" t="s">
        <v>554</v>
      </c>
      <c r="G70" s="447">
        <v>1.155017110121348E-3</v>
      </c>
      <c r="H70" s="310">
        <v>69.709999999999994</v>
      </c>
      <c r="I70" s="448">
        <v>6.709686895546597E-6</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0.20862496551566845</v>
      </c>
      <c r="H72" s="310">
        <v>322.63055363321803</v>
      </c>
      <c r="I72" s="448">
        <v>5.6090656771692615E-3</v>
      </c>
      <c r="J72" s="439"/>
    </row>
    <row r="73" spans="4:10" x14ac:dyDescent="0.2">
      <c r="D73" s="446" t="s">
        <v>595</v>
      </c>
      <c r="E73" s="446" t="s">
        <v>598</v>
      </c>
      <c r="F73" s="446" t="s">
        <v>554</v>
      </c>
      <c r="G73" s="447">
        <v>6.3525941056674128E-3</v>
      </c>
      <c r="H73" s="310">
        <v>115.08818181818184</v>
      </c>
      <c r="I73" s="448">
        <v>6.0925708787513454E-5</v>
      </c>
      <c r="J73" s="439"/>
    </row>
    <row r="74" spans="4:10" x14ac:dyDescent="0.2">
      <c r="D74" s="446" t="s">
        <v>595</v>
      </c>
      <c r="E74" s="446" t="s">
        <v>549</v>
      </c>
      <c r="F74" s="446" t="s">
        <v>554</v>
      </c>
      <c r="G74" s="447">
        <v>0.3371206190166684</v>
      </c>
      <c r="H74" s="310">
        <v>107.24683083511779</v>
      </c>
      <c r="I74" s="448">
        <v>3.0129264998925692E-3</v>
      </c>
      <c r="J74" s="439"/>
    </row>
    <row r="75" spans="4:10" x14ac:dyDescent="0.2">
      <c r="D75" s="446" t="s">
        <v>595</v>
      </c>
      <c r="E75" s="446" t="s">
        <v>571</v>
      </c>
      <c r="F75" s="446" t="s">
        <v>554</v>
      </c>
      <c r="G75" s="447">
        <v>1.155017110121348E-3</v>
      </c>
      <c r="H75" s="310">
        <v>115.75000000000001</v>
      </c>
      <c r="I75" s="448">
        <v>1.1141102541378838E-5</v>
      </c>
      <c r="J75" s="439"/>
    </row>
    <row r="76" spans="4:10" x14ac:dyDescent="0.2">
      <c r="D76" s="446" t="s">
        <v>595</v>
      </c>
      <c r="E76" s="446" t="s">
        <v>561</v>
      </c>
      <c r="F76" s="446" t="s">
        <v>554</v>
      </c>
      <c r="G76" s="447">
        <v>2.7431656365382016E-3</v>
      </c>
      <c r="H76" s="310">
        <v>98.046315789473681</v>
      </c>
      <c r="I76" s="448">
        <v>2.241310702190476E-5</v>
      </c>
      <c r="J76" s="439"/>
    </row>
    <row r="77" spans="4:10" x14ac:dyDescent="0.2">
      <c r="D77" s="446" t="s">
        <v>595</v>
      </c>
      <c r="E77" s="446" t="s">
        <v>599</v>
      </c>
      <c r="F77" s="446" t="s">
        <v>554</v>
      </c>
      <c r="G77" s="447">
        <v>1.0301308850894773</v>
      </c>
      <c r="H77" s="310">
        <v>115.50000700770879</v>
      </c>
      <c r="I77" s="448">
        <v>9.9150103705576559E-3</v>
      </c>
      <c r="J77" s="439"/>
    </row>
    <row r="78" spans="4:10" x14ac:dyDescent="0.2">
      <c r="D78" s="446" t="s">
        <v>595</v>
      </c>
      <c r="E78" s="446" t="s">
        <v>600</v>
      </c>
      <c r="F78" s="446" t="s">
        <v>554</v>
      </c>
      <c r="G78" s="447">
        <v>2.7431656365382016E-3</v>
      </c>
      <c r="H78" s="310">
        <v>83.994736842105254</v>
      </c>
      <c r="I78" s="448">
        <v>1.9200956312944367E-5</v>
      </c>
      <c r="J78" s="439"/>
    </row>
    <row r="79" spans="4:10" x14ac:dyDescent="0.2">
      <c r="D79" s="446" t="s">
        <v>595</v>
      </c>
      <c r="E79" s="446" t="s">
        <v>555</v>
      </c>
      <c r="F79" s="446" t="s">
        <v>554</v>
      </c>
      <c r="G79" s="447">
        <v>0.20010671432852353</v>
      </c>
      <c r="H79" s="310">
        <v>120.79071428571429</v>
      </c>
      <c r="I79" s="448">
        <v>2.0142527464258111E-3</v>
      </c>
      <c r="J79" s="439"/>
    </row>
    <row r="80" spans="4:10" x14ac:dyDescent="0.2">
      <c r="D80" s="446" t="s">
        <v>595</v>
      </c>
      <c r="E80" s="446" t="s">
        <v>552</v>
      </c>
      <c r="F80" s="446" t="s">
        <v>554</v>
      </c>
      <c r="G80" s="447">
        <v>2.2833244495711402</v>
      </c>
      <c r="H80" s="310">
        <v>105.45126525450512</v>
      </c>
      <c r="I80" s="448">
        <v>2.0064954349485267E-2</v>
      </c>
      <c r="J80" s="439"/>
    </row>
    <row r="81" spans="4:10" x14ac:dyDescent="0.2">
      <c r="D81" s="446" t="s">
        <v>595</v>
      </c>
      <c r="E81" s="446" t="s">
        <v>581</v>
      </c>
      <c r="F81" s="446" t="s">
        <v>554</v>
      </c>
      <c r="G81" s="447">
        <v>9.0813220283291002E-2</v>
      </c>
      <c r="H81" s="310">
        <v>148.52068362480122</v>
      </c>
      <c r="I81" s="448">
        <v>1.1239701298870037E-3</v>
      </c>
      <c r="J81" s="439"/>
    </row>
    <row r="82" spans="4:10" x14ac:dyDescent="0.2">
      <c r="D82" s="446" t="s">
        <v>595</v>
      </c>
      <c r="E82" s="446" t="s">
        <v>574</v>
      </c>
      <c r="F82" s="446" t="s">
        <v>554</v>
      </c>
      <c r="G82" s="447">
        <v>7.218856938258425E-4</v>
      </c>
      <c r="H82" s="310">
        <v>161.19999999999999</v>
      </c>
      <c r="I82" s="448">
        <v>9.69733115372715E-6</v>
      </c>
      <c r="J82" s="439"/>
    </row>
    <row r="83" spans="4:10" x14ac:dyDescent="0.2">
      <c r="D83" s="446" t="s">
        <v>595</v>
      </c>
      <c r="E83" s="446" t="s">
        <v>601</v>
      </c>
      <c r="F83" s="446" t="s">
        <v>554</v>
      </c>
      <c r="G83" s="447">
        <v>7.218856938258425E-4</v>
      </c>
      <c r="H83" s="310">
        <v>156.19999999999999</v>
      </c>
      <c r="I83" s="448">
        <v>9.3965454479663832E-6</v>
      </c>
      <c r="J83" s="439"/>
    </row>
    <row r="84" spans="4:10" x14ac:dyDescent="0.2">
      <c r="D84" s="446" t="s">
        <v>595</v>
      </c>
      <c r="E84" s="446" t="s">
        <v>559</v>
      </c>
      <c r="F84" s="446" t="s">
        <v>554</v>
      </c>
      <c r="G84" s="447">
        <v>0.32802485927446284</v>
      </c>
      <c r="H84" s="310">
        <v>95.750783450704233</v>
      </c>
      <c r="I84" s="448">
        <v>2.6173864389030686E-3</v>
      </c>
      <c r="J84" s="439"/>
    </row>
    <row r="85" spans="4:10" x14ac:dyDescent="0.2">
      <c r="D85" s="446" t="s">
        <v>595</v>
      </c>
      <c r="E85" s="446" t="s">
        <v>573</v>
      </c>
      <c r="F85" s="446" t="s">
        <v>554</v>
      </c>
      <c r="G85" s="447">
        <v>5.77508555060674E-3</v>
      </c>
      <c r="H85" s="310">
        <v>80.338749999999976</v>
      </c>
      <c r="I85" s="448">
        <v>3.8663596189900595E-5</v>
      </c>
      <c r="J85" s="439"/>
    </row>
    <row r="86" spans="4:10" x14ac:dyDescent="0.2">
      <c r="D86" s="446" t="s">
        <v>595</v>
      </c>
      <c r="E86" s="446" t="s">
        <v>562</v>
      </c>
      <c r="F86" s="446" t="s">
        <v>554</v>
      </c>
      <c r="G86" s="447">
        <v>7.5076112157887618E-3</v>
      </c>
      <c r="H86" s="310">
        <v>119.32403846153848</v>
      </c>
      <c r="I86" s="448">
        <v>7.4653207455587992E-5</v>
      </c>
      <c r="J86" s="439"/>
    </row>
    <row r="87" spans="4:10" x14ac:dyDescent="0.2">
      <c r="D87" s="446" t="s">
        <v>595</v>
      </c>
      <c r="E87" s="446" t="s">
        <v>550</v>
      </c>
      <c r="F87" s="446" t="s">
        <v>554</v>
      </c>
      <c r="G87" s="447">
        <v>1.6998964318210941</v>
      </c>
      <c r="H87" s="310">
        <v>342.25553762527784</v>
      </c>
      <c r="I87" s="448">
        <v>4.8483247265018327E-2</v>
      </c>
      <c r="J87" s="439"/>
    </row>
    <row r="88" spans="4:10" x14ac:dyDescent="0.2">
      <c r="D88" s="446" t="s">
        <v>595</v>
      </c>
      <c r="E88" s="446" t="s">
        <v>579</v>
      </c>
      <c r="F88" s="446" t="s">
        <v>554</v>
      </c>
      <c r="G88" s="447">
        <v>2.8875427753033699E-4</v>
      </c>
      <c r="H88" s="310">
        <v>234.00000000000003</v>
      </c>
      <c r="I88" s="448">
        <v>5.6307084118415715E-6</v>
      </c>
      <c r="J88" s="439"/>
    </row>
    <row r="89" spans="4:10" x14ac:dyDescent="0.2">
      <c r="D89" s="446" t="s">
        <v>595</v>
      </c>
      <c r="E89" s="446" t="s">
        <v>556</v>
      </c>
      <c r="F89" s="446" t="s">
        <v>554</v>
      </c>
      <c r="G89" s="447">
        <v>1.155017110121348E-3</v>
      </c>
      <c r="H89" s="310">
        <v>207</v>
      </c>
      <c r="I89" s="448">
        <v>1.9924045149593253E-5</v>
      </c>
      <c r="J89" s="439"/>
    </row>
    <row r="90" spans="4:10" x14ac:dyDescent="0.2">
      <c r="D90" s="446" t="s">
        <v>595</v>
      </c>
      <c r="E90" s="446" t="s">
        <v>602</v>
      </c>
      <c r="F90" s="446" t="s">
        <v>554</v>
      </c>
      <c r="G90" s="447">
        <v>1.5881485264168536E-3</v>
      </c>
      <c r="H90" s="310">
        <v>94.272727272727252</v>
      </c>
      <c r="I90" s="448">
        <v>1.2476591074956643E-5</v>
      </c>
      <c r="J90" s="439"/>
    </row>
    <row r="91" spans="4:10" x14ac:dyDescent="0.2">
      <c r="D91" s="446" t="s">
        <v>595</v>
      </c>
      <c r="E91" s="446" t="s">
        <v>577</v>
      </c>
      <c r="F91" s="446" t="s">
        <v>554</v>
      </c>
      <c r="G91" s="447">
        <v>0.29857192296636853</v>
      </c>
      <c r="H91" s="310">
        <v>60.227316247582152</v>
      </c>
      <c r="I91" s="448">
        <v>1.4985154689286845E-3</v>
      </c>
      <c r="J91" s="439"/>
    </row>
    <row r="92" spans="4:10" x14ac:dyDescent="0.2">
      <c r="D92" s="446" t="s">
        <v>595</v>
      </c>
      <c r="E92" s="446" t="s">
        <v>576</v>
      </c>
      <c r="F92" s="446" t="s">
        <v>554</v>
      </c>
      <c r="G92" s="447">
        <v>3.9703713160421338E-2</v>
      </c>
      <c r="H92" s="310">
        <v>129.29432727272729</v>
      </c>
      <c r="I92" s="448">
        <v>4.2778874027550048E-4</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6.2082169669022457E-3</v>
      </c>
      <c r="H94" s="310">
        <v>107.43139534883721</v>
      </c>
      <c r="I94" s="448">
        <v>5.5579784281886184E-5</v>
      </c>
      <c r="J94" s="439"/>
    </row>
    <row r="95" spans="4:10" x14ac:dyDescent="0.2">
      <c r="D95" s="446" t="s">
        <v>595</v>
      </c>
      <c r="E95" s="446" t="s">
        <v>582</v>
      </c>
      <c r="F95" s="446" t="s">
        <v>554</v>
      </c>
      <c r="G95" s="447">
        <v>1.4437713876516849E-4</v>
      </c>
      <c r="H95" s="310">
        <v>115</v>
      </c>
      <c r="I95" s="448">
        <v>1.3836142464995315E-6</v>
      </c>
      <c r="J95" s="439"/>
    </row>
    <row r="96" spans="4:10" x14ac:dyDescent="0.2">
      <c r="D96" s="446" t="s">
        <v>595</v>
      </c>
      <c r="E96" s="446" t="s">
        <v>565</v>
      </c>
      <c r="F96" s="446" t="s">
        <v>554</v>
      </c>
      <c r="G96" s="447">
        <v>1.920215945576741E-2</v>
      </c>
      <c r="H96" s="310">
        <v>84.802105263157884</v>
      </c>
      <c r="I96" s="448">
        <v>1.3569862895399421E-4</v>
      </c>
      <c r="J96" s="439"/>
    </row>
    <row r="97" spans="4:13" x14ac:dyDescent="0.2">
      <c r="D97" s="446" t="s">
        <v>595</v>
      </c>
      <c r="E97" s="446" t="s">
        <v>604</v>
      </c>
      <c r="F97" s="446" t="s">
        <v>554</v>
      </c>
      <c r="G97" s="447">
        <v>4.1869370241898862E-3</v>
      </c>
      <c r="H97" s="310">
        <v>150.19172413793103</v>
      </c>
      <c r="I97" s="448">
        <v>5.240360754333478E-5</v>
      </c>
      <c r="J97" s="439"/>
    </row>
    <row r="98" spans="4:13" x14ac:dyDescent="0.2">
      <c r="D98" s="446" t="s">
        <v>595</v>
      </c>
      <c r="E98" s="446" t="s">
        <v>569</v>
      </c>
      <c r="F98" s="446" t="s">
        <v>554</v>
      </c>
      <c r="G98" s="447">
        <v>2.0185367770758211</v>
      </c>
      <c r="H98" s="310">
        <v>100.35220227451612</v>
      </c>
      <c r="I98" s="448">
        <v>1.6880384245971887E-2</v>
      </c>
      <c r="J98" s="439"/>
    </row>
    <row r="99" spans="4:13" x14ac:dyDescent="0.2">
      <c r="D99" s="446" t="s">
        <v>595</v>
      </c>
      <c r="E99" s="446" t="s">
        <v>553</v>
      </c>
      <c r="F99" s="446" t="s">
        <v>554</v>
      </c>
      <c r="G99" s="447">
        <v>3.3639873332284263E-2</v>
      </c>
      <c r="H99" s="310">
        <v>177.3187982832618</v>
      </c>
      <c r="I99" s="448">
        <v>4.9708182614014926E-4</v>
      </c>
      <c r="J99" s="439"/>
    </row>
    <row r="100" spans="4:13" x14ac:dyDescent="0.2">
      <c r="D100" s="446" t="s">
        <v>595</v>
      </c>
      <c r="E100" s="446" t="s">
        <v>570</v>
      </c>
      <c r="F100" s="446" t="s">
        <v>554</v>
      </c>
      <c r="G100" s="447">
        <v>1.1261416823683142E-2</v>
      </c>
      <c r="H100" s="310">
        <v>45.654615384615397</v>
      </c>
      <c r="I100" s="448">
        <v>4.2844637814257584E-5</v>
      </c>
      <c r="J100" s="439"/>
    </row>
    <row r="101" spans="4:13" x14ac:dyDescent="0.2">
      <c r="D101" s="446" t="s">
        <v>595</v>
      </c>
      <c r="E101" s="446" t="s">
        <v>551</v>
      </c>
      <c r="F101" s="446" t="s">
        <v>554</v>
      </c>
      <c r="G101" s="447">
        <v>1.4437713876516849E-4</v>
      </c>
      <c r="H101" s="310">
        <v>189.00000000000003</v>
      </c>
      <c r="I101" s="448">
        <v>2.2739399355514041E-6</v>
      </c>
      <c r="J101" s="439"/>
    </row>
    <row r="102" spans="4:13" x14ac:dyDescent="0.2">
      <c r="D102" s="446" t="s">
        <v>595</v>
      </c>
      <c r="E102" s="446" t="s">
        <v>578</v>
      </c>
      <c r="F102" s="446" t="s">
        <v>554</v>
      </c>
      <c r="G102" s="447">
        <v>3.7538056078943805E-3</v>
      </c>
      <c r="H102" s="310">
        <v>101.98692307692308</v>
      </c>
      <c r="I102" s="448">
        <v>3.1903256981503889E-5</v>
      </c>
      <c r="J102" s="439"/>
    </row>
    <row r="103" spans="4:13" x14ac:dyDescent="0.2">
      <c r="D103" s="446" t="s">
        <v>595</v>
      </c>
      <c r="E103" s="446" t="s">
        <v>560</v>
      </c>
      <c r="F103" s="446" t="s">
        <v>554</v>
      </c>
      <c r="G103" s="447">
        <v>7.218856938258425E-4</v>
      </c>
      <c r="H103" s="310">
        <v>127.2</v>
      </c>
      <c r="I103" s="448">
        <v>7.6519883545539304E-6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1.5881485264168536E-3</v>
      </c>
      <c r="H105" s="310">
        <v>126.36363636363635</v>
      </c>
      <c r="I105" s="448">
        <v>1.6723685240298683E-5</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5.6304277155993142E-2</v>
      </c>
      <c r="I107" s="454">
        <v>1.4586903586574191E-5</v>
      </c>
      <c r="J107" s="439"/>
    </row>
    <row r="108" spans="4:13" ht="16" x14ac:dyDescent="0.2">
      <c r="D108" s="461" t="s">
        <v>605</v>
      </c>
      <c r="E108" s="460"/>
      <c r="F108" s="460"/>
      <c r="G108" s="465">
        <v>11.849464909873674</v>
      </c>
      <c r="H108" s="466"/>
      <c r="I108" s="467">
        <v>0.11481253383878232</v>
      </c>
      <c r="J108" s="439"/>
      <c r="K108" s="313" t="s">
        <v>311</v>
      </c>
      <c r="L108" s="313" t="s">
        <v>606</v>
      </c>
      <c r="M108" s="313" t="s">
        <v>528</v>
      </c>
    </row>
    <row r="109" spans="4:13" x14ac:dyDescent="0.2">
      <c r="D109" s="446" t="s">
        <v>607</v>
      </c>
      <c r="E109" s="446" t="s">
        <v>608</v>
      </c>
      <c r="F109" s="468" t="s">
        <v>609</v>
      </c>
      <c r="G109" s="469">
        <v>18.924205353168734</v>
      </c>
      <c r="H109" s="310">
        <v>30.983017853961758</v>
      </c>
      <c r="I109" s="470">
        <v>4.8860749360772129E-2</v>
      </c>
      <c r="J109" s="439"/>
      <c r="K109">
        <f>'Assumptions-Output Target'!$J$17</f>
        <v>10.185185313926722</v>
      </c>
      <c r="L109" s="470">
        <f>G109*K109/12000</f>
        <v>1.6062211536735635E-2</v>
      </c>
      <c r="M109" s="388">
        <f>I109-L109</f>
        <v>3.2798537824036494E-2</v>
      </c>
    </row>
    <row r="110" spans="4:13" x14ac:dyDescent="0.2">
      <c r="D110" s="446" t="s">
        <v>607</v>
      </c>
      <c r="E110" s="446" t="s">
        <v>610</v>
      </c>
      <c r="F110" s="468" t="s">
        <v>609</v>
      </c>
      <c r="G110" s="469">
        <v>0.68932619645851878</v>
      </c>
      <c r="H110" s="310">
        <v>362.67549275829776</v>
      </c>
      <c r="I110" s="470">
        <v>2.0833476497649706E-2</v>
      </c>
      <c r="J110" s="439"/>
      <c r="K110">
        <f>'Assumptions-Output Target'!$K$17</f>
        <v>50.92592656963361</v>
      </c>
      <c r="L110" s="470">
        <f t="shared" ref="L110:L116" si="0">G110*K110/12000</f>
        <v>2.9253812719476132E-3</v>
      </c>
      <c r="M110" s="388">
        <f t="shared" ref="M110:M116" si="1">I110-L110</f>
        <v>1.7908095225702095E-2</v>
      </c>
    </row>
    <row r="111" spans="4:13" x14ac:dyDescent="0.2">
      <c r="D111" s="446" t="s">
        <v>607</v>
      </c>
      <c r="E111" s="446" t="s">
        <v>611</v>
      </c>
      <c r="F111" s="468" t="s">
        <v>609</v>
      </c>
      <c r="G111" s="469">
        <v>0.39622686883048719</v>
      </c>
      <c r="H111" s="310">
        <v>381.19830403071052</v>
      </c>
      <c r="I111" s="470">
        <v>1.2586750867465043E-2</v>
      </c>
      <c r="J111" s="439"/>
      <c r="K111">
        <f>'Assumptions-Output Target'!$L$17</f>
        <v>81.481482511413773</v>
      </c>
      <c r="L111" s="470">
        <f t="shared" si="0"/>
        <v>2.6904293902636316E-3</v>
      </c>
      <c r="M111" s="388">
        <f t="shared" si="1"/>
        <v>9.8963214772014117E-3</v>
      </c>
    </row>
    <row r="112" spans="4:13" x14ac:dyDescent="0.2">
      <c r="D112" s="446" t="s">
        <v>607</v>
      </c>
      <c r="E112" s="446" t="s">
        <v>612</v>
      </c>
      <c r="F112" s="468" t="s">
        <v>609</v>
      </c>
      <c r="G112" s="469">
        <v>1.5417868952285243</v>
      </c>
      <c r="H112" s="310">
        <v>1016.9334625382344</v>
      </c>
      <c r="I112" s="470">
        <v>0.13065789048840143</v>
      </c>
      <c r="J112" s="439"/>
      <c r="K112">
        <f>'Assumptions-Output Target'!$M$17</f>
        <v>203.70370627853444</v>
      </c>
      <c r="L112" s="470">
        <f t="shared" si="0"/>
        <v>2.6172308737477071E-2</v>
      </c>
      <c r="M112" s="388">
        <f t="shared" si="1"/>
        <v>0.10448558175092436</v>
      </c>
    </row>
    <row r="113" spans="4:13" x14ac:dyDescent="0.2">
      <c r="D113" s="446" t="s">
        <v>607</v>
      </c>
      <c r="E113" s="446" t="s">
        <v>613</v>
      </c>
      <c r="F113" s="468" t="s">
        <v>609</v>
      </c>
      <c r="G113" s="469">
        <v>1.0816330125532403</v>
      </c>
      <c r="H113" s="310">
        <v>91.341131153127236</v>
      </c>
      <c r="I113" s="470">
        <v>8.2331319049314695E-3</v>
      </c>
      <c r="J113" s="439"/>
      <c r="K113">
        <f>2*K109</f>
        <v>20.370370627853443</v>
      </c>
      <c r="L113" s="470">
        <f t="shared" si="0"/>
        <v>1.8361054457525967E-3</v>
      </c>
      <c r="M113" s="388">
        <f t="shared" si="1"/>
        <v>6.397026459178873E-3</v>
      </c>
    </row>
    <row r="114" spans="4:13" x14ac:dyDescent="0.2">
      <c r="D114" s="446" t="s">
        <v>607</v>
      </c>
      <c r="E114" s="446" t="s">
        <v>614</v>
      </c>
      <c r="F114" s="468" t="s">
        <v>609</v>
      </c>
      <c r="G114" s="469">
        <v>4.5231377720375249E-2</v>
      </c>
      <c r="H114" s="310">
        <v>642.13913436192831</v>
      </c>
      <c r="I114" s="470">
        <v>2.4204031446132643E-3</v>
      </c>
      <c r="J114" s="439"/>
      <c r="K114">
        <f>2*K110</f>
        <v>101.85185313926722</v>
      </c>
      <c r="L114" s="470">
        <f t="shared" si="0"/>
        <v>3.8390830340519856E-4</v>
      </c>
      <c r="M114" s="388">
        <f t="shared" si="1"/>
        <v>2.0364948412080657E-3</v>
      </c>
    </row>
    <row r="115" spans="4:13" x14ac:dyDescent="0.2">
      <c r="D115" s="446" t="s">
        <v>607</v>
      </c>
      <c r="E115" s="446" t="s">
        <v>615</v>
      </c>
      <c r="F115" s="468" t="s">
        <v>609</v>
      </c>
      <c r="G115" s="469">
        <v>1.3870955834248411E-2</v>
      </c>
      <c r="H115" s="310">
        <v>519.38638008596638</v>
      </c>
      <c r="I115" s="470">
        <v>6.0036546159021652E-4</v>
      </c>
      <c r="J115" s="439"/>
      <c r="K115">
        <f>2*K111</f>
        <v>162.96296502282755</v>
      </c>
      <c r="L115" s="470">
        <f t="shared" si="0"/>
        <v>1.8837100753748412E-4</v>
      </c>
      <c r="M115" s="388">
        <f t="shared" si="1"/>
        <v>4.1199445405273242E-4</v>
      </c>
    </row>
    <row r="116" spans="4:13" x14ac:dyDescent="0.2">
      <c r="D116" s="446" t="s">
        <v>607</v>
      </c>
      <c r="E116" s="446" t="s">
        <v>616</v>
      </c>
      <c r="F116" s="468" t="s">
        <v>609</v>
      </c>
      <c r="G116" s="447">
        <v>0.1335833355341749</v>
      </c>
      <c r="H116" s="310">
        <v>2124.2165108633312</v>
      </c>
      <c r="I116" s="448">
        <v>2.364666057649089E-2</v>
      </c>
      <c r="J116" s="439"/>
      <c r="K116">
        <f>2*K112</f>
        <v>407.40741255706888</v>
      </c>
      <c r="L116" s="470">
        <f t="shared" si="0"/>
        <v>4.5352367575600796E-3</v>
      </c>
      <c r="M116" s="388">
        <f t="shared" si="1"/>
        <v>1.9111423818930811E-2</v>
      </c>
    </row>
    <row r="117" spans="4:13" x14ac:dyDescent="0.2">
      <c r="D117" s="460" t="s">
        <v>617</v>
      </c>
      <c r="E117" s="460"/>
      <c r="F117" s="460"/>
      <c r="G117" s="471">
        <v>22.825863995328312</v>
      </c>
      <c r="H117" s="472"/>
      <c r="I117" s="473">
        <v>0.24783942830191413</v>
      </c>
      <c r="J117" s="439"/>
      <c r="L117" s="470">
        <f>SUM(L109:L116)</f>
        <v>5.4793952450679313E-2</v>
      </c>
      <c r="M117" s="388">
        <f>SUM(M109:M116)</f>
        <v>0.19304547585123483</v>
      </c>
    </row>
    <row r="118" spans="4:13" ht="16" x14ac:dyDescent="0.2">
      <c r="D118" s="461" t="s">
        <v>618</v>
      </c>
      <c r="E118" s="461"/>
      <c r="F118" s="461"/>
      <c r="G118" s="474"/>
      <c r="H118" s="474"/>
      <c r="I118" s="473">
        <v>1.1236618900909041</v>
      </c>
      <c r="J118" s="439"/>
    </row>
  </sheetData>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enableFormatConditionsCalculation="0">
    <tabColor rgb="FF00B05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811</v>
      </c>
      <c r="G3"/>
      <c r="H3"/>
      <c r="I3"/>
    </row>
    <row r="4" spans="2:19" x14ac:dyDescent="0.2">
      <c r="G4"/>
      <c r="H4"/>
      <c r="I4"/>
    </row>
    <row r="5" spans="2:19" ht="16" x14ac:dyDescent="0.2">
      <c r="D5" s="438" t="s">
        <v>812</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0.31752427159703428</v>
      </c>
      <c r="H8" s="310">
        <v>16211.441785375115</v>
      </c>
      <c r="I8" s="448">
        <v>0.42896052036991317</v>
      </c>
      <c r="J8" s="439"/>
      <c r="K8" s="446" t="s">
        <v>1</v>
      </c>
      <c r="L8" s="446" t="s">
        <v>535</v>
      </c>
      <c r="M8" s="446" t="s">
        <v>534</v>
      </c>
      <c r="N8" s="449">
        <v>0.40346388926574733</v>
      </c>
      <c r="O8" s="310">
        <v>13709.076547085193</v>
      </c>
      <c r="P8" s="388">
        <v>0.46092644516073622</v>
      </c>
      <c r="Q8" s="29">
        <f>'Assumptions-Output Override'!D19</f>
        <v>1000</v>
      </c>
      <c r="R8" s="388">
        <f>N8*Q8/12000</f>
        <v>3.3621990772145616E-2</v>
      </c>
      <c r="S8" s="388">
        <f>P8-R8</f>
        <v>0.4273044543885906</v>
      </c>
    </row>
    <row r="9" spans="2:19" x14ac:dyDescent="0.2">
      <c r="D9" s="446" t="s">
        <v>1</v>
      </c>
      <c r="E9" s="446" t="s">
        <v>536</v>
      </c>
      <c r="F9" s="446" t="s">
        <v>534</v>
      </c>
      <c r="G9" s="447">
        <v>3.0154251813583504E-4</v>
      </c>
      <c r="H9" s="310">
        <v>453.99999999999994</v>
      </c>
      <c r="I9" s="448">
        <v>1.1408358602805758E-5</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5.33730257100428E-2</v>
      </c>
      <c r="H10" s="310">
        <v>3981.9558192090394</v>
      </c>
      <c r="I10" s="448">
        <v>1.771075252624155E-2</v>
      </c>
      <c r="J10" s="439"/>
      <c r="K10" s="446" t="s">
        <v>462</v>
      </c>
      <c r="L10" s="446" t="s">
        <v>538</v>
      </c>
      <c r="M10" s="446" t="s">
        <v>539</v>
      </c>
      <c r="N10" s="449">
        <v>3.8566021306951801</v>
      </c>
      <c r="O10" s="310">
        <v>933.72395477688315</v>
      </c>
      <c r="P10" s="388">
        <v>0.30008348278947145</v>
      </c>
      <c r="Q10" s="29">
        <v>0</v>
      </c>
      <c r="R10" s="388">
        <f>N10*Q10/12000</f>
        <v>0</v>
      </c>
      <c r="S10" s="388">
        <f>P10-R10</f>
        <v>0.30008348278947145</v>
      </c>
    </row>
    <row r="11" spans="2:19" x14ac:dyDescent="0.2">
      <c r="D11" s="446" t="s">
        <v>1</v>
      </c>
      <c r="E11" s="446" t="s">
        <v>540</v>
      </c>
      <c r="F11" s="446" t="s">
        <v>534</v>
      </c>
      <c r="G11" s="447">
        <v>9.9509030984825542E-3</v>
      </c>
      <c r="H11" s="310">
        <v>4077.0312121212123</v>
      </c>
      <c r="I11" s="448">
        <v>3.3808452101089215E-3</v>
      </c>
      <c r="J11" s="439"/>
      <c r="K11" s="320" t="s">
        <v>463</v>
      </c>
      <c r="L11" s="450" t="s">
        <v>541</v>
      </c>
      <c r="M11" s="446" t="s">
        <v>539</v>
      </c>
      <c r="N11" s="449">
        <v>0.90495590578007612</v>
      </c>
      <c r="O11" s="310">
        <v>107.04195915762605</v>
      </c>
      <c r="P11" s="388">
        <v>8.0723544254969505E-3</v>
      </c>
      <c r="Q11" s="29">
        <f>'Assumptions-Output Override'!G19</f>
        <v>30</v>
      </c>
      <c r="R11" s="388">
        <f>N11*Q11/12000</f>
        <v>2.2623897644501903E-3</v>
      </c>
      <c r="S11" s="388">
        <f>P11-R11</f>
        <v>5.8099646610467598E-3</v>
      </c>
    </row>
    <row r="12" spans="2:19" x14ac:dyDescent="0.2">
      <c r="D12" s="446" t="s">
        <v>1</v>
      </c>
      <c r="E12" s="446" t="s">
        <v>542</v>
      </c>
      <c r="F12" s="446" t="s">
        <v>534</v>
      </c>
      <c r="G12" s="447">
        <v>0</v>
      </c>
      <c r="H12" s="310" t="s">
        <v>446</v>
      </c>
      <c r="I12" s="448">
        <v>0</v>
      </c>
      <c r="J12" s="439"/>
      <c r="K12" s="320" t="s">
        <v>464</v>
      </c>
      <c r="L12" s="450" t="s">
        <v>541</v>
      </c>
      <c r="M12" s="446" t="s">
        <v>539</v>
      </c>
      <c r="N12" s="449">
        <v>10.944509004093598</v>
      </c>
      <c r="O12" s="310">
        <v>117.03422716179715</v>
      </c>
      <c r="P12" s="388">
        <v>0.10674017941328537</v>
      </c>
      <c r="Q12" s="29">
        <f>'Assumptions-Output Override'!H19</f>
        <v>60</v>
      </c>
      <c r="R12" s="388">
        <f>N12*Q12/12000</f>
        <v>5.4722545020467993E-2</v>
      </c>
      <c r="S12" s="388">
        <f>P12-R12</f>
        <v>5.2017634392817376E-2</v>
      </c>
    </row>
    <row r="13" spans="2:19" x14ac:dyDescent="0.2">
      <c r="D13" s="446" t="s">
        <v>1</v>
      </c>
      <c r="E13" s="446" t="s">
        <v>543</v>
      </c>
      <c r="F13" s="446" t="s">
        <v>534</v>
      </c>
      <c r="G13" s="447">
        <v>2.171106130578012E-2</v>
      </c>
      <c r="H13" s="310">
        <v>5601.5886111111122</v>
      </c>
      <c r="I13" s="448">
        <v>1.0134702812132756E-2</v>
      </c>
      <c r="J13" s="439"/>
      <c r="K13" s="446" t="s">
        <v>465</v>
      </c>
      <c r="P13" s="388">
        <f>I117</f>
        <v>0.24783942830191413</v>
      </c>
      <c r="R13" s="388">
        <f>L117</f>
        <v>5.379769808975076E-2</v>
      </c>
      <c r="S13" s="388">
        <f>M117</f>
        <v>0.19404173021216337</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3.0154251813583504E-4</v>
      </c>
      <c r="H15" s="310">
        <v>28746.629999999997</v>
      </c>
      <c r="I15" s="448">
        <v>7.2236093317659493E-4</v>
      </c>
      <c r="J15" s="439"/>
      <c r="K15" s="446" t="s">
        <v>403</v>
      </c>
      <c r="P15" s="388">
        <f>SUM(P8:P13)</f>
        <v>1.1236618900909041</v>
      </c>
      <c r="R15" s="388">
        <f>SUM(R8:R13)</f>
        <v>0.14440462364681456</v>
      </c>
      <c r="S15" s="388">
        <f>SUM(S8:S13)</f>
        <v>0.9792572664440895</v>
      </c>
    </row>
    <row r="16" spans="2:19" x14ac:dyDescent="0.2">
      <c r="D16" s="451" t="s">
        <v>1</v>
      </c>
      <c r="E16" s="451" t="s">
        <v>546</v>
      </c>
      <c r="F16" s="451" t="s">
        <v>534</v>
      </c>
      <c r="G16" s="452">
        <v>3.0154251813583504E-4</v>
      </c>
      <c r="H16" s="453">
        <v>232.99999999999994</v>
      </c>
      <c r="I16" s="454">
        <v>5.8549505604707962E-6</v>
      </c>
      <c r="J16" s="439"/>
    </row>
    <row r="17" spans="4:10" ht="16" x14ac:dyDescent="0.2">
      <c r="D17" s="456" t="s">
        <v>547</v>
      </c>
      <c r="E17" s="456"/>
      <c r="F17" s="456"/>
      <c r="G17" s="457">
        <v>0.40346388926574733</v>
      </c>
      <c r="H17" s="458"/>
      <c r="I17" s="459">
        <v>0.46092644516073622</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9.9620225747966262E-3</v>
      </c>
      <c r="H19" s="310">
        <v>144.81</v>
      </c>
      <c r="I19" s="448">
        <v>1.2021670742135828E-4</v>
      </c>
      <c r="J19" s="439"/>
    </row>
    <row r="20" spans="4:10" x14ac:dyDescent="0.2">
      <c r="D20" s="446" t="s">
        <v>462</v>
      </c>
      <c r="E20" s="446" t="s">
        <v>550</v>
      </c>
      <c r="F20" s="446" t="s">
        <v>537</v>
      </c>
      <c r="G20" s="447">
        <v>0.36007658408033028</v>
      </c>
      <c r="H20" s="310">
        <v>472.23594226142745</v>
      </c>
      <c r="I20" s="448">
        <v>1.4170092080787573E-2</v>
      </c>
      <c r="J20" s="439"/>
    </row>
    <row r="21" spans="4:10" x14ac:dyDescent="0.2">
      <c r="D21" s="446" t="s">
        <v>462</v>
      </c>
      <c r="E21" s="446" t="s">
        <v>551</v>
      </c>
      <c r="F21" s="446" t="s">
        <v>537</v>
      </c>
      <c r="G21" s="447">
        <v>5.6307084118415712E-3</v>
      </c>
      <c r="H21" s="310">
        <v>995.86179487179493</v>
      </c>
      <c r="I21" s="448">
        <v>4.6728394878468843E-4</v>
      </c>
      <c r="J21" s="439"/>
    </row>
    <row r="22" spans="4:10" x14ac:dyDescent="0.2">
      <c r="D22" s="446" t="s">
        <v>462</v>
      </c>
      <c r="E22" s="446" t="s">
        <v>552</v>
      </c>
      <c r="F22" s="446" t="s">
        <v>537</v>
      </c>
      <c r="G22" s="447">
        <v>4.6778192959914602E-2</v>
      </c>
      <c r="H22" s="310">
        <v>435.54592592592587</v>
      </c>
      <c r="I22" s="448">
        <v>1.6978376138223027E-3</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7.8396786349486505E-2</v>
      </c>
      <c r="H38" s="310">
        <v>685.27885819521168</v>
      </c>
      <c r="I38" s="448">
        <v>4.4769716863125057E-3</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4.3313141629550551E-4</v>
      </c>
      <c r="H45" s="310">
        <v>478.97</v>
      </c>
      <c r="I45" s="448">
        <v>1.728807953858819E-5</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1.3659282147536447</v>
      </c>
      <c r="H52" s="310">
        <v>998.29548752151891</v>
      </c>
      <c r="I52" s="448">
        <v>0.11363333108890732</v>
      </c>
      <c r="J52" s="439"/>
    </row>
    <row r="53" spans="4:10" x14ac:dyDescent="0.2">
      <c r="D53" s="446" t="s">
        <v>462</v>
      </c>
      <c r="E53" s="446" t="s">
        <v>584</v>
      </c>
      <c r="F53" s="446" t="s">
        <v>554</v>
      </c>
      <c r="G53" s="447">
        <v>7.5489660126021541E-2</v>
      </c>
      <c r="H53" s="310">
        <v>998.29548752151891</v>
      </c>
      <c r="I53" s="448">
        <v>6.280082254861704E-3</v>
      </c>
      <c r="J53" s="439"/>
    </row>
    <row r="54" spans="4:10" x14ac:dyDescent="0.2">
      <c r="D54" s="446" t="s">
        <v>462</v>
      </c>
      <c r="E54" s="446" t="s">
        <v>585</v>
      </c>
      <c r="F54" s="446" t="s">
        <v>554</v>
      </c>
      <c r="G54" s="447">
        <v>0.33426460601533386</v>
      </c>
      <c r="H54" s="310">
        <v>998.29548752151914</v>
      </c>
      <c r="I54" s="448">
        <v>2.7807903985272185E-2</v>
      </c>
      <c r="J54" s="439"/>
    </row>
    <row r="55" spans="4:10" x14ac:dyDescent="0.2">
      <c r="D55" s="446" t="s">
        <v>462</v>
      </c>
      <c r="E55" s="446" t="s">
        <v>586</v>
      </c>
      <c r="F55" s="446" t="s">
        <v>537</v>
      </c>
      <c r="G55" s="447">
        <v>0.18272142626781701</v>
      </c>
      <c r="H55" s="310">
        <v>998.29548752151902</v>
      </c>
      <c r="I55" s="448">
        <v>1.5200831276388138E-2</v>
      </c>
      <c r="J55" s="439"/>
    </row>
    <row r="56" spans="4:10" x14ac:dyDescent="0.2">
      <c r="D56" s="446" t="s">
        <v>462</v>
      </c>
      <c r="E56" s="446" t="s">
        <v>5</v>
      </c>
      <c r="F56" s="446" t="s">
        <v>537</v>
      </c>
      <c r="G56" s="447">
        <v>0.15668553364614241</v>
      </c>
      <c r="H56" s="310">
        <v>998.29548752151891</v>
      </c>
      <c r="I56" s="448">
        <v>1.3034871766570423E-2</v>
      </c>
      <c r="J56" s="439"/>
    </row>
    <row r="57" spans="4:10" x14ac:dyDescent="0.2">
      <c r="D57" s="446" t="s">
        <v>462</v>
      </c>
      <c r="E57" s="446" t="s">
        <v>587</v>
      </c>
      <c r="F57" s="446" t="s">
        <v>537</v>
      </c>
      <c r="G57" s="447">
        <v>0.41378992950583887</v>
      </c>
      <c r="H57" s="310">
        <v>998.29548752151902</v>
      </c>
      <c r="I57" s="448">
        <v>3.4423718283960535E-2</v>
      </c>
      <c r="J57" s="439"/>
    </row>
    <row r="58" spans="4:10" x14ac:dyDescent="0.2">
      <c r="D58" s="446" t="s">
        <v>462</v>
      </c>
      <c r="E58" s="446" t="s">
        <v>588</v>
      </c>
      <c r="F58" s="446" t="s">
        <v>537</v>
      </c>
      <c r="G58" s="447">
        <v>0.27952365957938058</v>
      </c>
      <c r="H58" s="310">
        <v>998.29548752151902</v>
      </c>
      <c r="I58" s="448">
        <v>2.325393400113307E-2</v>
      </c>
      <c r="J58" s="439"/>
    </row>
    <row r="59" spans="4:10" x14ac:dyDescent="0.2">
      <c r="D59" s="446" t="s">
        <v>462</v>
      </c>
      <c r="E59" s="446" t="s">
        <v>589</v>
      </c>
      <c r="F59" s="446" t="s">
        <v>537</v>
      </c>
      <c r="G59" s="447">
        <v>0.10804858157720484</v>
      </c>
      <c r="H59" s="310">
        <v>998.29548752151902</v>
      </c>
      <c r="I59" s="448">
        <v>8.9887009518020266E-3</v>
      </c>
      <c r="J59" s="439"/>
    </row>
    <row r="60" spans="4:10" x14ac:dyDescent="0.2">
      <c r="D60" s="446" t="s">
        <v>462</v>
      </c>
      <c r="E60" s="446" t="s">
        <v>590</v>
      </c>
      <c r="F60" s="446" t="s">
        <v>537</v>
      </c>
      <c r="G60" s="447">
        <v>0.10313038633673292</v>
      </c>
      <c r="H60" s="310">
        <v>998.29548752151879</v>
      </c>
      <c r="I60" s="448">
        <v>8.5795499421926144E-3</v>
      </c>
      <c r="J60" s="439"/>
    </row>
    <row r="61" spans="4:10" x14ac:dyDescent="0.2">
      <c r="D61" s="446" t="s">
        <v>462</v>
      </c>
      <c r="E61" s="446" t="s">
        <v>591</v>
      </c>
      <c r="F61" s="446" t="s">
        <v>537</v>
      </c>
      <c r="G61" s="447">
        <v>0.17099392813131437</v>
      </c>
      <c r="H61" s="310">
        <v>998.29548752151891</v>
      </c>
      <c r="I61" s="448">
        <v>1.4225205570589171E-2</v>
      </c>
      <c r="J61" s="439"/>
    </row>
    <row r="62" spans="4:10" x14ac:dyDescent="0.2">
      <c r="D62" s="446" t="s">
        <v>462</v>
      </c>
      <c r="E62" s="446" t="s">
        <v>592</v>
      </c>
      <c r="F62" s="446" t="s">
        <v>537</v>
      </c>
      <c r="G62" s="447">
        <v>0.16474877896308421</v>
      </c>
      <c r="H62" s="310">
        <v>998.29548752151891</v>
      </c>
      <c r="I62" s="448">
        <v>1.3705663551127258E-2</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3.8566021306951801</v>
      </c>
      <c r="H64" s="463"/>
      <c r="I64" s="464">
        <v>0.30008348278947145</v>
      </c>
      <c r="J64" s="439"/>
    </row>
    <row r="65" spans="4:10" x14ac:dyDescent="0.2">
      <c r="D65" s="446" t="s">
        <v>595</v>
      </c>
      <c r="E65" s="446" t="s">
        <v>596</v>
      </c>
      <c r="F65" s="446" t="s">
        <v>554</v>
      </c>
      <c r="G65" s="447">
        <v>3.7538056078943809E-3</v>
      </c>
      <c r="H65" s="310">
        <v>239.50000000000003</v>
      </c>
      <c r="I65" s="448">
        <v>7.4919703590892029E-5</v>
      </c>
      <c r="J65" s="439"/>
    </row>
    <row r="66" spans="4:10" x14ac:dyDescent="0.2">
      <c r="D66" s="446" t="s">
        <v>595</v>
      </c>
      <c r="E66" s="446" t="s">
        <v>563</v>
      </c>
      <c r="F66" s="446" t="s">
        <v>554</v>
      </c>
      <c r="G66" s="447">
        <v>6.0349644003840436E-2</v>
      </c>
      <c r="H66" s="310">
        <v>327.84188995215311</v>
      </c>
      <c r="I66" s="448">
        <v>1.6487617790132227E-3</v>
      </c>
      <c r="J66" s="439"/>
    </row>
    <row r="67" spans="4:10" x14ac:dyDescent="0.2">
      <c r="D67" s="446" t="s">
        <v>595</v>
      </c>
      <c r="E67" s="446" t="s">
        <v>564</v>
      </c>
      <c r="F67" s="446" t="s">
        <v>554</v>
      </c>
      <c r="G67" s="447">
        <v>2.8153542059207858E-2</v>
      </c>
      <c r="H67" s="310">
        <v>121.52230769230769</v>
      </c>
      <c r="I67" s="448">
        <v>2.8510695006228192E-4</v>
      </c>
      <c r="J67" s="439"/>
    </row>
    <row r="68" spans="4:10" x14ac:dyDescent="0.2">
      <c r="D68" s="446" t="s">
        <v>595</v>
      </c>
      <c r="E68" s="446" t="s">
        <v>597</v>
      </c>
      <c r="F68" s="446" t="s">
        <v>554</v>
      </c>
      <c r="G68" s="447">
        <v>4.3313141629550551E-4</v>
      </c>
      <c r="H68" s="310">
        <v>84.333333333333343</v>
      </c>
      <c r="I68" s="448">
        <v>3.0439513422989695E-6</v>
      </c>
      <c r="J68" s="439"/>
    </row>
    <row r="69" spans="4:10" x14ac:dyDescent="0.2">
      <c r="D69" s="446" t="s">
        <v>595</v>
      </c>
      <c r="E69" s="446" t="s">
        <v>572</v>
      </c>
      <c r="F69" s="446" t="s">
        <v>554</v>
      </c>
      <c r="G69" s="447">
        <v>2.8875427753033699E-4</v>
      </c>
      <c r="H69" s="310">
        <v>176.00000000000003</v>
      </c>
      <c r="I69" s="448">
        <v>4.2350627371116095E-6</v>
      </c>
      <c r="J69" s="439"/>
    </row>
    <row r="70" spans="4:10" x14ac:dyDescent="0.2">
      <c r="D70" s="446" t="s">
        <v>595</v>
      </c>
      <c r="E70" s="446" t="s">
        <v>567</v>
      </c>
      <c r="F70" s="446" t="s">
        <v>554</v>
      </c>
      <c r="G70" s="447">
        <v>1.155017110121348E-3</v>
      </c>
      <c r="H70" s="310">
        <v>69.709999999999994</v>
      </c>
      <c r="I70" s="448">
        <v>6.709686895546597E-6</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0.20862496551566845</v>
      </c>
      <c r="H72" s="310">
        <v>322.63055363321803</v>
      </c>
      <c r="I72" s="448">
        <v>5.6090656771692615E-3</v>
      </c>
      <c r="J72" s="439"/>
    </row>
    <row r="73" spans="4:10" x14ac:dyDescent="0.2">
      <c r="D73" s="446" t="s">
        <v>595</v>
      </c>
      <c r="E73" s="446" t="s">
        <v>598</v>
      </c>
      <c r="F73" s="446" t="s">
        <v>554</v>
      </c>
      <c r="G73" s="447">
        <v>6.3525941056674128E-3</v>
      </c>
      <c r="H73" s="310">
        <v>115.08818181818184</v>
      </c>
      <c r="I73" s="448">
        <v>6.0925708787513454E-5</v>
      </c>
      <c r="J73" s="439"/>
    </row>
    <row r="74" spans="4:10" x14ac:dyDescent="0.2">
      <c r="D74" s="446" t="s">
        <v>595</v>
      </c>
      <c r="E74" s="446" t="s">
        <v>549</v>
      </c>
      <c r="F74" s="446" t="s">
        <v>554</v>
      </c>
      <c r="G74" s="447">
        <v>0.3371206190166684</v>
      </c>
      <c r="H74" s="310">
        <v>107.24683083511779</v>
      </c>
      <c r="I74" s="448">
        <v>3.0129264998925692E-3</v>
      </c>
      <c r="J74" s="439"/>
    </row>
    <row r="75" spans="4:10" x14ac:dyDescent="0.2">
      <c r="D75" s="446" t="s">
        <v>595</v>
      </c>
      <c r="E75" s="446" t="s">
        <v>571</v>
      </c>
      <c r="F75" s="446" t="s">
        <v>554</v>
      </c>
      <c r="G75" s="447">
        <v>1.155017110121348E-3</v>
      </c>
      <c r="H75" s="310">
        <v>115.75000000000001</v>
      </c>
      <c r="I75" s="448">
        <v>1.1141102541378838E-5</v>
      </c>
      <c r="J75" s="439"/>
    </row>
    <row r="76" spans="4:10" x14ac:dyDescent="0.2">
      <c r="D76" s="446" t="s">
        <v>595</v>
      </c>
      <c r="E76" s="446" t="s">
        <v>561</v>
      </c>
      <c r="F76" s="446" t="s">
        <v>554</v>
      </c>
      <c r="G76" s="447">
        <v>2.7431656365382016E-3</v>
      </c>
      <c r="H76" s="310">
        <v>98.046315789473681</v>
      </c>
      <c r="I76" s="448">
        <v>2.241310702190476E-5</v>
      </c>
      <c r="J76" s="439"/>
    </row>
    <row r="77" spans="4:10" x14ac:dyDescent="0.2">
      <c r="D77" s="446" t="s">
        <v>595</v>
      </c>
      <c r="E77" s="446" t="s">
        <v>599</v>
      </c>
      <c r="F77" s="446" t="s">
        <v>554</v>
      </c>
      <c r="G77" s="447">
        <v>1.0301308850894773</v>
      </c>
      <c r="H77" s="310">
        <v>115.50000700770879</v>
      </c>
      <c r="I77" s="448">
        <v>9.9150103705576559E-3</v>
      </c>
      <c r="J77" s="439"/>
    </row>
    <row r="78" spans="4:10" x14ac:dyDescent="0.2">
      <c r="D78" s="446" t="s">
        <v>595</v>
      </c>
      <c r="E78" s="446" t="s">
        <v>600</v>
      </c>
      <c r="F78" s="446" t="s">
        <v>554</v>
      </c>
      <c r="G78" s="447">
        <v>2.7431656365382016E-3</v>
      </c>
      <c r="H78" s="310">
        <v>83.994736842105254</v>
      </c>
      <c r="I78" s="448">
        <v>1.9200956312944367E-5</v>
      </c>
      <c r="J78" s="439"/>
    </row>
    <row r="79" spans="4:10" x14ac:dyDescent="0.2">
      <c r="D79" s="446" t="s">
        <v>595</v>
      </c>
      <c r="E79" s="446" t="s">
        <v>555</v>
      </c>
      <c r="F79" s="446" t="s">
        <v>554</v>
      </c>
      <c r="G79" s="447">
        <v>0.20010671432852353</v>
      </c>
      <c r="H79" s="310">
        <v>120.79071428571429</v>
      </c>
      <c r="I79" s="448">
        <v>2.0142527464258111E-3</v>
      </c>
      <c r="J79" s="439"/>
    </row>
    <row r="80" spans="4:10" x14ac:dyDescent="0.2">
      <c r="D80" s="446" t="s">
        <v>595</v>
      </c>
      <c r="E80" s="446" t="s">
        <v>552</v>
      </c>
      <c r="F80" s="446" t="s">
        <v>554</v>
      </c>
      <c r="G80" s="447">
        <v>2.2833244495711402</v>
      </c>
      <c r="H80" s="310">
        <v>105.45126525450512</v>
      </c>
      <c r="I80" s="448">
        <v>2.0064954349485267E-2</v>
      </c>
      <c r="J80" s="439"/>
    </row>
    <row r="81" spans="4:10" x14ac:dyDescent="0.2">
      <c r="D81" s="446" t="s">
        <v>595</v>
      </c>
      <c r="E81" s="446" t="s">
        <v>581</v>
      </c>
      <c r="F81" s="446" t="s">
        <v>554</v>
      </c>
      <c r="G81" s="447">
        <v>9.0813220283291002E-2</v>
      </c>
      <c r="H81" s="310">
        <v>148.52068362480122</v>
      </c>
      <c r="I81" s="448">
        <v>1.1239701298870037E-3</v>
      </c>
      <c r="J81" s="439"/>
    </row>
    <row r="82" spans="4:10" x14ac:dyDescent="0.2">
      <c r="D82" s="446" t="s">
        <v>595</v>
      </c>
      <c r="E82" s="446" t="s">
        <v>574</v>
      </c>
      <c r="F82" s="446" t="s">
        <v>554</v>
      </c>
      <c r="G82" s="447">
        <v>7.218856938258425E-4</v>
      </c>
      <c r="H82" s="310">
        <v>161.19999999999999</v>
      </c>
      <c r="I82" s="448">
        <v>9.69733115372715E-6</v>
      </c>
      <c r="J82" s="439"/>
    </row>
    <row r="83" spans="4:10" x14ac:dyDescent="0.2">
      <c r="D83" s="446" t="s">
        <v>595</v>
      </c>
      <c r="E83" s="446" t="s">
        <v>601</v>
      </c>
      <c r="F83" s="446" t="s">
        <v>554</v>
      </c>
      <c r="G83" s="447">
        <v>7.218856938258425E-4</v>
      </c>
      <c r="H83" s="310">
        <v>156.19999999999999</v>
      </c>
      <c r="I83" s="448">
        <v>9.3965454479663832E-6</v>
      </c>
      <c r="J83" s="439"/>
    </row>
    <row r="84" spans="4:10" x14ac:dyDescent="0.2">
      <c r="D84" s="446" t="s">
        <v>595</v>
      </c>
      <c r="E84" s="446" t="s">
        <v>559</v>
      </c>
      <c r="F84" s="446" t="s">
        <v>554</v>
      </c>
      <c r="G84" s="447">
        <v>0.32802485927446284</v>
      </c>
      <c r="H84" s="310">
        <v>95.750783450704233</v>
      </c>
      <c r="I84" s="448">
        <v>2.6173864389030686E-3</v>
      </c>
      <c r="J84" s="439"/>
    </row>
    <row r="85" spans="4:10" x14ac:dyDescent="0.2">
      <c r="D85" s="446" t="s">
        <v>595</v>
      </c>
      <c r="E85" s="446" t="s">
        <v>573</v>
      </c>
      <c r="F85" s="446" t="s">
        <v>554</v>
      </c>
      <c r="G85" s="447">
        <v>5.77508555060674E-3</v>
      </c>
      <c r="H85" s="310">
        <v>80.338749999999976</v>
      </c>
      <c r="I85" s="448">
        <v>3.8663596189900595E-5</v>
      </c>
      <c r="J85" s="439"/>
    </row>
    <row r="86" spans="4:10" x14ac:dyDescent="0.2">
      <c r="D86" s="446" t="s">
        <v>595</v>
      </c>
      <c r="E86" s="446" t="s">
        <v>562</v>
      </c>
      <c r="F86" s="446" t="s">
        <v>554</v>
      </c>
      <c r="G86" s="447">
        <v>7.5076112157887618E-3</v>
      </c>
      <c r="H86" s="310">
        <v>119.32403846153848</v>
      </c>
      <c r="I86" s="448">
        <v>7.4653207455587992E-5</v>
      </c>
      <c r="J86" s="439"/>
    </row>
    <row r="87" spans="4:10" x14ac:dyDescent="0.2">
      <c r="D87" s="446" t="s">
        <v>595</v>
      </c>
      <c r="E87" s="446" t="s">
        <v>550</v>
      </c>
      <c r="F87" s="446" t="s">
        <v>554</v>
      </c>
      <c r="G87" s="447">
        <v>1.6998964318210941</v>
      </c>
      <c r="H87" s="310">
        <v>342.25553762527784</v>
      </c>
      <c r="I87" s="448">
        <v>4.8483247265018327E-2</v>
      </c>
      <c r="J87" s="439"/>
    </row>
    <row r="88" spans="4:10" x14ac:dyDescent="0.2">
      <c r="D88" s="446" t="s">
        <v>595</v>
      </c>
      <c r="E88" s="446" t="s">
        <v>579</v>
      </c>
      <c r="F88" s="446" t="s">
        <v>554</v>
      </c>
      <c r="G88" s="447">
        <v>2.8875427753033699E-4</v>
      </c>
      <c r="H88" s="310">
        <v>234.00000000000003</v>
      </c>
      <c r="I88" s="448">
        <v>5.6307084118415715E-6</v>
      </c>
      <c r="J88" s="439"/>
    </row>
    <row r="89" spans="4:10" x14ac:dyDescent="0.2">
      <c r="D89" s="446" t="s">
        <v>595</v>
      </c>
      <c r="E89" s="446" t="s">
        <v>556</v>
      </c>
      <c r="F89" s="446" t="s">
        <v>554</v>
      </c>
      <c r="G89" s="447">
        <v>1.155017110121348E-3</v>
      </c>
      <c r="H89" s="310">
        <v>207</v>
      </c>
      <c r="I89" s="448">
        <v>1.9924045149593253E-5</v>
      </c>
      <c r="J89" s="439"/>
    </row>
    <row r="90" spans="4:10" x14ac:dyDescent="0.2">
      <c r="D90" s="446" t="s">
        <v>595</v>
      </c>
      <c r="E90" s="446" t="s">
        <v>602</v>
      </c>
      <c r="F90" s="446" t="s">
        <v>554</v>
      </c>
      <c r="G90" s="447">
        <v>1.5881485264168536E-3</v>
      </c>
      <c r="H90" s="310">
        <v>94.272727272727252</v>
      </c>
      <c r="I90" s="448">
        <v>1.2476591074956643E-5</v>
      </c>
      <c r="J90" s="439"/>
    </row>
    <row r="91" spans="4:10" x14ac:dyDescent="0.2">
      <c r="D91" s="446" t="s">
        <v>595</v>
      </c>
      <c r="E91" s="446" t="s">
        <v>577</v>
      </c>
      <c r="F91" s="446" t="s">
        <v>554</v>
      </c>
      <c r="G91" s="447">
        <v>0.29857192296636853</v>
      </c>
      <c r="H91" s="310">
        <v>60.227316247582152</v>
      </c>
      <c r="I91" s="448">
        <v>1.4985154689286845E-3</v>
      </c>
      <c r="J91" s="439"/>
    </row>
    <row r="92" spans="4:10" x14ac:dyDescent="0.2">
      <c r="D92" s="446" t="s">
        <v>595</v>
      </c>
      <c r="E92" s="446" t="s">
        <v>576</v>
      </c>
      <c r="F92" s="446" t="s">
        <v>554</v>
      </c>
      <c r="G92" s="447">
        <v>3.9703713160421338E-2</v>
      </c>
      <c r="H92" s="310">
        <v>129.29432727272729</v>
      </c>
      <c r="I92" s="448">
        <v>4.2778874027550048E-4</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6.2082169669022457E-3</v>
      </c>
      <c r="H94" s="310">
        <v>107.43139534883721</v>
      </c>
      <c r="I94" s="448">
        <v>5.5579784281886184E-5</v>
      </c>
      <c r="J94" s="439"/>
    </row>
    <row r="95" spans="4:10" x14ac:dyDescent="0.2">
      <c r="D95" s="446" t="s">
        <v>595</v>
      </c>
      <c r="E95" s="446" t="s">
        <v>582</v>
      </c>
      <c r="F95" s="446" t="s">
        <v>554</v>
      </c>
      <c r="G95" s="447">
        <v>1.4437713876516849E-4</v>
      </c>
      <c r="H95" s="310">
        <v>115</v>
      </c>
      <c r="I95" s="448">
        <v>1.3836142464995315E-6</v>
      </c>
      <c r="J95" s="439"/>
    </row>
    <row r="96" spans="4:10" x14ac:dyDescent="0.2">
      <c r="D96" s="446" t="s">
        <v>595</v>
      </c>
      <c r="E96" s="446" t="s">
        <v>565</v>
      </c>
      <c r="F96" s="446" t="s">
        <v>554</v>
      </c>
      <c r="G96" s="447">
        <v>1.920215945576741E-2</v>
      </c>
      <c r="H96" s="310">
        <v>84.802105263157884</v>
      </c>
      <c r="I96" s="448">
        <v>1.3569862895399421E-4</v>
      </c>
      <c r="J96" s="439"/>
    </row>
    <row r="97" spans="4:13" x14ac:dyDescent="0.2">
      <c r="D97" s="446" t="s">
        <v>595</v>
      </c>
      <c r="E97" s="446" t="s">
        <v>604</v>
      </c>
      <c r="F97" s="446" t="s">
        <v>554</v>
      </c>
      <c r="G97" s="447">
        <v>4.1869370241898862E-3</v>
      </c>
      <c r="H97" s="310">
        <v>150.19172413793103</v>
      </c>
      <c r="I97" s="448">
        <v>5.240360754333478E-5</v>
      </c>
      <c r="J97" s="439"/>
    </row>
    <row r="98" spans="4:13" x14ac:dyDescent="0.2">
      <c r="D98" s="446" t="s">
        <v>595</v>
      </c>
      <c r="E98" s="446" t="s">
        <v>569</v>
      </c>
      <c r="F98" s="446" t="s">
        <v>554</v>
      </c>
      <c r="G98" s="447">
        <v>2.0185367770758211</v>
      </c>
      <c r="H98" s="310">
        <v>100.35220227451612</v>
      </c>
      <c r="I98" s="448">
        <v>1.6880384245971887E-2</v>
      </c>
      <c r="J98" s="439"/>
    </row>
    <row r="99" spans="4:13" x14ac:dyDescent="0.2">
      <c r="D99" s="446" t="s">
        <v>595</v>
      </c>
      <c r="E99" s="446" t="s">
        <v>553</v>
      </c>
      <c r="F99" s="446" t="s">
        <v>554</v>
      </c>
      <c r="G99" s="447">
        <v>3.3639873332284263E-2</v>
      </c>
      <c r="H99" s="310">
        <v>177.3187982832618</v>
      </c>
      <c r="I99" s="448">
        <v>4.9708182614014926E-4</v>
      </c>
      <c r="J99" s="439"/>
    </row>
    <row r="100" spans="4:13" x14ac:dyDescent="0.2">
      <c r="D100" s="446" t="s">
        <v>595</v>
      </c>
      <c r="E100" s="446" t="s">
        <v>570</v>
      </c>
      <c r="F100" s="446" t="s">
        <v>554</v>
      </c>
      <c r="G100" s="447">
        <v>1.1261416823683142E-2</v>
      </c>
      <c r="H100" s="310">
        <v>45.654615384615397</v>
      </c>
      <c r="I100" s="448">
        <v>4.2844637814257584E-5</v>
      </c>
      <c r="J100" s="439"/>
    </row>
    <row r="101" spans="4:13" x14ac:dyDescent="0.2">
      <c r="D101" s="446" t="s">
        <v>595</v>
      </c>
      <c r="E101" s="446" t="s">
        <v>551</v>
      </c>
      <c r="F101" s="446" t="s">
        <v>554</v>
      </c>
      <c r="G101" s="447">
        <v>1.4437713876516849E-4</v>
      </c>
      <c r="H101" s="310">
        <v>189.00000000000003</v>
      </c>
      <c r="I101" s="448">
        <v>2.2739399355514041E-6</v>
      </c>
      <c r="J101" s="439"/>
    </row>
    <row r="102" spans="4:13" x14ac:dyDescent="0.2">
      <c r="D102" s="446" t="s">
        <v>595</v>
      </c>
      <c r="E102" s="446" t="s">
        <v>578</v>
      </c>
      <c r="F102" s="446" t="s">
        <v>554</v>
      </c>
      <c r="G102" s="447">
        <v>3.7538056078943805E-3</v>
      </c>
      <c r="H102" s="310">
        <v>101.98692307692308</v>
      </c>
      <c r="I102" s="448">
        <v>3.1903256981503889E-5</v>
      </c>
      <c r="J102" s="439"/>
    </row>
    <row r="103" spans="4:13" x14ac:dyDescent="0.2">
      <c r="D103" s="446" t="s">
        <v>595</v>
      </c>
      <c r="E103" s="446" t="s">
        <v>560</v>
      </c>
      <c r="F103" s="446" t="s">
        <v>554</v>
      </c>
      <c r="G103" s="447">
        <v>7.218856938258425E-4</v>
      </c>
      <c r="H103" s="310">
        <v>127.2</v>
      </c>
      <c r="I103" s="448">
        <v>7.6519883545539304E-6</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1.5881485264168536E-3</v>
      </c>
      <c r="H105" s="310">
        <v>126.36363636363635</v>
      </c>
      <c r="I105" s="448">
        <v>1.6723685240298683E-5</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5.6304277155993142E-2</v>
      </c>
      <c r="I107" s="454">
        <v>1.4586903586574191E-5</v>
      </c>
      <c r="J107" s="439"/>
    </row>
    <row r="108" spans="4:13" ht="16" x14ac:dyDescent="0.2">
      <c r="D108" s="461" t="s">
        <v>605</v>
      </c>
      <c r="E108" s="460"/>
      <c r="F108" s="460"/>
      <c r="G108" s="465">
        <v>11.849464909873674</v>
      </c>
      <c r="H108" s="466"/>
      <c r="I108" s="467">
        <v>0.11481253383878232</v>
      </c>
      <c r="J108" s="439"/>
      <c r="K108" s="313" t="s">
        <v>311</v>
      </c>
      <c r="L108" s="313" t="s">
        <v>606</v>
      </c>
      <c r="M108" s="313" t="s">
        <v>528</v>
      </c>
    </row>
    <row r="109" spans="4:13" x14ac:dyDescent="0.2">
      <c r="D109" s="446" t="s">
        <v>607</v>
      </c>
      <c r="E109" s="446" t="s">
        <v>608</v>
      </c>
      <c r="F109" s="468" t="s">
        <v>609</v>
      </c>
      <c r="G109" s="469">
        <v>18.924205353168734</v>
      </c>
      <c r="H109" s="310">
        <v>30.983017853961758</v>
      </c>
      <c r="I109" s="470">
        <v>4.8860749360772129E-2</v>
      </c>
      <c r="J109" s="439"/>
      <c r="K109">
        <f>'Assumptions-Output Override'!$J$19</f>
        <v>10</v>
      </c>
      <c r="L109" s="470">
        <f>G109*K109/12000</f>
        <v>1.5770171127640609E-2</v>
      </c>
      <c r="M109" s="388">
        <f>I109-L109</f>
        <v>3.3090578233131523E-2</v>
      </c>
    </row>
    <row r="110" spans="4:13" x14ac:dyDescent="0.2">
      <c r="D110" s="446" t="s">
        <v>607</v>
      </c>
      <c r="E110" s="446" t="s">
        <v>610</v>
      </c>
      <c r="F110" s="468" t="s">
        <v>609</v>
      </c>
      <c r="G110" s="469">
        <v>0.68932619645851878</v>
      </c>
      <c r="H110" s="310">
        <v>362.67549275829776</v>
      </c>
      <c r="I110" s="470">
        <v>2.0833476497649706E-2</v>
      </c>
      <c r="J110" s="439"/>
      <c r="K110">
        <f>'Assumptions-Output Override'!$K$19</f>
        <v>50</v>
      </c>
      <c r="L110" s="470">
        <f t="shared" ref="L110:L116" si="0">G110*K110/12000</f>
        <v>2.8721924852438282E-3</v>
      </c>
      <c r="M110" s="388">
        <f t="shared" ref="M110:M116" si="1">I110-L110</f>
        <v>1.7961284012405879E-2</v>
      </c>
    </row>
    <row r="111" spans="4:13" x14ac:dyDescent="0.2">
      <c r="D111" s="446" t="s">
        <v>607</v>
      </c>
      <c r="E111" s="446" t="s">
        <v>611</v>
      </c>
      <c r="F111" s="468" t="s">
        <v>609</v>
      </c>
      <c r="G111" s="469">
        <v>0.39622686883048719</v>
      </c>
      <c r="H111" s="310">
        <v>381.19830403071052</v>
      </c>
      <c r="I111" s="470">
        <v>1.2586750867465043E-2</v>
      </c>
      <c r="J111" s="439"/>
      <c r="K111">
        <f>'Assumptions-Output Override'!$L$19</f>
        <v>80</v>
      </c>
      <c r="L111" s="470">
        <f t="shared" si="0"/>
        <v>2.6415124588699142E-3</v>
      </c>
      <c r="M111" s="388">
        <f t="shared" si="1"/>
        <v>9.9452384085951286E-3</v>
      </c>
    </row>
    <row r="112" spans="4:13" x14ac:dyDescent="0.2">
      <c r="D112" s="446" t="s">
        <v>607</v>
      </c>
      <c r="E112" s="446" t="s">
        <v>612</v>
      </c>
      <c r="F112" s="468" t="s">
        <v>609</v>
      </c>
      <c r="G112" s="469">
        <v>1.5417868952285243</v>
      </c>
      <c r="H112" s="310">
        <v>1016.9334625382344</v>
      </c>
      <c r="I112" s="470">
        <v>0.13065789048840143</v>
      </c>
      <c r="J112" s="439"/>
      <c r="K112">
        <f>'Assumptions-Output Override'!$M$19</f>
        <v>200</v>
      </c>
      <c r="L112" s="470">
        <f t="shared" si="0"/>
        <v>2.5696448253808738E-2</v>
      </c>
      <c r="M112" s="388">
        <f t="shared" si="1"/>
        <v>0.10496144223459269</v>
      </c>
    </row>
    <row r="113" spans="4:13" x14ac:dyDescent="0.2">
      <c r="D113" s="446" t="s">
        <v>607</v>
      </c>
      <c r="E113" s="446" t="s">
        <v>613</v>
      </c>
      <c r="F113" s="468" t="s">
        <v>609</v>
      </c>
      <c r="G113" s="469">
        <v>1.0816330125532403</v>
      </c>
      <c r="H113" s="310">
        <v>91.341131153127236</v>
      </c>
      <c r="I113" s="470">
        <v>8.2331319049314695E-3</v>
      </c>
      <c r="J113" s="439"/>
      <c r="K113">
        <f>2*K109</f>
        <v>20</v>
      </c>
      <c r="L113" s="470">
        <f t="shared" si="0"/>
        <v>1.8027216875887337E-3</v>
      </c>
      <c r="M113" s="388">
        <f t="shared" si="1"/>
        <v>6.4304102173427359E-3</v>
      </c>
    </row>
    <row r="114" spans="4:13" x14ac:dyDescent="0.2">
      <c r="D114" s="446" t="s">
        <v>607</v>
      </c>
      <c r="E114" s="446" t="s">
        <v>614</v>
      </c>
      <c r="F114" s="468" t="s">
        <v>609</v>
      </c>
      <c r="G114" s="469">
        <v>4.5231377720375249E-2</v>
      </c>
      <c r="H114" s="310">
        <v>642.13913436192831</v>
      </c>
      <c r="I114" s="470">
        <v>2.4204031446132643E-3</v>
      </c>
      <c r="J114" s="439"/>
      <c r="K114">
        <f>2*K110</f>
        <v>100</v>
      </c>
      <c r="L114" s="470">
        <f t="shared" si="0"/>
        <v>3.7692814766979372E-4</v>
      </c>
      <c r="M114" s="388">
        <f t="shared" si="1"/>
        <v>2.0434749969434705E-3</v>
      </c>
    </row>
    <row r="115" spans="4:13" x14ac:dyDescent="0.2">
      <c r="D115" s="446" t="s">
        <v>607</v>
      </c>
      <c r="E115" s="446" t="s">
        <v>615</v>
      </c>
      <c r="F115" s="468" t="s">
        <v>609</v>
      </c>
      <c r="G115" s="469">
        <v>1.3870955834248411E-2</v>
      </c>
      <c r="H115" s="310">
        <v>519.38638008596638</v>
      </c>
      <c r="I115" s="470">
        <v>6.0036546159021652E-4</v>
      </c>
      <c r="J115" s="439"/>
      <c r="K115">
        <f>2*K111</f>
        <v>160</v>
      </c>
      <c r="L115" s="470">
        <f t="shared" si="0"/>
        <v>1.8494607778997882E-4</v>
      </c>
      <c r="M115" s="388">
        <f t="shared" si="1"/>
        <v>4.1541938380023767E-4</v>
      </c>
    </row>
    <row r="116" spans="4:13" x14ac:dyDescent="0.2">
      <c r="D116" s="446" t="s">
        <v>607</v>
      </c>
      <c r="E116" s="446" t="s">
        <v>616</v>
      </c>
      <c r="F116" s="468" t="s">
        <v>609</v>
      </c>
      <c r="G116" s="447">
        <v>0.1335833355341749</v>
      </c>
      <c r="H116" s="310">
        <v>2124.2165108633312</v>
      </c>
      <c r="I116" s="448">
        <v>2.364666057649089E-2</v>
      </c>
      <c r="J116" s="439"/>
      <c r="K116">
        <f>2*K112</f>
        <v>400</v>
      </c>
      <c r="L116" s="470">
        <f t="shared" si="0"/>
        <v>4.4527778511391633E-3</v>
      </c>
      <c r="M116" s="388">
        <f t="shared" si="1"/>
        <v>1.9193882725351726E-2</v>
      </c>
    </row>
    <row r="117" spans="4:13" x14ac:dyDescent="0.2">
      <c r="D117" s="460" t="s">
        <v>617</v>
      </c>
      <c r="E117" s="460"/>
      <c r="F117" s="460"/>
      <c r="G117" s="471">
        <v>22.825863995328312</v>
      </c>
      <c r="H117" s="472"/>
      <c r="I117" s="473">
        <v>0.24783942830191413</v>
      </c>
      <c r="J117" s="439"/>
      <c r="L117" s="470">
        <f>SUM(L109:L116)</f>
        <v>5.379769808975076E-2</v>
      </c>
      <c r="M117" s="388">
        <f>SUM(M109:M116)</f>
        <v>0.19404173021216337</v>
      </c>
    </row>
    <row r="118" spans="4:13" ht="16" x14ac:dyDescent="0.2">
      <c r="D118" s="461" t="s">
        <v>618</v>
      </c>
      <c r="E118" s="461"/>
      <c r="F118" s="461"/>
      <c r="G118" s="474"/>
      <c r="H118" s="474"/>
      <c r="I118" s="473">
        <v>1.1236618900909041</v>
      </c>
      <c r="J118" s="439"/>
    </row>
  </sheetData>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enableFormatConditionsCalculation="0">
    <tabColor rgb="FF00B0F0"/>
  </sheetPr>
  <dimension ref="B1:S118"/>
  <sheetViews>
    <sheetView showGridLines="0" workbookViewId="0">
      <pane ySplit="7" topLeftCell="A8" activePane="bottomLeft" state="frozen"/>
      <selection pane="bottomLeft"/>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813</v>
      </c>
      <c r="G3"/>
      <c r="H3"/>
      <c r="I3"/>
    </row>
    <row r="4" spans="2:19" x14ac:dyDescent="0.2">
      <c r="G4"/>
      <c r="H4"/>
      <c r="I4"/>
    </row>
    <row r="5" spans="2:19" ht="16" x14ac:dyDescent="0.2">
      <c r="D5" s="438" t="s">
        <v>814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2.8875427753033699E-4</v>
      </c>
      <c r="O9" s="310">
        <v>259.99</v>
      </c>
      <c r="P9" s="388">
        <v>6.2561020512593598E-6</v>
      </c>
      <c r="Q9" s="29">
        <f>'Assumptions-Output Target'!E17</f>
        <v>254.62963284816803</v>
      </c>
      <c r="R9" s="388">
        <f>N9*Q9/12000</f>
        <v>6.1271163059073107E-6</v>
      </c>
      <c r="S9" s="388">
        <f>P9-R9</f>
        <v>1.2898574535204914E-7</v>
      </c>
    </row>
    <row r="10" spans="2:19" x14ac:dyDescent="0.2">
      <c r="D10" s="446" t="s">
        <v>1</v>
      </c>
      <c r="E10" s="446" t="s">
        <v>46</v>
      </c>
      <c r="F10" s="446" t="s">
        <v>534</v>
      </c>
      <c r="G10" s="447">
        <v>0</v>
      </c>
      <c r="H10" s="310" t="s">
        <v>446</v>
      </c>
      <c r="I10" s="448">
        <v>0</v>
      </c>
      <c r="J10" s="439"/>
      <c r="K10" s="446" t="s">
        <v>462</v>
      </c>
      <c r="L10" s="446" t="s">
        <v>538</v>
      </c>
      <c r="M10" s="446" t="s">
        <v>539</v>
      </c>
      <c r="N10" s="449">
        <v>2.9539562591353472</v>
      </c>
      <c r="O10" s="310">
        <v>529.54997311827856</v>
      </c>
      <c r="P10" s="388">
        <v>0.13035562146814114</v>
      </c>
      <c r="Q10" s="29">
        <v>0</v>
      </c>
      <c r="R10" s="388">
        <f>N10*Q10/12000</f>
        <v>0</v>
      </c>
      <c r="S10" s="388">
        <f>P10-R10</f>
        <v>0.13035562146814114</v>
      </c>
    </row>
    <row r="11" spans="2:19" x14ac:dyDescent="0.2">
      <c r="D11" s="446" t="s">
        <v>1</v>
      </c>
      <c r="E11" s="446" t="s">
        <v>540</v>
      </c>
      <c r="F11" s="446" t="s">
        <v>534</v>
      </c>
      <c r="G11" s="447">
        <v>0</v>
      </c>
      <c r="H11" s="310" t="s">
        <v>446</v>
      </c>
      <c r="I11" s="448">
        <v>0</v>
      </c>
      <c r="J11" s="439"/>
      <c r="K11" s="320" t="s">
        <v>463</v>
      </c>
      <c r="L11" s="450" t="s">
        <v>541</v>
      </c>
      <c r="M11" s="446" t="s">
        <v>539</v>
      </c>
      <c r="N11" s="449">
        <v>0.70542670000661334</v>
      </c>
      <c r="O11" s="310">
        <v>141.33644494474001</v>
      </c>
      <c r="P11" s="388">
        <v>8.308541829002862E-3</v>
      </c>
      <c r="Q11" s="29">
        <f>'Assumptions-Output Target'!G17</f>
        <v>30.555555941780163</v>
      </c>
      <c r="R11" s="388">
        <f>N11*Q11/12000</f>
        <v>1.7962254162397872E-3</v>
      </c>
      <c r="S11" s="388">
        <f>P11-R11</f>
        <v>6.5123164127630744E-3</v>
      </c>
    </row>
    <row r="12" spans="2:19" x14ac:dyDescent="0.2">
      <c r="D12" s="446" t="s">
        <v>1</v>
      </c>
      <c r="E12" s="446" t="s">
        <v>542</v>
      </c>
      <c r="F12" s="446" t="s">
        <v>534</v>
      </c>
      <c r="G12" s="447">
        <v>0</v>
      </c>
      <c r="H12" s="310" t="s">
        <v>446</v>
      </c>
      <c r="I12" s="448">
        <v>0</v>
      </c>
      <c r="J12" s="439"/>
      <c r="K12" s="320" t="s">
        <v>464</v>
      </c>
      <c r="L12" s="450" t="s">
        <v>541</v>
      </c>
      <c r="M12" s="446" t="s">
        <v>539</v>
      </c>
      <c r="N12" s="449">
        <v>9.2047644819733154</v>
      </c>
      <c r="O12" s="310">
        <v>71.418035448200186</v>
      </c>
      <c r="P12" s="388">
        <v>5.4782183005492029E-2</v>
      </c>
      <c r="Q12" s="29">
        <f>'Assumptions-Output Target'!H17</f>
        <v>55.000000695204292</v>
      </c>
      <c r="R12" s="388">
        <f>N12*Q12/12000</f>
        <v>4.2188504408977014E-2</v>
      </c>
      <c r="S12" s="388">
        <f>P12-R12</f>
        <v>1.2593678596515015E-2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0.19345260240468731</v>
      </c>
      <c r="R15" s="388">
        <f>SUM(R8:R13)</f>
        <v>4.3990856941522709E-2</v>
      </c>
      <c r="S15" s="388">
        <f>SUM(S8:S13)</f>
        <v>0.1494617454631646</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2.8875427753033699E-4</v>
      </c>
      <c r="H18" s="310">
        <v>259.99</v>
      </c>
      <c r="I18" s="448">
        <v>6.2561020512593598E-6</v>
      </c>
      <c r="J18" s="439"/>
    </row>
    <row r="19" spans="4:10" x14ac:dyDescent="0.2">
      <c r="D19" s="446" t="s">
        <v>462</v>
      </c>
      <c r="E19" s="446" t="s">
        <v>549</v>
      </c>
      <c r="F19" s="446" t="s">
        <v>537</v>
      </c>
      <c r="G19" s="447">
        <v>2.0934685120949436E-2</v>
      </c>
      <c r="H19" s="310">
        <v>2615.7842758620691</v>
      </c>
      <c r="I19" s="448">
        <v>4.5633850132919289E-3</v>
      </c>
      <c r="J19" s="439"/>
    </row>
    <row r="20" spans="4:10" x14ac:dyDescent="0.2">
      <c r="D20" s="446" t="s">
        <v>462</v>
      </c>
      <c r="E20" s="446" t="s">
        <v>550</v>
      </c>
      <c r="F20" s="446" t="s">
        <v>537</v>
      </c>
      <c r="G20" s="447">
        <v>0.35040331578306394</v>
      </c>
      <c r="H20" s="310">
        <v>454.83503502266183</v>
      </c>
      <c r="I20" s="448">
        <v>1.3281308700520559E-2</v>
      </c>
      <c r="J20" s="439"/>
    </row>
    <row r="21" spans="4:10" x14ac:dyDescent="0.2">
      <c r="D21" s="446" t="s">
        <v>462</v>
      </c>
      <c r="E21" s="446" t="s">
        <v>551</v>
      </c>
      <c r="F21" s="446" t="s">
        <v>537</v>
      </c>
      <c r="G21" s="447">
        <v>2.3244719341192131E-2</v>
      </c>
      <c r="H21" s="310">
        <v>195.60900621118012</v>
      </c>
      <c r="I21" s="448">
        <v>3.7890637083236583E-4</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1.2849565350099998E-2</v>
      </c>
      <c r="H23" s="310">
        <v>869.3483146067415</v>
      </c>
      <c r="I23" s="448">
        <v>9.3089566504488477E-4</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2.5987884977730332E-3</v>
      </c>
      <c r="H28" s="310">
        <v>26.166666666666664</v>
      </c>
      <c r="I28" s="448">
        <v>5.6668026965328635E-6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1.0356133882942866</v>
      </c>
      <c r="H52" s="310">
        <v>524.52230703745636</v>
      </c>
      <c r="I52" s="448">
        <v>4.526686030224969E-2</v>
      </c>
      <c r="J52" s="439"/>
    </row>
    <row r="53" spans="4:10" x14ac:dyDescent="0.2">
      <c r="D53" s="446" t="s">
        <v>462</v>
      </c>
      <c r="E53" s="446" t="s">
        <v>584</v>
      </c>
      <c r="F53" s="446" t="s">
        <v>554</v>
      </c>
      <c r="G53" s="447">
        <v>5.7234415293481049E-2</v>
      </c>
      <c r="H53" s="310">
        <v>524.52230703745624</v>
      </c>
      <c r="I53" s="448">
        <v>2.501727295973046E-3</v>
      </c>
      <c r="J53" s="439"/>
    </row>
    <row r="54" spans="4:10" x14ac:dyDescent="0.2">
      <c r="D54" s="446" t="s">
        <v>462</v>
      </c>
      <c r="E54" s="446" t="s">
        <v>585</v>
      </c>
      <c r="F54" s="446" t="s">
        <v>554</v>
      </c>
      <c r="G54" s="447">
        <v>0.25343125464673771</v>
      </c>
      <c r="H54" s="310">
        <v>524.52230703745624</v>
      </c>
      <c r="I54" s="448">
        <v>1.107752886355866E-2</v>
      </c>
      <c r="J54" s="439"/>
    </row>
    <row r="55" spans="4:10" x14ac:dyDescent="0.2">
      <c r="D55" s="446" t="s">
        <v>462</v>
      </c>
      <c r="E55" s="446" t="s">
        <v>586</v>
      </c>
      <c r="F55" s="446" t="s">
        <v>537</v>
      </c>
      <c r="G55" s="447">
        <v>0.13853491957138278</v>
      </c>
      <c r="H55" s="310">
        <v>524.52230703745636</v>
      </c>
      <c r="I55" s="448">
        <v>6.0553879682358463E-3</v>
      </c>
      <c r="J55" s="439"/>
    </row>
    <row r="56" spans="4:10" x14ac:dyDescent="0.2">
      <c r="D56" s="446" t="s">
        <v>462</v>
      </c>
      <c r="E56" s="446" t="s">
        <v>5</v>
      </c>
      <c r="F56" s="446" t="s">
        <v>537</v>
      </c>
      <c r="G56" s="447">
        <v>0.11879514211897715</v>
      </c>
      <c r="H56" s="310">
        <v>524.52230703745636</v>
      </c>
      <c r="I56" s="448">
        <v>5.1925585007573669E-3</v>
      </c>
      <c r="J56" s="439"/>
    </row>
    <row r="57" spans="4:10" x14ac:dyDescent="0.2">
      <c r="D57" s="446" t="s">
        <v>462</v>
      </c>
      <c r="E57" s="446" t="s">
        <v>587</v>
      </c>
      <c r="F57" s="446" t="s">
        <v>537</v>
      </c>
      <c r="G57" s="447">
        <v>0.3137254112690569</v>
      </c>
      <c r="H57" s="310">
        <v>524.52230703745636</v>
      </c>
      <c r="I57" s="448">
        <v>1.3712998041260045E-2</v>
      </c>
      <c r="J57" s="439"/>
    </row>
    <row r="58" spans="4:10" x14ac:dyDescent="0.2">
      <c r="D58" s="446" t="s">
        <v>462</v>
      </c>
      <c r="E58" s="446" t="s">
        <v>588</v>
      </c>
      <c r="F58" s="446" t="s">
        <v>537</v>
      </c>
      <c r="G58" s="447">
        <v>0.21192800696164737</v>
      </c>
      <c r="H58" s="310">
        <v>524.52230703745636</v>
      </c>
      <c r="I58" s="448">
        <v>9.2634139281144497E-3</v>
      </c>
      <c r="J58" s="439"/>
    </row>
    <row r="59" spans="4:10" x14ac:dyDescent="0.2">
      <c r="D59" s="446" t="s">
        <v>462</v>
      </c>
      <c r="E59" s="446" t="s">
        <v>589</v>
      </c>
      <c r="F59" s="446" t="s">
        <v>537</v>
      </c>
      <c r="G59" s="447">
        <v>8.1919793777553762E-2</v>
      </c>
      <c r="H59" s="310">
        <v>524.52230703745636</v>
      </c>
      <c r="I59" s="448">
        <v>3.58072993535293E-3</v>
      </c>
      <c r="J59" s="439"/>
    </row>
    <row r="60" spans="4:10" x14ac:dyDescent="0.2">
      <c r="D60" s="446" t="s">
        <v>462</v>
      </c>
      <c r="E60" s="446" t="s">
        <v>590</v>
      </c>
      <c r="F60" s="446" t="s">
        <v>537</v>
      </c>
      <c r="G60" s="447">
        <v>7.8190938349967043E-2</v>
      </c>
      <c r="H60" s="310">
        <v>524.52230703745636</v>
      </c>
      <c r="I60" s="448">
        <v>3.4177409477290197E-3</v>
      </c>
      <c r="J60" s="439"/>
    </row>
    <row r="61" spans="4:10" x14ac:dyDescent="0.2">
      <c r="D61" s="446" t="s">
        <v>462</v>
      </c>
      <c r="E61" s="446" t="s">
        <v>591</v>
      </c>
      <c r="F61" s="446" t="s">
        <v>537</v>
      </c>
      <c r="G61" s="447">
        <v>0.12964341711160757</v>
      </c>
      <c r="H61" s="310">
        <v>524.52230703745624</v>
      </c>
      <c r="I61" s="448">
        <v>5.6667386862999701E-3</v>
      </c>
      <c r="J61" s="439"/>
    </row>
    <row r="62" spans="4:10" x14ac:dyDescent="0.2">
      <c r="D62" s="446" t="s">
        <v>462</v>
      </c>
      <c r="E62" s="446" t="s">
        <v>592</v>
      </c>
      <c r="F62" s="446" t="s">
        <v>537</v>
      </c>
      <c r="G62" s="447">
        <v>0.12490849764757073</v>
      </c>
      <c r="H62" s="310">
        <v>524.52230703745636</v>
      </c>
      <c r="I62" s="448">
        <v>5.4597744462238744E-3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2.9542450134128777</v>
      </c>
      <c r="H64" s="463"/>
      <c r="I64" s="464">
        <v>0.13036187757019241</v>
      </c>
      <c r="J64" s="439"/>
    </row>
    <row r="65" spans="4:10" x14ac:dyDescent="0.2">
      <c r="D65" s="446" t="s">
        <v>595</v>
      </c>
      <c r="E65" s="446" t="s">
        <v>596</v>
      </c>
      <c r="F65" s="446" t="s">
        <v>554</v>
      </c>
      <c r="G65" s="447">
        <v>5.77508555060674E-3</v>
      </c>
      <c r="H65" s="310">
        <v>134.54150000000001</v>
      </c>
      <c r="I65" s="448">
        <v>6.4749056050579732E-5</v>
      </c>
      <c r="J65" s="439"/>
    </row>
    <row r="66" spans="4:10" x14ac:dyDescent="0.2">
      <c r="D66" s="446" t="s">
        <v>595</v>
      </c>
      <c r="E66" s="446" t="s">
        <v>563</v>
      </c>
      <c r="F66" s="446" t="s">
        <v>554</v>
      </c>
      <c r="G66" s="447">
        <v>1.0106399713561797E-2</v>
      </c>
      <c r="H66" s="310">
        <v>272.59785714285709</v>
      </c>
      <c r="I66" s="448">
        <v>2.2958190877884422E-4</v>
      </c>
      <c r="J66" s="439"/>
    </row>
    <row r="67" spans="4:10" x14ac:dyDescent="0.2">
      <c r="D67" s="446" t="s">
        <v>595</v>
      </c>
      <c r="E67" s="446" t="s">
        <v>564</v>
      </c>
      <c r="F67" s="446" t="s">
        <v>554</v>
      </c>
      <c r="G67" s="447">
        <v>4.0136844576716846E-2</v>
      </c>
      <c r="H67" s="310">
        <v>121.12262589928058</v>
      </c>
      <c r="I67" s="448">
        <v>4.0512333420360356E-4</v>
      </c>
      <c r="J67" s="439"/>
    </row>
    <row r="68" spans="4:10" x14ac:dyDescent="0.2">
      <c r="D68" s="446" t="s">
        <v>595</v>
      </c>
      <c r="E68" s="446" t="s">
        <v>597</v>
      </c>
      <c r="F68" s="446" t="s">
        <v>554</v>
      </c>
      <c r="G68" s="447">
        <v>2.2522833647366285E-2</v>
      </c>
      <c r="H68" s="310">
        <v>38.786153846153852</v>
      </c>
      <c r="I68" s="448">
        <v>7.2797840908173268E-5</v>
      </c>
      <c r="J68" s="439"/>
    </row>
    <row r="69" spans="4:10" x14ac:dyDescent="0.2">
      <c r="D69" s="446" t="s">
        <v>595</v>
      </c>
      <c r="E69" s="446" t="s">
        <v>572</v>
      </c>
      <c r="F69" s="446" t="s">
        <v>554</v>
      </c>
      <c r="G69" s="447">
        <v>1.443771387651685E-3</v>
      </c>
      <c r="H69" s="310">
        <v>120.45400000000001</v>
      </c>
      <c r="I69" s="448">
        <v>1.4492336560683006E-5</v>
      </c>
      <c r="J69" s="439"/>
    </row>
    <row r="70" spans="4:10" x14ac:dyDescent="0.2">
      <c r="D70" s="446" t="s">
        <v>595</v>
      </c>
      <c r="E70" s="446" t="s">
        <v>567</v>
      </c>
      <c r="F70" s="446" t="s">
        <v>554</v>
      </c>
      <c r="G70" s="447">
        <v>3.1907347667102244E-2</v>
      </c>
      <c r="H70" s="310">
        <v>83.11054298642533</v>
      </c>
      <c r="I70" s="448">
        <v>2.2098641582245994E-4</v>
      </c>
      <c r="J70" s="439"/>
    </row>
    <row r="71" spans="4:10" x14ac:dyDescent="0.2">
      <c r="D71" s="446" t="s">
        <v>595</v>
      </c>
      <c r="E71" s="446" t="s">
        <v>568</v>
      </c>
      <c r="F71" s="446" t="s">
        <v>554</v>
      </c>
      <c r="G71" s="447">
        <v>1.443771387651685E-3</v>
      </c>
      <c r="H71" s="310">
        <v>892.4</v>
      </c>
      <c r="I71" s="448">
        <v>1.0736846552836364E-4</v>
      </c>
      <c r="J71" s="439"/>
    </row>
    <row r="72" spans="4:10" x14ac:dyDescent="0.2">
      <c r="D72" s="446" t="s">
        <v>595</v>
      </c>
      <c r="E72" s="446" t="s">
        <v>548</v>
      </c>
      <c r="F72" s="446" t="s">
        <v>554</v>
      </c>
      <c r="G72" s="447">
        <v>4.1147484548073016E-2</v>
      </c>
      <c r="H72" s="310">
        <v>265.7827017543861</v>
      </c>
      <c r="I72" s="448">
        <v>9.1135746779864174E-4</v>
      </c>
      <c r="J72" s="439"/>
    </row>
    <row r="73" spans="4:10" x14ac:dyDescent="0.2">
      <c r="D73" s="446" t="s">
        <v>595</v>
      </c>
      <c r="E73" s="446" t="s">
        <v>598</v>
      </c>
      <c r="F73" s="446" t="s">
        <v>554</v>
      </c>
      <c r="G73" s="447">
        <v>4.331314162955055E-3</v>
      </c>
      <c r="H73" s="310">
        <v>126.048</v>
      </c>
      <c r="I73" s="448">
        <v>4.5496123967679898E-5</v>
      </c>
      <c r="J73" s="439"/>
    </row>
    <row r="74" spans="4:10" x14ac:dyDescent="0.2">
      <c r="D74" s="446" t="s">
        <v>595</v>
      </c>
      <c r="E74" s="446" t="s">
        <v>549</v>
      </c>
      <c r="F74" s="446" t="s">
        <v>554</v>
      </c>
      <c r="G74" s="447">
        <v>0.20934685120949434</v>
      </c>
      <c r="H74" s="310">
        <v>127.05656551724135</v>
      </c>
      <c r="I74" s="448">
        <v>2.2165743263772744E-3</v>
      </c>
      <c r="J74" s="439"/>
    </row>
    <row r="75" spans="4:10" x14ac:dyDescent="0.2">
      <c r="D75" s="446" t="s">
        <v>595</v>
      </c>
      <c r="E75" s="446" t="s">
        <v>571</v>
      </c>
      <c r="F75" s="446" t="s">
        <v>554</v>
      </c>
      <c r="G75" s="447">
        <v>6.7857255219629202E-3</v>
      </c>
      <c r="H75" s="310">
        <v>125.16191489361699</v>
      </c>
      <c r="I75" s="448">
        <v>7.0776200022613979E-5</v>
      </c>
      <c r="J75" s="439"/>
    </row>
    <row r="76" spans="4:10" x14ac:dyDescent="0.2">
      <c r="D76" s="446" t="s">
        <v>595</v>
      </c>
      <c r="E76" s="446" t="s">
        <v>561</v>
      </c>
      <c r="F76" s="446" t="s">
        <v>554</v>
      </c>
      <c r="G76" s="447">
        <v>4.6200684404853918E-3</v>
      </c>
      <c r="H76" s="310">
        <v>181.21406250000004</v>
      </c>
      <c r="I76" s="448">
        <v>6.9768447594033126E-5</v>
      </c>
      <c r="J76" s="439"/>
    </row>
    <row r="77" spans="4:10" x14ac:dyDescent="0.2">
      <c r="D77" s="446" t="s">
        <v>595</v>
      </c>
      <c r="E77" s="446" t="s">
        <v>599</v>
      </c>
      <c r="F77" s="446" t="s">
        <v>554</v>
      </c>
      <c r="G77" s="447">
        <v>2.1128150486894759</v>
      </c>
      <c r="H77" s="310">
        <v>66.233238349050296</v>
      </c>
      <c r="I77" s="448">
        <v>1.166154855894253E-2</v>
      </c>
      <c r="J77" s="439"/>
    </row>
    <row r="78" spans="4:10" x14ac:dyDescent="0.2">
      <c r="D78" s="446" t="s">
        <v>595</v>
      </c>
      <c r="E78" s="446" t="s">
        <v>600</v>
      </c>
      <c r="F78" s="446" t="s">
        <v>554</v>
      </c>
      <c r="G78" s="447">
        <v>5.4863312730764032E-3</v>
      </c>
      <c r="H78" s="310">
        <v>524.54447368421052</v>
      </c>
      <c r="I78" s="448">
        <v>2.398187291744239E-4</v>
      </c>
      <c r="J78" s="439"/>
    </row>
    <row r="79" spans="4:10" x14ac:dyDescent="0.2">
      <c r="D79" s="446" t="s">
        <v>595</v>
      </c>
      <c r="E79" s="446" t="s">
        <v>555</v>
      </c>
      <c r="F79" s="446" t="s">
        <v>554</v>
      </c>
      <c r="G79" s="447">
        <v>0.43082138207526283</v>
      </c>
      <c r="H79" s="310">
        <v>139.53197386058977</v>
      </c>
      <c r="I79" s="448">
        <v>5.0094464851923948E-3</v>
      </c>
      <c r="J79" s="439"/>
    </row>
    <row r="80" spans="4:10" x14ac:dyDescent="0.2">
      <c r="D80" s="446" t="s">
        <v>595</v>
      </c>
      <c r="E80" s="446" t="s">
        <v>552</v>
      </c>
      <c r="F80" s="446" t="s">
        <v>554</v>
      </c>
      <c r="G80" s="447">
        <v>1.8769028039471905E-3</v>
      </c>
      <c r="H80" s="310">
        <v>59.759230769230776</v>
      </c>
      <c r="I80" s="448">
        <v>9.346855649374706E-6</v>
      </c>
      <c r="J80" s="439"/>
    </row>
    <row r="81" spans="4:10" x14ac:dyDescent="0.2">
      <c r="D81" s="446" t="s">
        <v>595</v>
      </c>
      <c r="E81" s="446" t="s">
        <v>581</v>
      </c>
      <c r="F81" s="446" t="s">
        <v>554</v>
      </c>
      <c r="G81" s="447">
        <v>2.3389096479957301E-2</v>
      </c>
      <c r="H81" s="310">
        <v>1069.7316049382714</v>
      </c>
      <c r="I81" s="448">
        <v>2.0850046429633996E-3</v>
      </c>
      <c r="J81" s="439"/>
    </row>
    <row r="82" spans="4:10" x14ac:dyDescent="0.2">
      <c r="D82" s="446" t="s">
        <v>595</v>
      </c>
      <c r="E82" s="446" t="s">
        <v>574</v>
      </c>
      <c r="F82" s="446" t="s">
        <v>554</v>
      </c>
      <c r="G82" s="447">
        <v>8.8503186063048286E-2</v>
      </c>
      <c r="H82" s="310">
        <v>102.72985318107669</v>
      </c>
      <c r="I82" s="448">
        <v>7.5765994252620524E-4</v>
      </c>
      <c r="J82" s="439"/>
    </row>
    <row r="83" spans="4:10" x14ac:dyDescent="0.2">
      <c r="D83" s="446" t="s">
        <v>595</v>
      </c>
      <c r="E83" s="446" t="s">
        <v>601</v>
      </c>
      <c r="F83" s="446" t="s">
        <v>554</v>
      </c>
      <c r="G83" s="447">
        <v>5.7750855506067398E-4</v>
      </c>
      <c r="H83" s="310">
        <v>1922.2575000000002</v>
      </c>
      <c r="I83" s="448">
        <v>9.2510012606628625E-5</v>
      </c>
      <c r="J83" s="439"/>
    </row>
    <row r="84" spans="4:10" x14ac:dyDescent="0.2">
      <c r="D84" s="446" t="s">
        <v>595</v>
      </c>
      <c r="E84" s="446" t="s">
        <v>559</v>
      </c>
      <c r="F84" s="446" t="s">
        <v>554</v>
      </c>
      <c r="G84" s="447">
        <v>4.3024387352020216E-2</v>
      </c>
      <c r="H84" s="310">
        <v>207.13117449664429</v>
      </c>
      <c r="I84" s="448">
        <v>7.4264099035187628E-4</v>
      </c>
      <c r="J84" s="439"/>
    </row>
    <row r="85" spans="4:10" x14ac:dyDescent="0.2">
      <c r="D85" s="446" t="s">
        <v>595</v>
      </c>
      <c r="E85" s="446" t="s">
        <v>573</v>
      </c>
      <c r="F85" s="446" t="s">
        <v>554</v>
      </c>
      <c r="G85" s="447">
        <v>1.5015222431577522E-2</v>
      </c>
      <c r="H85" s="310">
        <v>104.28682692307692</v>
      </c>
      <c r="I85" s="448">
        <v>1.3049082524445226E-4</v>
      </c>
      <c r="J85" s="439"/>
    </row>
    <row r="86" spans="4:10" x14ac:dyDescent="0.2">
      <c r="D86" s="446" t="s">
        <v>595</v>
      </c>
      <c r="E86" s="446" t="s">
        <v>562</v>
      </c>
      <c r="F86" s="446" t="s">
        <v>554</v>
      </c>
      <c r="G86" s="447">
        <v>6.4825335305560658E-2</v>
      </c>
      <c r="H86" s="310">
        <v>341.85227171492204</v>
      </c>
      <c r="I86" s="448">
        <v>1.8467240115739544E-3</v>
      </c>
      <c r="J86" s="439"/>
    </row>
    <row r="87" spans="4:10" x14ac:dyDescent="0.2">
      <c r="D87" s="446" t="s">
        <v>595</v>
      </c>
      <c r="E87" s="446" t="s">
        <v>550</v>
      </c>
      <c r="F87" s="446" t="s">
        <v>554</v>
      </c>
      <c r="G87" s="447">
        <v>1.1127146084631536</v>
      </c>
      <c r="H87" s="310">
        <v>171.48120280264692</v>
      </c>
      <c r="I87" s="448">
        <v>1.5900803286278159E-2</v>
      </c>
      <c r="J87" s="439"/>
    </row>
    <row r="88" spans="4:10" x14ac:dyDescent="0.2">
      <c r="D88" s="446" t="s">
        <v>595</v>
      </c>
      <c r="E88" s="446" t="s">
        <v>579</v>
      </c>
      <c r="F88" s="446" t="s">
        <v>554</v>
      </c>
      <c r="G88" s="447">
        <v>7.406547218653145E-2</v>
      </c>
      <c r="H88" s="310">
        <v>104.60725146198828</v>
      </c>
      <c r="I88" s="448">
        <v>6.4564878947228287E-4</v>
      </c>
      <c r="J88" s="439"/>
    </row>
    <row r="89" spans="4:10" x14ac:dyDescent="0.2">
      <c r="D89" s="446" t="s">
        <v>595</v>
      </c>
      <c r="E89" s="446" t="s">
        <v>556</v>
      </c>
      <c r="F89" s="446" t="s">
        <v>554</v>
      </c>
      <c r="G89" s="447">
        <v>1.8047142345646059E-2</v>
      </c>
      <c r="H89" s="310">
        <v>128.74880000000002</v>
      </c>
      <c r="I89" s="448">
        <v>1.9362899336925965E-4</v>
      </c>
      <c r="J89" s="439"/>
    </row>
    <row r="90" spans="4:10" x14ac:dyDescent="0.2">
      <c r="D90" s="446" t="s">
        <v>595</v>
      </c>
      <c r="E90" s="446" t="s">
        <v>602</v>
      </c>
      <c r="F90" s="446" t="s">
        <v>554</v>
      </c>
      <c r="G90" s="447">
        <v>7.218856938258425E-4</v>
      </c>
      <c r="H90" s="310">
        <v>127.44799999999999</v>
      </c>
      <c r="I90" s="448">
        <v>7.6669073255596648E-6</v>
      </c>
      <c r="J90" s="439"/>
    </row>
    <row r="91" spans="4:10" x14ac:dyDescent="0.2">
      <c r="D91" s="446" t="s">
        <v>595</v>
      </c>
      <c r="E91" s="446" t="s">
        <v>577</v>
      </c>
      <c r="F91" s="446" t="s">
        <v>554</v>
      </c>
      <c r="G91" s="447">
        <v>0.69965161445600665</v>
      </c>
      <c r="H91" s="310">
        <v>37.953330581923233</v>
      </c>
      <c r="I91" s="448">
        <v>2.2128424179687599E-3</v>
      </c>
      <c r="J91" s="439"/>
    </row>
    <row r="92" spans="4:10" x14ac:dyDescent="0.2">
      <c r="D92" s="446" t="s">
        <v>595</v>
      </c>
      <c r="E92" s="446" t="s">
        <v>576</v>
      </c>
      <c r="F92" s="446" t="s">
        <v>554</v>
      </c>
      <c r="G92" s="447">
        <v>2.2234079369835947E-2</v>
      </c>
      <c r="H92" s="310">
        <v>183.43733766233768</v>
      </c>
      <c r="I92" s="448">
        <v>3.3988002708131774E-4</v>
      </c>
      <c r="J92" s="439"/>
    </row>
    <row r="93" spans="4:10" x14ac:dyDescent="0.2">
      <c r="D93" s="446" t="s">
        <v>595</v>
      </c>
      <c r="E93" s="446" t="s">
        <v>603</v>
      </c>
      <c r="F93" s="446" t="s">
        <v>554</v>
      </c>
      <c r="G93" s="447">
        <v>4.3313141629550551E-4</v>
      </c>
      <c r="H93" s="310">
        <v>68.666666666666657</v>
      </c>
      <c r="I93" s="448">
        <v>2.4784742154687258E-6</v>
      </c>
      <c r="J93" s="439"/>
    </row>
    <row r="94" spans="4:10" x14ac:dyDescent="0.2">
      <c r="D94" s="446" t="s">
        <v>595</v>
      </c>
      <c r="E94" s="446" t="s">
        <v>557</v>
      </c>
      <c r="F94" s="446" t="s">
        <v>554</v>
      </c>
      <c r="G94" s="447">
        <v>1.1117039684917973E-2</v>
      </c>
      <c r="H94" s="310">
        <v>88.44350649350649</v>
      </c>
      <c r="I94" s="448">
        <v>8.193583096346768E-5</v>
      </c>
      <c r="J94" s="439"/>
    </row>
    <row r="95" spans="4:10" x14ac:dyDescent="0.2">
      <c r="D95" s="446" t="s">
        <v>595</v>
      </c>
      <c r="E95" s="446" t="s">
        <v>582</v>
      </c>
      <c r="F95" s="446" t="s">
        <v>554</v>
      </c>
      <c r="G95" s="447">
        <v>5.1975769955460664E-3</v>
      </c>
      <c r="H95" s="310">
        <v>626.58555555555563</v>
      </c>
      <c r="I95" s="448">
        <v>2.7139388910808396E-4</v>
      </c>
      <c r="J95" s="439"/>
    </row>
    <row r="96" spans="4:10" x14ac:dyDescent="0.2">
      <c r="D96" s="446" t="s">
        <v>595</v>
      </c>
      <c r="E96" s="446" t="s">
        <v>565</v>
      </c>
      <c r="F96" s="446" t="s">
        <v>554</v>
      </c>
      <c r="G96" s="447">
        <v>8.1573083402320209E-2</v>
      </c>
      <c r="H96" s="310">
        <v>81.489557522123889</v>
      </c>
      <c r="I96" s="448">
        <v>5.5394620601419847E-4</v>
      </c>
      <c r="J96" s="439"/>
    </row>
    <row r="97" spans="4:13" x14ac:dyDescent="0.2">
      <c r="D97" s="446" t="s">
        <v>595</v>
      </c>
      <c r="E97" s="446" t="s">
        <v>604</v>
      </c>
      <c r="F97" s="446" t="s">
        <v>554</v>
      </c>
      <c r="G97" s="447">
        <v>1.2416433933804491E-2</v>
      </c>
      <c r="H97" s="310">
        <v>124.43918604651164</v>
      </c>
      <c r="I97" s="448">
        <v>1.2875757769357645E-4</v>
      </c>
      <c r="J97" s="439"/>
    </row>
    <row r="98" spans="4:13" x14ac:dyDescent="0.2">
      <c r="D98" s="446" t="s">
        <v>595</v>
      </c>
      <c r="E98" s="446" t="s">
        <v>569</v>
      </c>
      <c r="F98" s="446" t="s">
        <v>554</v>
      </c>
      <c r="G98" s="447">
        <v>2.7431656365382016E-3</v>
      </c>
      <c r="H98" s="310">
        <v>121.19210526315791</v>
      </c>
      <c r="I98" s="448">
        <v>2.7704168214801274E-5</v>
      </c>
      <c r="J98" s="439"/>
    </row>
    <row r="99" spans="4:13" x14ac:dyDescent="0.2">
      <c r="D99" s="446" t="s">
        <v>595</v>
      </c>
      <c r="E99" s="446" t="s">
        <v>553</v>
      </c>
      <c r="F99" s="446" t="s">
        <v>554</v>
      </c>
      <c r="G99" s="447">
        <v>0.10900473976770218</v>
      </c>
      <c r="H99" s="310">
        <v>98.571947019867565</v>
      </c>
      <c r="I99" s="448">
        <v>8.9540078610803259E-4</v>
      </c>
      <c r="J99" s="439"/>
    </row>
    <row r="100" spans="4:13" x14ac:dyDescent="0.2">
      <c r="D100" s="446" t="s">
        <v>595</v>
      </c>
      <c r="E100" s="446" t="s">
        <v>570</v>
      </c>
      <c r="F100" s="446" t="s">
        <v>554</v>
      </c>
      <c r="G100" s="447">
        <v>1.4150403370374165</v>
      </c>
      <c r="H100" s="310">
        <v>121.51757167635955</v>
      </c>
      <c r="I100" s="448">
        <v>1.4329355465073688E-2</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3.1762970528337073E-3</v>
      </c>
      <c r="H102" s="310">
        <v>85.13636363636364</v>
      </c>
      <c r="I102" s="448">
        <v>2.2534865075596719E-5</v>
      </c>
      <c r="J102" s="439"/>
    </row>
    <row r="103" spans="4:13" x14ac:dyDescent="0.2">
      <c r="D103" s="446" t="s">
        <v>595</v>
      </c>
      <c r="E103" s="446" t="s">
        <v>560</v>
      </c>
      <c r="F103" s="446" t="s">
        <v>554</v>
      </c>
      <c r="G103" s="447">
        <v>3.6094284691292125E-2</v>
      </c>
      <c r="H103" s="310">
        <v>79.655599999999993</v>
      </c>
      <c r="I103" s="448">
        <v>2.3959265863797408E-4</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2.8731050614268533E-2</v>
      </c>
      <c r="H105" s="310">
        <v>79.571507537688433</v>
      </c>
      <c r="I105" s="448">
        <v>1.9051441754324805E-4</v>
      </c>
      <c r="J105" s="439"/>
    </row>
    <row r="106" spans="4:13" x14ac:dyDescent="0.2">
      <c r="D106" s="446" t="s">
        <v>595</v>
      </c>
      <c r="E106" s="446" t="s">
        <v>580</v>
      </c>
      <c r="F106" s="446" t="s">
        <v>554</v>
      </c>
      <c r="G106" s="447">
        <v>4.33131416295506E-4</v>
      </c>
      <c r="H106" s="310">
        <v>143.61176470588236</v>
      </c>
      <c r="I106" s="448">
        <v>2.9373528881773539E-5</v>
      </c>
      <c r="J106" s="439"/>
    </row>
    <row r="107" spans="4:13" x14ac:dyDescent="0.2">
      <c r="D107" s="451" t="s">
        <v>595</v>
      </c>
      <c r="E107" s="451" t="s">
        <v>558</v>
      </c>
      <c r="F107" s="451" t="s">
        <v>554</v>
      </c>
      <c r="G107" s="452">
        <v>3.1088729290303725</v>
      </c>
      <c r="H107" s="310">
        <v>5.0192727441601276E-2</v>
      </c>
      <c r="I107" s="454">
        <v>1.300356763144951E-5</v>
      </c>
      <c r="J107" s="439"/>
    </row>
    <row r="108" spans="4:13" ht="16" x14ac:dyDescent="0.2">
      <c r="D108" s="461" t="s">
        <v>605</v>
      </c>
      <c r="E108" s="460"/>
      <c r="F108" s="460"/>
      <c r="G108" s="465">
        <v>9.9101911819799291</v>
      </c>
      <c r="H108" s="466"/>
      <c r="I108" s="467">
        <v>6.3090724834494891E-2</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0.19345260240468731</v>
      </c>
      <c r="J118" s="439"/>
    </row>
  </sheetData>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tabColor rgb="FF00B050"/>
  </sheetPr>
  <dimension ref="B1:S118"/>
  <sheetViews>
    <sheetView showGridLines="0" workbookViewId="0">
      <pane ySplit="7" topLeftCell="A8" activePane="bottomLeft" state="frozen"/>
      <selection activeCell="A8" sqref="A8"/>
      <selection pane="bottomLeft" activeCell="A8" sqref="A8"/>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813</v>
      </c>
      <c r="G3"/>
      <c r="H3"/>
      <c r="I3"/>
    </row>
    <row r="4" spans="2:19" x14ac:dyDescent="0.2">
      <c r="G4"/>
      <c r="H4"/>
      <c r="I4"/>
    </row>
    <row r="5" spans="2:19" ht="16" x14ac:dyDescent="0.2">
      <c r="D5" s="438" t="s">
        <v>814</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2.8875427753033699E-4</v>
      </c>
      <c r="O9" s="310">
        <v>259.99</v>
      </c>
      <c r="P9" s="388">
        <v>6.2561020512593598E-6</v>
      </c>
      <c r="Q9" s="29">
        <f>'Assumptions-Output Override'!E19</f>
        <v>250</v>
      </c>
      <c r="R9" s="388">
        <f>N9*Q9/12000</f>
        <v>6.0157141152153542E-6</v>
      </c>
      <c r="S9" s="388">
        <f>P9-R9</f>
        <v>2.4038793604400561E-7</v>
      </c>
    </row>
    <row r="10" spans="2:19" x14ac:dyDescent="0.2">
      <c r="D10" s="446" t="s">
        <v>1</v>
      </c>
      <c r="E10" s="446" t="s">
        <v>46</v>
      </c>
      <c r="F10" s="446" t="s">
        <v>534</v>
      </c>
      <c r="G10" s="447">
        <v>0</v>
      </c>
      <c r="H10" s="310" t="s">
        <v>446</v>
      </c>
      <c r="I10" s="448">
        <v>0</v>
      </c>
      <c r="J10" s="439"/>
      <c r="K10" s="446" t="s">
        <v>462</v>
      </c>
      <c r="L10" s="446" t="s">
        <v>538</v>
      </c>
      <c r="M10" s="446" t="s">
        <v>539</v>
      </c>
      <c r="N10" s="449">
        <v>2.9539562591353472</v>
      </c>
      <c r="O10" s="310">
        <v>529.54997311827856</v>
      </c>
      <c r="P10" s="388">
        <v>0.13035562146814114</v>
      </c>
      <c r="Q10" s="29">
        <v>0</v>
      </c>
      <c r="R10" s="388">
        <f>N10*Q10/12000</f>
        <v>0</v>
      </c>
      <c r="S10" s="388">
        <f>P10-R10</f>
        <v>0.13035562146814114</v>
      </c>
    </row>
    <row r="11" spans="2:19" x14ac:dyDescent="0.2">
      <c r="D11" s="446" t="s">
        <v>1</v>
      </c>
      <c r="E11" s="446" t="s">
        <v>540</v>
      </c>
      <c r="F11" s="446" t="s">
        <v>534</v>
      </c>
      <c r="G11" s="447">
        <v>0</v>
      </c>
      <c r="H11" s="310" t="s">
        <v>446</v>
      </c>
      <c r="I11" s="448">
        <v>0</v>
      </c>
      <c r="J11" s="439"/>
      <c r="K11" s="320" t="s">
        <v>463</v>
      </c>
      <c r="L11" s="450" t="s">
        <v>541</v>
      </c>
      <c r="M11" s="446" t="s">
        <v>539</v>
      </c>
      <c r="N11" s="449">
        <v>0.70542670000661334</v>
      </c>
      <c r="O11" s="310">
        <v>141.33644494474001</v>
      </c>
      <c r="P11" s="388">
        <v>8.308541829002862E-3</v>
      </c>
      <c r="Q11" s="29">
        <f>'Assumptions-Output Override'!G19</f>
        <v>30</v>
      </c>
      <c r="R11" s="388">
        <f>N11*Q11/12000</f>
        <v>1.7635667500165333E-3</v>
      </c>
      <c r="S11" s="388">
        <f>P11-R11</f>
        <v>6.5449750789863285E-3</v>
      </c>
    </row>
    <row r="12" spans="2:19" x14ac:dyDescent="0.2">
      <c r="D12" s="446" t="s">
        <v>1</v>
      </c>
      <c r="E12" s="446" t="s">
        <v>542</v>
      </c>
      <c r="F12" s="446" t="s">
        <v>534</v>
      </c>
      <c r="G12" s="447">
        <v>0</v>
      </c>
      <c r="H12" s="310" t="s">
        <v>446</v>
      </c>
      <c r="I12" s="448">
        <v>0</v>
      </c>
      <c r="J12" s="439"/>
      <c r="K12" s="320" t="s">
        <v>464</v>
      </c>
      <c r="L12" s="450" t="s">
        <v>541</v>
      </c>
      <c r="M12" s="446" t="s">
        <v>539</v>
      </c>
      <c r="N12" s="449">
        <v>9.2047644819733154</v>
      </c>
      <c r="O12" s="310">
        <v>71.418035448200186</v>
      </c>
      <c r="P12" s="388">
        <v>5.4782183005492029E-2</v>
      </c>
      <c r="Q12" s="29">
        <f>'Assumptions-Output Override'!H19</f>
        <v>60</v>
      </c>
      <c r="R12" s="388">
        <f>N12*Q12/12000</f>
        <v>4.6023822409866577E-2</v>
      </c>
      <c r="S12" s="388">
        <f>P12-R12</f>
        <v>8.7583605956254515E-3</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0.19345260240468731</v>
      </c>
      <c r="R15" s="388">
        <f>SUM(R8:R13)</f>
        <v>4.7793404873998323E-2</v>
      </c>
      <c r="S15" s="388">
        <f>SUM(S8:S13)</f>
        <v>0.14565919753068898</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2.8875427753033699E-4</v>
      </c>
      <c r="H18" s="310">
        <v>259.99</v>
      </c>
      <c r="I18" s="448">
        <v>6.2561020512593598E-6</v>
      </c>
      <c r="J18" s="439"/>
    </row>
    <row r="19" spans="4:10" x14ac:dyDescent="0.2">
      <c r="D19" s="446" t="s">
        <v>462</v>
      </c>
      <c r="E19" s="446" t="s">
        <v>549</v>
      </c>
      <c r="F19" s="446" t="s">
        <v>537</v>
      </c>
      <c r="G19" s="447">
        <v>2.0934685120949436E-2</v>
      </c>
      <c r="H19" s="310">
        <v>2615.7842758620691</v>
      </c>
      <c r="I19" s="448">
        <v>4.5633850132919289E-3</v>
      </c>
      <c r="J19" s="439"/>
    </row>
    <row r="20" spans="4:10" x14ac:dyDescent="0.2">
      <c r="D20" s="446" t="s">
        <v>462</v>
      </c>
      <c r="E20" s="446" t="s">
        <v>550</v>
      </c>
      <c r="F20" s="446" t="s">
        <v>537</v>
      </c>
      <c r="G20" s="447">
        <v>0.35040331578306394</v>
      </c>
      <c r="H20" s="310">
        <v>454.83503502266183</v>
      </c>
      <c r="I20" s="448">
        <v>1.3281308700520559E-2</v>
      </c>
      <c r="J20" s="439"/>
    </row>
    <row r="21" spans="4:10" x14ac:dyDescent="0.2">
      <c r="D21" s="446" t="s">
        <v>462</v>
      </c>
      <c r="E21" s="446" t="s">
        <v>551</v>
      </c>
      <c r="F21" s="446" t="s">
        <v>537</v>
      </c>
      <c r="G21" s="447">
        <v>2.3244719341192131E-2</v>
      </c>
      <c r="H21" s="310">
        <v>195.60900621118012</v>
      </c>
      <c r="I21" s="448">
        <v>3.7890637083236583E-4</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1.2849565350099998E-2</v>
      </c>
      <c r="H23" s="310">
        <v>869.3483146067415</v>
      </c>
      <c r="I23" s="448">
        <v>9.3089566504488477E-4</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2.5987884977730332E-3</v>
      </c>
      <c r="H28" s="310">
        <v>26.166666666666664</v>
      </c>
      <c r="I28" s="448">
        <v>5.6668026965328635E-6</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1.0356133882942866</v>
      </c>
      <c r="H52" s="310">
        <v>524.52230703745636</v>
      </c>
      <c r="I52" s="448">
        <v>4.526686030224969E-2</v>
      </c>
      <c r="J52" s="439"/>
    </row>
    <row r="53" spans="4:10" x14ac:dyDescent="0.2">
      <c r="D53" s="446" t="s">
        <v>462</v>
      </c>
      <c r="E53" s="446" t="s">
        <v>584</v>
      </c>
      <c r="F53" s="446" t="s">
        <v>554</v>
      </c>
      <c r="G53" s="447">
        <v>5.7234415293481049E-2</v>
      </c>
      <c r="H53" s="310">
        <v>524.52230703745624</v>
      </c>
      <c r="I53" s="448">
        <v>2.501727295973046E-3</v>
      </c>
      <c r="J53" s="439"/>
    </row>
    <row r="54" spans="4:10" x14ac:dyDescent="0.2">
      <c r="D54" s="446" t="s">
        <v>462</v>
      </c>
      <c r="E54" s="446" t="s">
        <v>585</v>
      </c>
      <c r="F54" s="446" t="s">
        <v>554</v>
      </c>
      <c r="G54" s="447">
        <v>0.25343125464673771</v>
      </c>
      <c r="H54" s="310">
        <v>524.52230703745624</v>
      </c>
      <c r="I54" s="448">
        <v>1.107752886355866E-2</v>
      </c>
      <c r="J54" s="439"/>
    </row>
    <row r="55" spans="4:10" x14ac:dyDescent="0.2">
      <c r="D55" s="446" t="s">
        <v>462</v>
      </c>
      <c r="E55" s="446" t="s">
        <v>586</v>
      </c>
      <c r="F55" s="446" t="s">
        <v>537</v>
      </c>
      <c r="G55" s="447">
        <v>0.13853491957138278</v>
      </c>
      <c r="H55" s="310">
        <v>524.52230703745636</v>
      </c>
      <c r="I55" s="448">
        <v>6.0553879682358463E-3</v>
      </c>
      <c r="J55" s="439"/>
    </row>
    <row r="56" spans="4:10" x14ac:dyDescent="0.2">
      <c r="D56" s="446" t="s">
        <v>462</v>
      </c>
      <c r="E56" s="446" t="s">
        <v>5</v>
      </c>
      <c r="F56" s="446" t="s">
        <v>537</v>
      </c>
      <c r="G56" s="447">
        <v>0.11879514211897715</v>
      </c>
      <c r="H56" s="310">
        <v>524.52230703745636</v>
      </c>
      <c r="I56" s="448">
        <v>5.1925585007573669E-3</v>
      </c>
      <c r="J56" s="439"/>
    </row>
    <row r="57" spans="4:10" x14ac:dyDescent="0.2">
      <c r="D57" s="446" t="s">
        <v>462</v>
      </c>
      <c r="E57" s="446" t="s">
        <v>587</v>
      </c>
      <c r="F57" s="446" t="s">
        <v>537</v>
      </c>
      <c r="G57" s="447">
        <v>0.3137254112690569</v>
      </c>
      <c r="H57" s="310">
        <v>524.52230703745636</v>
      </c>
      <c r="I57" s="448">
        <v>1.3712998041260045E-2</v>
      </c>
      <c r="J57" s="439"/>
    </row>
    <row r="58" spans="4:10" x14ac:dyDescent="0.2">
      <c r="D58" s="446" t="s">
        <v>462</v>
      </c>
      <c r="E58" s="446" t="s">
        <v>588</v>
      </c>
      <c r="F58" s="446" t="s">
        <v>537</v>
      </c>
      <c r="G58" s="447">
        <v>0.21192800696164737</v>
      </c>
      <c r="H58" s="310">
        <v>524.52230703745636</v>
      </c>
      <c r="I58" s="448">
        <v>9.2634139281144497E-3</v>
      </c>
      <c r="J58" s="439"/>
    </row>
    <row r="59" spans="4:10" x14ac:dyDescent="0.2">
      <c r="D59" s="446" t="s">
        <v>462</v>
      </c>
      <c r="E59" s="446" t="s">
        <v>589</v>
      </c>
      <c r="F59" s="446" t="s">
        <v>537</v>
      </c>
      <c r="G59" s="447">
        <v>8.1919793777553762E-2</v>
      </c>
      <c r="H59" s="310">
        <v>524.52230703745636</v>
      </c>
      <c r="I59" s="448">
        <v>3.58072993535293E-3</v>
      </c>
      <c r="J59" s="439"/>
    </row>
    <row r="60" spans="4:10" x14ac:dyDescent="0.2">
      <c r="D60" s="446" t="s">
        <v>462</v>
      </c>
      <c r="E60" s="446" t="s">
        <v>590</v>
      </c>
      <c r="F60" s="446" t="s">
        <v>537</v>
      </c>
      <c r="G60" s="447">
        <v>7.8190938349967043E-2</v>
      </c>
      <c r="H60" s="310">
        <v>524.52230703745636</v>
      </c>
      <c r="I60" s="448">
        <v>3.4177409477290197E-3</v>
      </c>
      <c r="J60" s="439"/>
    </row>
    <row r="61" spans="4:10" x14ac:dyDescent="0.2">
      <c r="D61" s="446" t="s">
        <v>462</v>
      </c>
      <c r="E61" s="446" t="s">
        <v>591</v>
      </c>
      <c r="F61" s="446" t="s">
        <v>537</v>
      </c>
      <c r="G61" s="447">
        <v>0.12964341711160757</v>
      </c>
      <c r="H61" s="310">
        <v>524.52230703745624</v>
      </c>
      <c r="I61" s="448">
        <v>5.6667386862999701E-3</v>
      </c>
      <c r="J61" s="439"/>
    </row>
    <row r="62" spans="4:10" x14ac:dyDescent="0.2">
      <c r="D62" s="446" t="s">
        <v>462</v>
      </c>
      <c r="E62" s="446" t="s">
        <v>592</v>
      </c>
      <c r="F62" s="446" t="s">
        <v>537</v>
      </c>
      <c r="G62" s="447">
        <v>0.12490849764757073</v>
      </c>
      <c r="H62" s="310">
        <v>524.52230703745636</v>
      </c>
      <c r="I62" s="448">
        <v>5.4597744462238744E-3</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2.9542450134128777</v>
      </c>
      <c r="H64" s="463"/>
      <c r="I64" s="464">
        <v>0.13036187757019241</v>
      </c>
      <c r="J64" s="439"/>
    </row>
    <row r="65" spans="4:10" x14ac:dyDescent="0.2">
      <c r="D65" s="446" t="s">
        <v>595</v>
      </c>
      <c r="E65" s="446" t="s">
        <v>596</v>
      </c>
      <c r="F65" s="446" t="s">
        <v>554</v>
      </c>
      <c r="G65" s="447">
        <v>5.77508555060674E-3</v>
      </c>
      <c r="H65" s="310">
        <v>134.54150000000001</v>
      </c>
      <c r="I65" s="448">
        <v>6.4749056050579732E-5</v>
      </c>
      <c r="J65" s="439"/>
    </row>
    <row r="66" spans="4:10" x14ac:dyDescent="0.2">
      <c r="D66" s="446" t="s">
        <v>595</v>
      </c>
      <c r="E66" s="446" t="s">
        <v>563</v>
      </c>
      <c r="F66" s="446" t="s">
        <v>554</v>
      </c>
      <c r="G66" s="447">
        <v>1.0106399713561797E-2</v>
      </c>
      <c r="H66" s="310">
        <v>272.59785714285709</v>
      </c>
      <c r="I66" s="448">
        <v>2.2958190877884422E-4</v>
      </c>
      <c r="J66" s="439"/>
    </row>
    <row r="67" spans="4:10" x14ac:dyDescent="0.2">
      <c r="D67" s="446" t="s">
        <v>595</v>
      </c>
      <c r="E67" s="446" t="s">
        <v>564</v>
      </c>
      <c r="F67" s="446" t="s">
        <v>554</v>
      </c>
      <c r="G67" s="447">
        <v>4.0136844576716846E-2</v>
      </c>
      <c r="H67" s="310">
        <v>121.12262589928058</v>
      </c>
      <c r="I67" s="448">
        <v>4.0512333420360356E-4</v>
      </c>
      <c r="J67" s="439"/>
    </row>
    <row r="68" spans="4:10" x14ac:dyDescent="0.2">
      <c r="D68" s="446" t="s">
        <v>595</v>
      </c>
      <c r="E68" s="446" t="s">
        <v>597</v>
      </c>
      <c r="F68" s="446" t="s">
        <v>554</v>
      </c>
      <c r="G68" s="447">
        <v>2.2522833647366285E-2</v>
      </c>
      <c r="H68" s="310">
        <v>38.786153846153852</v>
      </c>
      <c r="I68" s="448">
        <v>7.2797840908173268E-5</v>
      </c>
      <c r="J68" s="439"/>
    </row>
    <row r="69" spans="4:10" x14ac:dyDescent="0.2">
      <c r="D69" s="446" t="s">
        <v>595</v>
      </c>
      <c r="E69" s="446" t="s">
        <v>572</v>
      </c>
      <c r="F69" s="446" t="s">
        <v>554</v>
      </c>
      <c r="G69" s="447">
        <v>1.443771387651685E-3</v>
      </c>
      <c r="H69" s="310">
        <v>120.45400000000001</v>
      </c>
      <c r="I69" s="448">
        <v>1.4492336560683006E-5</v>
      </c>
      <c r="J69" s="439"/>
    </row>
    <row r="70" spans="4:10" x14ac:dyDescent="0.2">
      <c r="D70" s="446" t="s">
        <v>595</v>
      </c>
      <c r="E70" s="446" t="s">
        <v>567</v>
      </c>
      <c r="F70" s="446" t="s">
        <v>554</v>
      </c>
      <c r="G70" s="447">
        <v>3.1907347667102244E-2</v>
      </c>
      <c r="H70" s="310">
        <v>83.11054298642533</v>
      </c>
      <c r="I70" s="448">
        <v>2.2098641582245994E-4</v>
      </c>
      <c r="J70" s="439"/>
    </row>
    <row r="71" spans="4:10" x14ac:dyDescent="0.2">
      <c r="D71" s="446" t="s">
        <v>595</v>
      </c>
      <c r="E71" s="446" t="s">
        <v>568</v>
      </c>
      <c r="F71" s="446" t="s">
        <v>554</v>
      </c>
      <c r="G71" s="447">
        <v>1.443771387651685E-3</v>
      </c>
      <c r="H71" s="310">
        <v>892.4</v>
      </c>
      <c r="I71" s="448">
        <v>1.0736846552836364E-4</v>
      </c>
      <c r="J71" s="439"/>
    </row>
    <row r="72" spans="4:10" x14ac:dyDescent="0.2">
      <c r="D72" s="446" t="s">
        <v>595</v>
      </c>
      <c r="E72" s="446" t="s">
        <v>548</v>
      </c>
      <c r="F72" s="446" t="s">
        <v>554</v>
      </c>
      <c r="G72" s="447">
        <v>4.1147484548073016E-2</v>
      </c>
      <c r="H72" s="310">
        <v>265.7827017543861</v>
      </c>
      <c r="I72" s="448">
        <v>9.1135746779864174E-4</v>
      </c>
      <c r="J72" s="439"/>
    </row>
    <row r="73" spans="4:10" x14ac:dyDescent="0.2">
      <c r="D73" s="446" t="s">
        <v>595</v>
      </c>
      <c r="E73" s="446" t="s">
        <v>598</v>
      </c>
      <c r="F73" s="446" t="s">
        <v>554</v>
      </c>
      <c r="G73" s="447">
        <v>4.331314162955055E-3</v>
      </c>
      <c r="H73" s="310">
        <v>126.048</v>
      </c>
      <c r="I73" s="448">
        <v>4.5496123967679898E-5</v>
      </c>
      <c r="J73" s="439"/>
    </row>
    <row r="74" spans="4:10" x14ac:dyDescent="0.2">
      <c r="D74" s="446" t="s">
        <v>595</v>
      </c>
      <c r="E74" s="446" t="s">
        <v>549</v>
      </c>
      <c r="F74" s="446" t="s">
        <v>554</v>
      </c>
      <c r="G74" s="447">
        <v>0.20934685120949434</v>
      </c>
      <c r="H74" s="310">
        <v>127.05656551724135</v>
      </c>
      <c r="I74" s="448">
        <v>2.2165743263772744E-3</v>
      </c>
      <c r="J74" s="439"/>
    </row>
    <row r="75" spans="4:10" x14ac:dyDescent="0.2">
      <c r="D75" s="446" t="s">
        <v>595</v>
      </c>
      <c r="E75" s="446" t="s">
        <v>571</v>
      </c>
      <c r="F75" s="446" t="s">
        <v>554</v>
      </c>
      <c r="G75" s="447">
        <v>6.7857255219629202E-3</v>
      </c>
      <c r="H75" s="310">
        <v>125.16191489361699</v>
      </c>
      <c r="I75" s="448">
        <v>7.0776200022613979E-5</v>
      </c>
      <c r="J75" s="439"/>
    </row>
    <row r="76" spans="4:10" x14ac:dyDescent="0.2">
      <c r="D76" s="446" t="s">
        <v>595</v>
      </c>
      <c r="E76" s="446" t="s">
        <v>561</v>
      </c>
      <c r="F76" s="446" t="s">
        <v>554</v>
      </c>
      <c r="G76" s="447">
        <v>4.6200684404853918E-3</v>
      </c>
      <c r="H76" s="310">
        <v>181.21406250000004</v>
      </c>
      <c r="I76" s="448">
        <v>6.9768447594033126E-5</v>
      </c>
      <c r="J76" s="439"/>
    </row>
    <row r="77" spans="4:10" x14ac:dyDescent="0.2">
      <c r="D77" s="446" t="s">
        <v>595</v>
      </c>
      <c r="E77" s="446" t="s">
        <v>599</v>
      </c>
      <c r="F77" s="446" t="s">
        <v>554</v>
      </c>
      <c r="G77" s="447">
        <v>2.1128150486894759</v>
      </c>
      <c r="H77" s="310">
        <v>66.233238349050296</v>
      </c>
      <c r="I77" s="448">
        <v>1.166154855894253E-2</v>
      </c>
      <c r="J77" s="439"/>
    </row>
    <row r="78" spans="4:10" x14ac:dyDescent="0.2">
      <c r="D78" s="446" t="s">
        <v>595</v>
      </c>
      <c r="E78" s="446" t="s">
        <v>600</v>
      </c>
      <c r="F78" s="446" t="s">
        <v>554</v>
      </c>
      <c r="G78" s="447">
        <v>5.4863312730764032E-3</v>
      </c>
      <c r="H78" s="310">
        <v>524.54447368421052</v>
      </c>
      <c r="I78" s="448">
        <v>2.398187291744239E-4</v>
      </c>
      <c r="J78" s="439"/>
    </row>
    <row r="79" spans="4:10" x14ac:dyDescent="0.2">
      <c r="D79" s="446" t="s">
        <v>595</v>
      </c>
      <c r="E79" s="446" t="s">
        <v>555</v>
      </c>
      <c r="F79" s="446" t="s">
        <v>554</v>
      </c>
      <c r="G79" s="447">
        <v>0.43082138207526283</v>
      </c>
      <c r="H79" s="310">
        <v>139.53197386058977</v>
      </c>
      <c r="I79" s="448">
        <v>5.0094464851923948E-3</v>
      </c>
      <c r="J79" s="439"/>
    </row>
    <row r="80" spans="4:10" x14ac:dyDescent="0.2">
      <c r="D80" s="446" t="s">
        <v>595</v>
      </c>
      <c r="E80" s="446" t="s">
        <v>552</v>
      </c>
      <c r="F80" s="446" t="s">
        <v>554</v>
      </c>
      <c r="G80" s="447">
        <v>1.8769028039471905E-3</v>
      </c>
      <c r="H80" s="310">
        <v>59.759230769230776</v>
      </c>
      <c r="I80" s="448">
        <v>9.346855649374706E-6</v>
      </c>
      <c r="J80" s="439"/>
    </row>
    <row r="81" spans="4:10" x14ac:dyDescent="0.2">
      <c r="D81" s="446" t="s">
        <v>595</v>
      </c>
      <c r="E81" s="446" t="s">
        <v>581</v>
      </c>
      <c r="F81" s="446" t="s">
        <v>554</v>
      </c>
      <c r="G81" s="447">
        <v>2.3389096479957301E-2</v>
      </c>
      <c r="H81" s="310">
        <v>1069.7316049382714</v>
      </c>
      <c r="I81" s="448">
        <v>2.0850046429633996E-3</v>
      </c>
      <c r="J81" s="439"/>
    </row>
    <row r="82" spans="4:10" x14ac:dyDescent="0.2">
      <c r="D82" s="446" t="s">
        <v>595</v>
      </c>
      <c r="E82" s="446" t="s">
        <v>574</v>
      </c>
      <c r="F82" s="446" t="s">
        <v>554</v>
      </c>
      <c r="G82" s="447">
        <v>8.8503186063048286E-2</v>
      </c>
      <c r="H82" s="310">
        <v>102.72985318107669</v>
      </c>
      <c r="I82" s="448">
        <v>7.5765994252620524E-4</v>
      </c>
      <c r="J82" s="439"/>
    </row>
    <row r="83" spans="4:10" x14ac:dyDescent="0.2">
      <c r="D83" s="446" t="s">
        <v>595</v>
      </c>
      <c r="E83" s="446" t="s">
        <v>601</v>
      </c>
      <c r="F83" s="446" t="s">
        <v>554</v>
      </c>
      <c r="G83" s="447">
        <v>5.7750855506067398E-4</v>
      </c>
      <c r="H83" s="310">
        <v>1922.2575000000002</v>
      </c>
      <c r="I83" s="448">
        <v>9.2510012606628625E-5</v>
      </c>
      <c r="J83" s="439"/>
    </row>
    <row r="84" spans="4:10" x14ac:dyDescent="0.2">
      <c r="D84" s="446" t="s">
        <v>595</v>
      </c>
      <c r="E84" s="446" t="s">
        <v>559</v>
      </c>
      <c r="F84" s="446" t="s">
        <v>554</v>
      </c>
      <c r="G84" s="447">
        <v>4.3024387352020216E-2</v>
      </c>
      <c r="H84" s="310">
        <v>207.13117449664429</v>
      </c>
      <c r="I84" s="448">
        <v>7.4264099035187628E-4</v>
      </c>
      <c r="J84" s="439"/>
    </row>
    <row r="85" spans="4:10" x14ac:dyDescent="0.2">
      <c r="D85" s="446" t="s">
        <v>595</v>
      </c>
      <c r="E85" s="446" t="s">
        <v>573</v>
      </c>
      <c r="F85" s="446" t="s">
        <v>554</v>
      </c>
      <c r="G85" s="447">
        <v>1.5015222431577522E-2</v>
      </c>
      <c r="H85" s="310">
        <v>104.28682692307692</v>
      </c>
      <c r="I85" s="448">
        <v>1.3049082524445226E-4</v>
      </c>
      <c r="J85" s="439"/>
    </row>
    <row r="86" spans="4:10" x14ac:dyDescent="0.2">
      <c r="D86" s="446" t="s">
        <v>595</v>
      </c>
      <c r="E86" s="446" t="s">
        <v>562</v>
      </c>
      <c r="F86" s="446" t="s">
        <v>554</v>
      </c>
      <c r="G86" s="447">
        <v>6.4825335305560658E-2</v>
      </c>
      <c r="H86" s="310">
        <v>341.85227171492204</v>
      </c>
      <c r="I86" s="448">
        <v>1.8467240115739544E-3</v>
      </c>
      <c r="J86" s="439"/>
    </row>
    <row r="87" spans="4:10" x14ac:dyDescent="0.2">
      <c r="D87" s="446" t="s">
        <v>595</v>
      </c>
      <c r="E87" s="446" t="s">
        <v>550</v>
      </c>
      <c r="F87" s="446" t="s">
        <v>554</v>
      </c>
      <c r="G87" s="447">
        <v>1.1127146084631536</v>
      </c>
      <c r="H87" s="310">
        <v>171.48120280264692</v>
      </c>
      <c r="I87" s="448">
        <v>1.5900803286278159E-2</v>
      </c>
      <c r="J87" s="439"/>
    </row>
    <row r="88" spans="4:10" x14ac:dyDescent="0.2">
      <c r="D88" s="446" t="s">
        <v>595</v>
      </c>
      <c r="E88" s="446" t="s">
        <v>579</v>
      </c>
      <c r="F88" s="446" t="s">
        <v>554</v>
      </c>
      <c r="G88" s="447">
        <v>7.406547218653145E-2</v>
      </c>
      <c r="H88" s="310">
        <v>104.60725146198828</v>
      </c>
      <c r="I88" s="448">
        <v>6.4564878947228287E-4</v>
      </c>
      <c r="J88" s="439"/>
    </row>
    <row r="89" spans="4:10" x14ac:dyDescent="0.2">
      <c r="D89" s="446" t="s">
        <v>595</v>
      </c>
      <c r="E89" s="446" t="s">
        <v>556</v>
      </c>
      <c r="F89" s="446" t="s">
        <v>554</v>
      </c>
      <c r="G89" s="447">
        <v>1.8047142345646059E-2</v>
      </c>
      <c r="H89" s="310">
        <v>128.74880000000002</v>
      </c>
      <c r="I89" s="448">
        <v>1.9362899336925965E-4</v>
      </c>
      <c r="J89" s="439"/>
    </row>
    <row r="90" spans="4:10" x14ac:dyDescent="0.2">
      <c r="D90" s="446" t="s">
        <v>595</v>
      </c>
      <c r="E90" s="446" t="s">
        <v>602</v>
      </c>
      <c r="F90" s="446" t="s">
        <v>554</v>
      </c>
      <c r="G90" s="447">
        <v>7.218856938258425E-4</v>
      </c>
      <c r="H90" s="310">
        <v>127.44799999999999</v>
      </c>
      <c r="I90" s="448">
        <v>7.6669073255596648E-6</v>
      </c>
      <c r="J90" s="439"/>
    </row>
    <row r="91" spans="4:10" x14ac:dyDescent="0.2">
      <c r="D91" s="446" t="s">
        <v>595</v>
      </c>
      <c r="E91" s="446" t="s">
        <v>577</v>
      </c>
      <c r="F91" s="446" t="s">
        <v>554</v>
      </c>
      <c r="G91" s="447">
        <v>0.69965161445600665</v>
      </c>
      <c r="H91" s="310">
        <v>37.953330581923233</v>
      </c>
      <c r="I91" s="448">
        <v>2.2128424179687599E-3</v>
      </c>
      <c r="J91" s="439"/>
    </row>
    <row r="92" spans="4:10" x14ac:dyDescent="0.2">
      <c r="D92" s="446" t="s">
        <v>595</v>
      </c>
      <c r="E92" s="446" t="s">
        <v>576</v>
      </c>
      <c r="F92" s="446" t="s">
        <v>554</v>
      </c>
      <c r="G92" s="447">
        <v>2.2234079369835947E-2</v>
      </c>
      <c r="H92" s="310">
        <v>183.43733766233768</v>
      </c>
      <c r="I92" s="448">
        <v>3.3988002708131774E-4</v>
      </c>
      <c r="J92" s="439"/>
    </row>
    <row r="93" spans="4:10" x14ac:dyDescent="0.2">
      <c r="D93" s="446" t="s">
        <v>595</v>
      </c>
      <c r="E93" s="446" t="s">
        <v>603</v>
      </c>
      <c r="F93" s="446" t="s">
        <v>554</v>
      </c>
      <c r="G93" s="447">
        <v>4.3313141629550551E-4</v>
      </c>
      <c r="H93" s="310">
        <v>68.666666666666657</v>
      </c>
      <c r="I93" s="448">
        <v>2.4784742154687258E-6</v>
      </c>
      <c r="J93" s="439"/>
    </row>
    <row r="94" spans="4:10" x14ac:dyDescent="0.2">
      <c r="D94" s="446" t="s">
        <v>595</v>
      </c>
      <c r="E94" s="446" t="s">
        <v>557</v>
      </c>
      <c r="F94" s="446" t="s">
        <v>554</v>
      </c>
      <c r="G94" s="447">
        <v>1.1117039684917973E-2</v>
      </c>
      <c r="H94" s="310">
        <v>88.44350649350649</v>
      </c>
      <c r="I94" s="448">
        <v>8.193583096346768E-5</v>
      </c>
      <c r="J94" s="439"/>
    </row>
    <row r="95" spans="4:10" x14ac:dyDescent="0.2">
      <c r="D95" s="446" t="s">
        <v>595</v>
      </c>
      <c r="E95" s="446" t="s">
        <v>582</v>
      </c>
      <c r="F95" s="446" t="s">
        <v>554</v>
      </c>
      <c r="G95" s="447">
        <v>5.1975769955460664E-3</v>
      </c>
      <c r="H95" s="310">
        <v>626.58555555555563</v>
      </c>
      <c r="I95" s="448">
        <v>2.7139388910808396E-4</v>
      </c>
      <c r="J95" s="439"/>
    </row>
    <row r="96" spans="4:10" x14ac:dyDescent="0.2">
      <c r="D96" s="446" t="s">
        <v>595</v>
      </c>
      <c r="E96" s="446" t="s">
        <v>565</v>
      </c>
      <c r="F96" s="446" t="s">
        <v>554</v>
      </c>
      <c r="G96" s="447">
        <v>8.1573083402320209E-2</v>
      </c>
      <c r="H96" s="310">
        <v>81.489557522123889</v>
      </c>
      <c r="I96" s="448">
        <v>5.5394620601419847E-4</v>
      </c>
      <c r="J96" s="439"/>
    </row>
    <row r="97" spans="4:13" x14ac:dyDescent="0.2">
      <c r="D97" s="446" t="s">
        <v>595</v>
      </c>
      <c r="E97" s="446" t="s">
        <v>604</v>
      </c>
      <c r="F97" s="446" t="s">
        <v>554</v>
      </c>
      <c r="G97" s="447">
        <v>1.2416433933804491E-2</v>
      </c>
      <c r="H97" s="310">
        <v>124.43918604651164</v>
      </c>
      <c r="I97" s="448">
        <v>1.2875757769357645E-4</v>
      </c>
      <c r="J97" s="439"/>
    </row>
    <row r="98" spans="4:13" x14ac:dyDescent="0.2">
      <c r="D98" s="446" t="s">
        <v>595</v>
      </c>
      <c r="E98" s="446" t="s">
        <v>569</v>
      </c>
      <c r="F98" s="446" t="s">
        <v>554</v>
      </c>
      <c r="G98" s="447">
        <v>2.7431656365382016E-3</v>
      </c>
      <c r="H98" s="310">
        <v>121.19210526315791</v>
      </c>
      <c r="I98" s="448">
        <v>2.7704168214801274E-5</v>
      </c>
      <c r="J98" s="439"/>
    </row>
    <row r="99" spans="4:13" x14ac:dyDescent="0.2">
      <c r="D99" s="446" t="s">
        <v>595</v>
      </c>
      <c r="E99" s="446" t="s">
        <v>553</v>
      </c>
      <c r="F99" s="446" t="s">
        <v>554</v>
      </c>
      <c r="G99" s="447">
        <v>0.10900473976770218</v>
      </c>
      <c r="H99" s="310">
        <v>98.571947019867565</v>
      </c>
      <c r="I99" s="448">
        <v>8.9540078610803259E-4</v>
      </c>
      <c r="J99" s="439"/>
    </row>
    <row r="100" spans="4:13" x14ac:dyDescent="0.2">
      <c r="D100" s="446" t="s">
        <v>595</v>
      </c>
      <c r="E100" s="446" t="s">
        <v>570</v>
      </c>
      <c r="F100" s="446" t="s">
        <v>554</v>
      </c>
      <c r="G100" s="447">
        <v>1.4150403370374165</v>
      </c>
      <c r="H100" s="310">
        <v>121.51757167635955</v>
      </c>
      <c r="I100" s="448">
        <v>1.4329355465073688E-2</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3.1762970528337073E-3</v>
      </c>
      <c r="H102" s="310">
        <v>85.13636363636364</v>
      </c>
      <c r="I102" s="448">
        <v>2.2534865075596719E-5</v>
      </c>
      <c r="J102" s="439"/>
    </row>
    <row r="103" spans="4:13" x14ac:dyDescent="0.2">
      <c r="D103" s="446" t="s">
        <v>595</v>
      </c>
      <c r="E103" s="446" t="s">
        <v>560</v>
      </c>
      <c r="F103" s="446" t="s">
        <v>554</v>
      </c>
      <c r="G103" s="447">
        <v>3.6094284691292125E-2</v>
      </c>
      <c r="H103" s="310">
        <v>79.655599999999993</v>
      </c>
      <c r="I103" s="448">
        <v>2.3959265863797408E-4</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2.8731050614268533E-2</v>
      </c>
      <c r="H105" s="310">
        <v>79.571507537688433</v>
      </c>
      <c r="I105" s="448">
        <v>1.9051441754324805E-4</v>
      </c>
      <c r="J105" s="439"/>
    </row>
    <row r="106" spans="4:13" x14ac:dyDescent="0.2">
      <c r="D106" s="446" t="s">
        <v>595</v>
      </c>
      <c r="E106" s="446" t="s">
        <v>580</v>
      </c>
      <c r="F106" s="446" t="s">
        <v>554</v>
      </c>
      <c r="G106" s="447">
        <v>4.33131416295506E-4</v>
      </c>
      <c r="H106" s="310">
        <v>143.61176470588236</v>
      </c>
      <c r="I106" s="448">
        <v>2.9373528881773539E-5</v>
      </c>
      <c r="J106" s="439"/>
    </row>
    <row r="107" spans="4:13" x14ac:dyDescent="0.2">
      <c r="D107" s="451" t="s">
        <v>595</v>
      </c>
      <c r="E107" s="451" t="s">
        <v>558</v>
      </c>
      <c r="F107" s="451" t="s">
        <v>554</v>
      </c>
      <c r="G107" s="452">
        <v>3.1088729290303725</v>
      </c>
      <c r="H107" s="310">
        <v>5.0192727441601276E-2</v>
      </c>
      <c r="I107" s="454">
        <v>1.300356763144951E-5</v>
      </c>
      <c r="J107" s="439"/>
    </row>
    <row r="108" spans="4:13" ht="16" x14ac:dyDescent="0.2">
      <c r="D108" s="461" t="s">
        <v>605</v>
      </c>
      <c r="E108" s="460"/>
      <c r="F108" s="460"/>
      <c r="G108" s="465">
        <v>9.9101911819799291</v>
      </c>
      <c r="H108" s="466"/>
      <c r="I108" s="467">
        <v>6.3090724834494891E-2</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0.19345260240468731</v>
      </c>
      <c r="J118" s="439"/>
    </row>
  </sheetData>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enableFormatConditionsCalculation="0">
    <tabColor rgb="FF00B0F0"/>
  </sheetPr>
  <dimension ref="B1:S118"/>
  <sheetViews>
    <sheetView showGridLines="0" workbookViewId="0">
      <pane ySplit="7" topLeftCell="A8" activePane="bottomLeft" state="frozen"/>
      <selection pane="bottomLeft" activeCell="A8" sqref="A8"/>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815</v>
      </c>
      <c r="G3"/>
      <c r="H3"/>
      <c r="I3"/>
    </row>
    <row r="4" spans="2:19" x14ac:dyDescent="0.2">
      <c r="G4"/>
      <c r="H4"/>
      <c r="I4"/>
    </row>
    <row r="5" spans="2:19" ht="16" x14ac:dyDescent="0.2">
      <c r="D5" s="438" t="s">
        <v>816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Target'!D17</f>
        <v>1018.5185313926721</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Target'!E17</f>
        <v>254.62963284816803</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v>
      </c>
      <c r="O10" s="310" t="s">
        <v>446</v>
      </c>
      <c r="P10" s="388">
        <v>0</v>
      </c>
      <c r="Q10" s="29">
        <v>0</v>
      </c>
      <c r="R10" s="388">
        <f>N10*Q10/12000</f>
        <v>0</v>
      </c>
      <c r="S10" s="388">
        <f>P10-R10</f>
        <v>0</v>
      </c>
    </row>
    <row r="11" spans="2:19" x14ac:dyDescent="0.2">
      <c r="D11" s="446" t="s">
        <v>1</v>
      </c>
      <c r="E11" s="446" t="s">
        <v>540</v>
      </c>
      <c r="F11" s="446" t="s">
        <v>534</v>
      </c>
      <c r="G11" s="447">
        <v>0</v>
      </c>
      <c r="H11" s="310" t="s">
        <v>446</v>
      </c>
      <c r="I11" s="448">
        <v>0</v>
      </c>
      <c r="J11" s="439"/>
      <c r="K11" s="320" t="s">
        <v>463</v>
      </c>
      <c r="L11" s="450" t="s">
        <v>541</v>
      </c>
      <c r="M11" s="446" t="s">
        <v>539</v>
      </c>
      <c r="N11" s="449">
        <v>0</v>
      </c>
      <c r="O11" s="310" t="s">
        <v>446</v>
      </c>
      <c r="P11" s="388">
        <v>0</v>
      </c>
      <c r="Q11" s="29">
        <f>'Assumptions-Output Target'!G17</f>
        <v>30.555555941780163</v>
      </c>
      <c r="R11" s="388">
        <f>N11*Q11/12000</f>
        <v>0</v>
      </c>
      <c r="S11" s="388">
        <f>P11-R11</f>
        <v>0</v>
      </c>
    </row>
    <row r="12" spans="2:19" x14ac:dyDescent="0.2">
      <c r="D12" s="446" t="s">
        <v>1</v>
      </c>
      <c r="E12" s="446" t="s">
        <v>542</v>
      </c>
      <c r="F12" s="446" t="s">
        <v>534</v>
      </c>
      <c r="G12" s="447">
        <v>0</v>
      </c>
      <c r="H12" s="310" t="s">
        <v>446</v>
      </c>
      <c r="I12" s="448">
        <v>0</v>
      </c>
      <c r="J12" s="439"/>
      <c r="K12" s="320" t="s">
        <v>464</v>
      </c>
      <c r="L12" s="450" t="s">
        <v>541</v>
      </c>
      <c r="M12" s="446" t="s">
        <v>539</v>
      </c>
      <c r="N12" s="449">
        <v>3.1088729290303725</v>
      </c>
      <c r="O12" s="310">
        <v>0</v>
      </c>
      <c r="P12" s="388">
        <v>0</v>
      </c>
      <c r="Q12" s="29">
        <f>'Assumptions-Output Target'!H17</f>
        <v>55.000000695204292</v>
      </c>
      <c r="R12" s="388">
        <f>N12*Q12/12000</f>
        <v>1.4249001104831023E-2</v>
      </c>
      <c r="S12" s="388">
        <f>P12-R12</f>
        <v>-1.4249001104831023E-2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v>
      </c>
      <c r="R15" s="388">
        <f>SUM(R8:R13)</f>
        <v>1.4249001104831023E-2</v>
      </c>
      <c r="S15" s="388">
        <f>SUM(S8:S13)</f>
        <v>-1.4249001104831023E-2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0</v>
      </c>
      <c r="H20" s="310" t="s">
        <v>446</v>
      </c>
      <c r="I20" s="448">
        <v>0</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v>
      </c>
      <c r="H52" s="310" t="s">
        <v>446</v>
      </c>
      <c r="I52" s="448">
        <v>0</v>
      </c>
      <c r="J52" s="439"/>
    </row>
    <row r="53" spans="4:10" x14ac:dyDescent="0.2">
      <c r="D53" s="446" t="s">
        <v>462</v>
      </c>
      <c r="E53" s="446" t="s">
        <v>584</v>
      </c>
      <c r="F53" s="446" t="s">
        <v>554</v>
      </c>
      <c r="G53" s="447">
        <v>0</v>
      </c>
      <c r="H53" s="310" t="s">
        <v>446</v>
      </c>
      <c r="I53" s="448">
        <v>0</v>
      </c>
      <c r="J53" s="439"/>
    </row>
    <row r="54" spans="4:10" x14ac:dyDescent="0.2">
      <c r="D54" s="446" t="s">
        <v>462</v>
      </c>
      <c r="E54" s="446" t="s">
        <v>585</v>
      </c>
      <c r="F54" s="446" t="s">
        <v>554</v>
      </c>
      <c r="G54" s="447">
        <v>0</v>
      </c>
      <c r="H54" s="310" t="s">
        <v>446</v>
      </c>
      <c r="I54" s="448">
        <v>0</v>
      </c>
      <c r="J54" s="439"/>
    </row>
    <row r="55" spans="4:10" x14ac:dyDescent="0.2">
      <c r="D55" s="446" t="s">
        <v>462</v>
      </c>
      <c r="E55" s="446" t="s">
        <v>586</v>
      </c>
      <c r="F55" s="446" t="s">
        <v>537</v>
      </c>
      <c r="G55" s="447">
        <v>0</v>
      </c>
      <c r="H55" s="310" t="s">
        <v>446</v>
      </c>
      <c r="I55" s="448">
        <v>0</v>
      </c>
      <c r="J55" s="439"/>
    </row>
    <row r="56" spans="4:10" x14ac:dyDescent="0.2">
      <c r="D56" s="446" t="s">
        <v>462</v>
      </c>
      <c r="E56" s="446" t="s">
        <v>5</v>
      </c>
      <c r="F56" s="446" t="s">
        <v>537</v>
      </c>
      <c r="G56" s="447">
        <v>0</v>
      </c>
      <c r="H56" s="310" t="s">
        <v>446</v>
      </c>
      <c r="I56" s="448">
        <v>0</v>
      </c>
      <c r="J56" s="439"/>
    </row>
    <row r="57" spans="4:10" x14ac:dyDescent="0.2">
      <c r="D57" s="446" t="s">
        <v>462</v>
      </c>
      <c r="E57" s="446" t="s">
        <v>587</v>
      </c>
      <c r="F57" s="446" t="s">
        <v>537</v>
      </c>
      <c r="G57" s="447">
        <v>0</v>
      </c>
      <c r="H57" s="310" t="s">
        <v>446</v>
      </c>
      <c r="I57" s="448">
        <v>0</v>
      </c>
      <c r="J57" s="439"/>
    </row>
    <row r="58" spans="4:10" x14ac:dyDescent="0.2">
      <c r="D58" s="446" t="s">
        <v>462</v>
      </c>
      <c r="E58" s="446" t="s">
        <v>588</v>
      </c>
      <c r="F58" s="446" t="s">
        <v>537</v>
      </c>
      <c r="G58" s="447">
        <v>0</v>
      </c>
      <c r="H58" s="310" t="s">
        <v>446</v>
      </c>
      <c r="I58" s="448">
        <v>0</v>
      </c>
      <c r="J58" s="439"/>
    </row>
    <row r="59" spans="4:10" x14ac:dyDescent="0.2">
      <c r="D59" s="446" t="s">
        <v>462</v>
      </c>
      <c r="E59" s="446" t="s">
        <v>589</v>
      </c>
      <c r="F59" s="446" t="s">
        <v>537</v>
      </c>
      <c r="G59" s="447">
        <v>0</v>
      </c>
      <c r="H59" s="310" t="s">
        <v>446</v>
      </c>
      <c r="I59" s="448">
        <v>0</v>
      </c>
      <c r="J59" s="439"/>
    </row>
    <row r="60" spans="4:10" x14ac:dyDescent="0.2">
      <c r="D60" s="446" t="s">
        <v>462</v>
      </c>
      <c r="E60" s="446" t="s">
        <v>590</v>
      </c>
      <c r="F60" s="446" t="s">
        <v>537</v>
      </c>
      <c r="G60" s="447">
        <v>0</v>
      </c>
      <c r="H60" s="310" t="s">
        <v>446</v>
      </c>
      <c r="I60" s="448">
        <v>0</v>
      </c>
      <c r="J60" s="439"/>
    </row>
    <row r="61" spans="4:10" x14ac:dyDescent="0.2">
      <c r="D61" s="446" t="s">
        <v>462</v>
      </c>
      <c r="E61" s="446" t="s">
        <v>591</v>
      </c>
      <c r="F61" s="446" t="s">
        <v>537</v>
      </c>
      <c r="G61" s="447">
        <v>0</v>
      </c>
      <c r="H61" s="310" t="s">
        <v>446</v>
      </c>
      <c r="I61" s="448">
        <v>0</v>
      </c>
      <c r="J61" s="439"/>
    </row>
    <row r="62" spans="4:10" x14ac:dyDescent="0.2">
      <c r="D62" s="446" t="s">
        <v>462</v>
      </c>
      <c r="E62" s="446" t="s">
        <v>592</v>
      </c>
      <c r="F62" s="446" t="s">
        <v>537</v>
      </c>
      <c r="G62" s="447">
        <v>0</v>
      </c>
      <c r="H62" s="310" t="s">
        <v>446</v>
      </c>
      <c r="I62" s="448">
        <v>0</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v>
      </c>
      <c r="H64" s="463"/>
      <c r="I64" s="464">
        <v>0</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0</v>
      </c>
      <c r="H66" s="310" t="s">
        <v>446</v>
      </c>
      <c r="I66" s="448">
        <v>0</v>
      </c>
      <c r="J66" s="439"/>
    </row>
    <row r="67" spans="4:10" x14ac:dyDescent="0.2">
      <c r="D67" s="446" t="s">
        <v>595</v>
      </c>
      <c r="E67" s="446" t="s">
        <v>564</v>
      </c>
      <c r="F67" s="446" t="s">
        <v>554</v>
      </c>
      <c r="G67" s="447">
        <v>0</v>
      </c>
      <c r="H67" s="310" t="s">
        <v>446</v>
      </c>
      <c r="I67" s="448">
        <v>0</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0</v>
      </c>
      <c r="H72" s="310" t="s">
        <v>446</v>
      </c>
      <c r="I72" s="448">
        <v>0</v>
      </c>
      <c r="J72" s="439"/>
    </row>
    <row r="73" spans="4:10" x14ac:dyDescent="0.2">
      <c r="D73" s="446" t="s">
        <v>595</v>
      </c>
      <c r="E73" s="446" t="s">
        <v>598</v>
      </c>
      <c r="F73" s="446" t="s">
        <v>554</v>
      </c>
      <c r="G73" s="447">
        <v>0</v>
      </c>
      <c r="H73" s="310" t="s">
        <v>446</v>
      </c>
      <c r="I73" s="448">
        <v>0</v>
      </c>
      <c r="J73" s="439"/>
    </row>
    <row r="74" spans="4:10" x14ac:dyDescent="0.2">
      <c r="D74" s="446" t="s">
        <v>595</v>
      </c>
      <c r="E74" s="446" t="s">
        <v>549</v>
      </c>
      <c r="F74" s="446" t="s">
        <v>554</v>
      </c>
      <c r="G74" s="447">
        <v>0</v>
      </c>
      <c r="H74" s="310" t="s">
        <v>446</v>
      </c>
      <c r="I74" s="448">
        <v>0</v>
      </c>
      <c r="J74" s="439"/>
    </row>
    <row r="75" spans="4:10" x14ac:dyDescent="0.2">
      <c r="D75" s="446" t="s">
        <v>595</v>
      </c>
      <c r="E75" s="446" t="s">
        <v>571</v>
      </c>
      <c r="F75" s="446" t="s">
        <v>554</v>
      </c>
      <c r="G75" s="447">
        <v>0</v>
      </c>
      <c r="H75" s="310" t="s">
        <v>446</v>
      </c>
      <c r="I75" s="448">
        <v>0</v>
      </c>
      <c r="J75" s="439"/>
    </row>
    <row r="76" spans="4:10" x14ac:dyDescent="0.2">
      <c r="D76" s="446" t="s">
        <v>595</v>
      </c>
      <c r="E76" s="446" t="s">
        <v>561</v>
      </c>
      <c r="F76" s="446" t="s">
        <v>554</v>
      </c>
      <c r="G76" s="447">
        <v>0</v>
      </c>
      <c r="H76" s="310" t="s">
        <v>446</v>
      </c>
      <c r="I76" s="448">
        <v>0</v>
      </c>
      <c r="J76" s="439"/>
    </row>
    <row r="77" spans="4:10" x14ac:dyDescent="0.2">
      <c r="D77" s="446" t="s">
        <v>595</v>
      </c>
      <c r="E77" s="446" t="s">
        <v>599</v>
      </c>
      <c r="F77" s="446" t="s">
        <v>554</v>
      </c>
      <c r="G77" s="447">
        <v>0</v>
      </c>
      <c r="H77" s="310" t="s">
        <v>446</v>
      </c>
      <c r="I77" s="448">
        <v>0</v>
      </c>
      <c r="J77" s="439"/>
    </row>
    <row r="78" spans="4:10" x14ac:dyDescent="0.2">
      <c r="D78" s="446" t="s">
        <v>595</v>
      </c>
      <c r="E78" s="446" t="s">
        <v>600</v>
      </c>
      <c r="F78" s="446" t="s">
        <v>554</v>
      </c>
      <c r="G78" s="447">
        <v>0</v>
      </c>
      <c r="H78" s="310" t="s">
        <v>446</v>
      </c>
      <c r="I78" s="448">
        <v>0</v>
      </c>
      <c r="J78" s="439"/>
    </row>
    <row r="79" spans="4:10" x14ac:dyDescent="0.2">
      <c r="D79" s="446" t="s">
        <v>595</v>
      </c>
      <c r="E79" s="446" t="s">
        <v>555</v>
      </c>
      <c r="F79" s="446" t="s">
        <v>554</v>
      </c>
      <c r="G79" s="447">
        <v>0</v>
      </c>
      <c r="H79" s="310" t="s">
        <v>446</v>
      </c>
      <c r="I79" s="448">
        <v>0</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0</v>
      </c>
      <c r="H81" s="310" t="s">
        <v>446</v>
      </c>
      <c r="I81" s="448">
        <v>0</v>
      </c>
      <c r="J81" s="439"/>
    </row>
    <row r="82" spans="4:10" x14ac:dyDescent="0.2">
      <c r="D82" s="446" t="s">
        <v>595</v>
      </c>
      <c r="E82" s="446" t="s">
        <v>574</v>
      </c>
      <c r="F82" s="446" t="s">
        <v>554</v>
      </c>
      <c r="G82" s="447">
        <v>0</v>
      </c>
      <c r="H82" s="310" t="s">
        <v>446</v>
      </c>
      <c r="I82" s="448">
        <v>0</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0</v>
      </c>
      <c r="H84" s="310" t="s">
        <v>446</v>
      </c>
      <c r="I84" s="448">
        <v>0</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0</v>
      </c>
      <c r="H86" s="310" t="s">
        <v>446</v>
      </c>
      <c r="I86" s="448">
        <v>0</v>
      </c>
      <c r="J86" s="439"/>
    </row>
    <row r="87" spans="4:10" x14ac:dyDescent="0.2">
      <c r="D87" s="446" t="s">
        <v>595</v>
      </c>
      <c r="E87" s="446" t="s">
        <v>550</v>
      </c>
      <c r="F87" s="446" t="s">
        <v>554</v>
      </c>
      <c r="G87" s="447">
        <v>0</v>
      </c>
      <c r="H87" s="310" t="s">
        <v>446</v>
      </c>
      <c r="I87" s="448">
        <v>0</v>
      </c>
      <c r="J87" s="439"/>
    </row>
    <row r="88" spans="4:10" x14ac:dyDescent="0.2">
      <c r="D88" s="446" t="s">
        <v>595</v>
      </c>
      <c r="E88" s="446" t="s">
        <v>579</v>
      </c>
      <c r="F88" s="446" t="s">
        <v>554</v>
      </c>
      <c r="G88" s="447">
        <v>0</v>
      </c>
      <c r="H88" s="310" t="s">
        <v>446</v>
      </c>
      <c r="I88" s="448">
        <v>0</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0</v>
      </c>
      <c r="H90" s="310" t="s">
        <v>446</v>
      </c>
      <c r="I90" s="448">
        <v>0</v>
      </c>
      <c r="J90" s="439"/>
    </row>
    <row r="91" spans="4:10" x14ac:dyDescent="0.2">
      <c r="D91" s="446" t="s">
        <v>595</v>
      </c>
      <c r="E91" s="446" t="s">
        <v>577</v>
      </c>
      <c r="F91" s="446" t="s">
        <v>554</v>
      </c>
      <c r="G91" s="447">
        <v>0</v>
      </c>
      <c r="H91" s="310" t="s">
        <v>446</v>
      </c>
      <c r="I91" s="448">
        <v>0</v>
      </c>
      <c r="J91" s="439"/>
    </row>
    <row r="92" spans="4:10" x14ac:dyDescent="0.2">
      <c r="D92" s="446" t="s">
        <v>595</v>
      </c>
      <c r="E92" s="446" t="s">
        <v>576</v>
      </c>
      <c r="F92" s="446" t="s">
        <v>554</v>
      </c>
      <c r="G92" s="447">
        <v>0</v>
      </c>
      <c r="H92" s="310" t="s">
        <v>446</v>
      </c>
      <c r="I92" s="448">
        <v>0</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0</v>
      </c>
      <c r="H96" s="310" t="s">
        <v>446</v>
      </c>
      <c r="I96" s="448">
        <v>0</v>
      </c>
      <c r="J96" s="439"/>
    </row>
    <row r="97" spans="4:13" x14ac:dyDescent="0.2">
      <c r="D97" s="446" t="s">
        <v>595</v>
      </c>
      <c r="E97" s="446" t="s">
        <v>604</v>
      </c>
      <c r="F97" s="446" t="s">
        <v>554</v>
      </c>
      <c r="G97" s="447">
        <v>0</v>
      </c>
      <c r="H97" s="310" t="s">
        <v>446</v>
      </c>
      <c r="I97" s="448">
        <v>0</v>
      </c>
      <c r="J97" s="439"/>
    </row>
    <row r="98" spans="4:13" x14ac:dyDescent="0.2">
      <c r="D98" s="446" t="s">
        <v>595</v>
      </c>
      <c r="E98" s="446" t="s">
        <v>569</v>
      </c>
      <c r="F98" s="446" t="s">
        <v>554</v>
      </c>
      <c r="G98" s="447">
        <v>0</v>
      </c>
      <c r="H98" s="310" t="s">
        <v>446</v>
      </c>
      <c r="I98" s="448">
        <v>0</v>
      </c>
      <c r="J98" s="439"/>
    </row>
    <row r="99" spans="4:13" x14ac:dyDescent="0.2">
      <c r="D99" s="446" t="s">
        <v>595</v>
      </c>
      <c r="E99" s="446" t="s">
        <v>553</v>
      </c>
      <c r="F99" s="446" t="s">
        <v>554</v>
      </c>
      <c r="G99" s="447">
        <v>0</v>
      </c>
      <c r="H99" s="310" t="s">
        <v>446</v>
      </c>
      <c r="I99" s="448">
        <v>0</v>
      </c>
      <c r="J99" s="439"/>
    </row>
    <row r="100" spans="4:13" x14ac:dyDescent="0.2">
      <c r="D100" s="446" t="s">
        <v>595</v>
      </c>
      <c r="E100" s="446" t="s">
        <v>570</v>
      </c>
      <c r="F100" s="446" t="s">
        <v>554</v>
      </c>
      <c r="G100" s="447">
        <v>0</v>
      </c>
      <c r="H100" s="310" t="s">
        <v>446</v>
      </c>
      <c r="I100" s="448">
        <v>0</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0</v>
      </c>
      <c r="H103" s="310" t="s">
        <v>446</v>
      </c>
      <c r="I103" s="448">
        <v>0</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0</v>
      </c>
      <c r="H105" s="310" t="s">
        <v>446</v>
      </c>
      <c r="I105" s="448">
        <v>0</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3.1088729290303725</v>
      </c>
      <c r="H108" s="466"/>
      <c r="I108" s="467">
        <v>0</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Target'!$J$17</f>
        <v>10.185185313926722</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Target'!$K$17</f>
        <v>50.92592656963361</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Target'!$L$17</f>
        <v>81.481482511413773</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Target'!$M$17</f>
        <v>203.70370627853444</v>
      </c>
      <c r="L112" s="470">
        <f t="shared" si="0"/>
        <v>0</v>
      </c>
      <c r="M112" s="388">
        <f t="shared" si="1"/>
        <v>0</v>
      </c>
    </row>
    <row r="113" spans="4:13" x14ac:dyDescent="0.2">
      <c r="D113" s="446" t="s">
        <v>607</v>
      </c>
      <c r="E113" s="446" t="s">
        <v>613</v>
      </c>
      <c r="F113" s="468" t="s">
        <v>609</v>
      </c>
      <c r="G113" s="469">
        <v>0</v>
      </c>
      <c r="H113" s="310" t="s">
        <v>446</v>
      </c>
      <c r="I113" s="470">
        <v>0</v>
      </c>
      <c r="J113" s="439"/>
      <c r="K113">
        <f>2*K109</f>
        <v>20.370370627853443</v>
      </c>
      <c r="L113" s="470">
        <f t="shared" si="0"/>
        <v>0</v>
      </c>
      <c r="M113" s="388">
        <f t="shared" si="1"/>
        <v>0</v>
      </c>
    </row>
    <row r="114" spans="4:13" x14ac:dyDescent="0.2">
      <c r="D114" s="446" t="s">
        <v>607</v>
      </c>
      <c r="E114" s="446" t="s">
        <v>614</v>
      </c>
      <c r="F114" s="468" t="s">
        <v>609</v>
      </c>
      <c r="G114" s="469">
        <v>0</v>
      </c>
      <c r="H114" s="310" t="s">
        <v>446</v>
      </c>
      <c r="I114" s="470">
        <v>0</v>
      </c>
      <c r="J114" s="439"/>
      <c r="K114">
        <f>2*K110</f>
        <v>101.85185313926722</v>
      </c>
      <c r="L114" s="470">
        <f t="shared" si="0"/>
        <v>0</v>
      </c>
      <c r="M114" s="388">
        <f t="shared" si="1"/>
        <v>0</v>
      </c>
    </row>
    <row r="115" spans="4:13" x14ac:dyDescent="0.2">
      <c r="D115" s="446" t="s">
        <v>607</v>
      </c>
      <c r="E115" s="446" t="s">
        <v>615</v>
      </c>
      <c r="F115" s="468" t="s">
        <v>609</v>
      </c>
      <c r="G115" s="469">
        <v>0</v>
      </c>
      <c r="H115" s="310" t="s">
        <v>446</v>
      </c>
      <c r="I115" s="470">
        <v>0</v>
      </c>
      <c r="J115" s="439"/>
      <c r="K115">
        <f>2*K111</f>
        <v>162.96296502282755</v>
      </c>
      <c r="L115" s="470">
        <f t="shared" si="0"/>
        <v>0</v>
      </c>
      <c r="M115" s="388">
        <f t="shared" si="1"/>
        <v>0</v>
      </c>
    </row>
    <row r="116" spans="4:13" x14ac:dyDescent="0.2">
      <c r="D116" s="446" t="s">
        <v>607</v>
      </c>
      <c r="E116" s="446" t="s">
        <v>616</v>
      </c>
      <c r="F116" s="468" t="s">
        <v>609</v>
      </c>
      <c r="G116" s="447">
        <v>0</v>
      </c>
      <c r="H116" s="310" t="s">
        <v>446</v>
      </c>
      <c r="I116" s="448">
        <v>0</v>
      </c>
      <c r="J116" s="439"/>
      <c r="K116">
        <f>2*K112</f>
        <v>407.40741255706888</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v>
      </c>
      <c r="J118" s="439"/>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enableFormatConditionsCalculation="0">
    <tabColor rgb="FF00B050"/>
  </sheetPr>
  <dimension ref="B1:S118"/>
  <sheetViews>
    <sheetView showGridLines="0" workbookViewId="0">
      <pane ySplit="7" topLeftCell="A8" activePane="bottomLeft" state="frozen"/>
      <selection pane="bottomLeft" activeCell="A8" sqref="A8"/>
    </sheetView>
  </sheetViews>
  <sheetFormatPr baseColWidth="10" defaultColWidth="8.83203125" defaultRowHeight="15" x14ac:dyDescent="0.2"/>
  <cols>
    <col min="1" max="1" width="4.5" customWidth="1"/>
    <col min="2" max="2" width="15.5" customWidth="1"/>
    <col min="3" max="3" width="2.5" customWidth="1"/>
    <col min="4" max="4" width="9.1640625" customWidth="1"/>
    <col min="5" max="5" width="31.5" customWidth="1"/>
    <col min="6" max="6" width="12.5" customWidth="1"/>
    <col min="7" max="7" width="13.5" style="313" customWidth="1"/>
    <col min="8" max="8" width="12.5" style="313" customWidth="1"/>
    <col min="9" max="9" width="9.1640625" style="313" customWidth="1"/>
    <col min="10" max="10" width="2" customWidth="1"/>
    <col min="12" max="12" width="15.5" customWidth="1"/>
    <col min="13" max="13" width="11.1640625" customWidth="1"/>
  </cols>
  <sheetData>
    <row r="1" spans="2:19" x14ac:dyDescent="0.2">
      <c r="G1"/>
      <c r="H1"/>
      <c r="I1"/>
    </row>
    <row r="2" spans="2:19" ht="20" thickBot="1" x14ac:dyDescent="0.3">
      <c r="B2" s="435" t="s">
        <v>517</v>
      </c>
      <c r="G2" s="436">
        <v>39795383</v>
      </c>
      <c r="H2"/>
      <c r="I2"/>
    </row>
    <row r="3" spans="2:19" ht="16" thickBot="1" x14ac:dyDescent="0.25">
      <c r="B3" s="437" t="s">
        <v>815</v>
      </c>
      <c r="G3"/>
      <c r="H3"/>
      <c r="I3"/>
    </row>
    <row r="4" spans="2:19" x14ac:dyDescent="0.2">
      <c r="G4"/>
      <c r="H4"/>
      <c r="I4"/>
    </row>
    <row r="5" spans="2:19" ht="16" x14ac:dyDescent="0.2">
      <c r="D5" s="438" t="s">
        <v>816</v>
      </c>
      <c r="E5" s="438"/>
      <c r="F5" s="438"/>
      <c r="G5" s="438"/>
      <c r="H5" s="438"/>
      <c r="I5" s="438"/>
      <c r="J5" s="439"/>
      <c r="K5" s="438"/>
      <c r="L5" s="438"/>
      <c r="M5" s="438"/>
      <c r="N5" s="438"/>
      <c r="O5" s="438"/>
      <c r="P5" s="438"/>
    </row>
    <row r="6" spans="2:19" x14ac:dyDescent="0.2">
      <c r="D6" s="441" t="s">
        <v>521</v>
      </c>
      <c r="E6" s="441" t="s">
        <v>522</v>
      </c>
      <c r="F6" s="441" t="s">
        <v>523</v>
      </c>
      <c r="G6" s="440" t="s">
        <v>524</v>
      </c>
      <c r="H6" s="440" t="s">
        <v>525</v>
      </c>
      <c r="I6" s="440" t="s">
        <v>526</v>
      </c>
      <c r="J6" s="439"/>
      <c r="K6" s="441" t="s">
        <v>521</v>
      </c>
      <c r="L6" s="441" t="s">
        <v>522</v>
      </c>
      <c r="M6" s="441" t="s">
        <v>523</v>
      </c>
      <c r="N6" s="440" t="s">
        <v>524</v>
      </c>
      <c r="O6" s="440" t="s">
        <v>525</v>
      </c>
      <c r="P6" s="440" t="s">
        <v>526</v>
      </c>
      <c r="Q6" s="440" t="s">
        <v>311</v>
      </c>
      <c r="R6" s="440" t="s">
        <v>527</v>
      </c>
      <c r="S6" s="440" t="s">
        <v>528</v>
      </c>
    </row>
    <row r="7" spans="2:19" x14ac:dyDescent="0.2">
      <c r="D7" s="443" t="s">
        <v>529</v>
      </c>
      <c r="E7" s="443" t="s">
        <v>530</v>
      </c>
      <c r="F7" s="443" t="s">
        <v>529</v>
      </c>
      <c r="G7" s="444" t="s">
        <v>531</v>
      </c>
      <c r="H7" s="445" t="s">
        <v>532</v>
      </c>
      <c r="I7" s="445" t="s">
        <v>308</v>
      </c>
      <c r="J7" s="439"/>
      <c r="K7" s="443" t="s">
        <v>529</v>
      </c>
      <c r="L7" s="443" t="s">
        <v>530</v>
      </c>
      <c r="M7" s="443" t="s">
        <v>529</v>
      </c>
      <c r="N7" s="444" t="s">
        <v>531</v>
      </c>
      <c r="O7" s="445" t="s">
        <v>532</v>
      </c>
      <c r="P7" s="445" t="s">
        <v>308</v>
      </c>
      <c r="Q7" s="445"/>
      <c r="R7" s="445" t="s">
        <v>308</v>
      </c>
      <c r="S7" s="445" t="s">
        <v>308</v>
      </c>
    </row>
    <row r="8" spans="2:19" x14ac:dyDescent="0.2">
      <c r="D8" s="446" t="s">
        <v>1</v>
      </c>
      <c r="E8" s="446" t="s">
        <v>533</v>
      </c>
      <c r="F8" s="446" t="s">
        <v>534</v>
      </c>
      <c r="G8" s="447">
        <v>0</v>
      </c>
      <c r="H8" s="310" t="s">
        <v>446</v>
      </c>
      <c r="I8" s="448">
        <v>0</v>
      </c>
      <c r="J8" s="439"/>
      <c r="K8" s="446" t="s">
        <v>1</v>
      </c>
      <c r="L8" s="446" t="s">
        <v>535</v>
      </c>
      <c r="M8" s="446" t="s">
        <v>534</v>
      </c>
      <c r="N8" s="449">
        <v>0</v>
      </c>
      <c r="O8" s="310" t="s">
        <v>446</v>
      </c>
      <c r="P8" s="388">
        <v>0</v>
      </c>
      <c r="Q8" s="29">
        <f>'Assumptions-Output Override'!D19</f>
        <v>1000</v>
      </c>
      <c r="R8" s="388">
        <f>N8*Q8/12000</f>
        <v>0</v>
      </c>
      <c r="S8" s="388">
        <f>P8-R8</f>
        <v>0</v>
      </c>
    </row>
    <row r="9" spans="2:19" x14ac:dyDescent="0.2">
      <c r="D9" s="446" t="s">
        <v>1</v>
      </c>
      <c r="E9" s="446" t="s">
        <v>536</v>
      </c>
      <c r="F9" s="446" t="s">
        <v>534</v>
      </c>
      <c r="G9" s="447">
        <v>0</v>
      </c>
      <c r="H9" s="310" t="s">
        <v>446</v>
      </c>
      <c r="I9" s="448">
        <v>0</v>
      </c>
      <c r="J9" s="439"/>
      <c r="K9" s="446" t="s">
        <v>462</v>
      </c>
      <c r="L9" s="446" t="s">
        <v>0</v>
      </c>
      <c r="M9" s="446" t="s">
        <v>537</v>
      </c>
      <c r="N9" s="449">
        <v>0</v>
      </c>
      <c r="O9" s="310" t="s">
        <v>446</v>
      </c>
      <c r="P9" s="388">
        <v>0</v>
      </c>
      <c r="Q9" s="29">
        <f>'Assumptions-Output Override'!E19</f>
        <v>250</v>
      </c>
      <c r="R9" s="388">
        <f>N9*Q9/12000</f>
        <v>0</v>
      </c>
      <c r="S9" s="388">
        <f>P9-R9</f>
        <v>0</v>
      </c>
    </row>
    <row r="10" spans="2:19" x14ac:dyDescent="0.2">
      <c r="D10" s="446" t="s">
        <v>1</v>
      </c>
      <c r="E10" s="446" t="s">
        <v>46</v>
      </c>
      <c r="F10" s="446" t="s">
        <v>534</v>
      </c>
      <c r="G10" s="447">
        <v>0</v>
      </c>
      <c r="H10" s="310" t="s">
        <v>446</v>
      </c>
      <c r="I10" s="448">
        <v>0</v>
      </c>
      <c r="J10" s="439"/>
      <c r="K10" s="446" t="s">
        <v>462</v>
      </c>
      <c r="L10" s="446" t="s">
        <v>538</v>
      </c>
      <c r="M10" s="446" t="s">
        <v>539</v>
      </c>
      <c r="N10" s="449">
        <v>0</v>
      </c>
      <c r="O10" s="310" t="s">
        <v>446</v>
      </c>
      <c r="P10" s="388">
        <v>0</v>
      </c>
      <c r="Q10" s="29">
        <v>0</v>
      </c>
      <c r="R10" s="388">
        <f>N10*Q10/12000</f>
        <v>0</v>
      </c>
      <c r="S10" s="388">
        <f>P10-R10</f>
        <v>0</v>
      </c>
    </row>
    <row r="11" spans="2:19" x14ac:dyDescent="0.2">
      <c r="D11" s="446" t="s">
        <v>1</v>
      </c>
      <c r="E11" s="446" t="s">
        <v>540</v>
      </c>
      <c r="F11" s="446" t="s">
        <v>534</v>
      </c>
      <c r="G11" s="447">
        <v>0</v>
      </c>
      <c r="H11" s="310" t="s">
        <v>446</v>
      </c>
      <c r="I11" s="448">
        <v>0</v>
      </c>
      <c r="J11" s="439"/>
      <c r="K11" s="320" t="s">
        <v>463</v>
      </c>
      <c r="L11" s="450" t="s">
        <v>541</v>
      </c>
      <c r="M11" s="446" t="s">
        <v>539</v>
      </c>
      <c r="N11" s="449">
        <v>0</v>
      </c>
      <c r="O11" s="310" t="s">
        <v>446</v>
      </c>
      <c r="P11" s="388">
        <v>0</v>
      </c>
      <c r="Q11" s="29">
        <f>'Assumptions-Output Override'!G19</f>
        <v>30</v>
      </c>
      <c r="R11" s="388">
        <f>N11*Q11/12000</f>
        <v>0</v>
      </c>
      <c r="S11" s="388">
        <f>P11-R11</f>
        <v>0</v>
      </c>
    </row>
    <row r="12" spans="2:19" x14ac:dyDescent="0.2">
      <c r="D12" s="446" t="s">
        <v>1</v>
      </c>
      <c r="E12" s="446" t="s">
        <v>542</v>
      </c>
      <c r="F12" s="446" t="s">
        <v>534</v>
      </c>
      <c r="G12" s="447">
        <v>0</v>
      </c>
      <c r="H12" s="310" t="s">
        <v>446</v>
      </c>
      <c r="I12" s="448">
        <v>0</v>
      </c>
      <c r="J12" s="439"/>
      <c r="K12" s="320" t="s">
        <v>464</v>
      </c>
      <c r="L12" s="450" t="s">
        <v>541</v>
      </c>
      <c r="M12" s="446" t="s">
        <v>539</v>
      </c>
      <c r="N12" s="449">
        <v>3.1088729290303725</v>
      </c>
      <c r="O12" s="310">
        <v>0</v>
      </c>
      <c r="P12" s="388">
        <v>0</v>
      </c>
      <c r="Q12" s="29">
        <f>'Assumptions-Output Override'!H19</f>
        <v>60</v>
      </c>
      <c r="R12" s="388">
        <f>N12*Q12/12000</f>
        <v>1.5544364645151864E-2</v>
      </c>
      <c r="S12" s="388">
        <f>P12-R12</f>
        <v>-1.5544364645151864E-2</v>
      </c>
    </row>
    <row r="13" spans="2:19" x14ac:dyDescent="0.2">
      <c r="D13" s="446" t="s">
        <v>1</v>
      </c>
      <c r="E13" s="446" t="s">
        <v>543</v>
      </c>
      <c r="F13" s="446" t="s">
        <v>534</v>
      </c>
      <c r="G13" s="447">
        <v>0</v>
      </c>
      <c r="H13" s="310" t="s">
        <v>446</v>
      </c>
      <c r="I13" s="448">
        <v>0</v>
      </c>
      <c r="J13" s="439"/>
      <c r="K13" s="446" t="s">
        <v>465</v>
      </c>
      <c r="P13" s="388">
        <f>I117</f>
        <v>0</v>
      </c>
      <c r="R13" s="388">
        <f>L117</f>
        <v>0</v>
      </c>
      <c r="S13" s="388">
        <f>M117</f>
        <v>0</v>
      </c>
    </row>
    <row r="14" spans="2:19" x14ac:dyDescent="0.2">
      <c r="D14" s="446" t="s">
        <v>1</v>
      </c>
      <c r="E14" s="446" t="s">
        <v>544</v>
      </c>
      <c r="F14" s="446" t="s">
        <v>534</v>
      </c>
      <c r="G14" s="447">
        <v>0</v>
      </c>
      <c r="H14" s="310" t="s">
        <v>446</v>
      </c>
      <c r="I14" s="448">
        <v>0</v>
      </c>
      <c r="J14" s="439"/>
    </row>
    <row r="15" spans="2:19" x14ac:dyDescent="0.2">
      <c r="D15" s="446" t="s">
        <v>1</v>
      </c>
      <c r="E15" s="446" t="s">
        <v>545</v>
      </c>
      <c r="F15" s="446" t="s">
        <v>534</v>
      </c>
      <c r="G15" s="447">
        <v>0</v>
      </c>
      <c r="H15" s="310" t="s">
        <v>446</v>
      </c>
      <c r="I15" s="448">
        <v>0</v>
      </c>
      <c r="J15" s="439"/>
      <c r="K15" s="446" t="s">
        <v>403</v>
      </c>
      <c r="P15" s="388">
        <f>SUM(P8:P13)</f>
        <v>0</v>
      </c>
      <c r="R15" s="388">
        <f>SUM(R8:R13)</f>
        <v>1.5544364645151864E-2</v>
      </c>
      <c r="S15" s="388">
        <f>SUM(S8:S13)</f>
        <v>-1.5544364645151864E-2</v>
      </c>
    </row>
    <row r="16" spans="2:19" x14ac:dyDescent="0.2">
      <c r="D16" s="451" t="s">
        <v>1</v>
      </c>
      <c r="E16" s="451" t="s">
        <v>546</v>
      </c>
      <c r="F16" s="451" t="s">
        <v>534</v>
      </c>
      <c r="G16" s="452">
        <v>0</v>
      </c>
      <c r="H16" s="453" t="s">
        <v>446</v>
      </c>
      <c r="I16" s="454">
        <v>0</v>
      </c>
      <c r="J16" s="439"/>
    </row>
    <row r="17" spans="4:10" ht="16" x14ac:dyDescent="0.2">
      <c r="D17" s="456" t="s">
        <v>547</v>
      </c>
      <c r="E17" s="456"/>
      <c r="F17" s="456"/>
      <c r="G17" s="457">
        <v>0</v>
      </c>
      <c r="H17" s="458"/>
      <c r="I17" s="459">
        <v>0</v>
      </c>
      <c r="J17" s="439"/>
    </row>
    <row r="18" spans="4:10" x14ac:dyDescent="0.2">
      <c r="D18" s="446" t="s">
        <v>462</v>
      </c>
      <c r="E18" s="446" t="s">
        <v>548</v>
      </c>
      <c r="F18" s="446" t="s">
        <v>537</v>
      </c>
      <c r="G18" s="447">
        <v>0</v>
      </c>
      <c r="H18" s="310" t="s">
        <v>446</v>
      </c>
      <c r="I18" s="448">
        <v>0</v>
      </c>
      <c r="J18" s="439"/>
    </row>
    <row r="19" spans="4:10" x14ac:dyDescent="0.2">
      <c r="D19" s="446" t="s">
        <v>462</v>
      </c>
      <c r="E19" s="446" t="s">
        <v>549</v>
      </c>
      <c r="F19" s="446" t="s">
        <v>537</v>
      </c>
      <c r="G19" s="447">
        <v>0</v>
      </c>
      <c r="H19" s="310" t="s">
        <v>446</v>
      </c>
      <c r="I19" s="448">
        <v>0</v>
      </c>
      <c r="J19" s="439"/>
    </row>
    <row r="20" spans="4:10" x14ac:dyDescent="0.2">
      <c r="D20" s="446" t="s">
        <v>462</v>
      </c>
      <c r="E20" s="446" t="s">
        <v>550</v>
      </c>
      <c r="F20" s="446" t="s">
        <v>537</v>
      </c>
      <c r="G20" s="447">
        <v>0</v>
      </c>
      <c r="H20" s="310" t="s">
        <v>446</v>
      </c>
      <c r="I20" s="448">
        <v>0</v>
      </c>
      <c r="J20" s="439"/>
    </row>
    <row r="21" spans="4:10" x14ac:dyDescent="0.2">
      <c r="D21" s="446" t="s">
        <v>462</v>
      </c>
      <c r="E21" s="446" t="s">
        <v>551</v>
      </c>
      <c r="F21" s="446" t="s">
        <v>537</v>
      </c>
      <c r="G21" s="447">
        <v>0</v>
      </c>
      <c r="H21" s="310" t="s">
        <v>446</v>
      </c>
      <c r="I21" s="448">
        <v>0</v>
      </c>
      <c r="J21" s="439"/>
    </row>
    <row r="22" spans="4:10" x14ac:dyDescent="0.2">
      <c r="D22" s="446" t="s">
        <v>462</v>
      </c>
      <c r="E22" s="446" t="s">
        <v>552</v>
      </c>
      <c r="F22" s="446" t="s">
        <v>537</v>
      </c>
      <c r="G22" s="447">
        <v>0</v>
      </c>
      <c r="H22" s="310" t="s">
        <v>446</v>
      </c>
      <c r="I22" s="448">
        <v>0</v>
      </c>
      <c r="J22" s="439"/>
    </row>
    <row r="23" spans="4:10" x14ac:dyDescent="0.2">
      <c r="D23" s="446" t="s">
        <v>462</v>
      </c>
      <c r="E23" s="446" t="s">
        <v>553</v>
      </c>
      <c r="F23" s="446" t="s">
        <v>554</v>
      </c>
      <c r="G23" s="447">
        <v>0</v>
      </c>
      <c r="H23" s="310" t="s">
        <v>446</v>
      </c>
      <c r="I23" s="448">
        <v>0</v>
      </c>
      <c r="J23" s="439"/>
    </row>
    <row r="24" spans="4:10" x14ac:dyDescent="0.2">
      <c r="D24" s="446" t="s">
        <v>462</v>
      </c>
      <c r="E24" s="446" t="s">
        <v>555</v>
      </c>
      <c r="F24" s="446" t="s">
        <v>537</v>
      </c>
      <c r="G24" s="447">
        <v>0</v>
      </c>
      <c r="H24" s="310" t="s">
        <v>446</v>
      </c>
      <c r="I24" s="448">
        <v>0</v>
      </c>
      <c r="J24" s="439"/>
    </row>
    <row r="25" spans="4:10" x14ac:dyDescent="0.2">
      <c r="D25" s="446" t="s">
        <v>462</v>
      </c>
      <c r="E25" s="446" t="s">
        <v>556</v>
      </c>
      <c r="F25" s="446" t="s">
        <v>537</v>
      </c>
      <c r="G25" s="447">
        <v>0</v>
      </c>
      <c r="H25" s="310" t="s">
        <v>446</v>
      </c>
      <c r="I25" s="448">
        <v>0</v>
      </c>
      <c r="J25" s="439"/>
    </row>
    <row r="26" spans="4:10" x14ac:dyDescent="0.2">
      <c r="D26" s="446" t="s">
        <v>462</v>
      </c>
      <c r="E26" s="446" t="s">
        <v>557</v>
      </c>
      <c r="F26" s="446" t="s">
        <v>537</v>
      </c>
      <c r="G26" s="447">
        <v>0</v>
      </c>
      <c r="H26" s="310" t="s">
        <v>446</v>
      </c>
      <c r="I26" s="448">
        <v>0</v>
      </c>
      <c r="J26" s="439"/>
    </row>
    <row r="27" spans="4:10" x14ac:dyDescent="0.2">
      <c r="D27" s="446" t="s">
        <v>462</v>
      </c>
      <c r="E27" s="446" t="s">
        <v>558</v>
      </c>
      <c r="F27" s="446" t="s">
        <v>537</v>
      </c>
      <c r="G27" s="447">
        <v>0</v>
      </c>
      <c r="H27" s="310" t="s">
        <v>446</v>
      </c>
      <c r="I27" s="448">
        <v>0</v>
      </c>
      <c r="J27" s="439"/>
    </row>
    <row r="28" spans="4:10" x14ac:dyDescent="0.2">
      <c r="D28" s="446" t="s">
        <v>462</v>
      </c>
      <c r="E28" s="446" t="s">
        <v>559</v>
      </c>
      <c r="F28" s="446" t="s">
        <v>537</v>
      </c>
      <c r="G28" s="447">
        <v>0</v>
      </c>
      <c r="H28" s="310" t="s">
        <v>446</v>
      </c>
      <c r="I28" s="448">
        <v>0</v>
      </c>
      <c r="J28" s="439"/>
    </row>
    <row r="29" spans="4:10" x14ac:dyDescent="0.2">
      <c r="D29" s="446" t="s">
        <v>462</v>
      </c>
      <c r="E29" s="446" t="s">
        <v>560</v>
      </c>
      <c r="F29" s="446" t="s">
        <v>537</v>
      </c>
      <c r="G29" s="447">
        <v>0</v>
      </c>
      <c r="H29" s="310" t="s">
        <v>446</v>
      </c>
      <c r="I29" s="448">
        <v>0</v>
      </c>
      <c r="J29" s="439"/>
    </row>
    <row r="30" spans="4:10" x14ac:dyDescent="0.2">
      <c r="D30" s="446" t="s">
        <v>462</v>
      </c>
      <c r="E30" s="446" t="s">
        <v>561</v>
      </c>
      <c r="F30" s="446" t="s">
        <v>554</v>
      </c>
      <c r="G30" s="447">
        <v>0</v>
      </c>
      <c r="H30" s="310" t="s">
        <v>446</v>
      </c>
      <c r="I30" s="448">
        <v>0</v>
      </c>
      <c r="J30" s="439"/>
    </row>
    <row r="31" spans="4:10" x14ac:dyDescent="0.2">
      <c r="D31" s="446" t="s">
        <v>462</v>
      </c>
      <c r="E31" s="446" t="s">
        <v>562</v>
      </c>
      <c r="F31" s="446" t="s">
        <v>537</v>
      </c>
      <c r="G31" s="447">
        <v>0</v>
      </c>
      <c r="H31" s="310" t="s">
        <v>446</v>
      </c>
      <c r="I31" s="448">
        <v>0</v>
      </c>
      <c r="J31" s="439"/>
    </row>
    <row r="32" spans="4:10" x14ac:dyDescent="0.2">
      <c r="D32" s="446" t="s">
        <v>462</v>
      </c>
      <c r="E32" s="446" t="s">
        <v>563</v>
      </c>
      <c r="F32" s="446" t="s">
        <v>537</v>
      </c>
      <c r="G32" s="447">
        <v>0</v>
      </c>
      <c r="H32" s="310" t="s">
        <v>446</v>
      </c>
      <c r="I32" s="448">
        <v>0</v>
      </c>
      <c r="J32" s="439"/>
    </row>
    <row r="33" spans="4:10" x14ac:dyDescent="0.2">
      <c r="D33" s="446" t="s">
        <v>462</v>
      </c>
      <c r="E33" s="446" t="s">
        <v>564</v>
      </c>
      <c r="F33" s="446" t="s">
        <v>537</v>
      </c>
      <c r="G33" s="447">
        <v>0</v>
      </c>
      <c r="H33" s="310" t="s">
        <v>446</v>
      </c>
      <c r="I33" s="448">
        <v>0</v>
      </c>
      <c r="J33" s="439"/>
    </row>
    <row r="34" spans="4:10" x14ac:dyDescent="0.2">
      <c r="D34" s="446" t="s">
        <v>462</v>
      </c>
      <c r="E34" s="446" t="s">
        <v>565</v>
      </c>
      <c r="F34" s="446" t="s">
        <v>537</v>
      </c>
      <c r="G34" s="447">
        <v>0</v>
      </c>
      <c r="H34" s="310" t="s">
        <v>446</v>
      </c>
      <c r="I34" s="448">
        <v>0</v>
      </c>
      <c r="J34" s="439"/>
    </row>
    <row r="35" spans="4:10" x14ac:dyDescent="0.2">
      <c r="D35" s="446" t="s">
        <v>462</v>
      </c>
      <c r="E35" s="446" t="s">
        <v>566</v>
      </c>
      <c r="F35" s="446" t="s">
        <v>537</v>
      </c>
      <c r="G35" s="447">
        <v>0</v>
      </c>
      <c r="H35" s="310" t="s">
        <v>446</v>
      </c>
      <c r="I35" s="448">
        <v>0</v>
      </c>
      <c r="J35" s="439"/>
    </row>
    <row r="36" spans="4:10" x14ac:dyDescent="0.2">
      <c r="D36" s="446" t="s">
        <v>462</v>
      </c>
      <c r="E36" s="446" t="s">
        <v>567</v>
      </c>
      <c r="F36" s="446" t="s">
        <v>537</v>
      </c>
      <c r="G36" s="447">
        <v>0</v>
      </c>
      <c r="H36" s="310" t="s">
        <v>446</v>
      </c>
      <c r="I36" s="448">
        <v>0</v>
      </c>
      <c r="J36" s="439"/>
    </row>
    <row r="37" spans="4:10" x14ac:dyDescent="0.2">
      <c r="D37" s="446" t="s">
        <v>462</v>
      </c>
      <c r="E37" s="446" t="s">
        <v>568</v>
      </c>
      <c r="F37" s="446" t="s">
        <v>537</v>
      </c>
      <c r="G37" s="447">
        <v>0</v>
      </c>
      <c r="H37" s="310" t="s">
        <v>446</v>
      </c>
      <c r="I37" s="448">
        <v>0</v>
      </c>
      <c r="J37" s="439"/>
    </row>
    <row r="38" spans="4:10" x14ac:dyDescent="0.2">
      <c r="D38" s="446" t="s">
        <v>462</v>
      </c>
      <c r="E38" s="446" t="s">
        <v>569</v>
      </c>
      <c r="F38" s="446" t="s">
        <v>537</v>
      </c>
      <c r="G38" s="447">
        <v>0</v>
      </c>
      <c r="H38" s="310" t="s">
        <v>446</v>
      </c>
      <c r="I38" s="448">
        <v>0</v>
      </c>
      <c r="J38" s="439"/>
    </row>
    <row r="39" spans="4:10" x14ac:dyDescent="0.2">
      <c r="D39" s="446" t="s">
        <v>462</v>
      </c>
      <c r="E39" s="446" t="s">
        <v>570</v>
      </c>
      <c r="F39" s="446" t="s">
        <v>537</v>
      </c>
      <c r="G39" s="447">
        <v>0</v>
      </c>
      <c r="H39" s="310" t="s">
        <v>446</v>
      </c>
      <c r="I39" s="448">
        <v>0</v>
      </c>
      <c r="J39" s="439"/>
    </row>
    <row r="40" spans="4:10" x14ac:dyDescent="0.2">
      <c r="D40" s="446" t="s">
        <v>462</v>
      </c>
      <c r="E40" s="446" t="s">
        <v>571</v>
      </c>
      <c r="F40" s="446" t="s">
        <v>537</v>
      </c>
      <c r="G40" s="447">
        <v>0</v>
      </c>
      <c r="H40" s="310" t="s">
        <v>446</v>
      </c>
      <c r="I40" s="448">
        <v>0</v>
      </c>
      <c r="J40" s="439"/>
    </row>
    <row r="41" spans="4:10" x14ac:dyDescent="0.2">
      <c r="D41" s="446" t="s">
        <v>462</v>
      </c>
      <c r="E41" s="446" t="s">
        <v>572</v>
      </c>
      <c r="F41" s="446" t="s">
        <v>537</v>
      </c>
      <c r="G41" s="447">
        <v>0</v>
      </c>
      <c r="H41" s="310" t="s">
        <v>446</v>
      </c>
      <c r="I41" s="448">
        <v>0</v>
      </c>
      <c r="J41" s="439"/>
    </row>
    <row r="42" spans="4:10" x14ac:dyDescent="0.2">
      <c r="D42" s="446" t="s">
        <v>462</v>
      </c>
      <c r="E42" s="446" t="s">
        <v>573</v>
      </c>
      <c r="F42" s="446" t="s">
        <v>537</v>
      </c>
      <c r="G42" s="447">
        <v>0</v>
      </c>
      <c r="H42" s="310" t="s">
        <v>446</v>
      </c>
      <c r="I42" s="448">
        <v>0</v>
      </c>
      <c r="J42" s="439"/>
    </row>
    <row r="43" spans="4:10" x14ac:dyDescent="0.2">
      <c r="D43" s="446" t="s">
        <v>462</v>
      </c>
      <c r="E43" s="446" t="s">
        <v>574</v>
      </c>
      <c r="F43" s="446" t="s">
        <v>537</v>
      </c>
      <c r="G43" s="447">
        <v>0</v>
      </c>
      <c r="H43" s="310" t="s">
        <v>446</v>
      </c>
      <c r="I43" s="448">
        <v>0</v>
      </c>
      <c r="J43" s="439"/>
    </row>
    <row r="44" spans="4:10" x14ac:dyDescent="0.2">
      <c r="D44" s="446" t="s">
        <v>462</v>
      </c>
      <c r="E44" s="446" t="s">
        <v>575</v>
      </c>
      <c r="F44" s="446" t="s">
        <v>537</v>
      </c>
      <c r="G44" s="447">
        <v>0</v>
      </c>
      <c r="H44" s="310" t="s">
        <v>446</v>
      </c>
      <c r="I44" s="448">
        <v>0</v>
      </c>
      <c r="J44" s="439"/>
    </row>
    <row r="45" spans="4:10" x14ac:dyDescent="0.2">
      <c r="D45" s="446" t="s">
        <v>462</v>
      </c>
      <c r="E45" s="446" t="s">
        <v>576</v>
      </c>
      <c r="F45" s="446" t="s">
        <v>537</v>
      </c>
      <c r="G45" s="447">
        <v>0</v>
      </c>
      <c r="H45" s="310" t="s">
        <v>446</v>
      </c>
      <c r="I45" s="448">
        <v>0</v>
      </c>
      <c r="J45" s="439"/>
    </row>
    <row r="46" spans="4:10" x14ac:dyDescent="0.2">
      <c r="D46" s="446" t="s">
        <v>462</v>
      </c>
      <c r="E46" s="446" t="s">
        <v>577</v>
      </c>
      <c r="F46" s="446" t="s">
        <v>537</v>
      </c>
      <c r="G46" s="447">
        <v>0</v>
      </c>
      <c r="H46" s="310" t="s">
        <v>446</v>
      </c>
      <c r="I46" s="448">
        <v>0</v>
      </c>
      <c r="J46" s="439"/>
    </row>
    <row r="47" spans="4:10" x14ac:dyDescent="0.2">
      <c r="D47" s="446" t="s">
        <v>462</v>
      </c>
      <c r="E47" s="446" t="s">
        <v>578</v>
      </c>
      <c r="F47" s="446" t="s">
        <v>537</v>
      </c>
      <c r="G47" s="447">
        <v>0</v>
      </c>
      <c r="H47" s="310" t="s">
        <v>446</v>
      </c>
      <c r="I47" s="448">
        <v>0</v>
      </c>
      <c r="J47" s="439"/>
    </row>
    <row r="48" spans="4:10" x14ac:dyDescent="0.2">
      <c r="D48" s="446" t="s">
        <v>462</v>
      </c>
      <c r="E48" s="446" t="s">
        <v>579</v>
      </c>
      <c r="F48" s="446" t="s">
        <v>537</v>
      </c>
      <c r="G48" s="447">
        <v>0</v>
      </c>
      <c r="H48" s="310" t="s">
        <v>446</v>
      </c>
      <c r="I48" s="448">
        <v>0</v>
      </c>
      <c r="J48" s="439"/>
    </row>
    <row r="49" spans="4:10" x14ac:dyDescent="0.2">
      <c r="D49" s="446" t="s">
        <v>462</v>
      </c>
      <c r="E49" s="446" t="s">
        <v>580</v>
      </c>
      <c r="F49" s="446" t="s">
        <v>537</v>
      </c>
      <c r="G49" s="447">
        <v>0</v>
      </c>
      <c r="H49" s="310" t="s">
        <v>446</v>
      </c>
      <c r="I49" s="448">
        <v>0</v>
      </c>
      <c r="J49" s="439"/>
    </row>
    <row r="50" spans="4:10" x14ac:dyDescent="0.2">
      <c r="D50" s="446" t="s">
        <v>462</v>
      </c>
      <c r="E50" s="446" t="s">
        <v>581</v>
      </c>
      <c r="F50" s="446" t="s">
        <v>537</v>
      </c>
      <c r="G50" s="447">
        <v>0</v>
      </c>
      <c r="H50" s="310" t="s">
        <v>446</v>
      </c>
      <c r="I50" s="448">
        <v>0</v>
      </c>
      <c r="J50" s="439"/>
    </row>
    <row r="51" spans="4:10" x14ac:dyDescent="0.2">
      <c r="D51" s="446" t="s">
        <v>462</v>
      </c>
      <c r="E51" s="446" t="s">
        <v>582</v>
      </c>
      <c r="F51" s="446" t="s">
        <v>537</v>
      </c>
      <c r="G51" s="447">
        <v>0</v>
      </c>
      <c r="H51" s="310" t="s">
        <v>446</v>
      </c>
      <c r="I51" s="448">
        <v>0</v>
      </c>
      <c r="J51" s="439"/>
    </row>
    <row r="52" spans="4:10" x14ac:dyDescent="0.2">
      <c r="D52" s="446" t="s">
        <v>462</v>
      </c>
      <c r="E52" s="446" t="s">
        <v>583</v>
      </c>
      <c r="F52" s="446" t="s">
        <v>537</v>
      </c>
      <c r="G52" s="447">
        <v>0</v>
      </c>
      <c r="H52" s="310" t="s">
        <v>446</v>
      </c>
      <c r="I52" s="448">
        <v>0</v>
      </c>
      <c r="J52" s="439"/>
    </row>
    <row r="53" spans="4:10" x14ac:dyDescent="0.2">
      <c r="D53" s="446" t="s">
        <v>462</v>
      </c>
      <c r="E53" s="446" t="s">
        <v>584</v>
      </c>
      <c r="F53" s="446" t="s">
        <v>554</v>
      </c>
      <c r="G53" s="447">
        <v>0</v>
      </c>
      <c r="H53" s="310" t="s">
        <v>446</v>
      </c>
      <c r="I53" s="448">
        <v>0</v>
      </c>
      <c r="J53" s="439"/>
    </row>
    <row r="54" spans="4:10" x14ac:dyDescent="0.2">
      <c r="D54" s="446" t="s">
        <v>462</v>
      </c>
      <c r="E54" s="446" t="s">
        <v>585</v>
      </c>
      <c r="F54" s="446" t="s">
        <v>554</v>
      </c>
      <c r="G54" s="447">
        <v>0</v>
      </c>
      <c r="H54" s="310" t="s">
        <v>446</v>
      </c>
      <c r="I54" s="448">
        <v>0</v>
      </c>
      <c r="J54" s="439"/>
    </row>
    <row r="55" spans="4:10" x14ac:dyDescent="0.2">
      <c r="D55" s="446" t="s">
        <v>462</v>
      </c>
      <c r="E55" s="446" t="s">
        <v>586</v>
      </c>
      <c r="F55" s="446" t="s">
        <v>537</v>
      </c>
      <c r="G55" s="447">
        <v>0</v>
      </c>
      <c r="H55" s="310" t="s">
        <v>446</v>
      </c>
      <c r="I55" s="448">
        <v>0</v>
      </c>
      <c r="J55" s="439"/>
    </row>
    <row r="56" spans="4:10" x14ac:dyDescent="0.2">
      <c r="D56" s="446" t="s">
        <v>462</v>
      </c>
      <c r="E56" s="446" t="s">
        <v>5</v>
      </c>
      <c r="F56" s="446" t="s">
        <v>537</v>
      </c>
      <c r="G56" s="447">
        <v>0</v>
      </c>
      <c r="H56" s="310" t="s">
        <v>446</v>
      </c>
      <c r="I56" s="448">
        <v>0</v>
      </c>
      <c r="J56" s="439"/>
    </row>
    <row r="57" spans="4:10" x14ac:dyDescent="0.2">
      <c r="D57" s="446" t="s">
        <v>462</v>
      </c>
      <c r="E57" s="446" t="s">
        <v>587</v>
      </c>
      <c r="F57" s="446" t="s">
        <v>537</v>
      </c>
      <c r="G57" s="447">
        <v>0</v>
      </c>
      <c r="H57" s="310" t="s">
        <v>446</v>
      </c>
      <c r="I57" s="448">
        <v>0</v>
      </c>
      <c r="J57" s="439"/>
    </row>
    <row r="58" spans="4:10" x14ac:dyDescent="0.2">
      <c r="D58" s="446" t="s">
        <v>462</v>
      </c>
      <c r="E58" s="446" t="s">
        <v>588</v>
      </c>
      <c r="F58" s="446" t="s">
        <v>537</v>
      </c>
      <c r="G58" s="447">
        <v>0</v>
      </c>
      <c r="H58" s="310" t="s">
        <v>446</v>
      </c>
      <c r="I58" s="448">
        <v>0</v>
      </c>
      <c r="J58" s="439"/>
    </row>
    <row r="59" spans="4:10" x14ac:dyDescent="0.2">
      <c r="D59" s="446" t="s">
        <v>462</v>
      </c>
      <c r="E59" s="446" t="s">
        <v>589</v>
      </c>
      <c r="F59" s="446" t="s">
        <v>537</v>
      </c>
      <c r="G59" s="447">
        <v>0</v>
      </c>
      <c r="H59" s="310" t="s">
        <v>446</v>
      </c>
      <c r="I59" s="448">
        <v>0</v>
      </c>
      <c r="J59" s="439"/>
    </row>
    <row r="60" spans="4:10" x14ac:dyDescent="0.2">
      <c r="D60" s="446" t="s">
        <v>462</v>
      </c>
      <c r="E60" s="446" t="s">
        <v>590</v>
      </c>
      <c r="F60" s="446" t="s">
        <v>537</v>
      </c>
      <c r="G60" s="447">
        <v>0</v>
      </c>
      <c r="H60" s="310" t="s">
        <v>446</v>
      </c>
      <c r="I60" s="448">
        <v>0</v>
      </c>
      <c r="J60" s="439"/>
    </row>
    <row r="61" spans="4:10" x14ac:dyDescent="0.2">
      <c r="D61" s="446" t="s">
        <v>462</v>
      </c>
      <c r="E61" s="446" t="s">
        <v>591</v>
      </c>
      <c r="F61" s="446" t="s">
        <v>537</v>
      </c>
      <c r="G61" s="447">
        <v>0</v>
      </c>
      <c r="H61" s="310" t="s">
        <v>446</v>
      </c>
      <c r="I61" s="448">
        <v>0</v>
      </c>
      <c r="J61" s="439"/>
    </row>
    <row r="62" spans="4:10" x14ac:dyDescent="0.2">
      <c r="D62" s="446" t="s">
        <v>462</v>
      </c>
      <c r="E62" s="446" t="s">
        <v>592</v>
      </c>
      <c r="F62" s="446" t="s">
        <v>537</v>
      </c>
      <c r="G62" s="447">
        <v>0</v>
      </c>
      <c r="H62" s="310" t="s">
        <v>446</v>
      </c>
      <c r="I62" s="448">
        <v>0</v>
      </c>
      <c r="J62" s="439"/>
    </row>
    <row r="63" spans="4:10" x14ac:dyDescent="0.2">
      <c r="D63" s="446" t="s">
        <v>462</v>
      </c>
      <c r="E63" s="446" t="s">
        <v>593</v>
      </c>
      <c r="F63" s="446" t="s">
        <v>537</v>
      </c>
      <c r="G63" s="447">
        <v>0</v>
      </c>
      <c r="H63" s="310" t="s">
        <v>446</v>
      </c>
      <c r="I63" s="448">
        <v>0</v>
      </c>
      <c r="J63" s="439"/>
    </row>
    <row r="64" spans="4:10" ht="16" x14ac:dyDescent="0.2">
      <c r="D64" s="460" t="s">
        <v>594</v>
      </c>
      <c r="E64" s="461"/>
      <c r="F64" s="460"/>
      <c r="G64" s="462">
        <v>0</v>
      </c>
      <c r="H64" s="463"/>
      <c r="I64" s="464">
        <v>0</v>
      </c>
      <c r="J64" s="439"/>
    </row>
    <row r="65" spans="4:10" x14ac:dyDescent="0.2">
      <c r="D65" s="446" t="s">
        <v>595</v>
      </c>
      <c r="E65" s="446" t="s">
        <v>596</v>
      </c>
      <c r="F65" s="446" t="s">
        <v>554</v>
      </c>
      <c r="G65" s="447">
        <v>0</v>
      </c>
      <c r="H65" s="310" t="s">
        <v>446</v>
      </c>
      <c r="I65" s="448">
        <v>0</v>
      </c>
      <c r="J65" s="439"/>
    </row>
    <row r="66" spans="4:10" x14ac:dyDescent="0.2">
      <c r="D66" s="446" t="s">
        <v>595</v>
      </c>
      <c r="E66" s="446" t="s">
        <v>563</v>
      </c>
      <c r="F66" s="446" t="s">
        <v>554</v>
      </c>
      <c r="G66" s="447">
        <v>0</v>
      </c>
      <c r="H66" s="310" t="s">
        <v>446</v>
      </c>
      <c r="I66" s="448">
        <v>0</v>
      </c>
      <c r="J66" s="439"/>
    </row>
    <row r="67" spans="4:10" x14ac:dyDescent="0.2">
      <c r="D67" s="446" t="s">
        <v>595</v>
      </c>
      <c r="E67" s="446" t="s">
        <v>564</v>
      </c>
      <c r="F67" s="446" t="s">
        <v>554</v>
      </c>
      <c r="G67" s="447">
        <v>0</v>
      </c>
      <c r="H67" s="310" t="s">
        <v>446</v>
      </c>
      <c r="I67" s="448">
        <v>0</v>
      </c>
      <c r="J67" s="439"/>
    </row>
    <row r="68" spans="4:10" x14ac:dyDescent="0.2">
      <c r="D68" s="446" t="s">
        <v>595</v>
      </c>
      <c r="E68" s="446" t="s">
        <v>597</v>
      </c>
      <c r="F68" s="446" t="s">
        <v>554</v>
      </c>
      <c r="G68" s="447">
        <v>0</v>
      </c>
      <c r="H68" s="310" t="s">
        <v>446</v>
      </c>
      <c r="I68" s="448">
        <v>0</v>
      </c>
      <c r="J68" s="439"/>
    </row>
    <row r="69" spans="4:10" x14ac:dyDescent="0.2">
      <c r="D69" s="446" t="s">
        <v>595</v>
      </c>
      <c r="E69" s="446" t="s">
        <v>572</v>
      </c>
      <c r="F69" s="446" t="s">
        <v>554</v>
      </c>
      <c r="G69" s="447">
        <v>0</v>
      </c>
      <c r="H69" s="310" t="s">
        <v>446</v>
      </c>
      <c r="I69" s="448">
        <v>0</v>
      </c>
      <c r="J69" s="439"/>
    </row>
    <row r="70" spans="4:10" x14ac:dyDescent="0.2">
      <c r="D70" s="446" t="s">
        <v>595</v>
      </c>
      <c r="E70" s="446" t="s">
        <v>567</v>
      </c>
      <c r="F70" s="446" t="s">
        <v>554</v>
      </c>
      <c r="G70" s="447">
        <v>0</v>
      </c>
      <c r="H70" s="310" t="s">
        <v>446</v>
      </c>
      <c r="I70" s="448">
        <v>0</v>
      </c>
      <c r="J70" s="439"/>
    </row>
    <row r="71" spans="4:10" x14ac:dyDescent="0.2">
      <c r="D71" s="446" t="s">
        <v>595</v>
      </c>
      <c r="E71" s="446" t="s">
        <v>568</v>
      </c>
      <c r="F71" s="446" t="s">
        <v>554</v>
      </c>
      <c r="G71" s="447">
        <v>0</v>
      </c>
      <c r="H71" s="310" t="s">
        <v>446</v>
      </c>
      <c r="I71" s="448">
        <v>0</v>
      </c>
      <c r="J71" s="439"/>
    </row>
    <row r="72" spans="4:10" x14ac:dyDescent="0.2">
      <c r="D72" s="446" t="s">
        <v>595</v>
      </c>
      <c r="E72" s="446" t="s">
        <v>548</v>
      </c>
      <c r="F72" s="446" t="s">
        <v>554</v>
      </c>
      <c r="G72" s="447">
        <v>0</v>
      </c>
      <c r="H72" s="310" t="s">
        <v>446</v>
      </c>
      <c r="I72" s="448">
        <v>0</v>
      </c>
      <c r="J72" s="439"/>
    </row>
    <row r="73" spans="4:10" x14ac:dyDescent="0.2">
      <c r="D73" s="446" t="s">
        <v>595</v>
      </c>
      <c r="E73" s="446" t="s">
        <v>598</v>
      </c>
      <c r="F73" s="446" t="s">
        <v>554</v>
      </c>
      <c r="G73" s="447">
        <v>0</v>
      </c>
      <c r="H73" s="310" t="s">
        <v>446</v>
      </c>
      <c r="I73" s="448">
        <v>0</v>
      </c>
      <c r="J73" s="439"/>
    </row>
    <row r="74" spans="4:10" x14ac:dyDescent="0.2">
      <c r="D74" s="446" t="s">
        <v>595</v>
      </c>
      <c r="E74" s="446" t="s">
        <v>549</v>
      </c>
      <c r="F74" s="446" t="s">
        <v>554</v>
      </c>
      <c r="G74" s="447">
        <v>0</v>
      </c>
      <c r="H74" s="310" t="s">
        <v>446</v>
      </c>
      <c r="I74" s="448">
        <v>0</v>
      </c>
      <c r="J74" s="439"/>
    </row>
    <row r="75" spans="4:10" x14ac:dyDescent="0.2">
      <c r="D75" s="446" t="s">
        <v>595</v>
      </c>
      <c r="E75" s="446" t="s">
        <v>571</v>
      </c>
      <c r="F75" s="446" t="s">
        <v>554</v>
      </c>
      <c r="G75" s="447">
        <v>0</v>
      </c>
      <c r="H75" s="310" t="s">
        <v>446</v>
      </c>
      <c r="I75" s="448">
        <v>0</v>
      </c>
      <c r="J75" s="439"/>
    </row>
    <row r="76" spans="4:10" x14ac:dyDescent="0.2">
      <c r="D76" s="446" t="s">
        <v>595</v>
      </c>
      <c r="E76" s="446" t="s">
        <v>561</v>
      </c>
      <c r="F76" s="446" t="s">
        <v>554</v>
      </c>
      <c r="G76" s="447">
        <v>0</v>
      </c>
      <c r="H76" s="310" t="s">
        <v>446</v>
      </c>
      <c r="I76" s="448">
        <v>0</v>
      </c>
      <c r="J76" s="439"/>
    </row>
    <row r="77" spans="4:10" x14ac:dyDescent="0.2">
      <c r="D77" s="446" t="s">
        <v>595</v>
      </c>
      <c r="E77" s="446" t="s">
        <v>599</v>
      </c>
      <c r="F77" s="446" t="s">
        <v>554</v>
      </c>
      <c r="G77" s="447">
        <v>0</v>
      </c>
      <c r="H77" s="310" t="s">
        <v>446</v>
      </c>
      <c r="I77" s="448">
        <v>0</v>
      </c>
      <c r="J77" s="439"/>
    </row>
    <row r="78" spans="4:10" x14ac:dyDescent="0.2">
      <c r="D78" s="446" t="s">
        <v>595</v>
      </c>
      <c r="E78" s="446" t="s">
        <v>600</v>
      </c>
      <c r="F78" s="446" t="s">
        <v>554</v>
      </c>
      <c r="G78" s="447">
        <v>0</v>
      </c>
      <c r="H78" s="310" t="s">
        <v>446</v>
      </c>
      <c r="I78" s="448">
        <v>0</v>
      </c>
      <c r="J78" s="439"/>
    </row>
    <row r="79" spans="4:10" x14ac:dyDescent="0.2">
      <c r="D79" s="446" t="s">
        <v>595</v>
      </c>
      <c r="E79" s="446" t="s">
        <v>555</v>
      </c>
      <c r="F79" s="446" t="s">
        <v>554</v>
      </c>
      <c r="G79" s="447">
        <v>0</v>
      </c>
      <c r="H79" s="310" t="s">
        <v>446</v>
      </c>
      <c r="I79" s="448">
        <v>0</v>
      </c>
      <c r="J79" s="439"/>
    </row>
    <row r="80" spans="4:10" x14ac:dyDescent="0.2">
      <c r="D80" s="446" t="s">
        <v>595</v>
      </c>
      <c r="E80" s="446" t="s">
        <v>552</v>
      </c>
      <c r="F80" s="446" t="s">
        <v>554</v>
      </c>
      <c r="G80" s="447">
        <v>0</v>
      </c>
      <c r="H80" s="310" t="s">
        <v>446</v>
      </c>
      <c r="I80" s="448">
        <v>0</v>
      </c>
      <c r="J80" s="439"/>
    </row>
    <row r="81" spans="4:10" x14ac:dyDescent="0.2">
      <c r="D81" s="446" t="s">
        <v>595</v>
      </c>
      <c r="E81" s="446" t="s">
        <v>581</v>
      </c>
      <c r="F81" s="446" t="s">
        <v>554</v>
      </c>
      <c r="G81" s="447">
        <v>0</v>
      </c>
      <c r="H81" s="310" t="s">
        <v>446</v>
      </c>
      <c r="I81" s="448">
        <v>0</v>
      </c>
      <c r="J81" s="439"/>
    </row>
    <row r="82" spans="4:10" x14ac:dyDescent="0.2">
      <c r="D82" s="446" t="s">
        <v>595</v>
      </c>
      <c r="E82" s="446" t="s">
        <v>574</v>
      </c>
      <c r="F82" s="446" t="s">
        <v>554</v>
      </c>
      <c r="G82" s="447">
        <v>0</v>
      </c>
      <c r="H82" s="310" t="s">
        <v>446</v>
      </c>
      <c r="I82" s="448">
        <v>0</v>
      </c>
      <c r="J82" s="439"/>
    </row>
    <row r="83" spans="4:10" x14ac:dyDescent="0.2">
      <c r="D83" s="446" t="s">
        <v>595</v>
      </c>
      <c r="E83" s="446" t="s">
        <v>601</v>
      </c>
      <c r="F83" s="446" t="s">
        <v>554</v>
      </c>
      <c r="G83" s="447">
        <v>0</v>
      </c>
      <c r="H83" s="310" t="s">
        <v>446</v>
      </c>
      <c r="I83" s="448">
        <v>0</v>
      </c>
      <c r="J83" s="439"/>
    </row>
    <row r="84" spans="4:10" x14ac:dyDescent="0.2">
      <c r="D84" s="446" t="s">
        <v>595</v>
      </c>
      <c r="E84" s="446" t="s">
        <v>559</v>
      </c>
      <c r="F84" s="446" t="s">
        <v>554</v>
      </c>
      <c r="G84" s="447">
        <v>0</v>
      </c>
      <c r="H84" s="310" t="s">
        <v>446</v>
      </c>
      <c r="I84" s="448">
        <v>0</v>
      </c>
      <c r="J84" s="439"/>
    </row>
    <row r="85" spans="4:10" x14ac:dyDescent="0.2">
      <c r="D85" s="446" t="s">
        <v>595</v>
      </c>
      <c r="E85" s="446" t="s">
        <v>573</v>
      </c>
      <c r="F85" s="446" t="s">
        <v>554</v>
      </c>
      <c r="G85" s="447">
        <v>0</v>
      </c>
      <c r="H85" s="310" t="s">
        <v>446</v>
      </c>
      <c r="I85" s="448">
        <v>0</v>
      </c>
      <c r="J85" s="439"/>
    </row>
    <row r="86" spans="4:10" x14ac:dyDescent="0.2">
      <c r="D86" s="446" t="s">
        <v>595</v>
      </c>
      <c r="E86" s="446" t="s">
        <v>562</v>
      </c>
      <c r="F86" s="446" t="s">
        <v>554</v>
      </c>
      <c r="G86" s="447">
        <v>0</v>
      </c>
      <c r="H86" s="310" t="s">
        <v>446</v>
      </c>
      <c r="I86" s="448">
        <v>0</v>
      </c>
      <c r="J86" s="439"/>
    </row>
    <row r="87" spans="4:10" x14ac:dyDescent="0.2">
      <c r="D87" s="446" t="s">
        <v>595</v>
      </c>
      <c r="E87" s="446" t="s">
        <v>550</v>
      </c>
      <c r="F87" s="446" t="s">
        <v>554</v>
      </c>
      <c r="G87" s="447">
        <v>0</v>
      </c>
      <c r="H87" s="310" t="s">
        <v>446</v>
      </c>
      <c r="I87" s="448">
        <v>0</v>
      </c>
      <c r="J87" s="439"/>
    </row>
    <row r="88" spans="4:10" x14ac:dyDescent="0.2">
      <c r="D88" s="446" t="s">
        <v>595</v>
      </c>
      <c r="E88" s="446" t="s">
        <v>579</v>
      </c>
      <c r="F88" s="446" t="s">
        <v>554</v>
      </c>
      <c r="G88" s="447">
        <v>0</v>
      </c>
      <c r="H88" s="310" t="s">
        <v>446</v>
      </c>
      <c r="I88" s="448">
        <v>0</v>
      </c>
      <c r="J88" s="439"/>
    </row>
    <row r="89" spans="4:10" x14ac:dyDescent="0.2">
      <c r="D89" s="446" t="s">
        <v>595</v>
      </c>
      <c r="E89" s="446" t="s">
        <v>556</v>
      </c>
      <c r="F89" s="446" t="s">
        <v>554</v>
      </c>
      <c r="G89" s="447">
        <v>0</v>
      </c>
      <c r="H89" s="310" t="s">
        <v>446</v>
      </c>
      <c r="I89" s="448">
        <v>0</v>
      </c>
      <c r="J89" s="439"/>
    </row>
    <row r="90" spans="4:10" x14ac:dyDescent="0.2">
      <c r="D90" s="446" t="s">
        <v>595</v>
      </c>
      <c r="E90" s="446" t="s">
        <v>602</v>
      </c>
      <c r="F90" s="446" t="s">
        <v>554</v>
      </c>
      <c r="G90" s="447">
        <v>0</v>
      </c>
      <c r="H90" s="310" t="s">
        <v>446</v>
      </c>
      <c r="I90" s="448">
        <v>0</v>
      </c>
      <c r="J90" s="439"/>
    </row>
    <row r="91" spans="4:10" x14ac:dyDescent="0.2">
      <c r="D91" s="446" t="s">
        <v>595</v>
      </c>
      <c r="E91" s="446" t="s">
        <v>577</v>
      </c>
      <c r="F91" s="446" t="s">
        <v>554</v>
      </c>
      <c r="G91" s="447">
        <v>0</v>
      </c>
      <c r="H91" s="310" t="s">
        <v>446</v>
      </c>
      <c r="I91" s="448">
        <v>0</v>
      </c>
      <c r="J91" s="439"/>
    </row>
    <row r="92" spans="4:10" x14ac:dyDescent="0.2">
      <c r="D92" s="446" t="s">
        <v>595</v>
      </c>
      <c r="E92" s="446" t="s">
        <v>576</v>
      </c>
      <c r="F92" s="446" t="s">
        <v>554</v>
      </c>
      <c r="G92" s="447">
        <v>0</v>
      </c>
      <c r="H92" s="310" t="s">
        <v>446</v>
      </c>
      <c r="I92" s="448">
        <v>0</v>
      </c>
      <c r="J92" s="439"/>
    </row>
    <row r="93" spans="4:10" x14ac:dyDescent="0.2">
      <c r="D93" s="446" t="s">
        <v>595</v>
      </c>
      <c r="E93" s="446" t="s">
        <v>603</v>
      </c>
      <c r="F93" s="446" t="s">
        <v>554</v>
      </c>
      <c r="G93" s="447">
        <v>0</v>
      </c>
      <c r="H93" s="310" t="s">
        <v>446</v>
      </c>
      <c r="I93" s="448">
        <v>0</v>
      </c>
      <c r="J93" s="439"/>
    </row>
    <row r="94" spans="4:10" x14ac:dyDescent="0.2">
      <c r="D94" s="446" t="s">
        <v>595</v>
      </c>
      <c r="E94" s="446" t="s">
        <v>557</v>
      </c>
      <c r="F94" s="446" t="s">
        <v>554</v>
      </c>
      <c r="G94" s="447">
        <v>0</v>
      </c>
      <c r="H94" s="310" t="s">
        <v>446</v>
      </c>
      <c r="I94" s="448">
        <v>0</v>
      </c>
      <c r="J94" s="439"/>
    </row>
    <row r="95" spans="4:10" x14ac:dyDescent="0.2">
      <c r="D95" s="446" t="s">
        <v>595</v>
      </c>
      <c r="E95" s="446" t="s">
        <v>582</v>
      </c>
      <c r="F95" s="446" t="s">
        <v>554</v>
      </c>
      <c r="G95" s="447">
        <v>0</v>
      </c>
      <c r="H95" s="310" t="s">
        <v>446</v>
      </c>
      <c r="I95" s="448">
        <v>0</v>
      </c>
      <c r="J95" s="439"/>
    </row>
    <row r="96" spans="4:10" x14ac:dyDescent="0.2">
      <c r="D96" s="446" t="s">
        <v>595</v>
      </c>
      <c r="E96" s="446" t="s">
        <v>565</v>
      </c>
      <c r="F96" s="446" t="s">
        <v>554</v>
      </c>
      <c r="G96" s="447">
        <v>0</v>
      </c>
      <c r="H96" s="310" t="s">
        <v>446</v>
      </c>
      <c r="I96" s="448">
        <v>0</v>
      </c>
      <c r="J96" s="439"/>
    </row>
    <row r="97" spans="4:13" x14ac:dyDescent="0.2">
      <c r="D97" s="446" t="s">
        <v>595</v>
      </c>
      <c r="E97" s="446" t="s">
        <v>604</v>
      </c>
      <c r="F97" s="446" t="s">
        <v>554</v>
      </c>
      <c r="G97" s="447">
        <v>0</v>
      </c>
      <c r="H97" s="310" t="s">
        <v>446</v>
      </c>
      <c r="I97" s="448">
        <v>0</v>
      </c>
      <c r="J97" s="439"/>
    </row>
    <row r="98" spans="4:13" x14ac:dyDescent="0.2">
      <c r="D98" s="446" t="s">
        <v>595</v>
      </c>
      <c r="E98" s="446" t="s">
        <v>569</v>
      </c>
      <c r="F98" s="446" t="s">
        <v>554</v>
      </c>
      <c r="G98" s="447">
        <v>0</v>
      </c>
      <c r="H98" s="310" t="s">
        <v>446</v>
      </c>
      <c r="I98" s="448">
        <v>0</v>
      </c>
      <c r="J98" s="439"/>
    </row>
    <row r="99" spans="4:13" x14ac:dyDescent="0.2">
      <c r="D99" s="446" t="s">
        <v>595</v>
      </c>
      <c r="E99" s="446" t="s">
        <v>553</v>
      </c>
      <c r="F99" s="446" t="s">
        <v>554</v>
      </c>
      <c r="G99" s="447">
        <v>0</v>
      </c>
      <c r="H99" s="310" t="s">
        <v>446</v>
      </c>
      <c r="I99" s="448">
        <v>0</v>
      </c>
      <c r="J99" s="439"/>
    </row>
    <row r="100" spans="4:13" x14ac:dyDescent="0.2">
      <c r="D100" s="446" t="s">
        <v>595</v>
      </c>
      <c r="E100" s="446" t="s">
        <v>570</v>
      </c>
      <c r="F100" s="446" t="s">
        <v>554</v>
      </c>
      <c r="G100" s="447">
        <v>0</v>
      </c>
      <c r="H100" s="310" t="s">
        <v>446</v>
      </c>
      <c r="I100" s="448">
        <v>0</v>
      </c>
      <c r="J100" s="439"/>
    </row>
    <row r="101" spans="4:13" x14ac:dyDescent="0.2">
      <c r="D101" s="446" t="s">
        <v>595</v>
      </c>
      <c r="E101" s="446" t="s">
        <v>551</v>
      </c>
      <c r="F101" s="446" t="s">
        <v>554</v>
      </c>
      <c r="G101" s="447">
        <v>0</v>
      </c>
      <c r="H101" s="310" t="s">
        <v>446</v>
      </c>
      <c r="I101" s="448">
        <v>0</v>
      </c>
      <c r="J101" s="439"/>
    </row>
    <row r="102" spans="4:13" x14ac:dyDescent="0.2">
      <c r="D102" s="446" t="s">
        <v>595</v>
      </c>
      <c r="E102" s="446" t="s">
        <v>578</v>
      </c>
      <c r="F102" s="446" t="s">
        <v>554</v>
      </c>
      <c r="G102" s="447">
        <v>0</v>
      </c>
      <c r="H102" s="310" t="s">
        <v>446</v>
      </c>
      <c r="I102" s="448">
        <v>0</v>
      </c>
      <c r="J102" s="439"/>
    </row>
    <row r="103" spans="4:13" x14ac:dyDescent="0.2">
      <c r="D103" s="446" t="s">
        <v>595</v>
      </c>
      <c r="E103" s="446" t="s">
        <v>560</v>
      </c>
      <c r="F103" s="446" t="s">
        <v>554</v>
      </c>
      <c r="G103" s="447">
        <v>0</v>
      </c>
      <c r="H103" s="310" t="s">
        <v>446</v>
      </c>
      <c r="I103" s="448">
        <v>0</v>
      </c>
      <c r="J103" s="439"/>
    </row>
    <row r="104" spans="4:13" x14ac:dyDescent="0.2">
      <c r="D104" s="446" t="s">
        <v>595</v>
      </c>
      <c r="E104" s="446" t="s">
        <v>575</v>
      </c>
      <c r="F104" s="446" t="s">
        <v>554</v>
      </c>
      <c r="G104" s="447">
        <v>0</v>
      </c>
      <c r="H104" s="310" t="s">
        <v>446</v>
      </c>
      <c r="I104" s="448">
        <v>0</v>
      </c>
      <c r="J104" s="439"/>
    </row>
    <row r="105" spans="4:13" x14ac:dyDescent="0.2">
      <c r="D105" s="446" t="s">
        <v>595</v>
      </c>
      <c r="E105" s="446" t="s">
        <v>566</v>
      </c>
      <c r="F105" s="446" t="s">
        <v>554</v>
      </c>
      <c r="G105" s="447">
        <v>0</v>
      </c>
      <c r="H105" s="310" t="s">
        <v>446</v>
      </c>
      <c r="I105" s="448">
        <v>0</v>
      </c>
      <c r="J105" s="439"/>
    </row>
    <row r="106" spans="4:13" x14ac:dyDescent="0.2">
      <c r="D106" s="446" t="s">
        <v>595</v>
      </c>
      <c r="E106" s="446" t="s">
        <v>580</v>
      </c>
      <c r="F106" s="446" t="s">
        <v>554</v>
      </c>
      <c r="G106" s="447">
        <v>4.33131416295506E-4</v>
      </c>
      <c r="H106" s="310" t="s">
        <v>446</v>
      </c>
      <c r="I106" s="448">
        <v>0</v>
      </c>
      <c r="J106" s="439"/>
    </row>
    <row r="107" spans="4:13" x14ac:dyDescent="0.2">
      <c r="D107" s="451" t="s">
        <v>595</v>
      </c>
      <c r="E107" s="451" t="s">
        <v>558</v>
      </c>
      <c r="F107" s="451" t="s">
        <v>554</v>
      </c>
      <c r="G107" s="452">
        <v>3.1088729290303725</v>
      </c>
      <c r="H107" s="310">
        <v>0</v>
      </c>
      <c r="I107" s="454">
        <v>0</v>
      </c>
      <c r="J107" s="439"/>
    </row>
    <row r="108" spans="4:13" ht="16" x14ac:dyDescent="0.2">
      <c r="D108" s="461" t="s">
        <v>605</v>
      </c>
      <c r="E108" s="460"/>
      <c r="F108" s="460"/>
      <c r="G108" s="465">
        <v>3.1088729290303725</v>
      </c>
      <c r="H108" s="466"/>
      <c r="I108" s="467">
        <v>0</v>
      </c>
      <c r="J108" s="439"/>
      <c r="K108" s="313" t="s">
        <v>311</v>
      </c>
      <c r="L108" s="313" t="s">
        <v>606</v>
      </c>
      <c r="M108" s="313" t="s">
        <v>528</v>
      </c>
    </row>
    <row r="109" spans="4:13" x14ac:dyDescent="0.2">
      <c r="D109" s="446" t="s">
        <v>607</v>
      </c>
      <c r="E109" s="446" t="s">
        <v>608</v>
      </c>
      <c r="F109" s="468" t="s">
        <v>609</v>
      </c>
      <c r="G109" s="469">
        <v>0</v>
      </c>
      <c r="H109" s="310" t="s">
        <v>446</v>
      </c>
      <c r="I109" s="470">
        <v>0</v>
      </c>
      <c r="J109" s="439"/>
      <c r="K109">
        <f>'Assumptions-Output Override'!$J$19</f>
        <v>10</v>
      </c>
      <c r="L109" s="470">
        <f>G109*K109/12000</f>
        <v>0</v>
      </c>
      <c r="M109" s="388">
        <f>I109-L109</f>
        <v>0</v>
      </c>
    </row>
    <row r="110" spans="4:13" x14ac:dyDescent="0.2">
      <c r="D110" s="446" t="s">
        <v>607</v>
      </c>
      <c r="E110" s="446" t="s">
        <v>610</v>
      </c>
      <c r="F110" s="468" t="s">
        <v>609</v>
      </c>
      <c r="G110" s="469">
        <v>0</v>
      </c>
      <c r="H110" s="310" t="s">
        <v>446</v>
      </c>
      <c r="I110" s="470">
        <v>0</v>
      </c>
      <c r="J110" s="439"/>
      <c r="K110">
        <f>'Assumptions-Output Override'!$K$19</f>
        <v>50</v>
      </c>
      <c r="L110" s="470">
        <f t="shared" ref="L110:L116" si="0">G110*K110/12000</f>
        <v>0</v>
      </c>
      <c r="M110" s="388">
        <f t="shared" ref="M110:M116" si="1">I110-L110</f>
        <v>0</v>
      </c>
    </row>
    <row r="111" spans="4:13" x14ac:dyDescent="0.2">
      <c r="D111" s="446" t="s">
        <v>607</v>
      </c>
      <c r="E111" s="446" t="s">
        <v>611</v>
      </c>
      <c r="F111" s="468" t="s">
        <v>609</v>
      </c>
      <c r="G111" s="469">
        <v>0</v>
      </c>
      <c r="H111" s="310" t="s">
        <v>446</v>
      </c>
      <c r="I111" s="470">
        <v>0</v>
      </c>
      <c r="J111" s="439"/>
      <c r="K111">
        <f>'Assumptions-Output Override'!$L$19</f>
        <v>80</v>
      </c>
      <c r="L111" s="470">
        <f t="shared" si="0"/>
        <v>0</v>
      </c>
      <c r="M111" s="388">
        <f t="shared" si="1"/>
        <v>0</v>
      </c>
    </row>
    <row r="112" spans="4:13" x14ac:dyDescent="0.2">
      <c r="D112" s="446" t="s">
        <v>607</v>
      </c>
      <c r="E112" s="446" t="s">
        <v>612</v>
      </c>
      <c r="F112" s="468" t="s">
        <v>609</v>
      </c>
      <c r="G112" s="469">
        <v>0</v>
      </c>
      <c r="H112" s="310" t="s">
        <v>446</v>
      </c>
      <c r="I112" s="470">
        <v>0</v>
      </c>
      <c r="J112" s="439"/>
      <c r="K112">
        <f>'Assumptions-Output Override'!$M$19</f>
        <v>200</v>
      </c>
      <c r="L112" s="470">
        <f t="shared" si="0"/>
        <v>0</v>
      </c>
      <c r="M112" s="388">
        <f t="shared" si="1"/>
        <v>0</v>
      </c>
    </row>
    <row r="113" spans="4:13" x14ac:dyDescent="0.2">
      <c r="D113" s="446" t="s">
        <v>607</v>
      </c>
      <c r="E113" s="446" t="s">
        <v>613</v>
      </c>
      <c r="F113" s="468" t="s">
        <v>609</v>
      </c>
      <c r="G113" s="469">
        <v>0</v>
      </c>
      <c r="H113" s="310" t="s">
        <v>446</v>
      </c>
      <c r="I113" s="470">
        <v>0</v>
      </c>
      <c r="J113" s="439"/>
      <c r="K113">
        <f>2*K109</f>
        <v>20</v>
      </c>
      <c r="L113" s="470">
        <f t="shared" si="0"/>
        <v>0</v>
      </c>
      <c r="M113" s="388">
        <f t="shared" si="1"/>
        <v>0</v>
      </c>
    </row>
    <row r="114" spans="4:13" x14ac:dyDescent="0.2">
      <c r="D114" s="446" t="s">
        <v>607</v>
      </c>
      <c r="E114" s="446" t="s">
        <v>614</v>
      </c>
      <c r="F114" s="468" t="s">
        <v>609</v>
      </c>
      <c r="G114" s="469">
        <v>0</v>
      </c>
      <c r="H114" s="310" t="s">
        <v>446</v>
      </c>
      <c r="I114" s="470">
        <v>0</v>
      </c>
      <c r="J114" s="439"/>
      <c r="K114">
        <f>2*K110</f>
        <v>100</v>
      </c>
      <c r="L114" s="470">
        <f t="shared" si="0"/>
        <v>0</v>
      </c>
      <c r="M114" s="388">
        <f t="shared" si="1"/>
        <v>0</v>
      </c>
    </row>
    <row r="115" spans="4:13" x14ac:dyDescent="0.2">
      <c r="D115" s="446" t="s">
        <v>607</v>
      </c>
      <c r="E115" s="446" t="s">
        <v>615</v>
      </c>
      <c r="F115" s="468" t="s">
        <v>609</v>
      </c>
      <c r="G115" s="469">
        <v>0</v>
      </c>
      <c r="H115" s="310" t="s">
        <v>446</v>
      </c>
      <c r="I115" s="470">
        <v>0</v>
      </c>
      <c r="J115" s="439"/>
      <c r="K115">
        <f>2*K111</f>
        <v>160</v>
      </c>
      <c r="L115" s="470">
        <f t="shared" si="0"/>
        <v>0</v>
      </c>
      <c r="M115" s="388">
        <f t="shared" si="1"/>
        <v>0</v>
      </c>
    </row>
    <row r="116" spans="4:13" x14ac:dyDescent="0.2">
      <c r="D116" s="446" t="s">
        <v>607</v>
      </c>
      <c r="E116" s="446" t="s">
        <v>616</v>
      </c>
      <c r="F116" s="468" t="s">
        <v>609</v>
      </c>
      <c r="G116" s="447">
        <v>0</v>
      </c>
      <c r="H116" s="310" t="s">
        <v>446</v>
      </c>
      <c r="I116" s="448">
        <v>0</v>
      </c>
      <c r="J116" s="439"/>
      <c r="K116">
        <f>2*K112</f>
        <v>400</v>
      </c>
      <c r="L116" s="470">
        <f t="shared" si="0"/>
        <v>0</v>
      </c>
      <c r="M116" s="388">
        <f t="shared" si="1"/>
        <v>0</v>
      </c>
    </row>
    <row r="117" spans="4:13" x14ac:dyDescent="0.2">
      <c r="D117" s="460" t="s">
        <v>617</v>
      </c>
      <c r="E117" s="460"/>
      <c r="F117" s="460"/>
      <c r="G117" s="471">
        <v>0</v>
      </c>
      <c r="H117" s="472"/>
      <c r="I117" s="473">
        <v>0</v>
      </c>
      <c r="J117" s="439"/>
      <c r="L117" s="470">
        <f>SUM(L109:L116)</f>
        <v>0</v>
      </c>
      <c r="M117" s="388">
        <f>SUM(M109:M116)</f>
        <v>0</v>
      </c>
    </row>
    <row r="118" spans="4:13" ht="16" x14ac:dyDescent="0.2">
      <c r="D118" s="461" t="s">
        <v>618</v>
      </c>
      <c r="E118" s="461"/>
      <c r="F118" s="461"/>
      <c r="G118" s="474"/>
      <c r="H118" s="474"/>
      <c r="I118" s="473">
        <v>0</v>
      </c>
      <c r="J118" s="439"/>
    </row>
  </sheetData>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B11"/>
  <sheetViews>
    <sheetView workbookViewId="0">
      <selection activeCell="F73" sqref="F73"/>
    </sheetView>
  </sheetViews>
  <sheetFormatPr baseColWidth="10" defaultColWidth="8.83203125" defaultRowHeight="15" x14ac:dyDescent="0.2"/>
  <sheetData>
    <row r="1" spans="1:2" x14ac:dyDescent="0.2">
      <c r="A1" t="s">
        <v>54</v>
      </c>
      <c r="B1">
        <v>1</v>
      </c>
    </row>
    <row r="2" spans="1:2" x14ac:dyDescent="0.2">
      <c r="B2">
        <v>0</v>
      </c>
    </row>
    <row r="3" spans="1:2" x14ac:dyDescent="0.2">
      <c r="A3" t="s">
        <v>45</v>
      </c>
      <c r="B3">
        <v>0</v>
      </c>
    </row>
    <row r="4" spans="1:2" x14ac:dyDescent="0.2">
      <c r="A4" t="s">
        <v>55</v>
      </c>
    </row>
    <row r="6" spans="1:2" x14ac:dyDescent="0.2">
      <c r="A6" t="s">
        <v>57</v>
      </c>
    </row>
    <row r="7" spans="1:2" x14ac:dyDescent="0.2">
      <c r="A7" t="s">
        <v>58</v>
      </c>
    </row>
    <row r="8" spans="1:2" x14ac:dyDescent="0.2">
      <c r="A8" t="s">
        <v>59</v>
      </c>
    </row>
    <row r="10" spans="1:2" x14ac:dyDescent="0.2">
      <c r="A10" s="28">
        <v>1</v>
      </c>
    </row>
    <row r="11" spans="1:2" x14ac:dyDescent="0.2">
      <c r="A11" s="29">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B1:B109"/>
  <sheetViews>
    <sheetView showGridLines="0" workbookViewId="0">
      <selection activeCell="F73" sqref="F73"/>
    </sheetView>
  </sheetViews>
  <sheetFormatPr baseColWidth="10" defaultColWidth="8.83203125" defaultRowHeight="15" x14ac:dyDescent="0.2"/>
  <cols>
    <col min="1" max="1" width="5.5" customWidth="1"/>
    <col min="2" max="2" width="105.5" customWidth="1"/>
  </cols>
  <sheetData>
    <row r="1" spans="2:2" ht="16" thickBot="1" x14ac:dyDescent="0.25"/>
    <row r="2" spans="2:2" ht="19" thickBot="1" x14ac:dyDescent="0.25">
      <c r="B2" s="201" t="s">
        <v>68</v>
      </c>
    </row>
    <row r="3" spans="2:2" ht="45" customHeight="1" x14ac:dyDescent="0.2">
      <c r="B3" s="208" t="s">
        <v>282</v>
      </c>
    </row>
    <row r="4" spans="2:2" ht="16" thickBot="1" x14ac:dyDescent="0.25">
      <c r="B4" s="202"/>
    </row>
    <row r="5" spans="2:2" ht="19" thickBot="1" x14ac:dyDescent="0.25">
      <c r="B5" s="201" t="s">
        <v>73</v>
      </c>
    </row>
    <row r="6" spans="2:2" ht="75" x14ac:dyDescent="0.2">
      <c r="B6" s="202" t="s">
        <v>283</v>
      </c>
    </row>
    <row r="7" spans="2:2" x14ac:dyDescent="0.2">
      <c r="B7" s="208" t="s">
        <v>227</v>
      </c>
    </row>
    <row r="8" spans="2:2" ht="16" thickBot="1" x14ac:dyDescent="0.25">
      <c r="B8" s="202"/>
    </row>
    <row r="9" spans="2:2" ht="19" thickBot="1" x14ac:dyDescent="0.25">
      <c r="B9" s="201" t="s">
        <v>69</v>
      </c>
    </row>
    <row r="10" spans="2:2" ht="30" x14ac:dyDescent="0.2">
      <c r="B10" s="208" t="s">
        <v>284</v>
      </c>
    </row>
    <row r="11" spans="2:2" x14ac:dyDescent="0.2">
      <c r="B11" s="202"/>
    </row>
    <row r="12" spans="2:2" ht="16" x14ac:dyDescent="0.2">
      <c r="B12" s="203" t="s">
        <v>214</v>
      </c>
    </row>
    <row r="13" spans="2:2" x14ac:dyDescent="0.2">
      <c r="B13" s="202"/>
    </row>
    <row r="14" spans="2:2" x14ac:dyDescent="0.2">
      <c r="B14" s="204" t="s">
        <v>228</v>
      </c>
    </row>
    <row r="15" spans="2:2" x14ac:dyDescent="0.2">
      <c r="B15" s="202" t="s">
        <v>296</v>
      </c>
    </row>
    <row r="16" spans="2:2" x14ac:dyDescent="0.2">
      <c r="B16" s="202"/>
    </row>
    <row r="17" spans="2:2" x14ac:dyDescent="0.2">
      <c r="B17" s="204" t="s">
        <v>255</v>
      </c>
    </row>
    <row r="18" spans="2:2" x14ac:dyDescent="0.2">
      <c r="B18" s="202" t="s">
        <v>256</v>
      </c>
    </row>
    <row r="19" spans="2:2" x14ac:dyDescent="0.2">
      <c r="B19" s="202"/>
    </row>
    <row r="20" spans="2:2" x14ac:dyDescent="0.2">
      <c r="B20" s="204" t="s">
        <v>229</v>
      </c>
    </row>
    <row r="21" spans="2:2" ht="45" x14ac:dyDescent="0.2">
      <c r="B21" s="202" t="s">
        <v>292</v>
      </c>
    </row>
    <row r="22" spans="2:2" x14ac:dyDescent="0.2">
      <c r="B22" s="202"/>
    </row>
    <row r="23" spans="2:2" x14ac:dyDescent="0.2">
      <c r="B23" s="204" t="s">
        <v>278</v>
      </c>
    </row>
    <row r="24" spans="2:2" ht="30" x14ac:dyDescent="0.2">
      <c r="B24" s="248" t="s">
        <v>291</v>
      </c>
    </row>
    <row r="25" spans="2:2" x14ac:dyDescent="0.2">
      <c r="B25" s="202"/>
    </row>
    <row r="26" spans="2:2" x14ac:dyDescent="0.2">
      <c r="B26" s="204" t="s">
        <v>177</v>
      </c>
    </row>
    <row r="27" spans="2:2" ht="94.5" customHeight="1" x14ac:dyDescent="0.2">
      <c r="B27" s="202" t="s">
        <v>281</v>
      </c>
    </row>
    <row r="28" spans="2:2" x14ac:dyDescent="0.2">
      <c r="B28" s="202"/>
    </row>
    <row r="29" spans="2:2" x14ac:dyDescent="0.2">
      <c r="B29" s="204" t="s">
        <v>108</v>
      </c>
    </row>
    <row r="30" spans="2:2" ht="60" x14ac:dyDescent="0.2">
      <c r="B30" s="202" t="s">
        <v>297</v>
      </c>
    </row>
    <row r="31" spans="2:2" x14ac:dyDescent="0.2">
      <c r="B31" s="202"/>
    </row>
    <row r="32" spans="2:2" x14ac:dyDescent="0.2">
      <c r="B32" s="204" t="s">
        <v>230</v>
      </c>
    </row>
    <row r="33" spans="2:2" ht="90" x14ac:dyDescent="0.2">
      <c r="B33" s="208" t="s">
        <v>293</v>
      </c>
    </row>
    <row r="34" spans="2:2" x14ac:dyDescent="0.2">
      <c r="B34" s="208"/>
    </row>
    <row r="35" spans="2:2" x14ac:dyDescent="0.2">
      <c r="B35" s="249" t="s">
        <v>279</v>
      </c>
    </row>
    <row r="36" spans="2:2" ht="30" x14ac:dyDescent="0.2">
      <c r="B36" s="250" t="s">
        <v>280</v>
      </c>
    </row>
    <row r="37" spans="2:2" x14ac:dyDescent="0.2">
      <c r="B37" s="202"/>
    </row>
    <row r="38" spans="2:2" ht="16" x14ac:dyDescent="0.2">
      <c r="B38" s="203" t="s">
        <v>231</v>
      </c>
    </row>
    <row r="39" spans="2:2" x14ac:dyDescent="0.2">
      <c r="B39" s="202"/>
    </row>
    <row r="40" spans="2:2" x14ac:dyDescent="0.2">
      <c r="B40" s="204" t="s">
        <v>232</v>
      </c>
    </row>
    <row r="41" spans="2:2" ht="105" x14ac:dyDescent="0.2">
      <c r="B41" s="202" t="s">
        <v>259</v>
      </c>
    </row>
    <row r="42" spans="2:2" x14ac:dyDescent="0.2">
      <c r="B42" s="202"/>
    </row>
    <row r="43" spans="2:2" x14ac:dyDescent="0.2">
      <c r="B43" s="204" t="s">
        <v>285</v>
      </c>
    </row>
    <row r="44" spans="2:2" ht="45" x14ac:dyDescent="0.2">
      <c r="B44" s="208" t="s">
        <v>233</v>
      </c>
    </row>
    <row r="45" spans="2:2" x14ac:dyDescent="0.2">
      <c r="B45" s="202"/>
    </row>
    <row r="46" spans="2:2" ht="16" x14ac:dyDescent="0.2">
      <c r="B46" s="203" t="s">
        <v>234</v>
      </c>
    </row>
    <row r="47" spans="2:2" x14ac:dyDescent="0.2">
      <c r="B47" s="202"/>
    </row>
    <row r="48" spans="2:2" x14ac:dyDescent="0.2">
      <c r="B48" s="204" t="s">
        <v>111</v>
      </c>
    </row>
    <row r="49" spans="2:2" ht="90" x14ac:dyDescent="0.2">
      <c r="B49" s="202" t="s">
        <v>286</v>
      </c>
    </row>
    <row r="50" spans="2:2" x14ac:dyDescent="0.2">
      <c r="B50" s="202"/>
    </row>
    <row r="51" spans="2:2" x14ac:dyDescent="0.2">
      <c r="B51" s="204" t="s">
        <v>235</v>
      </c>
    </row>
    <row r="52" spans="2:2" ht="90" x14ac:dyDescent="0.2">
      <c r="B52" s="202" t="s">
        <v>287</v>
      </c>
    </row>
    <row r="53" spans="2:2" x14ac:dyDescent="0.2">
      <c r="B53" s="202"/>
    </row>
    <row r="54" spans="2:2" x14ac:dyDescent="0.2">
      <c r="B54" s="204" t="s">
        <v>236</v>
      </c>
    </row>
    <row r="55" spans="2:2" x14ac:dyDescent="0.2">
      <c r="B55" s="205" t="s">
        <v>237</v>
      </c>
    </row>
    <row r="56" spans="2:2" ht="12.75" customHeight="1" x14ac:dyDescent="0.2">
      <c r="B56" s="205" t="s">
        <v>260</v>
      </c>
    </row>
    <row r="57" spans="2:2" x14ac:dyDescent="0.2">
      <c r="B57" s="205" t="s">
        <v>261</v>
      </c>
    </row>
    <row r="58" spans="2:2" x14ac:dyDescent="0.2">
      <c r="B58" s="208" t="s">
        <v>262</v>
      </c>
    </row>
    <row r="59" spans="2:2" x14ac:dyDescent="0.2">
      <c r="B59" s="208" t="s">
        <v>275</v>
      </c>
    </row>
    <row r="60" spans="2:2" x14ac:dyDescent="0.2">
      <c r="B60" s="208" t="s">
        <v>276</v>
      </c>
    </row>
    <row r="61" spans="2:2" x14ac:dyDescent="0.2">
      <c r="B61" s="208" t="s">
        <v>277</v>
      </c>
    </row>
    <row r="62" spans="2:2" x14ac:dyDescent="0.2">
      <c r="B62" s="206"/>
    </row>
    <row r="63" spans="2:2" ht="16" x14ac:dyDescent="0.2">
      <c r="B63" s="203" t="s">
        <v>238</v>
      </c>
    </row>
    <row r="64" spans="2:2" x14ac:dyDescent="0.2">
      <c r="B64" s="202"/>
    </row>
    <row r="65" spans="2:2" x14ac:dyDescent="0.2">
      <c r="B65" s="204" t="s">
        <v>239</v>
      </c>
    </row>
    <row r="66" spans="2:2" ht="30" x14ac:dyDescent="0.2">
      <c r="B66" s="202" t="s">
        <v>257</v>
      </c>
    </row>
    <row r="67" spans="2:2" x14ac:dyDescent="0.2">
      <c r="B67" s="202"/>
    </row>
    <row r="68" spans="2:2" x14ac:dyDescent="0.2">
      <c r="B68" s="204" t="s">
        <v>240</v>
      </c>
    </row>
    <row r="69" spans="2:2" ht="30" x14ac:dyDescent="0.2">
      <c r="B69" s="202" t="s">
        <v>241</v>
      </c>
    </row>
    <row r="70" spans="2:2" x14ac:dyDescent="0.2">
      <c r="B70" s="202" t="s">
        <v>242</v>
      </c>
    </row>
    <row r="71" spans="2:2" x14ac:dyDescent="0.2">
      <c r="B71" s="204" t="s">
        <v>243</v>
      </c>
    </row>
    <row r="72" spans="2:2" ht="12" customHeight="1" x14ac:dyDescent="0.2">
      <c r="B72" s="202" t="s">
        <v>244</v>
      </c>
    </row>
    <row r="73" spans="2:2" x14ac:dyDescent="0.2">
      <c r="B73" s="202"/>
    </row>
    <row r="74" spans="2:2" x14ac:dyDescent="0.2">
      <c r="B74" s="204" t="s">
        <v>263</v>
      </c>
    </row>
    <row r="75" spans="2:2" ht="30" x14ac:dyDescent="0.2">
      <c r="B75" s="202" t="s">
        <v>245</v>
      </c>
    </row>
    <row r="76" spans="2:2" x14ac:dyDescent="0.2">
      <c r="B76" s="202"/>
    </row>
    <row r="77" spans="2:2" ht="16" x14ac:dyDescent="0.2">
      <c r="B77" s="203" t="s">
        <v>70</v>
      </c>
    </row>
    <row r="78" spans="2:2" x14ac:dyDescent="0.2">
      <c r="B78" s="202" t="s">
        <v>288</v>
      </c>
    </row>
    <row r="79" spans="2:2" ht="16" thickBot="1" x14ac:dyDescent="0.25">
      <c r="B79" s="202"/>
    </row>
    <row r="80" spans="2:2" ht="19" thickBot="1" x14ac:dyDescent="0.25">
      <c r="B80" s="201" t="s">
        <v>71</v>
      </c>
    </row>
    <row r="81" spans="2:2" x14ac:dyDescent="0.2">
      <c r="B81" s="202"/>
    </row>
    <row r="82" spans="2:2" ht="30" x14ac:dyDescent="0.2">
      <c r="B82" s="202" t="s">
        <v>290</v>
      </c>
    </row>
    <row r="83" spans="2:2" ht="60" x14ac:dyDescent="0.2">
      <c r="B83" s="202" t="s">
        <v>264</v>
      </c>
    </row>
    <row r="84" spans="2:2" x14ac:dyDescent="0.2">
      <c r="B84" s="202"/>
    </row>
    <row r="85" spans="2:2" x14ac:dyDescent="0.2">
      <c r="B85" s="202" t="s">
        <v>246</v>
      </c>
    </row>
    <row r="86" spans="2:2" ht="64.5" customHeight="1" x14ac:dyDescent="0.2">
      <c r="B86" s="202" t="s">
        <v>289</v>
      </c>
    </row>
    <row r="87" spans="2:2" x14ac:dyDescent="0.2">
      <c r="B87" s="202"/>
    </row>
    <row r="88" spans="2:2" x14ac:dyDescent="0.2">
      <c r="B88" s="202" t="s">
        <v>247</v>
      </c>
    </row>
    <row r="89" spans="2:2" x14ac:dyDescent="0.2">
      <c r="B89" s="202" t="s">
        <v>248</v>
      </c>
    </row>
    <row r="90" spans="2:2" x14ac:dyDescent="0.2">
      <c r="B90" s="202"/>
    </row>
    <row r="91" spans="2:2" x14ac:dyDescent="0.2">
      <c r="B91" s="202" t="s">
        <v>298</v>
      </c>
    </row>
    <row r="92" spans="2:2" x14ac:dyDescent="0.2">
      <c r="B92" s="202" t="s">
        <v>249</v>
      </c>
    </row>
    <row r="93" spans="2:2" x14ac:dyDescent="0.2">
      <c r="B93" s="202"/>
    </row>
    <row r="94" spans="2:2" x14ac:dyDescent="0.2">
      <c r="B94" s="202" t="s">
        <v>294</v>
      </c>
    </row>
    <row r="95" spans="2:2" ht="75" x14ac:dyDescent="0.2">
      <c r="B95" s="202" t="s">
        <v>295</v>
      </c>
    </row>
    <row r="96" spans="2:2" ht="16" thickBot="1" x14ac:dyDescent="0.25">
      <c r="B96" s="202"/>
    </row>
    <row r="97" spans="2:2" ht="19" thickBot="1" x14ac:dyDescent="0.25">
      <c r="B97" s="201" t="s">
        <v>250</v>
      </c>
    </row>
    <row r="98" spans="2:2" x14ac:dyDescent="0.2">
      <c r="B98" s="207"/>
    </row>
    <row r="99" spans="2:2" x14ac:dyDescent="0.2">
      <c r="B99" s="204" t="s">
        <v>251</v>
      </c>
    </row>
    <row r="100" spans="2:2" ht="45" x14ac:dyDescent="0.2">
      <c r="B100" s="202" t="s">
        <v>299</v>
      </c>
    </row>
    <row r="101" spans="2:2" x14ac:dyDescent="0.2">
      <c r="B101" s="202"/>
    </row>
    <row r="102" spans="2:2" x14ac:dyDescent="0.2">
      <c r="B102" s="204" t="s">
        <v>252</v>
      </c>
    </row>
    <row r="103" spans="2:2" ht="60" x14ac:dyDescent="0.2">
      <c r="B103" s="202" t="s">
        <v>272</v>
      </c>
    </row>
    <row r="104" spans="2:2" x14ac:dyDescent="0.2">
      <c r="B104" s="202"/>
    </row>
    <row r="105" spans="2:2" x14ac:dyDescent="0.2">
      <c r="B105" s="204" t="s">
        <v>253</v>
      </c>
    </row>
    <row r="106" spans="2:2" ht="30.75" customHeight="1" x14ac:dyDescent="0.2">
      <c r="B106" s="202" t="s">
        <v>254</v>
      </c>
    </row>
    <row r="107" spans="2:2" x14ac:dyDescent="0.2">
      <c r="B107" s="202"/>
    </row>
    <row r="108" spans="2:2" x14ac:dyDescent="0.2">
      <c r="B108" s="204" t="s">
        <v>273</v>
      </c>
    </row>
    <row r="109" spans="2:2" ht="30" x14ac:dyDescent="0.2">
      <c r="B109" s="202" t="s">
        <v>274</v>
      </c>
    </row>
  </sheetData>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B2:O29"/>
  <sheetViews>
    <sheetView workbookViewId="0">
      <selection activeCell="F73" sqref="F73"/>
    </sheetView>
  </sheetViews>
  <sheetFormatPr baseColWidth="10" defaultColWidth="8.83203125" defaultRowHeight="15" x14ac:dyDescent="0.2"/>
  <cols>
    <col min="1" max="1" width="8.83203125" style="90"/>
    <col min="2" max="2" width="20.5" style="90" customWidth="1"/>
    <col min="3" max="3" width="12.5" style="90" bestFit="1" customWidth="1"/>
    <col min="4" max="16384" width="8.83203125" style="90"/>
  </cols>
  <sheetData>
    <row r="2" spans="2:15" x14ac:dyDescent="0.2">
      <c r="B2" s="91" t="s">
        <v>135</v>
      </c>
    </row>
    <row r="3" spans="2:15" x14ac:dyDescent="0.2">
      <c r="B3" s="92" t="s">
        <v>136</v>
      </c>
    </row>
    <row r="4" spans="2:15" x14ac:dyDescent="0.2">
      <c r="B4" s="91" t="s">
        <v>137</v>
      </c>
    </row>
    <row r="5" spans="2:15" x14ac:dyDescent="0.2">
      <c r="B5" s="91"/>
      <c r="D5" s="988" t="s">
        <v>138</v>
      </c>
      <c r="E5" s="989"/>
      <c r="F5" s="989"/>
      <c r="G5" s="989"/>
      <c r="H5" s="989"/>
      <c r="I5" s="989"/>
      <c r="J5" s="989"/>
      <c r="K5" s="989"/>
      <c r="L5" s="989"/>
      <c r="M5" s="989"/>
      <c r="N5" s="989"/>
      <c r="O5" s="990"/>
    </row>
    <row r="6" spans="2:15" x14ac:dyDescent="0.2">
      <c r="B6" s="91"/>
      <c r="D6" s="991" t="s">
        <v>139</v>
      </c>
      <c r="E6" s="992"/>
      <c r="F6" s="993" t="s">
        <v>140</v>
      </c>
      <c r="G6" s="994"/>
      <c r="H6" s="993" t="s">
        <v>141</v>
      </c>
      <c r="I6" s="994"/>
      <c r="J6" s="993" t="s">
        <v>142</v>
      </c>
      <c r="K6" s="994"/>
      <c r="L6" s="993" t="s">
        <v>143</v>
      </c>
      <c r="M6" s="994"/>
      <c r="N6" s="993" t="s">
        <v>144</v>
      </c>
      <c r="O6" s="994"/>
    </row>
    <row r="7" spans="2:15" x14ac:dyDescent="0.2">
      <c r="B7" s="99" t="s">
        <v>145</v>
      </c>
      <c r="C7" s="100" t="s">
        <v>146</v>
      </c>
      <c r="D7" s="99" t="s">
        <v>147</v>
      </c>
      <c r="E7" s="100" t="s">
        <v>148</v>
      </c>
      <c r="F7" s="99" t="s">
        <v>147</v>
      </c>
      <c r="G7" s="101" t="s">
        <v>148</v>
      </c>
      <c r="H7" s="99" t="s">
        <v>147</v>
      </c>
      <c r="I7" s="101" t="s">
        <v>148</v>
      </c>
      <c r="J7" s="99" t="s">
        <v>147</v>
      </c>
      <c r="K7" s="101" t="s">
        <v>148</v>
      </c>
      <c r="L7" s="99" t="s">
        <v>147</v>
      </c>
      <c r="M7" s="101" t="s">
        <v>148</v>
      </c>
      <c r="N7" s="99" t="s">
        <v>147</v>
      </c>
      <c r="O7" s="101" t="s">
        <v>148</v>
      </c>
    </row>
    <row r="8" spans="2:15" x14ac:dyDescent="0.2">
      <c r="B8" s="102">
        <v>25740</v>
      </c>
      <c r="C8" s="95">
        <v>2333641</v>
      </c>
      <c r="D8" s="103">
        <v>4.14292515E-2</v>
      </c>
      <c r="E8" s="104">
        <v>3.9603777999999999E-2</v>
      </c>
      <c r="F8" s="103">
        <v>8.4680119999999998E-2</v>
      </c>
      <c r="G8" s="105">
        <v>8.0740782299999994E-2</v>
      </c>
      <c r="H8" s="103">
        <v>5.2754901E-2</v>
      </c>
      <c r="I8" s="105">
        <v>5.0752450800000001E-2</v>
      </c>
      <c r="J8" s="103">
        <v>0.13014426809999999</v>
      </c>
      <c r="K8" s="105">
        <v>0.12695268900000001</v>
      </c>
      <c r="L8" s="103">
        <v>0.1332240049</v>
      </c>
      <c r="M8" s="105">
        <v>0.13140667310000001</v>
      </c>
      <c r="N8" s="103">
        <v>6.4710467499999993E-2</v>
      </c>
      <c r="O8" s="105">
        <v>6.3534194000000002E-2</v>
      </c>
    </row>
    <row r="10" spans="2:15" x14ac:dyDescent="0.2">
      <c r="B10" s="91" t="s">
        <v>149</v>
      </c>
    </row>
    <row r="11" spans="2:15" x14ac:dyDescent="0.2">
      <c r="B11" s="91" t="s">
        <v>150</v>
      </c>
    </row>
    <row r="12" spans="2:15" x14ac:dyDescent="0.2">
      <c r="B12" s="91" t="s">
        <v>151</v>
      </c>
    </row>
    <row r="14" spans="2:15" x14ac:dyDescent="0.2">
      <c r="B14" s="91" t="s">
        <v>152</v>
      </c>
    </row>
    <row r="15" spans="2:15" x14ac:dyDescent="0.2">
      <c r="B15" s="91"/>
      <c r="D15" s="988" t="s">
        <v>138</v>
      </c>
      <c r="E15" s="989"/>
      <c r="F15" s="989"/>
      <c r="G15" s="989"/>
      <c r="H15" s="989"/>
      <c r="I15" s="989"/>
      <c r="J15" s="989"/>
      <c r="K15" s="989"/>
      <c r="L15" s="989"/>
      <c r="M15" s="989"/>
      <c r="N15" s="989"/>
      <c r="O15" s="990"/>
    </row>
    <row r="16" spans="2:15" x14ac:dyDescent="0.2">
      <c r="B16" s="91"/>
      <c r="D16" s="991" t="s">
        <v>139</v>
      </c>
      <c r="E16" s="992"/>
      <c r="F16" s="993" t="s">
        <v>140</v>
      </c>
      <c r="G16" s="994"/>
      <c r="H16" s="993" t="s">
        <v>141</v>
      </c>
      <c r="I16" s="994"/>
      <c r="J16" s="993" t="s">
        <v>142</v>
      </c>
      <c r="K16" s="994"/>
      <c r="L16" s="993" t="s">
        <v>143</v>
      </c>
      <c r="M16" s="994"/>
      <c r="N16" s="993" t="s">
        <v>144</v>
      </c>
      <c r="O16" s="994"/>
    </row>
    <row r="17" spans="2:15" x14ac:dyDescent="0.2">
      <c r="B17" s="99" t="s">
        <v>145</v>
      </c>
      <c r="C17" s="100" t="s">
        <v>146</v>
      </c>
      <c r="D17" s="99" t="s">
        <v>147</v>
      </c>
      <c r="E17" s="100" t="s">
        <v>148</v>
      </c>
      <c r="F17" s="99" t="s">
        <v>147</v>
      </c>
      <c r="G17" s="101" t="s">
        <v>148</v>
      </c>
      <c r="H17" s="99" t="s">
        <v>147</v>
      </c>
      <c r="I17" s="101" t="s">
        <v>148</v>
      </c>
      <c r="J17" s="99" t="s">
        <v>147</v>
      </c>
      <c r="K17" s="101" t="s">
        <v>148</v>
      </c>
      <c r="L17" s="99" t="s">
        <v>147</v>
      </c>
      <c r="M17" s="101" t="s">
        <v>148</v>
      </c>
      <c r="N17" s="99" t="s">
        <v>147</v>
      </c>
      <c r="O17" s="101" t="s">
        <v>148</v>
      </c>
    </row>
    <row r="18" spans="2:15" x14ac:dyDescent="0.2">
      <c r="B18" s="102">
        <f>25740-299</f>
        <v>25441</v>
      </c>
      <c r="C18" s="95">
        <f>2333641-28312</f>
        <v>2305329</v>
      </c>
      <c r="D18" s="103">
        <v>4.1006735799999999E-2</v>
      </c>
      <c r="E18" s="104">
        <v>3.9179976700000001E-2</v>
      </c>
      <c r="F18" s="103">
        <v>8.3593834699999994E-2</v>
      </c>
      <c r="G18" s="105">
        <v>7.9685350099999996E-2</v>
      </c>
      <c r="H18" s="103">
        <v>5.2146838399999999E-2</v>
      </c>
      <c r="I18" s="105">
        <v>5.0153815400000003E-2</v>
      </c>
      <c r="J18" s="103">
        <v>0.12881287220000001</v>
      </c>
      <c r="K18" s="105">
        <v>0.12551716399999999</v>
      </c>
      <c r="L18" s="103">
        <v>0.1315999333</v>
      </c>
      <c r="M18" s="105">
        <v>0.12964719080000001</v>
      </c>
      <c r="N18" s="103">
        <v>6.3823441600000003E-2</v>
      </c>
      <c r="O18" s="105">
        <v>6.2634312600000006E-2</v>
      </c>
    </row>
    <row r="20" spans="2:15" x14ac:dyDescent="0.2">
      <c r="B20" s="91" t="s">
        <v>153</v>
      </c>
    </row>
    <row r="21" spans="2:15" x14ac:dyDescent="0.2">
      <c r="B21" s="91" t="s">
        <v>154</v>
      </c>
    </row>
    <row r="22" spans="2:15" x14ac:dyDescent="0.2">
      <c r="B22" s="91" t="s">
        <v>155</v>
      </c>
    </row>
    <row r="24" spans="2:15" x14ac:dyDescent="0.2">
      <c r="B24" s="91" t="s">
        <v>156</v>
      </c>
    </row>
    <row r="25" spans="2:15" x14ac:dyDescent="0.2">
      <c r="B25" s="98" t="s">
        <v>157</v>
      </c>
      <c r="C25" s="106">
        <v>2333641</v>
      </c>
    </row>
    <row r="26" spans="2:15" ht="30" customHeight="1" x14ac:dyDescent="0.2">
      <c r="B26" s="107" t="s">
        <v>158</v>
      </c>
      <c r="C26" s="106">
        <v>-28312</v>
      </c>
    </row>
    <row r="27" spans="2:15" ht="30" customHeight="1" x14ac:dyDescent="0.2">
      <c r="B27" s="107" t="s">
        <v>159</v>
      </c>
      <c r="C27" s="106">
        <v>-1616</v>
      </c>
    </row>
    <row r="28" spans="2:15" x14ac:dyDescent="0.2">
      <c r="B28" s="108" t="s">
        <v>160</v>
      </c>
      <c r="C28" s="109">
        <v>-155</v>
      </c>
    </row>
    <row r="29" spans="2:15" x14ac:dyDescent="0.2">
      <c r="B29" s="90" t="s">
        <v>161</v>
      </c>
      <c r="C29" s="110">
        <f>SUM(C25:C28)</f>
        <v>2303558</v>
      </c>
    </row>
  </sheetData>
  <mergeCells count="14">
    <mergeCell ref="D15:O15"/>
    <mergeCell ref="D16:E16"/>
    <mergeCell ref="F16:G16"/>
    <mergeCell ref="H16:I16"/>
    <mergeCell ref="J16:K16"/>
    <mergeCell ref="L16:M16"/>
    <mergeCell ref="N16:O16"/>
    <mergeCell ref="D5:O5"/>
    <mergeCell ref="D6:E6"/>
    <mergeCell ref="F6:G6"/>
    <mergeCell ref="H6:I6"/>
    <mergeCell ref="J6:K6"/>
    <mergeCell ref="L6:M6"/>
    <mergeCell ref="N6:O6"/>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Z88"/>
  <sheetViews>
    <sheetView workbookViewId="0">
      <pane xSplit="4" ySplit="4" topLeftCell="E5" activePane="bottomRight" state="frozen"/>
      <selection activeCell="F73" sqref="F73"/>
      <selection pane="topRight" activeCell="F73" sqref="F73"/>
      <selection pane="bottomLeft" activeCell="F73" sqref="F73"/>
      <selection pane="bottomRight" activeCell="F73" sqref="F73"/>
    </sheetView>
  </sheetViews>
  <sheetFormatPr baseColWidth="10" defaultColWidth="8.83203125" defaultRowHeight="15" x14ac:dyDescent="0.2"/>
  <cols>
    <col min="1" max="2" width="12.5" style="90" customWidth="1"/>
    <col min="3" max="3" width="12.5" style="81" customWidth="1"/>
    <col min="4" max="4" width="15.1640625" style="90" customWidth="1"/>
    <col min="5" max="10" width="12.5" style="90" customWidth="1"/>
    <col min="11" max="11" width="12.1640625" style="90" customWidth="1"/>
    <col min="12" max="13" width="12.5" style="90" customWidth="1"/>
    <col min="14" max="14" width="13.83203125" style="90" bestFit="1" customWidth="1"/>
    <col min="15" max="16" width="12.5" style="90" hidden="1" customWidth="1"/>
    <col min="17" max="18" width="12.5" style="90" customWidth="1"/>
    <col min="19" max="22" width="12.5" style="90" hidden="1" customWidth="1"/>
    <col min="23" max="26" width="12.5" style="90" customWidth="1"/>
    <col min="27" max="28" width="12.5" style="90" hidden="1" customWidth="1"/>
    <col min="29" max="30" width="12.5" style="90" customWidth="1"/>
    <col min="31" max="34" width="12.5" style="90" hidden="1" customWidth="1"/>
    <col min="35" max="35" width="12.5" style="90" customWidth="1"/>
    <col min="36" max="38" width="12.1640625" style="90" customWidth="1"/>
    <col min="39" max="44" width="12.1640625" style="90" hidden="1" customWidth="1"/>
    <col min="45" max="55" width="12.1640625" style="90" customWidth="1"/>
    <col min="56" max="60" width="12.5" style="90" customWidth="1"/>
    <col min="61" max="62" width="12.83203125" style="90" customWidth="1"/>
    <col min="63" max="64" width="13" style="90" customWidth="1"/>
    <col min="65" max="68" width="13" style="90" hidden="1" customWidth="1"/>
    <col min="69" max="72" width="13" style="90" customWidth="1"/>
    <col min="73" max="80" width="13" style="90" hidden="1" customWidth="1"/>
    <col min="81" max="88" width="13" style="90" customWidth="1"/>
    <col min="89" max="92" width="13" style="90" hidden="1" customWidth="1"/>
    <col min="93" max="100" width="13" style="90" customWidth="1"/>
    <col min="101" max="16384" width="8.83203125" style="90"/>
  </cols>
  <sheetData>
    <row r="1" spans="1:130" x14ac:dyDescent="0.2">
      <c r="A1" s="91" t="s">
        <v>265</v>
      </c>
    </row>
    <row r="2" spans="1:130" x14ac:dyDescent="0.2">
      <c r="A2" s="91" t="s">
        <v>266</v>
      </c>
    </row>
    <row r="3" spans="1:130" x14ac:dyDescent="0.2">
      <c r="A3" s="91"/>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row>
    <row r="4" spans="1:130" s="3" customFormat="1" ht="45" customHeight="1" x14ac:dyDescent="0.2">
      <c r="A4" s="11" t="s">
        <v>8</v>
      </c>
      <c r="B4" s="12" t="s">
        <v>7</v>
      </c>
      <c r="C4" s="78" t="s">
        <v>75</v>
      </c>
      <c r="D4" s="12" t="s">
        <v>74</v>
      </c>
      <c r="E4" s="17" t="s">
        <v>0</v>
      </c>
      <c r="F4" s="12" t="s">
        <v>18</v>
      </c>
      <c r="G4" s="17" t="s">
        <v>1</v>
      </c>
      <c r="H4" s="12" t="s">
        <v>19</v>
      </c>
      <c r="I4" s="12" t="s">
        <v>2</v>
      </c>
      <c r="J4" s="12" t="s">
        <v>20</v>
      </c>
      <c r="K4" s="12" t="s">
        <v>9</v>
      </c>
      <c r="L4" s="12" t="s">
        <v>21</v>
      </c>
      <c r="M4" s="12" t="s">
        <v>125</v>
      </c>
      <c r="N4" s="12" t="s">
        <v>126</v>
      </c>
      <c r="O4" s="12" t="s">
        <v>127</v>
      </c>
      <c r="P4" s="12" t="s">
        <v>127</v>
      </c>
      <c r="Q4" s="12" t="s">
        <v>3</v>
      </c>
      <c r="R4" s="12" t="s">
        <v>22</v>
      </c>
      <c r="S4" s="12" t="s">
        <v>127</v>
      </c>
      <c r="T4" s="12" t="s">
        <v>127</v>
      </c>
      <c r="U4" s="12" t="s">
        <v>127</v>
      </c>
      <c r="V4" s="12" t="s">
        <v>127</v>
      </c>
      <c r="W4" s="12" t="s">
        <v>4</v>
      </c>
      <c r="X4" s="12" t="s">
        <v>23</v>
      </c>
      <c r="Y4" s="12" t="s">
        <v>128</v>
      </c>
      <c r="Z4" s="12" t="s">
        <v>129</v>
      </c>
      <c r="AA4" s="12" t="s">
        <v>127</v>
      </c>
      <c r="AB4" s="12" t="s">
        <v>127</v>
      </c>
      <c r="AC4" s="12" t="s">
        <v>10</v>
      </c>
      <c r="AD4" s="12" t="s">
        <v>24</v>
      </c>
      <c r="AE4" s="12" t="s">
        <v>127</v>
      </c>
      <c r="AF4" s="12" t="s">
        <v>127</v>
      </c>
      <c r="AG4" s="12" t="s">
        <v>127</v>
      </c>
      <c r="AH4" s="12" t="s">
        <v>127</v>
      </c>
      <c r="AI4" s="12" t="s">
        <v>11</v>
      </c>
      <c r="AJ4" s="12" t="s">
        <v>25</v>
      </c>
      <c r="AK4" s="12" t="s">
        <v>12</v>
      </c>
      <c r="AL4" s="12" t="s">
        <v>26</v>
      </c>
      <c r="AM4" s="12" t="s">
        <v>127</v>
      </c>
      <c r="AN4" s="12" t="s">
        <v>127</v>
      </c>
      <c r="AO4" s="12" t="s">
        <v>127</v>
      </c>
      <c r="AP4" s="12" t="s">
        <v>127</v>
      </c>
      <c r="AQ4" s="12" t="s">
        <v>127</v>
      </c>
      <c r="AR4" s="12" t="s">
        <v>127</v>
      </c>
      <c r="AS4" s="12" t="s">
        <v>5</v>
      </c>
      <c r="AT4" s="12" t="s">
        <v>27</v>
      </c>
      <c r="AU4" s="12" t="s">
        <v>13</v>
      </c>
      <c r="AV4" s="12" t="s">
        <v>28</v>
      </c>
      <c r="AW4" s="12" t="s">
        <v>14</v>
      </c>
      <c r="AX4" s="12" t="s">
        <v>29</v>
      </c>
      <c r="AY4" s="12" t="s">
        <v>15</v>
      </c>
      <c r="AZ4" s="12" t="s">
        <v>30</v>
      </c>
      <c r="BA4" s="12" t="s">
        <v>16</v>
      </c>
      <c r="BB4" s="12" t="s">
        <v>31</v>
      </c>
      <c r="BC4" s="12" t="s">
        <v>64</v>
      </c>
      <c r="BD4" s="12" t="s">
        <v>65</v>
      </c>
      <c r="BE4" s="12" t="s">
        <v>6</v>
      </c>
      <c r="BF4" s="12" t="s">
        <v>32</v>
      </c>
      <c r="BG4" s="17" t="s">
        <v>63</v>
      </c>
      <c r="BH4" s="18" t="s">
        <v>66</v>
      </c>
      <c r="BI4" s="17" t="s">
        <v>130</v>
      </c>
      <c r="BJ4" s="12" t="s">
        <v>131</v>
      </c>
      <c r="BK4" s="12" t="s">
        <v>132</v>
      </c>
      <c r="BL4" s="12" t="s">
        <v>133</v>
      </c>
      <c r="BM4" s="39" t="s">
        <v>80</v>
      </c>
      <c r="BN4" s="12" t="s">
        <v>81</v>
      </c>
      <c r="BO4" s="39" t="s">
        <v>82</v>
      </c>
      <c r="BP4" s="12" t="s">
        <v>83</v>
      </c>
      <c r="BQ4" s="12" t="s">
        <v>84</v>
      </c>
      <c r="BR4" s="12" t="s">
        <v>85</v>
      </c>
      <c r="BS4" s="12" t="s">
        <v>86</v>
      </c>
      <c r="BT4" s="18" t="s">
        <v>87</v>
      </c>
      <c r="BU4" s="12" t="s">
        <v>127</v>
      </c>
      <c r="BV4" s="12" t="s">
        <v>127</v>
      </c>
      <c r="BW4" s="12" t="s">
        <v>127</v>
      </c>
      <c r="BX4" s="12" t="s">
        <v>127</v>
      </c>
      <c r="BY4" s="12" t="s">
        <v>127</v>
      </c>
      <c r="BZ4" s="12" t="s">
        <v>127</v>
      </c>
      <c r="CA4" s="12" t="s">
        <v>127</v>
      </c>
      <c r="CB4" s="12" t="s">
        <v>127</v>
      </c>
      <c r="CC4" s="17" t="s">
        <v>88</v>
      </c>
      <c r="CD4" s="12" t="s">
        <v>89</v>
      </c>
      <c r="CE4" s="12" t="s">
        <v>90</v>
      </c>
      <c r="CF4" s="12" t="s">
        <v>91</v>
      </c>
      <c r="CG4" s="12" t="s">
        <v>92</v>
      </c>
      <c r="CH4" s="12" t="s">
        <v>93</v>
      </c>
      <c r="CI4" s="12" t="s">
        <v>94</v>
      </c>
      <c r="CJ4" s="18" t="s">
        <v>95</v>
      </c>
      <c r="CK4" s="17" t="s">
        <v>127</v>
      </c>
      <c r="CL4" s="12" t="s">
        <v>127</v>
      </c>
      <c r="CM4" s="12" t="s">
        <v>127</v>
      </c>
      <c r="CN4" s="18" t="s">
        <v>127</v>
      </c>
      <c r="CO4" s="17" t="s">
        <v>96</v>
      </c>
      <c r="CP4" s="12" t="s">
        <v>97</v>
      </c>
      <c r="CQ4" s="12" t="s">
        <v>98</v>
      </c>
      <c r="CR4" s="12" t="s">
        <v>99</v>
      </c>
      <c r="CS4" s="12" t="s">
        <v>100</v>
      </c>
      <c r="CT4" s="12" t="s">
        <v>101</v>
      </c>
      <c r="CU4" s="12" t="s">
        <v>102</v>
      </c>
      <c r="CV4" s="18" t="s">
        <v>103</v>
      </c>
      <c r="CW4" s="17" t="s">
        <v>183</v>
      </c>
      <c r="CX4" s="12" t="s">
        <v>184</v>
      </c>
      <c r="CY4" s="12" t="s">
        <v>185</v>
      </c>
      <c r="CZ4" s="12" t="s">
        <v>186</v>
      </c>
      <c r="DA4" s="12" t="s">
        <v>187</v>
      </c>
      <c r="DB4" s="12" t="s">
        <v>188</v>
      </c>
      <c r="DC4" s="12" t="s">
        <v>189</v>
      </c>
      <c r="DD4" s="12" t="s">
        <v>190</v>
      </c>
      <c r="DE4" s="12" t="s">
        <v>191</v>
      </c>
      <c r="DF4" s="18" t="s">
        <v>192</v>
      </c>
      <c r="DG4" s="17" t="s">
        <v>193</v>
      </c>
      <c r="DH4" s="12" t="s">
        <v>194</v>
      </c>
      <c r="DI4" s="12" t="s">
        <v>195</v>
      </c>
      <c r="DJ4" s="12" t="s">
        <v>196</v>
      </c>
      <c r="DK4" s="12" t="s">
        <v>197</v>
      </c>
      <c r="DL4" s="12" t="s">
        <v>198</v>
      </c>
      <c r="DM4" s="12" t="s">
        <v>199</v>
      </c>
      <c r="DN4" s="12" t="s">
        <v>200</v>
      </c>
      <c r="DO4" s="12" t="s">
        <v>201</v>
      </c>
      <c r="DP4" s="12" t="s">
        <v>202</v>
      </c>
      <c r="DQ4" s="12" t="s">
        <v>203</v>
      </c>
      <c r="DR4" s="12" t="s">
        <v>204</v>
      </c>
      <c r="DS4" s="12" t="s">
        <v>205</v>
      </c>
      <c r="DT4" s="12" t="s">
        <v>206</v>
      </c>
      <c r="DU4" s="12" t="s">
        <v>207</v>
      </c>
      <c r="DV4" s="12" t="s">
        <v>208</v>
      </c>
      <c r="DW4" s="12" t="s">
        <v>209</v>
      </c>
      <c r="DX4" s="12" t="s">
        <v>210</v>
      </c>
      <c r="DY4" s="12" t="s">
        <v>211</v>
      </c>
      <c r="DZ4" s="18" t="s">
        <v>212</v>
      </c>
    </row>
    <row r="5" spans="1:130" x14ac:dyDescent="0.2">
      <c r="A5" s="8">
        <v>0</v>
      </c>
      <c r="B5" s="82">
        <v>163810</v>
      </c>
      <c r="C5" s="83">
        <v>0</v>
      </c>
      <c r="D5" s="93">
        <v>0</v>
      </c>
      <c r="E5" s="93">
        <v>0</v>
      </c>
      <c r="F5" s="94">
        <v>0</v>
      </c>
      <c r="G5" s="83">
        <v>0</v>
      </c>
      <c r="H5" s="94">
        <v>0</v>
      </c>
      <c r="I5" s="93">
        <v>0</v>
      </c>
      <c r="J5" s="94">
        <v>0</v>
      </c>
      <c r="K5" s="93">
        <v>0</v>
      </c>
      <c r="L5" s="94">
        <v>0</v>
      </c>
      <c r="M5" s="93">
        <v>0</v>
      </c>
      <c r="N5" s="94">
        <v>0</v>
      </c>
      <c r="O5" s="37" t="s">
        <v>76</v>
      </c>
      <c r="P5" s="13">
        <v>0</v>
      </c>
      <c r="Q5" s="93">
        <v>0</v>
      </c>
      <c r="R5" s="94">
        <v>0</v>
      </c>
      <c r="S5" s="37" t="s">
        <v>76</v>
      </c>
      <c r="T5" s="13">
        <v>0</v>
      </c>
      <c r="U5" s="37" t="s">
        <v>76</v>
      </c>
      <c r="V5" s="13">
        <v>0</v>
      </c>
      <c r="W5" s="93">
        <v>0</v>
      </c>
      <c r="X5" s="94">
        <v>0</v>
      </c>
      <c r="Y5" s="93">
        <v>0</v>
      </c>
      <c r="Z5" s="94">
        <v>0</v>
      </c>
      <c r="AA5" s="37" t="s">
        <v>76</v>
      </c>
      <c r="AB5" s="13">
        <v>0</v>
      </c>
      <c r="AC5" s="93">
        <v>0</v>
      </c>
      <c r="AD5" s="94">
        <v>0</v>
      </c>
      <c r="AE5" s="37" t="s">
        <v>76</v>
      </c>
      <c r="AF5" s="13">
        <v>0</v>
      </c>
      <c r="AG5" s="37" t="s">
        <v>76</v>
      </c>
      <c r="AH5" s="13">
        <v>0</v>
      </c>
      <c r="AI5" s="93">
        <v>0</v>
      </c>
      <c r="AJ5" s="94">
        <v>0</v>
      </c>
      <c r="AK5" s="93">
        <v>0</v>
      </c>
      <c r="AL5" s="94">
        <v>0</v>
      </c>
      <c r="AM5" s="37" t="s">
        <v>76</v>
      </c>
      <c r="AN5" s="13">
        <v>0</v>
      </c>
      <c r="AO5" s="37" t="s">
        <v>76</v>
      </c>
      <c r="AP5" s="13">
        <v>0</v>
      </c>
      <c r="AQ5" s="37" t="s">
        <v>76</v>
      </c>
      <c r="AR5" s="13">
        <v>0</v>
      </c>
      <c r="AS5" s="93">
        <v>0</v>
      </c>
      <c r="AT5" s="94">
        <v>0</v>
      </c>
      <c r="AU5" s="93">
        <v>0</v>
      </c>
      <c r="AV5" s="94">
        <v>0</v>
      </c>
      <c r="AW5" s="93">
        <v>0</v>
      </c>
      <c r="AX5" s="94">
        <v>0</v>
      </c>
      <c r="AY5" s="93">
        <v>0</v>
      </c>
      <c r="AZ5" s="94">
        <v>0</v>
      </c>
      <c r="BA5" s="79">
        <v>0</v>
      </c>
      <c r="BB5" s="13">
        <v>0</v>
      </c>
      <c r="BC5" s="93">
        <v>0</v>
      </c>
      <c r="BD5" s="86">
        <v>0</v>
      </c>
      <c r="BE5" s="93">
        <v>0</v>
      </c>
      <c r="BF5" s="94">
        <v>0</v>
      </c>
      <c r="BG5" s="94">
        <v>0</v>
      </c>
      <c r="BH5" s="86">
        <v>0</v>
      </c>
      <c r="BI5" s="93">
        <v>0</v>
      </c>
      <c r="BJ5" s="94">
        <v>0</v>
      </c>
      <c r="BK5" s="93">
        <v>0</v>
      </c>
      <c r="BL5" s="94">
        <v>0</v>
      </c>
      <c r="BM5" s="7" t="s">
        <v>76</v>
      </c>
      <c r="BN5" s="13">
        <v>0</v>
      </c>
      <c r="BO5" s="7" t="s">
        <v>76</v>
      </c>
      <c r="BP5" s="13">
        <v>0</v>
      </c>
      <c r="BQ5" s="93">
        <v>0</v>
      </c>
      <c r="BR5" s="94">
        <v>0</v>
      </c>
      <c r="BS5" s="93">
        <v>0</v>
      </c>
      <c r="BT5" s="94">
        <v>0</v>
      </c>
      <c r="BU5" s="7" t="s">
        <v>76</v>
      </c>
      <c r="BV5" s="13">
        <v>0</v>
      </c>
      <c r="BW5" s="7" t="s">
        <v>76</v>
      </c>
      <c r="BX5" s="13">
        <v>0</v>
      </c>
      <c r="BY5" s="7" t="s">
        <v>76</v>
      </c>
      <c r="BZ5" s="13">
        <v>0</v>
      </c>
      <c r="CA5" s="7" t="s">
        <v>76</v>
      </c>
      <c r="CB5" s="13">
        <v>0</v>
      </c>
      <c r="CC5" s="93">
        <v>0</v>
      </c>
      <c r="CD5" s="94">
        <v>0</v>
      </c>
      <c r="CE5" s="93">
        <v>0</v>
      </c>
      <c r="CF5" s="94">
        <v>0</v>
      </c>
      <c r="CG5" s="93">
        <v>0</v>
      </c>
      <c r="CH5" s="94">
        <v>0</v>
      </c>
      <c r="CI5" s="93">
        <v>0</v>
      </c>
      <c r="CJ5" s="94">
        <v>0</v>
      </c>
      <c r="CK5" s="6" t="s">
        <v>76</v>
      </c>
      <c r="CL5" s="13">
        <v>0</v>
      </c>
      <c r="CM5" s="7" t="s">
        <v>76</v>
      </c>
      <c r="CN5" s="15">
        <v>0</v>
      </c>
      <c r="CO5" s="93">
        <v>0</v>
      </c>
      <c r="CP5" s="94">
        <v>0</v>
      </c>
      <c r="CQ5" s="93">
        <v>0</v>
      </c>
      <c r="CR5" s="94">
        <v>0</v>
      </c>
      <c r="CS5" s="93">
        <v>0</v>
      </c>
      <c r="CT5" s="94">
        <v>0</v>
      </c>
      <c r="CU5" s="93">
        <v>0</v>
      </c>
      <c r="CV5" s="88">
        <v>0</v>
      </c>
      <c r="CW5" s="188">
        <v>0</v>
      </c>
      <c r="CX5" s="189">
        <v>0</v>
      </c>
      <c r="CY5" s="189">
        <v>0</v>
      </c>
      <c r="CZ5" s="189">
        <v>0</v>
      </c>
      <c r="DA5" s="189">
        <v>0</v>
      </c>
      <c r="DB5" s="189">
        <v>0</v>
      </c>
      <c r="DC5" s="189">
        <v>0</v>
      </c>
      <c r="DD5" s="189">
        <v>0</v>
      </c>
      <c r="DE5" s="189">
        <v>0</v>
      </c>
      <c r="DF5" s="190">
        <v>0</v>
      </c>
      <c r="DG5" s="112">
        <v>0</v>
      </c>
      <c r="DH5" s="13">
        <v>0</v>
      </c>
      <c r="DI5" s="79">
        <v>0</v>
      </c>
      <c r="DJ5" s="13">
        <v>0</v>
      </c>
      <c r="DK5" s="79">
        <v>0</v>
      </c>
      <c r="DL5" s="13">
        <v>0</v>
      </c>
      <c r="DM5" s="79">
        <v>0</v>
      </c>
      <c r="DN5" s="13">
        <v>0</v>
      </c>
      <c r="DO5" s="79">
        <v>0</v>
      </c>
      <c r="DP5" s="13">
        <v>0</v>
      </c>
      <c r="DQ5" s="79">
        <v>0</v>
      </c>
      <c r="DR5" s="13">
        <v>0</v>
      </c>
      <c r="DS5" s="79">
        <v>0</v>
      </c>
      <c r="DT5" s="13">
        <v>0</v>
      </c>
      <c r="DU5" s="79">
        <v>0</v>
      </c>
      <c r="DV5" s="13">
        <v>0</v>
      </c>
      <c r="DW5" s="79">
        <v>0</v>
      </c>
      <c r="DX5" s="13">
        <v>0</v>
      </c>
      <c r="DY5" s="79">
        <v>0</v>
      </c>
      <c r="DZ5" s="15">
        <v>0</v>
      </c>
    </row>
    <row r="6" spans="1:130" x14ac:dyDescent="0.2">
      <c r="A6" s="8">
        <v>100</v>
      </c>
      <c r="B6" s="82">
        <v>34332</v>
      </c>
      <c r="C6" s="83">
        <v>86.444854268</v>
      </c>
      <c r="D6" s="93">
        <v>70.354879237000006</v>
      </c>
      <c r="E6" s="93">
        <v>8.0500148999999993E-3</v>
      </c>
      <c r="F6" s="94">
        <v>1.7898139999999999E-4</v>
      </c>
      <c r="G6" s="83">
        <v>0</v>
      </c>
      <c r="H6" s="94">
        <v>0</v>
      </c>
      <c r="I6" s="93">
        <v>5.7238179780999996</v>
      </c>
      <c r="J6" s="94">
        <v>0.1085947811</v>
      </c>
      <c r="K6" s="93">
        <v>2.4326770237000002</v>
      </c>
      <c r="L6" s="94">
        <v>6.0644506000000001E-2</v>
      </c>
      <c r="M6" s="93">
        <v>3.9688513999999999E-3</v>
      </c>
      <c r="N6" s="94">
        <v>5.5502099999999998E-5</v>
      </c>
      <c r="O6" s="37" t="s">
        <v>76</v>
      </c>
      <c r="P6" s="13">
        <v>0</v>
      </c>
      <c r="Q6" s="93">
        <v>7.2539698E-2</v>
      </c>
      <c r="R6" s="94">
        <v>1.1126857E-3</v>
      </c>
      <c r="S6" s="37" t="s">
        <v>76</v>
      </c>
      <c r="T6" s="13">
        <v>0</v>
      </c>
      <c r="U6" s="37" t="s">
        <v>76</v>
      </c>
      <c r="V6" s="13">
        <v>0</v>
      </c>
      <c r="W6" s="93">
        <v>0</v>
      </c>
      <c r="X6" s="94">
        <v>0</v>
      </c>
      <c r="Y6" s="93">
        <v>2.4927864E-3</v>
      </c>
      <c r="Z6" s="94">
        <v>0</v>
      </c>
      <c r="AA6" s="37" t="s">
        <v>76</v>
      </c>
      <c r="AB6" s="13">
        <v>0</v>
      </c>
      <c r="AC6" s="93">
        <v>0</v>
      </c>
      <c r="AD6" s="94">
        <v>0</v>
      </c>
      <c r="AE6" s="37" t="s">
        <v>76</v>
      </c>
      <c r="AF6" s="13">
        <v>0</v>
      </c>
      <c r="AG6" s="37" t="s">
        <v>76</v>
      </c>
      <c r="AH6" s="13">
        <v>0</v>
      </c>
      <c r="AI6" s="93">
        <v>0</v>
      </c>
      <c r="AJ6" s="94">
        <v>0</v>
      </c>
      <c r="AK6" s="93">
        <v>2.9279186462000002</v>
      </c>
      <c r="AL6" s="94">
        <v>5.4608490599999997E-2</v>
      </c>
      <c r="AM6" s="37" t="s">
        <v>76</v>
      </c>
      <c r="AN6" s="13">
        <v>0</v>
      </c>
      <c r="AO6" s="37" t="s">
        <v>76</v>
      </c>
      <c r="AP6" s="13">
        <v>0</v>
      </c>
      <c r="AQ6" s="37" t="s">
        <v>76</v>
      </c>
      <c r="AR6" s="13">
        <v>0</v>
      </c>
      <c r="AS6" s="93">
        <v>0.1374991263</v>
      </c>
      <c r="AT6" s="94">
        <v>1.07830815E-2</v>
      </c>
      <c r="AU6" s="93">
        <v>0.13534827390000001</v>
      </c>
      <c r="AV6" s="94">
        <v>3.7122434999999998E-3</v>
      </c>
      <c r="AW6" s="93">
        <v>7.4779179900000006E-2</v>
      </c>
      <c r="AX6" s="94">
        <v>1.4370520000000001E-3</v>
      </c>
      <c r="AY6" s="93">
        <v>1.09545749E-2</v>
      </c>
      <c r="AZ6" s="94">
        <v>2.2360850000000001E-4</v>
      </c>
      <c r="BA6" s="79">
        <v>4.9614519199999998E-2</v>
      </c>
      <c r="BB6" s="13">
        <v>2.0515830000000001E-3</v>
      </c>
      <c r="BC6" s="93">
        <v>0</v>
      </c>
      <c r="BD6" s="86">
        <v>0</v>
      </c>
      <c r="BE6" s="93">
        <v>6.1006306000000003E-2</v>
      </c>
      <c r="BF6" s="94">
        <v>1.5746951999999999E-3</v>
      </c>
      <c r="BG6" s="94">
        <v>0</v>
      </c>
      <c r="BH6" s="86">
        <v>0</v>
      </c>
      <c r="BI6" s="93">
        <v>9.3392219999999997E-4</v>
      </c>
      <c r="BJ6" s="94">
        <v>1.6892500000000001E-5</v>
      </c>
      <c r="BK6" s="93">
        <v>0</v>
      </c>
      <c r="BL6" s="94">
        <v>0</v>
      </c>
      <c r="BM6" s="7" t="s">
        <v>76</v>
      </c>
      <c r="BN6" s="13">
        <v>0</v>
      </c>
      <c r="BO6" s="7" t="s">
        <v>76</v>
      </c>
      <c r="BP6" s="13">
        <v>0</v>
      </c>
      <c r="BQ6" s="93">
        <v>7.1902132300000005E-2</v>
      </c>
      <c r="BR6" s="94">
        <v>1.1046179000000001E-3</v>
      </c>
      <c r="BS6" s="93">
        <v>0</v>
      </c>
      <c r="BT6" s="94">
        <v>0</v>
      </c>
      <c r="BU6" s="7" t="s">
        <v>76</v>
      </c>
      <c r="BV6" s="13">
        <v>0</v>
      </c>
      <c r="BW6" s="7" t="s">
        <v>76</v>
      </c>
      <c r="BX6" s="13">
        <v>0</v>
      </c>
      <c r="BY6" s="7" t="s">
        <v>76</v>
      </c>
      <c r="BZ6" s="13">
        <v>0</v>
      </c>
      <c r="CA6" s="7" t="s">
        <v>76</v>
      </c>
      <c r="CB6" s="13">
        <v>0</v>
      </c>
      <c r="CC6" s="93">
        <v>0</v>
      </c>
      <c r="CD6" s="94">
        <v>0</v>
      </c>
      <c r="CE6" s="93">
        <v>0</v>
      </c>
      <c r="CF6" s="94">
        <v>0</v>
      </c>
      <c r="CG6" s="93">
        <v>9.0251929999999995E-4</v>
      </c>
      <c r="CH6" s="94">
        <v>4.8284600000000002E-5</v>
      </c>
      <c r="CI6" s="93">
        <v>0</v>
      </c>
      <c r="CJ6" s="94">
        <v>6.2160592999999998E-6</v>
      </c>
      <c r="CK6" s="6" t="s">
        <v>76</v>
      </c>
      <c r="CL6" s="13">
        <v>0</v>
      </c>
      <c r="CM6" s="7" t="s">
        <v>76</v>
      </c>
      <c r="CN6" s="15">
        <v>0</v>
      </c>
      <c r="CO6" s="93">
        <v>9.5901759200000006E-2</v>
      </c>
      <c r="CP6" s="94">
        <v>2.8930850000000001E-3</v>
      </c>
      <c r="CQ6" s="93">
        <v>0</v>
      </c>
      <c r="CR6" s="94">
        <v>2.9204831999999999E-6</v>
      </c>
      <c r="CS6" s="93">
        <v>3.1412912299999998E-2</v>
      </c>
      <c r="CT6" s="94">
        <v>8.0022239999999998E-4</v>
      </c>
      <c r="CU6" s="93">
        <v>4.3034082E-3</v>
      </c>
      <c r="CV6" s="88">
        <v>4.4875500000000001E-5</v>
      </c>
      <c r="CW6" s="188">
        <v>0</v>
      </c>
      <c r="CX6" s="189">
        <v>0</v>
      </c>
      <c r="CY6" s="189">
        <v>0</v>
      </c>
      <c r="CZ6" s="189">
        <v>0</v>
      </c>
      <c r="DA6" s="189">
        <v>0</v>
      </c>
      <c r="DB6" s="189">
        <v>0</v>
      </c>
      <c r="DC6" s="189">
        <v>0</v>
      </c>
      <c r="DD6" s="189">
        <v>0</v>
      </c>
      <c r="DE6" s="189">
        <v>0</v>
      </c>
      <c r="DF6" s="190">
        <v>0</v>
      </c>
      <c r="DG6" s="112">
        <v>6.4722526799999999E-2</v>
      </c>
      <c r="DH6" s="13">
        <v>9.4650043999999992E-3</v>
      </c>
      <c r="DI6" s="79">
        <v>4.6094767000000002E-3</v>
      </c>
      <c r="DJ6" s="13">
        <v>4.8359815999999998E-3</v>
      </c>
      <c r="DK6" s="79">
        <v>1.2514266999999999E-3</v>
      </c>
      <c r="DL6" s="13">
        <v>3.7702510000000001E-3</v>
      </c>
      <c r="DM6" s="79">
        <v>5.1854280000000004E-4</v>
      </c>
      <c r="DN6" s="13">
        <v>3.0465761000000001E-3</v>
      </c>
      <c r="DO6" s="79">
        <v>3.1635540000000002E-4</v>
      </c>
      <c r="DP6" s="13">
        <v>2.4653663000000002E-3</v>
      </c>
      <c r="DQ6" s="79">
        <v>1.5817770000000001E-4</v>
      </c>
      <c r="DR6" s="13">
        <v>1.9063853999999999E-3</v>
      </c>
      <c r="DS6" s="79">
        <v>0</v>
      </c>
      <c r="DT6" s="13">
        <v>1.3660526E-3</v>
      </c>
      <c r="DU6" s="79">
        <v>0</v>
      </c>
      <c r="DV6" s="13">
        <v>8.6677420000000002E-4</v>
      </c>
      <c r="DW6" s="79">
        <v>0</v>
      </c>
      <c r="DX6" s="13">
        <v>4.1661790000000002E-4</v>
      </c>
      <c r="DY6" s="79">
        <v>0</v>
      </c>
      <c r="DZ6" s="15">
        <v>2.5991650000000002E-4</v>
      </c>
    </row>
    <row r="7" spans="1:130" x14ac:dyDescent="0.2">
      <c r="A7" s="8">
        <v>200</v>
      </c>
      <c r="B7" s="82">
        <v>67893</v>
      </c>
      <c r="C7" s="83">
        <v>168.50366876999999</v>
      </c>
      <c r="D7" s="93">
        <v>151.00853684</v>
      </c>
      <c r="E7" s="93">
        <v>0.1124624806</v>
      </c>
      <c r="F7" s="94">
        <v>1.00292E-3</v>
      </c>
      <c r="G7" s="83">
        <v>1.9122830999999999E-3</v>
      </c>
      <c r="H7" s="94">
        <v>1.3043E-5</v>
      </c>
      <c r="I7" s="93">
        <v>20.200134481999999</v>
      </c>
      <c r="J7" s="94">
        <v>0.31398770520000002</v>
      </c>
      <c r="K7" s="93">
        <v>9.8690036064999997</v>
      </c>
      <c r="L7" s="94">
        <v>0.1545646983</v>
      </c>
      <c r="M7" s="93">
        <v>1.9648319300000001E-2</v>
      </c>
      <c r="N7" s="94">
        <v>2.0664770000000001E-4</v>
      </c>
      <c r="O7" s="37" t="s">
        <v>76</v>
      </c>
      <c r="P7" s="13">
        <v>0</v>
      </c>
      <c r="Q7" s="93">
        <v>0.2076865644</v>
      </c>
      <c r="R7" s="94">
        <v>2.5161864999999999E-3</v>
      </c>
      <c r="S7" s="37" t="s">
        <v>76</v>
      </c>
      <c r="T7" s="13">
        <v>0</v>
      </c>
      <c r="U7" s="37" t="s">
        <v>76</v>
      </c>
      <c r="V7" s="13">
        <v>0</v>
      </c>
      <c r="W7" s="93">
        <v>2.7595799999999998E-4</v>
      </c>
      <c r="X7" s="94">
        <v>1.6645985E-6</v>
      </c>
      <c r="Y7" s="93">
        <v>1.07541305E-2</v>
      </c>
      <c r="Z7" s="94">
        <v>0</v>
      </c>
      <c r="AA7" s="37" t="s">
        <v>76</v>
      </c>
      <c r="AB7" s="13">
        <v>0</v>
      </c>
      <c r="AC7" s="93">
        <v>0</v>
      </c>
      <c r="AD7" s="94">
        <v>0</v>
      </c>
      <c r="AE7" s="37" t="s">
        <v>76</v>
      </c>
      <c r="AF7" s="13">
        <v>0</v>
      </c>
      <c r="AG7" s="37" t="s">
        <v>76</v>
      </c>
      <c r="AH7" s="13">
        <v>0</v>
      </c>
      <c r="AI7" s="93">
        <v>0</v>
      </c>
      <c r="AJ7" s="94">
        <v>0</v>
      </c>
      <c r="AK7" s="93">
        <v>14.915765993000001</v>
      </c>
      <c r="AL7" s="94">
        <v>0.16506551529999999</v>
      </c>
      <c r="AM7" s="37" t="s">
        <v>76</v>
      </c>
      <c r="AN7" s="13">
        <v>0</v>
      </c>
      <c r="AO7" s="37" t="s">
        <v>76</v>
      </c>
      <c r="AP7" s="13">
        <v>0</v>
      </c>
      <c r="AQ7" s="37" t="s">
        <v>76</v>
      </c>
      <c r="AR7" s="13">
        <v>0</v>
      </c>
      <c r="AS7" s="93">
        <v>0.48571938370000001</v>
      </c>
      <c r="AT7" s="94">
        <v>3.4024826299999998E-2</v>
      </c>
      <c r="AU7" s="93">
        <v>0.96903179039999998</v>
      </c>
      <c r="AV7" s="94">
        <v>1.26195765E-2</v>
      </c>
      <c r="AW7" s="93">
        <v>0.53080922880000003</v>
      </c>
      <c r="AX7" s="94">
        <v>5.7399108000000003E-3</v>
      </c>
      <c r="AY7" s="93">
        <v>0.31609477899999999</v>
      </c>
      <c r="AZ7" s="94">
        <v>2.4742182999999999E-3</v>
      </c>
      <c r="BA7" s="79">
        <v>0.1221277826</v>
      </c>
      <c r="BB7" s="13">
        <v>4.4054474999999996E-3</v>
      </c>
      <c r="BC7" s="93">
        <v>0</v>
      </c>
      <c r="BD7" s="86">
        <v>0</v>
      </c>
      <c r="BE7" s="93">
        <v>0.25774433829999999</v>
      </c>
      <c r="BF7" s="94">
        <v>3.9882653000000001E-3</v>
      </c>
      <c r="BG7" s="94">
        <v>1.90136E-5</v>
      </c>
      <c r="BH7" s="86">
        <v>0</v>
      </c>
      <c r="BI7" s="93">
        <v>8.2267571000000008E-3</v>
      </c>
      <c r="BJ7" s="94">
        <v>9.3623500000000002E-5</v>
      </c>
      <c r="BK7" s="93">
        <v>6.2764549999999998E-4</v>
      </c>
      <c r="BL7" s="94">
        <v>5.6556346999999998E-6</v>
      </c>
      <c r="BM7" s="7" t="s">
        <v>76</v>
      </c>
      <c r="BN7" s="13">
        <v>0</v>
      </c>
      <c r="BO7" s="7" t="s">
        <v>76</v>
      </c>
      <c r="BP7" s="13">
        <v>0</v>
      </c>
      <c r="BQ7" s="93">
        <v>0.19697578969999999</v>
      </c>
      <c r="BR7" s="94">
        <v>2.4369964E-3</v>
      </c>
      <c r="BS7" s="93">
        <v>1.021728E-4</v>
      </c>
      <c r="BT7" s="94">
        <v>1.6645985E-6</v>
      </c>
      <c r="BU7" s="7" t="s">
        <v>76</v>
      </c>
      <c r="BV7" s="13">
        <v>0</v>
      </c>
      <c r="BW7" s="7" t="s">
        <v>76</v>
      </c>
      <c r="BX7" s="13">
        <v>0</v>
      </c>
      <c r="BY7" s="7" t="s">
        <v>76</v>
      </c>
      <c r="BZ7" s="13">
        <v>0</v>
      </c>
      <c r="CA7" s="7" t="s">
        <v>76</v>
      </c>
      <c r="CB7" s="13">
        <v>0</v>
      </c>
      <c r="CC7" s="93">
        <v>0</v>
      </c>
      <c r="CD7" s="94">
        <v>0</v>
      </c>
      <c r="CE7" s="93">
        <v>0</v>
      </c>
      <c r="CF7" s="94">
        <v>0</v>
      </c>
      <c r="CG7" s="93">
        <v>3.4612776999999998E-3</v>
      </c>
      <c r="CH7" s="94">
        <v>8.5741800000000006E-5</v>
      </c>
      <c r="CI7" s="93">
        <v>0</v>
      </c>
      <c r="CJ7" s="94">
        <v>9.1533181000000001E-6</v>
      </c>
      <c r="CK7" s="6" t="s">
        <v>76</v>
      </c>
      <c r="CL7" s="13">
        <v>0</v>
      </c>
      <c r="CM7" s="7" t="s">
        <v>76</v>
      </c>
      <c r="CN7" s="15">
        <v>0</v>
      </c>
      <c r="CO7" s="93">
        <v>0.33474379329999998</v>
      </c>
      <c r="CP7" s="94">
        <v>7.6358227000000002E-3</v>
      </c>
      <c r="CQ7" s="93">
        <v>0</v>
      </c>
      <c r="CR7" s="94">
        <v>4.4506098000000002E-6</v>
      </c>
      <c r="CS7" s="93">
        <v>0.108714402</v>
      </c>
      <c r="CT7" s="94">
        <v>1.6698171999999999E-3</v>
      </c>
      <c r="CU7" s="93">
        <v>1.21602103E-2</v>
      </c>
      <c r="CV7" s="88">
        <v>9.7499500000000004E-5</v>
      </c>
      <c r="CW7" s="188">
        <v>1.3043E-5</v>
      </c>
      <c r="CX7" s="189">
        <v>1.90136E-5</v>
      </c>
      <c r="CY7" s="189">
        <v>1.90136E-5</v>
      </c>
      <c r="CZ7" s="189">
        <v>1.90136E-5</v>
      </c>
      <c r="DA7" s="189">
        <v>1.90136E-5</v>
      </c>
      <c r="DB7" s="189">
        <v>1.90136E-5</v>
      </c>
      <c r="DC7" s="189">
        <v>1.90136E-5</v>
      </c>
      <c r="DD7" s="189">
        <v>1.90136E-5</v>
      </c>
      <c r="DE7" s="189">
        <v>1.90136E-5</v>
      </c>
      <c r="DF7" s="190">
        <v>1.90136E-5</v>
      </c>
      <c r="DG7" s="112">
        <v>1.8950090267999999</v>
      </c>
      <c r="DH7" s="13">
        <v>5.7747843299999997E-2</v>
      </c>
      <c r="DI7" s="79">
        <v>0.10475687509999999</v>
      </c>
      <c r="DJ7" s="13">
        <v>1.17440866E-2</v>
      </c>
      <c r="DK7" s="79">
        <v>1.7456523700000001E-2</v>
      </c>
      <c r="DL7" s="13">
        <v>6.9590386999999997E-3</v>
      </c>
      <c r="DM7" s="79">
        <v>8.8128340000000003E-3</v>
      </c>
      <c r="DN7" s="13">
        <v>5.4857635E-3</v>
      </c>
      <c r="DO7" s="79">
        <v>5.6025190999999998E-3</v>
      </c>
      <c r="DP7" s="13">
        <v>4.4473115000000004E-3</v>
      </c>
      <c r="DQ7" s="79">
        <v>3.8386955999999998E-3</v>
      </c>
      <c r="DR7" s="13">
        <v>3.5191520999999998E-3</v>
      </c>
      <c r="DS7" s="79">
        <v>2.763756E-3</v>
      </c>
      <c r="DT7" s="13">
        <v>2.6785051999999999E-3</v>
      </c>
      <c r="DU7" s="79">
        <v>1.9223697E-3</v>
      </c>
      <c r="DV7" s="13">
        <v>1.8838066E-3</v>
      </c>
      <c r="DW7" s="79">
        <v>1.1676538000000001E-3</v>
      </c>
      <c r="DX7" s="13">
        <v>1.1393622E-3</v>
      </c>
      <c r="DY7" s="79">
        <v>5.4530020000000004E-4</v>
      </c>
      <c r="DZ7" s="15">
        <v>6.912811E-4</v>
      </c>
    </row>
    <row r="8" spans="1:130" x14ac:dyDescent="0.2">
      <c r="A8" s="8">
        <v>300</v>
      </c>
      <c r="B8" s="82">
        <v>65588</v>
      </c>
      <c r="C8" s="83">
        <v>245.27983423000001</v>
      </c>
      <c r="D8" s="93">
        <v>249.44458276</v>
      </c>
      <c r="E8" s="93">
        <v>0.25350130770000001</v>
      </c>
      <c r="F8" s="94">
        <v>1.8440062000000001E-3</v>
      </c>
      <c r="G8" s="83">
        <v>1.5244646000000001E-3</v>
      </c>
      <c r="H8" s="94">
        <v>1.03982E-5</v>
      </c>
      <c r="I8" s="93">
        <v>33.149528324000002</v>
      </c>
      <c r="J8" s="94">
        <v>0.51473617620000001</v>
      </c>
      <c r="K8" s="93">
        <v>17.108703085999998</v>
      </c>
      <c r="L8" s="94">
        <v>0.24648724820000001</v>
      </c>
      <c r="M8" s="93">
        <v>4.1627636799999999E-2</v>
      </c>
      <c r="N8" s="94">
        <v>3.9962040000000003E-4</v>
      </c>
      <c r="O8" s="37" t="s">
        <v>76</v>
      </c>
      <c r="P8" s="13">
        <v>0</v>
      </c>
      <c r="Q8" s="93">
        <v>0.64642327109999997</v>
      </c>
      <c r="R8" s="94">
        <v>6.4413626999999998E-3</v>
      </c>
      <c r="S8" s="37" t="s">
        <v>76</v>
      </c>
      <c r="T8" s="13">
        <v>0</v>
      </c>
      <c r="U8" s="37" t="s">
        <v>76</v>
      </c>
      <c r="V8" s="13">
        <v>0</v>
      </c>
      <c r="W8" s="93">
        <v>9.7014750000000004E-4</v>
      </c>
      <c r="X8" s="94">
        <v>6.3020456000000002E-6</v>
      </c>
      <c r="Y8" s="93">
        <v>2.2464110799999999E-2</v>
      </c>
      <c r="Z8" s="94">
        <v>6.8374720000000003E-6</v>
      </c>
      <c r="AA8" s="37" t="s">
        <v>76</v>
      </c>
      <c r="AB8" s="13">
        <v>0</v>
      </c>
      <c r="AC8" s="93">
        <v>0</v>
      </c>
      <c r="AD8" s="94">
        <v>0</v>
      </c>
      <c r="AE8" s="37" t="s">
        <v>76</v>
      </c>
      <c r="AF8" s="13">
        <v>0</v>
      </c>
      <c r="AG8" s="37" t="s">
        <v>76</v>
      </c>
      <c r="AH8" s="13">
        <v>0</v>
      </c>
      <c r="AI8" s="93">
        <v>0</v>
      </c>
      <c r="AJ8" s="94">
        <v>0</v>
      </c>
      <c r="AK8" s="93">
        <v>32.256917624000003</v>
      </c>
      <c r="AL8" s="94">
        <v>0.29740884010000002</v>
      </c>
      <c r="AM8" s="37" t="s">
        <v>76</v>
      </c>
      <c r="AN8" s="13">
        <v>0</v>
      </c>
      <c r="AO8" s="37" t="s">
        <v>76</v>
      </c>
      <c r="AP8" s="13">
        <v>0</v>
      </c>
      <c r="AQ8" s="37" t="s">
        <v>76</v>
      </c>
      <c r="AR8" s="13">
        <v>0</v>
      </c>
      <c r="AS8" s="93">
        <v>1.0470759683999999</v>
      </c>
      <c r="AT8" s="94">
        <v>6.9475670099999998E-2</v>
      </c>
      <c r="AU8" s="93">
        <v>2.3630540688999999</v>
      </c>
      <c r="AV8" s="94">
        <v>2.3762470800000001E-2</v>
      </c>
      <c r="AW8" s="93">
        <v>1.3333861578999999</v>
      </c>
      <c r="AX8" s="94">
        <v>1.1222398600000001E-2</v>
      </c>
      <c r="AY8" s="93">
        <v>0.79773283429999997</v>
      </c>
      <c r="AZ8" s="94">
        <v>5.1341162000000003E-3</v>
      </c>
      <c r="BA8" s="79">
        <v>0.23193507660000001</v>
      </c>
      <c r="BB8" s="13">
        <v>7.4059559000000004E-3</v>
      </c>
      <c r="BC8" s="93">
        <v>0</v>
      </c>
      <c r="BD8" s="86">
        <v>0</v>
      </c>
      <c r="BE8" s="93">
        <v>0.550657862</v>
      </c>
      <c r="BF8" s="94">
        <v>6.4962340999999996E-3</v>
      </c>
      <c r="BG8" s="94">
        <v>1.5169300000000001E-5</v>
      </c>
      <c r="BH8" s="86">
        <v>0</v>
      </c>
      <c r="BI8" s="93">
        <v>1.93018311E-2</v>
      </c>
      <c r="BJ8" s="94">
        <v>1.938915E-4</v>
      </c>
      <c r="BK8" s="93">
        <v>2.1968886999999999E-3</v>
      </c>
      <c r="BL8" s="94">
        <v>1.42728E-5</v>
      </c>
      <c r="BM8" s="7" t="s">
        <v>76</v>
      </c>
      <c r="BN8" s="13">
        <v>0</v>
      </c>
      <c r="BO8" s="7" t="s">
        <v>76</v>
      </c>
      <c r="BP8" s="13">
        <v>0</v>
      </c>
      <c r="BQ8" s="93">
        <v>0.61695344809999997</v>
      </c>
      <c r="BR8" s="94">
        <v>6.2498316000000002E-3</v>
      </c>
      <c r="BS8" s="93">
        <v>2.1954313E-3</v>
      </c>
      <c r="BT8" s="94">
        <v>2.1202499999999999E-5</v>
      </c>
      <c r="BU8" s="7" t="s">
        <v>76</v>
      </c>
      <c r="BV8" s="13">
        <v>0</v>
      </c>
      <c r="BW8" s="7" t="s">
        <v>76</v>
      </c>
      <c r="BX8" s="13">
        <v>0</v>
      </c>
      <c r="BY8" s="7" t="s">
        <v>76</v>
      </c>
      <c r="BZ8" s="13">
        <v>0</v>
      </c>
      <c r="CA8" s="7" t="s">
        <v>76</v>
      </c>
      <c r="CB8" s="13">
        <v>0</v>
      </c>
      <c r="CC8" s="93">
        <v>0</v>
      </c>
      <c r="CD8" s="94">
        <v>0</v>
      </c>
      <c r="CE8" s="93">
        <v>0</v>
      </c>
      <c r="CF8" s="94">
        <v>0</v>
      </c>
      <c r="CG8" s="93">
        <v>1.1818182999999999E-2</v>
      </c>
      <c r="CH8" s="94">
        <v>1.6854249999999999E-4</v>
      </c>
      <c r="CI8" s="93">
        <v>0</v>
      </c>
      <c r="CJ8" s="94">
        <v>7.2599624999999999E-6</v>
      </c>
      <c r="CK8" s="6" t="s">
        <v>76</v>
      </c>
      <c r="CL8" s="13">
        <v>0</v>
      </c>
      <c r="CM8" s="7" t="s">
        <v>76</v>
      </c>
      <c r="CN8" s="15">
        <v>0</v>
      </c>
      <c r="CO8" s="93">
        <v>0.75632118280000005</v>
      </c>
      <c r="CP8" s="94">
        <v>1.39232839E-2</v>
      </c>
      <c r="CQ8" s="93">
        <v>0</v>
      </c>
      <c r="CR8" s="94">
        <v>1.46065E-5</v>
      </c>
      <c r="CS8" s="93">
        <v>0.2655480536</v>
      </c>
      <c r="CT8" s="94">
        <v>2.8684658E-3</v>
      </c>
      <c r="CU8" s="93">
        <v>1.5412168400000001E-2</v>
      </c>
      <c r="CV8" s="88">
        <v>1.145082E-4</v>
      </c>
      <c r="CW8" s="188">
        <v>1.03982E-5</v>
      </c>
      <c r="CX8" s="189">
        <v>1.5169300000000001E-5</v>
      </c>
      <c r="CY8" s="189">
        <v>1.5169300000000001E-5</v>
      </c>
      <c r="CZ8" s="189">
        <v>1.5169300000000001E-5</v>
      </c>
      <c r="DA8" s="189">
        <v>1.5169300000000001E-5</v>
      </c>
      <c r="DB8" s="189">
        <v>1.5169300000000001E-5</v>
      </c>
      <c r="DC8" s="189">
        <v>1.5169300000000001E-5</v>
      </c>
      <c r="DD8" s="189">
        <v>1.5169300000000001E-5</v>
      </c>
      <c r="DE8" s="189">
        <v>1.5169300000000001E-5</v>
      </c>
      <c r="DF8" s="190">
        <v>1.5169300000000001E-5</v>
      </c>
      <c r="DG8" s="112">
        <v>6.3716350154999999</v>
      </c>
      <c r="DH8" s="13">
        <v>0.1547489826</v>
      </c>
      <c r="DI8" s="79">
        <v>1.0782465174</v>
      </c>
      <c r="DJ8" s="13">
        <v>3.7459950999999998E-2</v>
      </c>
      <c r="DK8" s="79">
        <v>0.1273094827</v>
      </c>
      <c r="DL8" s="13">
        <v>1.18261611E-2</v>
      </c>
      <c r="DM8" s="79">
        <v>3.3626945300000002E-2</v>
      </c>
      <c r="DN8" s="13">
        <v>7.4225803000000003E-3</v>
      </c>
      <c r="DO8" s="79">
        <v>1.9745993900000001E-2</v>
      </c>
      <c r="DP8" s="13">
        <v>5.8145721000000001E-3</v>
      </c>
      <c r="DQ8" s="79">
        <v>1.4262049000000001E-2</v>
      </c>
      <c r="DR8" s="13">
        <v>4.5992239000000002E-3</v>
      </c>
      <c r="DS8" s="79">
        <v>1.06499358E-2</v>
      </c>
      <c r="DT8" s="13">
        <v>3.5403902000000001E-3</v>
      </c>
      <c r="DU8" s="79">
        <v>7.9387972000000001E-3</v>
      </c>
      <c r="DV8" s="13">
        <v>2.563596E-3</v>
      </c>
      <c r="DW8" s="79">
        <v>5.4017761000000001E-3</v>
      </c>
      <c r="DX8" s="13">
        <v>1.6465386999999999E-3</v>
      </c>
      <c r="DY8" s="79">
        <v>3.2048526E-3</v>
      </c>
      <c r="DZ8" s="15">
        <v>1.0387842999999999E-3</v>
      </c>
    </row>
    <row r="9" spans="1:130" x14ac:dyDescent="0.2">
      <c r="A9" s="8">
        <v>400</v>
      </c>
      <c r="B9" s="82">
        <v>60988</v>
      </c>
      <c r="C9" s="83">
        <v>317.05210889</v>
      </c>
      <c r="D9" s="93">
        <v>349.02710870999999</v>
      </c>
      <c r="E9" s="93">
        <v>0.44550250860000001</v>
      </c>
      <c r="F9" s="94">
        <v>2.7719745000000001E-3</v>
      </c>
      <c r="G9" s="83">
        <v>1.9070729E-3</v>
      </c>
      <c r="H9" s="94">
        <v>1.1836499999999999E-5</v>
      </c>
      <c r="I9" s="93">
        <v>45.657285154</v>
      </c>
      <c r="J9" s="94">
        <v>0.69957803240000005</v>
      </c>
      <c r="K9" s="93">
        <v>24.594630527</v>
      </c>
      <c r="L9" s="94">
        <v>0.33790169619999999</v>
      </c>
      <c r="M9" s="93">
        <v>5.9923915899999999E-2</v>
      </c>
      <c r="N9" s="94">
        <v>5.7854040000000003E-4</v>
      </c>
      <c r="O9" s="37" t="s">
        <v>76</v>
      </c>
      <c r="P9" s="13">
        <v>0</v>
      </c>
      <c r="Q9" s="93">
        <v>1.2825946273</v>
      </c>
      <c r="R9" s="94">
        <v>1.16611318E-2</v>
      </c>
      <c r="S9" s="37" t="s">
        <v>76</v>
      </c>
      <c r="T9" s="13">
        <v>0</v>
      </c>
      <c r="U9" s="37" t="s">
        <v>76</v>
      </c>
      <c r="V9" s="13">
        <v>0</v>
      </c>
      <c r="W9" s="93">
        <v>1.4511168E-3</v>
      </c>
      <c r="X9" s="94">
        <v>1.4469599999999999E-5</v>
      </c>
      <c r="Y9" s="93">
        <v>5.0356010800000003E-2</v>
      </c>
      <c r="Z9" s="94">
        <v>9.2322045000000001E-6</v>
      </c>
      <c r="AA9" s="37" t="s">
        <v>76</v>
      </c>
      <c r="AB9" s="13">
        <v>0</v>
      </c>
      <c r="AC9" s="93">
        <v>0</v>
      </c>
      <c r="AD9" s="94">
        <v>0</v>
      </c>
      <c r="AE9" s="37" t="s">
        <v>76</v>
      </c>
      <c r="AF9" s="13">
        <v>0</v>
      </c>
      <c r="AG9" s="37" t="s">
        <v>76</v>
      </c>
      <c r="AH9" s="13">
        <v>0</v>
      </c>
      <c r="AI9" s="93">
        <v>0</v>
      </c>
      <c r="AJ9" s="94">
        <v>0</v>
      </c>
      <c r="AK9" s="93">
        <v>50.140591753999999</v>
      </c>
      <c r="AL9" s="94">
        <v>0.4204847397</v>
      </c>
      <c r="AM9" s="37" t="s">
        <v>76</v>
      </c>
      <c r="AN9" s="13">
        <v>0</v>
      </c>
      <c r="AO9" s="37" t="s">
        <v>76</v>
      </c>
      <c r="AP9" s="13">
        <v>0</v>
      </c>
      <c r="AQ9" s="37" t="s">
        <v>76</v>
      </c>
      <c r="AR9" s="13">
        <v>0</v>
      </c>
      <c r="AS9" s="93">
        <v>1.8155446997</v>
      </c>
      <c r="AT9" s="94">
        <v>0.10642334959999999</v>
      </c>
      <c r="AU9" s="93">
        <v>3.7750617754000002</v>
      </c>
      <c r="AV9" s="94">
        <v>3.47254325E-2</v>
      </c>
      <c r="AW9" s="93">
        <v>2.1988279036999998</v>
      </c>
      <c r="AX9" s="94">
        <v>1.6933367099999999E-2</v>
      </c>
      <c r="AY9" s="93">
        <v>1.2239026783</v>
      </c>
      <c r="AZ9" s="94">
        <v>7.4710030000000004E-3</v>
      </c>
      <c r="BA9" s="79">
        <v>0.35233119340000002</v>
      </c>
      <c r="BB9" s="13">
        <v>1.0321062400000001E-2</v>
      </c>
      <c r="BC9" s="93">
        <v>0</v>
      </c>
      <c r="BD9" s="86">
        <v>0</v>
      </c>
      <c r="BE9" s="93">
        <v>0.92136603640000003</v>
      </c>
      <c r="BF9" s="94">
        <v>9.4950152999999995E-3</v>
      </c>
      <c r="BG9" s="94">
        <v>2.1906999999999999E-5</v>
      </c>
      <c r="BH9" s="86">
        <v>0</v>
      </c>
      <c r="BI9" s="93">
        <v>2.6197074800000001E-2</v>
      </c>
      <c r="BJ9" s="94">
        <v>2.5612399999999999E-4</v>
      </c>
      <c r="BK9" s="93">
        <v>1.8247789000000001E-3</v>
      </c>
      <c r="BL9" s="94">
        <v>1.17882E-5</v>
      </c>
      <c r="BM9" s="7" t="s">
        <v>76</v>
      </c>
      <c r="BN9" s="13">
        <v>0</v>
      </c>
      <c r="BO9" s="7" t="s">
        <v>76</v>
      </c>
      <c r="BP9" s="13">
        <v>0</v>
      </c>
      <c r="BQ9" s="93">
        <v>1.2271294807999999</v>
      </c>
      <c r="BR9" s="94">
        <v>1.12936753E-2</v>
      </c>
      <c r="BS9" s="93">
        <v>5.8927292999999999E-3</v>
      </c>
      <c r="BT9" s="94">
        <v>5.1480500000000003E-5</v>
      </c>
      <c r="BU9" s="7" t="s">
        <v>76</v>
      </c>
      <c r="BV9" s="13">
        <v>0</v>
      </c>
      <c r="BW9" s="7" t="s">
        <v>76</v>
      </c>
      <c r="BX9" s="13">
        <v>0</v>
      </c>
      <c r="BY9" s="7" t="s">
        <v>76</v>
      </c>
      <c r="BZ9" s="13">
        <v>0</v>
      </c>
      <c r="CA9" s="7" t="s">
        <v>76</v>
      </c>
      <c r="CB9" s="13">
        <v>0</v>
      </c>
      <c r="CC9" s="93">
        <v>6.1846489999999997E-4</v>
      </c>
      <c r="CD9" s="94">
        <v>9.0607367999999992E-6</v>
      </c>
      <c r="CE9" s="93">
        <v>0</v>
      </c>
      <c r="CF9" s="94">
        <v>0</v>
      </c>
      <c r="CG9" s="93">
        <v>2.6160315E-2</v>
      </c>
      <c r="CH9" s="94">
        <v>2.4321990000000001E-4</v>
      </c>
      <c r="CI9" s="93">
        <v>0</v>
      </c>
      <c r="CJ9" s="94">
        <v>6.0404912000000003E-6</v>
      </c>
      <c r="CK9" s="6" t="s">
        <v>76</v>
      </c>
      <c r="CL9" s="13">
        <v>0</v>
      </c>
      <c r="CM9" s="7" t="s">
        <v>76</v>
      </c>
      <c r="CN9" s="15">
        <v>0</v>
      </c>
      <c r="CO9" s="93">
        <v>1.3414507945</v>
      </c>
      <c r="CP9" s="94">
        <v>2.1089186400000001E-2</v>
      </c>
      <c r="CQ9" s="93">
        <v>2.5057782999999998E-3</v>
      </c>
      <c r="CR9" s="94">
        <v>5.54257E-5</v>
      </c>
      <c r="CS9" s="93">
        <v>0.48450069060000001</v>
      </c>
      <c r="CT9" s="94">
        <v>4.3753715E-3</v>
      </c>
      <c r="CU9" s="93">
        <v>1.7204663200000001E-2</v>
      </c>
      <c r="CV9" s="88">
        <v>1.4100000000000001E-4</v>
      </c>
      <c r="CW9" s="188">
        <v>1.1836499999999999E-5</v>
      </c>
      <c r="CX9" s="189">
        <v>1.88868E-5</v>
      </c>
      <c r="CY9" s="189">
        <v>2.1906999999999999E-5</v>
      </c>
      <c r="CZ9" s="189">
        <v>2.1906999999999999E-5</v>
      </c>
      <c r="DA9" s="189">
        <v>2.1906999999999999E-5</v>
      </c>
      <c r="DB9" s="189">
        <v>2.1906999999999999E-5</v>
      </c>
      <c r="DC9" s="189">
        <v>2.1906999999999999E-5</v>
      </c>
      <c r="DD9" s="189">
        <v>2.1906999999999999E-5</v>
      </c>
      <c r="DE9" s="189">
        <v>2.1906999999999999E-5</v>
      </c>
      <c r="DF9" s="190">
        <v>2.1906999999999999E-5</v>
      </c>
      <c r="DG9" s="112">
        <v>11.926247839</v>
      </c>
      <c r="DH9" s="13">
        <v>0.26707990990000002</v>
      </c>
      <c r="DI9" s="79">
        <v>3.2034671320000001</v>
      </c>
      <c r="DJ9" s="13">
        <v>8.4962966200000004E-2</v>
      </c>
      <c r="DK9" s="79">
        <v>0.65527888749999996</v>
      </c>
      <c r="DL9" s="13">
        <v>2.6405572299999999E-2</v>
      </c>
      <c r="DM9" s="79">
        <v>0.1316543027</v>
      </c>
      <c r="DN9" s="13">
        <v>1.16142737E-2</v>
      </c>
      <c r="DO9" s="79">
        <v>4.5609495899999998E-2</v>
      </c>
      <c r="DP9" s="13">
        <v>7.7590334000000004E-3</v>
      </c>
      <c r="DQ9" s="79">
        <v>2.77472832E-2</v>
      </c>
      <c r="DR9" s="13">
        <v>5.9467475000000002E-3</v>
      </c>
      <c r="DS9" s="79">
        <v>2.0173146400000001E-2</v>
      </c>
      <c r="DT9" s="13">
        <v>4.5849089000000003E-3</v>
      </c>
      <c r="DU9" s="79">
        <v>1.4679842300000001E-2</v>
      </c>
      <c r="DV9" s="13">
        <v>3.3604014E-3</v>
      </c>
      <c r="DW9" s="79">
        <v>1.0121403899999999E-2</v>
      </c>
      <c r="DX9" s="13">
        <v>2.2184870999999999E-3</v>
      </c>
      <c r="DY9" s="79">
        <v>6.3075274000000004E-3</v>
      </c>
      <c r="DZ9" s="15">
        <v>1.4128610000000001E-3</v>
      </c>
    </row>
    <row r="10" spans="1:130" x14ac:dyDescent="0.2">
      <c r="A10" s="8">
        <v>500</v>
      </c>
      <c r="B10" s="82">
        <v>54735</v>
      </c>
      <c r="C10" s="83">
        <v>384.26404574999998</v>
      </c>
      <c r="D10" s="93">
        <v>449.21727645999999</v>
      </c>
      <c r="E10" s="93">
        <v>0.70149910090000001</v>
      </c>
      <c r="F10" s="94">
        <v>3.9650162999999997E-3</v>
      </c>
      <c r="G10" s="83">
        <v>1.6686409E-3</v>
      </c>
      <c r="H10" s="94">
        <v>1.03674E-5</v>
      </c>
      <c r="I10" s="93">
        <v>57.261318043999999</v>
      </c>
      <c r="J10" s="94">
        <v>0.86112692800000001</v>
      </c>
      <c r="K10" s="93">
        <v>32.177337401999999</v>
      </c>
      <c r="L10" s="94">
        <v>0.42645121660000002</v>
      </c>
      <c r="M10" s="93">
        <v>8.4844325400000004E-2</v>
      </c>
      <c r="N10" s="94">
        <v>7.8850060000000002E-4</v>
      </c>
      <c r="O10" s="37" t="s">
        <v>76</v>
      </c>
      <c r="P10" s="13">
        <v>0</v>
      </c>
      <c r="Q10" s="93">
        <v>2.1137195817999999</v>
      </c>
      <c r="R10" s="94">
        <v>1.79695325E-2</v>
      </c>
      <c r="S10" s="37" t="s">
        <v>76</v>
      </c>
      <c r="T10" s="13">
        <v>0</v>
      </c>
      <c r="U10" s="37" t="s">
        <v>76</v>
      </c>
      <c r="V10" s="13">
        <v>0</v>
      </c>
      <c r="W10" s="93">
        <v>2.6237831999999998E-3</v>
      </c>
      <c r="X10" s="94">
        <v>2.0882100000000001E-5</v>
      </c>
      <c r="Y10" s="93">
        <v>7.0846783199999999E-2</v>
      </c>
      <c r="Z10" s="94">
        <v>1.8786700000000001E-5</v>
      </c>
      <c r="AA10" s="37" t="s">
        <v>76</v>
      </c>
      <c r="AB10" s="13">
        <v>0</v>
      </c>
      <c r="AC10" s="93">
        <v>0</v>
      </c>
      <c r="AD10" s="94">
        <v>0</v>
      </c>
      <c r="AE10" s="37" t="s">
        <v>76</v>
      </c>
      <c r="AF10" s="13">
        <v>0</v>
      </c>
      <c r="AG10" s="37" t="s">
        <v>76</v>
      </c>
      <c r="AH10" s="13">
        <v>0</v>
      </c>
      <c r="AI10" s="93">
        <v>0</v>
      </c>
      <c r="AJ10" s="94">
        <v>0</v>
      </c>
      <c r="AK10" s="93">
        <v>66.996511532</v>
      </c>
      <c r="AL10" s="94">
        <v>0.52757502000000001</v>
      </c>
      <c r="AM10" s="37" t="s">
        <v>76</v>
      </c>
      <c r="AN10" s="13">
        <v>0</v>
      </c>
      <c r="AO10" s="37" t="s">
        <v>76</v>
      </c>
      <c r="AP10" s="13">
        <v>0</v>
      </c>
      <c r="AQ10" s="37" t="s">
        <v>76</v>
      </c>
      <c r="AR10" s="13">
        <v>0</v>
      </c>
      <c r="AS10" s="93">
        <v>2.6878410329000002</v>
      </c>
      <c r="AT10" s="94">
        <v>0.1412238448</v>
      </c>
      <c r="AU10" s="93">
        <v>5.1054817890999997</v>
      </c>
      <c r="AV10" s="94">
        <v>4.4865048099999999E-2</v>
      </c>
      <c r="AW10" s="93">
        <v>2.9941934577999998</v>
      </c>
      <c r="AX10" s="94">
        <v>2.1821034900000001E-2</v>
      </c>
      <c r="AY10" s="93">
        <v>1.6214773292</v>
      </c>
      <c r="AZ10" s="94">
        <v>9.6253329999999998E-3</v>
      </c>
      <c r="BA10" s="79">
        <v>0.4898110021</v>
      </c>
      <c r="BB10" s="13">
        <v>1.34186802E-2</v>
      </c>
      <c r="BC10" s="93">
        <v>0</v>
      </c>
      <c r="BD10" s="86">
        <v>0</v>
      </c>
      <c r="BE10" s="93">
        <v>1.3568779513</v>
      </c>
      <c r="BF10" s="94">
        <v>1.23771946E-2</v>
      </c>
      <c r="BG10" s="94">
        <v>1.9140999999999999E-5</v>
      </c>
      <c r="BH10" s="86">
        <v>0</v>
      </c>
      <c r="BI10" s="93">
        <v>3.5155655500000001E-2</v>
      </c>
      <c r="BJ10" s="94">
        <v>3.1201079999999999E-4</v>
      </c>
      <c r="BK10" s="93">
        <v>3.2004070000000002E-3</v>
      </c>
      <c r="BL10" s="94">
        <v>2.2503100000000001E-5</v>
      </c>
      <c r="BM10" s="7" t="s">
        <v>76</v>
      </c>
      <c r="BN10" s="13">
        <v>0</v>
      </c>
      <c r="BO10" s="7" t="s">
        <v>76</v>
      </c>
      <c r="BP10" s="13">
        <v>0</v>
      </c>
      <c r="BQ10" s="93">
        <v>2.0248754422999999</v>
      </c>
      <c r="BR10" s="94">
        <v>1.7412011299999999E-2</v>
      </c>
      <c r="BS10" s="93">
        <v>9.2333924000000001E-3</v>
      </c>
      <c r="BT10" s="94">
        <v>7.4000599999999998E-5</v>
      </c>
      <c r="BU10" s="7" t="s">
        <v>76</v>
      </c>
      <c r="BV10" s="13">
        <v>0</v>
      </c>
      <c r="BW10" s="7" t="s">
        <v>76</v>
      </c>
      <c r="BX10" s="13">
        <v>0</v>
      </c>
      <c r="BY10" s="7" t="s">
        <v>76</v>
      </c>
      <c r="BZ10" s="13">
        <v>0</v>
      </c>
      <c r="CA10" s="7" t="s">
        <v>76</v>
      </c>
      <c r="CB10" s="13">
        <v>0</v>
      </c>
      <c r="CC10" s="93">
        <v>1.8825996E-3</v>
      </c>
      <c r="CD10" s="94">
        <v>1.6067400000000001E-5</v>
      </c>
      <c r="CE10" s="93">
        <v>0</v>
      </c>
      <c r="CF10" s="94">
        <v>0</v>
      </c>
      <c r="CG10" s="93">
        <v>3.9115085700000003E-2</v>
      </c>
      <c r="CH10" s="94">
        <v>3.1503029999999999E-4</v>
      </c>
      <c r="CI10" s="93">
        <v>0</v>
      </c>
      <c r="CJ10" s="94">
        <v>5.2298851000000003E-6</v>
      </c>
      <c r="CK10" s="6" t="s">
        <v>76</v>
      </c>
      <c r="CL10" s="13">
        <v>0</v>
      </c>
      <c r="CM10" s="7" t="s">
        <v>76</v>
      </c>
      <c r="CN10" s="15">
        <v>0</v>
      </c>
      <c r="CO10" s="93">
        <v>2.0462354031999999</v>
      </c>
      <c r="CP10" s="94">
        <v>2.8358773600000001E-2</v>
      </c>
      <c r="CQ10" s="93">
        <v>5.1971088E-3</v>
      </c>
      <c r="CR10" s="94">
        <v>8.0688900000000006E-5</v>
      </c>
      <c r="CS10" s="93">
        <v>0.78146878659999996</v>
      </c>
      <c r="CT10" s="94">
        <v>6.0562359E-3</v>
      </c>
      <c r="CU10" s="93">
        <v>1.89220651E-2</v>
      </c>
      <c r="CV10" s="88">
        <v>1.634366E-4</v>
      </c>
      <c r="CW10" s="188">
        <v>1.03674E-5</v>
      </c>
      <c r="CX10" s="189">
        <v>1.6526100000000001E-5</v>
      </c>
      <c r="CY10" s="189">
        <v>1.9140999999999999E-5</v>
      </c>
      <c r="CZ10" s="189">
        <v>1.9140999999999999E-5</v>
      </c>
      <c r="DA10" s="189">
        <v>1.9140999999999999E-5</v>
      </c>
      <c r="DB10" s="189">
        <v>1.9140999999999999E-5</v>
      </c>
      <c r="DC10" s="189">
        <v>1.9140999999999999E-5</v>
      </c>
      <c r="DD10" s="189">
        <v>1.9140999999999999E-5</v>
      </c>
      <c r="DE10" s="189">
        <v>1.9140999999999999E-5</v>
      </c>
      <c r="DF10" s="190">
        <v>1.9140999999999999E-5</v>
      </c>
      <c r="DG10" s="112">
        <v>17.697328409000001</v>
      </c>
      <c r="DH10" s="13">
        <v>0.37717700669999998</v>
      </c>
      <c r="DI10" s="79">
        <v>6.0770813284000003</v>
      </c>
      <c r="DJ10" s="13">
        <v>0.1429273901</v>
      </c>
      <c r="DK10" s="79">
        <v>1.7253765961</v>
      </c>
      <c r="DL10" s="13">
        <v>5.0502498399999998E-2</v>
      </c>
      <c r="DM10" s="79">
        <v>0.42680256789999999</v>
      </c>
      <c r="DN10" s="13">
        <v>1.9987317599999999E-2</v>
      </c>
      <c r="DO10" s="79">
        <v>0.1215526431</v>
      </c>
      <c r="DP10" s="13">
        <v>1.1000544900000001E-2</v>
      </c>
      <c r="DQ10" s="79">
        <v>5.9901389200000002E-2</v>
      </c>
      <c r="DR10" s="13">
        <v>7.8940777999999996E-3</v>
      </c>
      <c r="DS10" s="79">
        <v>4.1222388499999998E-2</v>
      </c>
      <c r="DT10" s="13">
        <v>6.0405121999999997E-3</v>
      </c>
      <c r="DU10" s="79">
        <v>3.0274332399999999E-2</v>
      </c>
      <c r="DV10" s="13">
        <v>4.4964851000000002E-3</v>
      </c>
      <c r="DW10" s="79">
        <v>2.15601682E-2</v>
      </c>
      <c r="DX10" s="13">
        <v>3.0815959999999998E-3</v>
      </c>
      <c r="DY10" s="79">
        <v>1.4161377899999999E-2</v>
      </c>
      <c r="DZ10" s="15">
        <v>2.0277282E-3</v>
      </c>
    </row>
    <row r="11" spans="1:130" x14ac:dyDescent="0.2">
      <c r="A11" s="8">
        <v>600</v>
      </c>
      <c r="B11" s="82">
        <v>49721</v>
      </c>
      <c r="C11" s="83">
        <v>447.32313935000002</v>
      </c>
      <c r="D11" s="93">
        <v>549.00841686000001</v>
      </c>
      <c r="E11" s="93">
        <v>1.0133400452000001</v>
      </c>
      <c r="F11" s="94">
        <v>5.2578219000000001E-3</v>
      </c>
      <c r="G11" s="83">
        <v>2.6594714999999998E-3</v>
      </c>
      <c r="H11" s="94">
        <v>1.24835E-5</v>
      </c>
      <c r="I11" s="93">
        <v>67.883703065000006</v>
      </c>
      <c r="J11" s="94">
        <v>1.0034975247</v>
      </c>
      <c r="K11" s="93">
        <v>40.457051309000001</v>
      </c>
      <c r="L11" s="94">
        <v>0.51760067070000004</v>
      </c>
      <c r="M11" s="93">
        <v>0.1050021973</v>
      </c>
      <c r="N11" s="94">
        <v>9.3742010000000004E-4</v>
      </c>
      <c r="O11" s="37" t="s">
        <v>76</v>
      </c>
      <c r="P11" s="13">
        <v>0</v>
      </c>
      <c r="Q11" s="93">
        <v>3.1962500531</v>
      </c>
      <c r="R11" s="94">
        <v>2.5387978700000001E-2</v>
      </c>
      <c r="S11" s="37" t="s">
        <v>76</v>
      </c>
      <c r="T11" s="13">
        <v>0</v>
      </c>
      <c r="U11" s="37" t="s">
        <v>76</v>
      </c>
      <c r="V11" s="13">
        <v>0</v>
      </c>
      <c r="W11" s="93">
        <v>5.8682732999999999E-3</v>
      </c>
      <c r="X11" s="94">
        <v>3.31319E-5</v>
      </c>
      <c r="Y11" s="93">
        <v>8.8352947299999998E-2</v>
      </c>
      <c r="Z11" s="94">
        <v>2.64828E-5</v>
      </c>
      <c r="AA11" s="37" t="s">
        <v>76</v>
      </c>
      <c r="AB11" s="13">
        <v>0</v>
      </c>
      <c r="AC11" s="93">
        <v>0</v>
      </c>
      <c r="AD11" s="94">
        <v>0</v>
      </c>
      <c r="AE11" s="37" t="s">
        <v>76</v>
      </c>
      <c r="AF11" s="13">
        <v>0</v>
      </c>
      <c r="AG11" s="37" t="s">
        <v>76</v>
      </c>
      <c r="AH11" s="13">
        <v>0</v>
      </c>
      <c r="AI11" s="93">
        <v>0</v>
      </c>
      <c r="AJ11" s="94">
        <v>0</v>
      </c>
      <c r="AK11" s="93">
        <v>82.541172685000006</v>
      </c>
      <c r="AL11" s="94">
        <v>0.62353634349999998</v>
      </c>
      <c r="AM11" s="37" t="s">
        <v>76</v>
      </c>
      <c r="AN11" s="13">
        <v>0</v>
      </c>
      <c r="AO11" s="37" t="s">
        <v>76</v>
      </c>
      <c r="AP11" s="13">
        <v>0</v>
      </c>
      <c r="AQ11" s="37" t="s">
        <v>76</v>
      </c>
      <c r="AR11" s="13">
        <v>0</v>
      </c>
      <c r="AS11" s="93">
        <v>3.6453816174</v>
      </c>
      <c r="AT11" s="94">
        <v>0.17339186540000001</v>
      </c>
      <c r="AU11" s="93">
        <v>6.4586432111000001</v>
      </c>
      <c r="AV11" s="94">
        <v>5.5257463899999998E-2</v>
      </c>
      <c r="AW11" s="93">
        <v>3.8305495347999998</v>
      </c>
      <c r="AX11" s="94">
        <v>2.71421092E-2</v>
      </c>
      <c r="AY11" s="93">
        <v>1.985905161</v>
      </c>
      <c r="AZ11" s="94">
        <v>1.1468145900000001E-2</v>
      </c>
      <c r="BA11" s="79">
        <v>0.64218851519999998</v>
      </c>
      <c r="BB11" s="13">
        <v>1.66472088E-2</v>
      </c>
      <c r="BC11" s="93">
        <v>0</v>
      </c>
      <c r="BD11" s="86">
        <v>0</v>
      </c>
      <c r="BE11" s="93">
        <v>1.8743018961</v>
      </c>
      <c r="BF11" s="94">
        <v>1.5655967999999999E-2</v>
      </c>
      <c r="BG11" s="94">
        <v>2.03253E-5</v>
      </c>
      <c r="BH11" s="86">
        <v>0</v>
      </c>
      <c r="BI11" s="93">
        <v>4.40220547E-2</v>
      </c>
      <c r="BJ11" s="94">
        <v>3.7627210000000001E-4</v>
      </c>
      <c r="BK11" s="93">
        <v>3.9029726E-3</v>
      </c>
      <c r="BL11" s="94">
        <v>2.3980100000000001E-5</v>
      </c>
      <c r="BM11" s="7" t="s">
        <v>76</v>
      </c>
      <c r="BN11" s="13">
        <v>0</v>
      </c>
      <c r="BO11" s="7" t="s">
        <v>76</v>
      </c>
      <c r="BP11" s="13">
        <v>0</v>
      </c>
      <c r="BQ11" s="93">
        <v>3.0576111140000002</v>
      </c>
      <c r="BR11" s="94">
        <v>2.45462298E-2</v>
      </c>
      <c r="BS11" s="93">
        <v>1.6303375200000001E-2</v>
      </c>
      <c r="BT11" s="94">
        <v>1.133935E-4</v>
      </c>
      <c r="BU11" s="7" t="s">
        <v>76</v>
      </c>
      <c r="BV11" s="13">
        <v>0</v>
      </c>
      <c r="BW11" s="7" t="s">
        <v>76</v>
      </c>
      <c r="BX11" s="13">
        <v>0</v>
      </c>
      <c r="BY11" s="7" t="s">
        <v>76</v>
      </c>
      <c r="BZ11" s="13">
        <v>0</v>
      </c>
      <c r="CA11" s="7" t="s">
        <v>76</v>
      </c>
      <c r="CB11" s="13">
        <v>0</v>
      </c>
      <c r="CC11" s="93">
        <v>5.1919901000000001E-3</v>
      </c>
      <c r="CD11" s="94">
        <v>2.8738299999999999E-5</v>
      </c>
      <c r="CE11" s="93">
        <v>0</v>
      </c>
      <c r="CF11" s="94">
        <v>0</v>
      </c>
      <c r="CG11" s="93">
        <v>5.0077767000000002E-2</v>
      </c>
      <c r="CH11" s="94">
        <v>3.7199979999999998E-4</v>
      </c>
      <c r="CI11" s="93">
        <v>0</v>
      </c>
      <c r="CJ11" s="94">
        <v>4.6630796999999999E-6</v>
      </c>
      <c r="CK11" s="6" t="s">
        <v>76</v>
      </c>
      <c r="CL11" s="13">
        <v>0</v>
      </c>
      <c r="CM11" s="7" t="s">
        <v>76</v>
      </c>
      <c r="CN11" s="15">
        <v>0</v>
      </c>
      <c r="CO11" s="93">
        <v>2.7994283621</v>
      </c>
      <c r="CP11" s="94">
        <v>3.51540703E-2</v>
      </c>
      <c r="CQ11" s="93">
        <v>9.1419058000000008E-3</v>
      </c>
      <c r="CR11" s="94">
        <v>9.0176199999999999E-5</v>
      </c>
      <c r="CS11" s="93">
        <v>1.1340134079999999</v>
      </c>
      <c r="CT11" s="94">
        <v>7.9820097000000007E-3</v>
      </c>
      <c r="CU11" s="93">
        <v>2.41995895E-2</v>
      </c>
      <c r="CV11" s="88">
        <v>1.887282E-4</v>
      </c>
      <c r="CW11" s="188">
        <v>1.24835E-5</v>
      </c>
      <c r="CX11" s="189">
        <v>1.79938E-5</v>
      </c>
      <c r="CY11" s="189">
        <v>2.03253E-5</v>
      </c>
      <c r="CZ11" s="189">
        <v>2.03253E-5</v>
      </c>
      <c r="DA11" s="189">
        <v>2.03253E-5</v>
      </c>
      <c r="DB11" s="189">
        <v>2.03253E-5</v>
      </c>
      <c r="DC11" s="189">
        <v>2.03253E-5</v>
      </c>
      <c r="DD11" s="189">
        <v>2.03253E-5</v>
      </c>
      <c r="DE11" s="189">
        <v>2.03253E-5</v>
      </c>
      <c r="DF11" s="190">
        <v>2.03253E-5</v>
      </c>
      <c r="DG11" s="112">
        <v>23.350300428000001</v>
      </c>
      <c r="DH11" s="13">
        <v>0.48174951449999998</v>
      </c>
      <c r="DI11" s="79">
        <v>9.3273782252000004</v>
      </c>
      <c r="DJ11" s="13">
        <v>0.20574596689999999</v>
      </c>
      <c r="DK11" s="79">
        <v>3.2082817804000001</v>
      </c>
      <c r="DL11" s="13">
        <v>8.19536238E-2</v>
      </c>
      <c r="DM11" s="79">
        <v>0.9750509436</v>
      </c>
      <c r="DN11" s="13">
        <v>3.3643636599999999E-2</v>
      </c>
      <c r="DO11" s="79">
        <v>0.29649326850000002</v>
      </c>
      <c r="DP11" s="13">
        <v>1.67603305E-2</v>
      </c>
      <c r="DQ11" s="79">
        <v>0.12009690570000001</v>
      </c>
      <c r="DR11" s="13">
        <v>1.0783201100000001E-2</v>
      </c>
      <c r="DS11" s="79">
        <v>7.1339546899999995E-2</v>
      </c>
      <c r="DT11" s="13">
        <v>7.9437094999999999E-3</v>
      </c>
      <c r="DU11" s="79">
        <v>5.0316522199999998E-2</v>
      </c>
      <c r="DV11" s="13">
        <v>5.9115914E-3</v>
      </c>
      <c r="DW11" s="79">
        <v>3.63284226E-2</v>
      </c>
      <c r="DX11" s="13">
        <v>4.1480711999999998E-3</v>
      </c>
      <c r="DY11" s="79">
        <v>2.4688383899999999E-2</v>
      </c>
      <c r="DZ11" s="15">
        <v>2.7848730000000002E-3</v>
      </c>
    </row>
    <row r="12" spans="1:130" x14ac:dyDescent="0.2">
      <c r="A12" s="8">
        <v>700</v>
      </c>
      <c r="B12" s="82">
        <v>44528</v>
      </c>
      <c r="C12" s="83">
        <v>506.62640407999999</v>
      </c>
      <c r="D12" s="93">
        <v>648.95994341999995</v>
      </c>
      <c r="E12" s="93">
        <v>1.4456489591999999</v>
      </c>
      <c r="F12" s="94">
        <v>6.9284498999999996E-3</v>
      </c>
      <c r="G12" s="83">
        <v>2.4335309E-3</v>
      </c>
      <c r="H12" s="94">
        <v>1.1426999999999999E-5</v>
      </c>
      <c r="I12" s="93">
        <v>77.706984128000002</v>
      </c>
      <c r="J12" s="94">
        <v>1.1311130569000001</v>
      </c>
      <c r="K12" s="93">
        <v>48.731249269000003</v>
      </c>
      <c r="L12" s="94">
        <v>0.60454003239999998</v>
      </c>
      <c r="M12" s="93">
        <v>0.1425382751</v>
      </c>
      <c r="N12" s="94">
        <v>1.2089045E-3</v>
      </c>
      <c r="O12" s="37" t="s">
        <v>76</v>
      </c>
      <c r="P12" s="13">
        <v>0</v>
      </c>
      <c r="Q12" s="93">
        <v>4.4106434489000002</v>
      </c>
      <c r="R12" s="94">
        <v>3.31059504E-2</v>
      </c>
      <c r="S12" s="37" t="s">
        <v>76</v>
      </c>
      <c r="T12" s="13">
        <v>0</v>
      </c>
      <c r="U12" s="37" t="s">
        <v>76</v>
      </c>
      <c r="V12" s="13">
        <v>0</v>
      </c>
      <c r="W12" s="93">
        <v>1.0367103500000001E-2</v>
      </c>
      <c r="X12" s="94">
        <v>6.1973300000000005E-5</v>
      </c>
      <c r="Y12" s="93">
        <v>0.1264533487</v>
      </c>
      <c r="Z12" s="94">
        <v>4.6926699999999999E-5</v>
      </c>
      <c r="AA12" s="37" t="s">
        <v>76</v>
      </c>
      <c r="AB12" s="13">
        <v>0</v>
      </c>
      <c r="AC12" s="93">
        <v>0</v>
      </c>
      <c r="AD12" s="94">
        <v>0</v>
      </c>
      <c r="AE12" s="37" t="s">
        <v>76</v>
      </c>
      <c r="AF12" s="13">
        <v>0</v>
      </c>
      <c r="AG12" s="37" t="s">
        <v>76</v>
      </c>
      <c r="AH12" s="13">
        <v>0</v>
      </c>
      <c r="AI12" s="93">
        <v>0</v>
      </c>
      <c r="AJ12" s="94">
        <v>0</v>
      </c>
      <c r="AK12" s="93">
        <v>96.783346371999997</v>
      </c>
      <c r="AL12" s="94">
        <v>0.70863418219999996</v>
      </c>
      <c r="AM12" s="37" t="s">
        <v>76</v>
      </c>
      <c r="AN12" s="13">
        <v>0</v>
      </c>
      <c r="AO12" s="37" t="s">
        <v>76</v>
      </c>
      <c r="AP12" s="13">
        <v>0</v>
      </c>
      <c r="AQ12" s="37" t="s">
        <v>76</v>
      </c>
      <c r="AR12" s="13">
        <v>0</v>
      </c>
      <c r="AS12" s="93">
        <v>4.6451212186999999</v>
      </c>
      <c r="AT12" s="94">
        <v>0.20388808680000001</v>
      </c>
      <c r="AU12" s="93">
        <v>7.8124930490000004</v>
      </c>
      <c r="AV12" s="94">
        <v>6.5561323099999999E-2</v>
      </c>
      <c r="AW12" s="93">
        <v>4.6753181668000003</v>
      </c>
      <c r="AX12" s="94">
        <v>3.23458815E-2</v>
      </c>
      <c r="AY12" s="93">
        <v>2.3481453663999998</v>
      </c>
      <c r="AZ12" s="94">
        <v>1.33332474E-2</v>
      </c>
      <c r="BA12" s="79">
        <v>0.78902951580000003</v>
      </c>
      <c r="BB12" s="13">
        <v>1.9882194200000002E-2</v>
      </c>
      <c r="BC12" s="93">
        <v>0</v>
      </c>
      <c r="BD12" s="86">
        <v>0</v>
      </c>
      <c r="BE12" s="93">
        <v>2.4922627354000002</v>
      </c>
      <c r="BF12" s="94">
        <v>1.9370958000000001E-2</v>
      </c>
      <c r="BG12" s="94">
        <v>1.8584799999999999E-5</v>
      </c>
      <c r="BH12" s="86">
        <v>0</v>
      </c>
      <c r="BI12" s="93">
        <v>6.5014823400000005E-2</v>
      </c>
      <c r="BJ12" s="94">
        <v>5.0625949999999996E-4</v>
      </c>
      <c r="BK12" s="93">
        <v>6.0735264999999998E-3</v>
      </c>
      <c r="BL12" s="94">
        <v>3.5903499999999999E-5</v>
      </c>
      <c r="BM12" s="7" t="s">
        <v>76</v>
      </c>
      <c r="BN12" s="13">
        <v>0</v>
      </c>
      <c r="BO12" s="7" t="s">
        <v>76</v>
      </c>
      <c r="BP12" s="13">
        <v>0</v>
      </c>
      <c r="BQ12" s="93">
        <v>4.2326611239999998</v>
      </c>
      <c r="BR12" s="94">
        <v>3.2087673800000001E-2</v>
      </c>
      <c r="BS12" s="93">
        <v>2.4765673700000001E-2</v>
      </c>
      <c r="BT12" s="94">
        <v>1.719084E-4</v>
      </c>
      <c r="BU12" s="7" t="s">
        <v>76</v>
      </c>
      <c r="BV12" s="13">
        <v>0</v>
      </c>
      <c r="BW12" s="7" t="s">
        <v>76</v>
      </c>
      <c r="BX12" s="13">
        <v>0</v>
      </c>
      <c r="BY12" s="7" t="s">
        <v>76</v>
      </c>
      <c r="BZ12" s="13">
        <v>0</v>
      </c>
      <c r="CA12" s="7" t="s">
        <v>76</v>
      </c>
      <c r="CB12" s="13">
        <v>0</v>
      </c>
      <c r="CC12" s="93">
        <v>9.7389581999999999E-3</v>
      </c>
      <c r="CD12" s="94">
        <v>5.7892300000000001E-5</v>
      </c>
      <c r="CE12" s="93">
        <v>0</v>
      </c>
      <c r="CF12" s="94">
        <v>0</v>
      </c>
      <c r="CG12" s="93">
        <v>7.2970179900000001E-2</v>
      </c>
      <c r="CH12" s="94">
        <v>5.227942E-4</v>
      </c>
      <c r="CI12" s="93">
        <v>0</v>
      </c>
      <c r="CJ12" s="94">
        <v>4.2498044000000002E-6</v>
      </c>
      <c r="CK12" s="6" t="s">
        <v>76</v>
      </c>
      <c r="CL12" s="13">
        <v>0</v>
      </c>
      <c r="CM12" s="7" t="s">
        <v>76</v>
      </c>
      <c r="CN12" s="15">
        <v>0</v>
      </c>
      <c r="CO12" s="93">
        <v>3.6066897652000001</v>
      </c>
      <c r="CP12" s="94">
        <v>4.2002629399999998E-2</v>
      </c>
      <c r="CQ12" s="93">
        <v>1.27129905E-2</v>
      </c>
      <c r="CR12" s="94">
        <v>1.125212E-4</v>
      </c>
      <c r="CS12" s="93">
        <v>1.5674540008</v>
      </c>
      <c r="CT12" s="94">
        <v>1.01776247E-2</v>
      </c>
      <c r="CU12" s="93">
        <v>3.3449178900000001E-2</v>
      </c>
      <c r="CV12" s="88">
        <v>2.5386320000000002E-4</v>
      </c>
      <c r="CW12" s="188">
        <v>1.1426999999999999E-5</v>
      </c>
      <c r="CX12" s="189">
        <v>1.6459900000000001E-5</v>
      </c>
      <c r="CY12" s="189">
        <v>1.8584799999999999E-5</v>
      </c>
      <c r="CZ12" s="189">
        <v>1.8584799999999999E-5</v>
      </c>
      <c r="DA12" s="189">
        <v>1.8584799999999999E-5</v>
      </c>
      <c r="DB12" s="189">
        <v>1.8584799999999999E-5</v>
      </c>
      <c r="DC12" s="189">
        <v>1.8584799999999999E-5</v>
      </c>
      <c r="DD12" s="189">
        <v>1.8584799999999999E-5</v>
      </c>
      <c r="DE12" s="189">
        <v>1.8584799999999999E-5</v>
      </c>
      <c r="DF12" s="190">
        <v>1.8584799999999999E-5</v>
      </c>
      <c r="DG12" s="112">
        <v>28.809374445</v>
      </c>
      <c r="DH12" s="13">
        <v>0.58041801849999997</v>
      </c>
      <c r="DI12" s="79">
        <v>12.816323829</v>
      </c>
      <c r="DJ12" s="13">
        <v>0.27090429329999999</v>
      </c>
      <c r="DK12" s="79">
        <v>5.0809096028000003</v>
      </c>
      <c r="DL12" s="13">
        <v>0.1192725578</v>
      </c>
      <c r="DM12" s="79">
        <v>1.8218854920000001</v>
      </c>
      <c r="DN12" s="13">
        <v>5.2509938300000003E-2</v>
      </c>
      <c r="DO12" s="79">
        <v>0.63866590349999997</v>
      </c>
      <c r="DP12" s="13">
        <v>2.5795622399999999E-2</v>
      </c>
      <c r="DQ12" s="79">
        <v>0.25317705670000001</v>
      </c>
      <c r="DR12" s="13">
        <v>1.52314336E-2</v>
      </c>
      <c r="DS12" s="79">
        <v>0.1292661242</v>
      </c>
      <c r="DT12" s="13">
        <v>1.0489763900000001E-2</v>
      </c>
      <c r="DU12" s="79">
        <v>8.3158709799999994E-2</v>
      </c>
      <c r="DV12" s="13">
        <v>7.6582515000000002E-3</v>
      </c>
      <c r="DW12" s="79">
        <v>5.8761693099999998E-2</v>
      </c>
      <c r="DX12" s="13">
        <v>5.4513225000000004E-3</v>
      </c>
      <c r="DY12" s="79">
        <v>4.12282515E-2</v>
      </c>
      <c r="DZ12" s="15">
        <v>3.7569120999999999E-3</v>
      </c>
    </row>
    <row r="13" spans="1:130" x14ac:dyDescent="0.2">
      <c r="A13" s="8">
        <v>800</v>
      </c>
      <c r="B13" s="82">
        <v>40026</v>
      </c>
      <c r="C13" s="83">
        <v>562.55744388000005</v>
      </c>
      <c r="D13" s="93">
        <v>749.04116113999999</v>
      </c>
      <c r="E13" s="93">
        <v>1.9174792903</v>
      </c>
      <c r="F13" s="94">
        <v>8.5995205000000009E-3</v>
      </c>
      <c r="G13" s="83">
        <v>3.9352446999999999E-3</v>
      </c>
      <c r="H13" s="94">
        <v>1.3347500000000001E-5</v>
      </c>
      <c r="I13" s="93">
        <v>86.812445944000004</v>
      </c>
      <c r="J13" s="94">
        <v>1.243544457</v>
      </c>
      <c r="K13" s="93">
        <v>57.433707482000003</v>
      </c>
      <c r="L13" s="94">
        <v>0.69121860950000003</v>
      </c>
      <c r="M13" s="93">
        <v>0.18232091959999999</v>
      </c>
      <c r="N13" s="94">
        <v>1.5203015999999999E-3</v>
      </c>
      <c r="O13" s="37" t="s">
        <v>76</v>
      </c>
      <c r="P13" s="13">
        <v>0</v>
      </c>
      <c r="Q13" s="93">
        <v>5.7612850181999997</v>
      </c>
      <c r="R13" s="94">
        <v>4.1253674499999997E-2</v>
      </c>
      <c r="S13" s="37" t="s">
        <v>76</v>
      </c>
      <c r="T13" s="13">
        <v>0</v>
      </c>
      <c r="U13" s="37" t="s">
        <v>76</v>
      </c>
      <c r="V13" s="13">
        <v>0</v>
      </c>
      <c r="W13" s="93">
        <v>2.1855007199999998E-2</v>
      </c>
      <c r="X13" s="94">
        <v>1.5571580000000001E-4</v>
      </c>
      <c r="Y13" s="93">
        <v>0.18445591880000001</v>
      </c>
      <c r="Z13" s="94">
        <v>4.8934499999999997E-5</v>
      </c>
      <c r="AA13" s="37" t="s">
        <v>76</v>
      </c>
      <c r="AB13" s="13">
        <v>0</v>
      </c>
      <c r="AC13" s="93">
        <v>0</v>
      </c>
      <c r="AD13" s="94">
        <v>0</v>
      </c>
      <c r="AE13" s="37" t="s">
        <v>76</v>
      </c>
      <c r="AF13" s="13">
        <v>0</v>
      </c>
      <c r="AG13" s="37" t="s">
        <v>76</v>
      </c>
      <c r="AH13" s="13">
        <v>0</v>
      </c>
      <c r="AI13" s="93">
        <v>0</v>
      </c>
      <c r="AJ13" s="94">
        <v>0</v>
      </c>
      <c r="AK13" s="93">
        <v>109.32913424</v>
      </c>
      <c r="AL13" s="94">
        <v>0.78373303920000004</v>
      </c>
      <c r="AM13" s="37" t="s">
        <v>76</v>
      </c>
      <c r="AN13" s="13">
        <v>0</v>
      </c>
      <c r="AO13" s="37" t="s">
        <v>76</v>
      </c>
      <c r="AP13" s="13">
        <v>0</v>
      </c>
      <c r="AQ13" s="37" t="s">
        <v>76</v>
      </c>
      <c r="AR13" s="13">
        <v>0</v>
      </c>
      <c r="AS13" s="93">
        <v>5.7397703596999996</v>
      </c>
      <c r="AT13" s="94">
        <v>0.23195308680000001</v>
      </c>
      <c r="AU13" s="93">
        <v>9.1155438780000004</v>
      </c>
      <c r="AV13" s="94">
        <v>7.5068409700000005E-2</v>
      </c>
      <c r="AW13" s="93">
        <v>5.5123922768</v>
      </c>
      <c r="AX13" s="94">
        <v>3.7131825399999999E-2</v>
      </c>
      <c r="AY13" s="93">
        <v>2.6699063542000001</v>
      </c>
      <c r="AZ13" s="94">
        <v>1.4966795499999999E-2</v>
      </c>
      <c r="BA13" s="79">
        <v>0.933245247</v>
      </c>
      <c r="BB13" s="13">
        <v>2.29697889E-2</v>
      </c>
      <c r="BC13" s="93">
        <v>0</v>
      </c>
      <c r="BD13" s="86">
        <v>0</v>
      </c>
      <c r="BE13" s="93">
        <v>3.1919013226000001</v>
      </c>
      <c r="BF13" s="94">
        <v>2.3384172299999999E-2</v>
      </c>
      <c r="BG13" s="94">
        <v>2.0799399999999999E-5</v>
      </c>
      <c r="BH13" s="86">
        <v>0</v>
      </c>
      <c r="BI13" s="93">
        <v>8.2303467899999996E-2</v>
      </c>
      <c r="BJ13" s="94">
        <v>6.2067380000000003E-4</v>
      </c>
      <c r="BK13" s="93">
        <v>7.6540514000000004E-3</v>
      </c>
      <c r="BL13" s="94">
        <v>4.1011199999999998E-5</v>
      </c>
      <c r="BM13" s="7" t="s">
        <v>76</v>
      </c>
      <c r="BN13" s="13">
        <v>0</v>
      </c>
      <c r="BO13" s="7" t="s">
        <v>76</v>
      </c>
      <c r="BP13" s="13">
        <v>0</v>
      </c>
      <c r="BQ13" s="93">
        <v>5.5504734006999996</v>
      </c>
      <c r="BR13" s="94">
        <v>4.0077931099999999E-2</v>
      </c>
      <c r="BS13" s="93">
        <v>2.8863765100000001E-2</v>
      </c>
      <c r="BT13" s="94">
        <v>2.1762659999999999E-4</v>
      </c>
      <c r="BU13" s="7" t="s">
        <v>76</v>
      </c>
      <c r="BV13" s="13">
        <v>0</v>
      </c>
      <c r="BW13" s="7" t="s">
        <v>76</v>
      </c>
      <c r="BX13" s="13">
        <v>0</v>
      </c>
      <c r="BY13" s="7" t="s">
        <v>76</v>
      </c>
      <c r="BZ13" s="13">
        <v>0</v>
      </c>
      <c r="CA13" s="7" t="s">
        <v>76</v>
      </c>
      <c r="CB13" s="13">
        <v>0</v>
      </c>
      <c r="CC13" s="93">
        <v>1.8635276900000001E-2</v>
      </c>
      <c r="CD13" s="94">
        <v>1.2781159999999999E-4</v>
      </c>
      <c r="CE13" s="93">
        <v>0</v>
      </c>
      <c r="CF13" s="94">
        <v>0</v>
      </c>
      <c r="CG13" s="93">
        <v>0.1080916937</v>
      </c>
      <c r="CH13" s="94">
        <v>6.9978390000000003E-4</v>
      </c>
      <c r="CI13" s="93">
        <v>1.8358259999999999E-4</v>
      </c>
      <c r="CJ13" s="94">
        <v>5.0722159999999999E-6</v>
      </c>
      <c r="CK13" s="6" t="s">
        <v>76</v>
      </c>
      <c r="CL13" s="13">
        <v>0</v>
      </c>
      <c r="CM13" s="7" t="s">
        <v>76</v>
      </c>
      <c r="CN13" s="15">
        <v>0</v>
      </c>
      <c r="CO13" s="93">
        <v>4.4860585627000003</v>
      </c>
      <c r="CP13" s="94">
        <v>4.8661865399999997E-2</v>
      </c>
      <c r="CQ13" s="93">
        <v>1.8095120700000002E-2</v>
      </c>
      <c r="CR13" s="94">
        <v>1.496976E-4</v>
      </c>
      <c r="CS13" s="93">
        <v>2.0455765655000002</v>
      </c>
      <c r="CT13" s="94">
        <v>1.2396971499999999E-2</v>
      </c>
      <c r="CU13" s="93">
        <v>3.6554176799999998E-2</v>
      </c>
      <c r="CV13" s="88">
        <v>2.8682239999999997E-4</v>
      </c>
      <c r="CW13" s="188">
        <v>1.3347500000000001E-5</v>
      </c>
      <c r="CX13" s="189">
        <v>1.88311E-5</v>
      </c>
      <c r="CY13" s="189">
        <v>2.0799399999999999E-5</v>
      </c>
      <c r="CZ13" s="189">
        <v>2.0799399999999999E-5</v>
      </c>
      <c r="DA13" s="189">
        <v>2.0799399999999999E-5</v>
      </c>
      <c r="DB13" s="189">
        <v>2.0799399999999999E-5</v>
      </c>
      <c r="DC13" s="189">
        <v>2.0799399999999999E-5</v>
      </c>
      <c r="DD13" s="189">
        <v>2.0799399999999999E-5</v>
      </c>
      <c r="DE13" s="189">
        <v>2.0799399999999999E-5</v>
      </c>
      <c r="DF13" s="190">
        <v>2.0799399999999999E-5</v>
      </c>
      <c r="DG13" s="112">
        <v>33.976898914000003</v>
      </c>
      <c r="DH13" s="13">
        <v>0.67028596100000004</v>
      </c>
      <c r="DI13" s="79">
        <v>16.278980257000001</v>
      </c>
      <c r="DJ13" s="13">
        <v>0.33318332969999997</v>
      </c>
      <c r="DK13" s="79">
        <v>7.0915586745999999</v>
      </c>
      <c r="DL13" s="13">
        <v>0.15746337439999999</v>
      </c>
      <c r="DM13" s="79">
        <v>2.8423213859000001</v>
      </c>
      <c r="DN13" s="13">
        <v>7.3622738899999998E-2</v>
      </c>
      <c r="DO13" s="79">
        <v>1.1027941942999999</v>
      </c>
      <c r="DP13" s="13">
        <v>3.6768983399999997E-2</v>
      </c>
      <c r="DQ13" s="79">
        <v>0.4525889374</v>
      </c>
      <c r="DR13" s="13">
        <v>2.0955472999999999E-2</v>
      </c>
      <c r="DS13" s="79">
        <v>0.2171624697</v>
      </c>
      <c r="DT13" s="13">
        <v>1.37253879E-2</v>
      </c>
      <c r="DU13" s="79">
        <v>0.1274927803</v>
      </c>
      <c r="DV13" s="13">
        <v>9.7466015000000003E-3</v>
      </c>
      <c r="DW13" s="79">
        <v>8.5935846199999999E-2</v>
      </c>
      <c r="DX13" s="13">
        <v>6.9733186999999999E-3</v>
      </c>
      <c r="DY13" s="79">
        <v>6.0916706100000002E-2</v>
      </c>
      <c r="DZ13" s="15">
        <v>4.9204052000000002E-3</v>
      </c>
    </row>
    <row r="14" spans="1:130" x14ac:dyDescent="0.2">
      <c r="A14" s="8">
        <v>900</v>
      </c>
      <c r="B14" s="82">
        <v>34861</v>
      </c>
      <c r="C14" s="83">
        <v>615.49410230000001</v>
      </c>
      <c r="D14" s="93">
        <v>848.84311904000003</v>
      </c>
      <c r="E14" s="93">
        <v>2.5125720925000001</v>
      </c>
      <c r="F14" s="94">
        <v>1.0586102700000001E-2</v>
      </c>
      <c r="G14" s="83">
        <v>7.5501216000000001E-3</v>
      </c>
      <c r="H14" s="94">
        <v>1.8413499999999999E-5</v>
      </c>
      <c r="I14" s="93">
        <v>94.911558666999994</v>
      </c>
      <c r="J14" s="94">
        <v>1.3400365757999999</v>
      </c>
      <c r="K14" s="93">
        <v>66.145288738999994</v>
      </c>
      <c r="L14" s="94">
        <v>0.77353428489999998</v>
      </c>
      <c r="M14" s="93">
        <v>0.2058746555</v>
      </c>
      <c r="N14" s="94">
        <v>1.6839323000000001E-3</v>
      </c>
      <c r="O14" s="37" t="s">
        <v>76</v>
      </c>
      <c r="P14" s="13">
        <v>0</v>
      </c>
      <c r="Q14" s="93">
        <v>7.0854539783000003</v>
      </c>
      <c r="R14" s="94">
        <v>4.8957177099999999E-2</v>
      </c>
      <c r="S14" s="37" t="s">
        <v>76</v>
      </c>
      <c r="T14" s="13">
        <v>0</v>
      </c>
      <c r="U14" s="37" t="s">
        <v>76</v>
      </c>
      <c r="V14" s="13">
        <v>0</v>
      </c>
      <c r="W14" s="93">
        <v>3.3417517200000003E-2</v>
      </c>
      <c r="X14" s="94">
        <v>1.8712899999999999E-4</v>
      </c>
      <c r="Y14" s="93">
        <v>0.23663127919999999</v>
      </c>
      <c r="Z14" s="94">
        <v>8.0102899999999995E-5</v>
      </c>
      <c r="AA14" s="37" t="s">
        <v>76</v>
      </c>
      <c r="AB14" s="13">
        <v>0</v>
      </c>
      <c r="AC14" s="93">
        <v>0</v>
      </c>
      <c r="AD14" s="94">
        <v>0</v>
      </c>
      <c r="AE14" s="37" t="s">
        <v>76</v>
      </c>
      <c r="AF14" s="13">
        <v>0</v>
      </c>
      <c r="AG14" s="37" t="s">
        <v>76</v>
      </c>
      <c r="AH14" s="13">
        <v>0</v>
      </c>
      <c r="AI14" s="93">
        <v>0</v>
      </c>
      <c r="AJ14" s="94">
        <v>0</v>
      </c>
      <c r="AK14" s="93">
        <v>120.21058889</v>
      </c>
      <c r="AL14" s="94">
        <v>0.84762011739999998</v>
      </c>
      <c r="AM14" s="37" t="s">
        <v>76</v>
      </c>
      <c r="AN14" s="13">
        <v>0</v>
      </c>
      <c r="AO14" s="37" t="s">
        <v>76</v>
      </c>
      <c r="AP14" s="13">
        <v>0</v>
      </c>
      <c r="AQ14" s="37" t="s">
        <v>76</v>
      </c>
      <c r="AR14" s="13">
        <v>0</v>
      </c>
      <c r="AS14" s="93">
        <v>6.8256749271999997</v>
      </c>
      <c r="AT14" s="94">
        <v>0.25609148650000002</v>
      </c>
      <c r="AU14" s="93">
        <v>10.348633734</v>
      </c>
      <c r="AV14" s="94">
        <v>8.3762842800000001E-2</v>
      </c>
      <c r="AW14" s="93">
        <v>6.3151663385000001</v>
      </c>
      <c r="AX14" s="94">
        <v>4.1470461799999997E-2</v>
      </c>
      <c r="AY14" s="93">
        <v>2.9660742519999999</v>
      </c>
      <c r="AZ14" s="94">
        <v>1.6459272600000002E-2</v>
      </c>
      <c r="BA14" s="79">
        <v>1.0673931433999999</v>
      </c>
      <c r="BB14" s="13">
        <v>2.5833108399999999E-2</v>
      </c>
      <c r="BC14" s="93">
        <v>0</v>
      </c>
      <c r="BD14" s="86">
        <v>0</v>
      </c>
      <c r="BE14" s="93">
        <v>3.8906916000999998</v>
      </c>
      <c r="BF14" s="94">
        <v>2.6942386299999999E-2</v>
      </c>
      <c r="BG14" s="94">
        <v>3.0474300000000001E-5</v>
      </c>
      <c r="BH14" s="86">
        <v>0</v>
      </c>
      <c r="BI14" s="93">
        <v>9.1344881899999994E-2</v>
      </c>
      <c r="BJ14" s="94">
        <v>6.9472119999999999E-4</v>
      </c>
      <c r="BK14" s="93">
        <v>8.8878450999999997E-3</v>
      </c>
      <c r="BL14" s="94">
        <v>4.91276E-5</v>
      </c>
      <c r="BM14" s="7" t="s">
        <v>76</v>
      </c>
      <c r="BN14" s="13">
        <v>0</v>
      </c>
      <c r="BO14" s="7" t="s">
        <v>76</v>
      </c>
      <c r="BP14" s="13">
        <v>0</v>
      </c>
      <c r="BQ14" s="93">
        <v>6.8391880454000002</v>
      </c>
      <c r="BR14" s="94">
        <v>4.7602794099999998E-2</v>
      </c>
      <c r="BS14" s="93">
        <v>3.4551773100000002E-2</v>
      </c>
      <c r="BT14" s="94">
        <v>2.5576340000000003E-4</v>
      </c>
      <c r="BU14" s="7" t="s">
        <v>76</v>
      </c>
      <c r="BV14" s="13">
        <v>0</v>
      </c>
      <c r="BW14" s="7" t="s">
        <v>76</v>
      </c>
      <c r="BX14" s="13">
        <v>0</v>
      </c>
      <c r="BY14" s="7" t="s">
        <v>76</v>
      </c>
      <c r="BZ14" s="13">
        <v>0</v>
      </c>
      <c r="CA14" s="7" t="s">
        <v>76</v>
      </c>
      <c r="CB14" s="13">
        <v>0</v>
      </c>
      <c r="CC14" s="93">
        <v>2.9075178199999999E-2</v>
      </c>
      <c r="CD14" s="94">
        <v>1.5449610000000001E-4</v>
      </c>
      <c r="CE14" s="93">
        <v>0</v>
      </c>
      <c r="CF14" s="94">
        <v>0</v>
      </c>
      <c r="CG14" s="93">
        <v>0.14705385000000001</v>
      </c>
      <c r="CH14" s="94">
        <v>8.6493219999999997E-4</v>
      </c>
      <c r="CI14" s="93">
        <v>6.0163709999999995E-4</v>
      </c>
      <c r="CJ14" s="94">
        <v>9.9626632000000007E-6</v>
      </c>
      <c r="CK14" s="6" t="s">
        <v>76</v>
      </c>
      <c r="CL14" s="13">
        <v>0</v>
      </c>
      <c r="CM14" s="7" t="s">
        <v>76</v>
      </c>
      <c r="CN14" s="15">
        <v>0</v>
      </c>
      <c r="CO14" s="93">
        <v>5.3639377494999998</v>
      </c>
      <c r="CP14" s="94">
        <v>5.4673279900000003E-2</v>
      </c>
      <c r="CQ14" s="93">
        <v>2.0960800299999999E-2</v>
      </c>
      <c r="CR14" s="94">
        <v>1.764147E-4</v>
      </c>
      <c r="CS14" s="93">
        <v>2.5392134904999999</v>
      </c>
      <c r="CT14" s="94">
        <v>1.4548974900000001E-2</v>
      </c>
      <c r="CU14" s="93">
        <v>4.0461407999999997E-2</v>
      </c>
      <c r="CV14" s="88">
        <v>3.233469E-4</v>
      </c>
      <c r="CW14" s="188">
        <v>1.8413499999999999E-5</v>
      </c>
      <c r="CX14" s="189">
        <v>2.8627299999999999E-5</v>
      </c>
      <c r="CY14" s="189">
        <v>3.0474300000000001E-5</v>
      </c>
      <c r="CZ14" s="189">
        <v>3.0474300000000001E-5</v>
      </c>
      <c r="DA14" s="189">
        <v>3.0474300000000001E-5</v>
      </c>
      <c r="DB14" s="189">
        <v>3.0474300000000001E-5</v>
      </c>
      <c r="DC14" s="189">
        <v>3.0474300000000001E-5</v>
      </c>
      <c r="DD14" s="189">
        <v>3.0474300000000001E-5</v>
      </c>
      <c r="DE14" s="189">
        <v>3.0474300000000001E-5</v>
      </c>
      <c r="DF14" s="190">
        <v>3.0474300000000001E-5</v>
      </c>
      <c r="DG14" s="112">
        <v>38.669169103999998</v>
      </c>
      <c r="DH14" s="13">
        <v>0.74939868909999996</v>
      </c>
      <c r="DI14" s="79">
        <v>19.545963401000002</v>
      </c>
      <c r="DJ14" s="13">
        <v>0.390193436</v>
      </c>
      <c r="DK14" s="79">
        <v>9.1011375551999993</v>
      </c>
      <c r="DL14" s="13">
        <v>0.194300738</v>
      </c>
      <c r="DM14" s="79">
        <v>3.9477405036</v>
      </c>
      <c r="DN14" s="13">
        <v>9.5311174100000007E-2</v>
      </c>
      <c r="DO14" s="79">
        <v>1.6522326653999999</v>
      </c>
      <c r="DP14" s="13">
        <v>4.8684728099999998E-2</v>
      </c>
      <c r="DQ14" s="79">
        <v>0.70592969989999999</v>
      </c>
      <c r="DR14" s="13">
        <v>2.7281333500000001E-2</v>
      </c>
      <c r="DS14" s="79">
        <v>0.33136237880000002</v>
      </c>
      <c r="DT14" s="13">
        <v>1.7187009900000001E-2</v>
      </c>
      <c r="DU14" s="79">
        <v>0.1847784106</v>
      </c>
      <c r="DV14" s="13">
        <v>1.18538164E-2</v>
      </c>
      <c r="DW14" s="79">
        <v>0.1167271282</v>
      </c>
      <c r="DX14" s="13">
        <v>8.3319925999999992E-3</v>
      </c>
      <c r="DY14" s="79">
        <v>8.0071583900000007E-2</v>
      </c>
      <c r="DZ14" s="15">
        <v>5.8659810000000001E-3</v>
      </c>
    </row>
    <row r="15" spans="1:130" x14ac:dyDescent="0.2">
      <c r="A15" s="8">
        <v>1000</v>
      </c>
      <c r="B15" s="82">
        <v>31874</v>
      </c>
      <c r="C15" s="83">
        <v>665.77640000999997</v>
      </c>
      <c r="D15" s="93">
        <v>948.86852681000005</v>
      </c>
      <c r="E15" s="93">
        <v>3.1399225585999999</v>
      </c>
      <c r="F15" s="94">
        <v>1.2498172E-2</v>
      </c>
      <c r="G15" s="83">
        <v>1.8637013800000001E-2</v>
      </c>
      <c r="H15" s="94">
        <v>3.36354E-5</v>
      </c>
      <c r="I15" s="93">
        <v>102.42823748000001</v>
      </c>
      <c r="J15" s="94">
        <v>1.4272722624</v>
      </c>
      <c r="K15" s="93">
        <v>75.166318633000003</v>
      </c>
      <c r="L15" s="94">
        <v>0.8549643992</v>
      </c>
      <c r="M15" s="93">
        <v>0.22546647149999999</v>
      </c>
      <c r="N15" s="94">
        <v>1.8404957E-3</v>
      </c>
      <c r="O15" s="37" t="s">
        <v>76</v>
      </c>
      <c r="P15" s="13">
        <v>0</v>
      </c>
      <c r="Q15" s="93">
        <v>8.5060458551</v>
      </c>
      <c r="R15" s="94">
        <v>5.6818405600000003E-2</v>
      </c>
      <c r="S15" s="37" t="s">
        <v>76</v>
      </c>
      <c r="T15" s="13">
        <v>0</v>
      </c>
      <c r="U15" s="37" t="s">
        <v>76</v>
      </c>
      <c r="V15" s="13">
        <v>0</v>
      </c>
      <c r="W15" s="93">
        <v>4.1109542800000003E-2</v>
      </c>
      <c r="X15" s="94">
        <v>2.2106510000000001E-4</v>
      </c>
      <c r="Y15" s="93">
        <v>0.28091402500000001</v>
      </c>
      <c r="Z15" s="94">
        <v>8.5217500000000002E-5</v>
      </c>
      <c r="AA15" s="37" t="s">
        <v>76</v>
      </c>
      <c r="AB15" s="13">
        <v>0</v>
      </c>
      <c r="AC15" s="93">
        <v>0</v>
      </c>
      <c r="AD15" s="94">
        <v>0</v>
      </c>
      <c r="AE15" s="37" t="s">
        <v>76</v>
      </c>
      <c r="AF15" s="13">
        <v>0</v>
      </c>
      <c r="AG15" s="37" t="s">
        <v>76</v>
      </c>
      <c r="AH15" s="13">
        <v>0</v>
      </c>
      <c r="AI15" s="93">
        <v>0</v>
      </c>
      <c r="AJ15" s="94">
        <v>0</v>
      </c>
      <c r="AK15" s="93">
        <v>130.23619801000001</v>
      </c>
      <c r="AL15" s="94">
        <v>0.90671237579999997</v>
      </c>
      <c r="AM15" s="37" t="s">
        <v>76</v>
      </c>
      <c r="AN15" s="13">
        <v>0</v>
      </c>
      <c r="AO15" s="37" t="s">
        <v>76</v>
      </c>
      <c r="AP15" s="13">
        <v>0</v>
      </c>
      <c r="AQ15" s="37" t="s">
        <v>76</v>
      </c>
      <c r="AR15" s="13">
        <v>0</v>
      </c>
      <c r="AS15" s="93">
        <v>7.9413504674000004</v>
      </c>
      <c r="AT15" s="94">
        <v>0.28016467090000002</v>
      </c>
      <c r="AU15" s="93">
        <v>11.517182846000001</v>
      </c>
      <c r="AV15" s="94">
        <v>9.1959141699999997E-2</v>
      </c>
      <c r="AW15" s="93">
        <v>7.0943568488000004</v>
      </c>
      <c r="AX15" s="94">
        <v>4.5670138300000003E-2</v>
      </c>
      <c r="AY15" s="93">
        <v>3.2195725614000001</v>
      </c>
      <c r="AZ15" s="94">
        <v>1.77710918E-2</v>
      </c>
      <c r="BA15" s="79">
        <v>1.2032534355</v>
      </c>
      <c r="BB15" s="13">
        <v>2.8517911600000001E-2</v>
      </c>
      <c r="BC15" s="93">
        <v>0</v>
      </c>
      <c r="BD15" s="86">
        <v>0</v>
      </c>
      <c r="BE15" s="93">
        <v>4.6012092820000001</v>
      </c>
      <c r="BF15" s="94">
        <v>3.0615542499999999E-2</v>
      </c>
      <c r="BG15" s="94">
        <v>4.6826400000000003E-5</v>
      </c>
      <c r="BH15" s="86">
        <v>0</v>
      </c>
      <c r="BI15" s="93">
        <v>9.7097254699999996E-2</v>
      </c>
      <c r="BJ15" s="94">
        <v>7.5449000000000002E-4</v>
      </c>
      <c r="BK15" s="93">
        <v>1.09823942E-2</v>
      </c>
      <c r="BL15" s="94">
        <v>6.3617100000000005E-5</v>
      </c>
      <c r="BM15" s="7" t="s">
        <v>76</v>
      </c>
      <c r="BN15" s="13">
        <v>0</v>
      </c>
      <c r="BO15" s="7" t="s">
        <v>76</v>
      </c>
      <c r="BP15" s="13">
        <v>0</v>
      </c>
      <c r="BQ15" s="93">
        <v>8.2246172240999993</v>
      </c>
      <c r="BR15" s="94">
        <v>5.5301296399999998E-2</v>
      </c>
      <c r="BS15" s="93">
        <v>4.1513751000000002E-2</v>
      </c>
      <c r="BT15" s="94">
        <v>3.2876310000000002E-4</v>
      </c>
      <c r="BU15" s="7" t="s">
        <v>76</v>
      </c>
      <c r="BV15" s="13">
        <v>0</v>
      </c>
      <c r="BW15" s="7" t="s">
        <v>76</v>
      </c>
      <c r="BX15" s="13">
        <v>0</v>
      </c>
      <c r="BY15" s="7" t="s">
        <v>76</v>
      </c>
      <c r="BZ15" s="13">
        <v>0</v>
      </c>
      <c r="CA15" s="7" t="s">
        <v>76</v>
      </c>
      <c r="CB15" s="13">
        <v>0</v>
      </c>
      <c r="CC15" s="93">
        <v>3.66985253E-2</v>
      </c>
      <c r="CD15" s="94">
        <v>1.880567E-4</v>
      </c>
      <c r="CE15" s="93">
        <v>0</v>
      </c>
      <c r="CF15" s="94">
        <v>0</v>
      </c>
      <c r="CG15" s="93">
        <v>0.17646294830000001</v>
      </c>
      <c r="CH15" s="94">
        <v>1.0169084000000001E-3</v>
      </c>
      <c r="CI15" s="93">
        <v>5.7298579999999998E-4</v>
      </c>
      <c r="CJ15" s="94">
        <v>1.29688E-5</v>
      </c>
      <c r="CK15" s="6" t="s">
        <v>76</v>
      </c>
      <c r="CL15" s="13">
        <v>0</v>
      </c>
      <c r="CM15" s="7" t="s">
        <v>76</v>
      </c>
      <c r="CN15" s="15">
        <v>0</v>
      </c>
      <c r="CO15" s="93">
        <v>6.2722557782999999</v>
      </c>
      <c r="CP15" s="94">
        <v>6.0870893199999998E-2</v>
      </c>
      <c r="CQ15" s="93">
        <v>2.7652215099999999E-2</v>
      </c>
      <c r="CR15" s="94">
        <v>2.0222290000000001E-4</v>
      </c>
      <c r="CS15" s="93">
        <v>3.0383317675999999</v>
      </c>
      <c r="CT15" s="94">
        <v>1.6716456899999999E-2</v>
      </c>
      <c r="CU15" s="93">
        <v>4.5848269300000001E-2</v>
      </c>
      <c r="CV15" s="88">
        <v>3.6809450000000002E-4</v>
      </c>
      <c r="CW15" s="188">
        <v>3.36354E-5</v>
      </c>
      <c r="CX15" s="189">
        <v>4.5077400000000003E-5</v>
      </c>
      <c r="CY15" s="189">
        <v>4.6826400000000003E-5</v>
      </c>
      <c r="CZ15" s="189">
        <v>4.6826400000000003E-5</v>
      </c>
      <c r="DA15" s="189">
        <v>4.6826400000000003E-5</v>
      </c>
      <c r="DB15" s="189">
        <v>4.6826400000000003E-5</v>
      </c>
      <c r="DC15" s="189">
        <v>4.6826400000000003E-5</v>
      </c>
      <c r="DD15" s="189">
        <v>4.6826400000000003E-5</v>
      </c>
      <c r="DE15" s="189">
        <v>4.6826400000000003E-5</v>
      </c>
      <c r="DF15" s="190">
        <v>4.6826400000000003E-5</v>
      </c>
      <c r="DG15" s="112">
        <v>43.097687815</v>
      </c>
      <c r="DH15" s="13">
        <v>0.82244115579999999</v>
      </c>
      <c r="DI15" s="79">
        <v>22.740780634</v>
      </c>
      <c r="DJ15" s="13">
        <v>0.44487917869999999</v>
      </c>
      <c r="DK15" s="79">
        <v>11.173879064999999</v>
      </c>
      <c r="DL15" s="13">
        <v>0.23141306389999999</v>
      </c>
      <c r="DM15" s="79">
        <v>5.1730316747999998</v>
      </c>
      <c r="DN15" s="13">
        <v>0.1185315685</v>
      </c>
      <c r="DO15" s="79">
        <v>2.3227189168</v>
      </c>
      <c r="DP15" s="13">
        <v>6.2448699199999999E-2</v>
      </c>
      <c r="DQ15" s="79">
        <v>1.0525295535999999</v>
      </c>
      <c r="DR15" s="13">
        <v>3.5303912700000002E-2</v>
      </c>
      <c r="DS15" s="79">
        <v>0.51113031720000002</v>
      </c>
      <c r="DT15" s="13">
        <v>2.1986959800000001E-2</v>
      </c>
      <c r="DU15" s="79">
        <v>0.28021482060000003</v>
      </c>
      <c r="DV15" s="13">
        <v>1.48613315E-2</v>
      </c>
      <c r="DW15" s="79">
        <v>0.17116785470000001</v>
      </c>
      <c r="DX15" s="13">
        <v>1.0349157899999999E-2</v>
      </c>
      <c r="DY15" s="79">
        <v>0.11483011930000001</v>
      </c>
      <c r="DZ15" s="15">
        <v>7.2995070999999998E-3</v>
      </c>
    </row>
    <row r="16" spans="1:130" x14ac:dyDescent="0.2">
      <c r="A16" s="8">
        <v>1100</v>
      </c>
      <c r="B16" s="82">
        <v>28845</v>
      </c>
      <c r="C16" s="83">
        <v>713.65499115</v>
      </c>
      <c r="D16" s="93">
        <v>1049.3897021</v>
      </c>
      <c r="E16" s="93">
        <v>3.8451618393999998</v>
      </c>
      <c r="F16" s="94">
        <v>1.4678542899999999E-2</v>
      </c>
      <c r="G16" s="83">
        <v>2.7081806900000002E-2</v>
      </c>
      <c r="H16" s="94">
        <v>4.8981599999999999E-5</v>
      </c>
      <c r="I16" s="93">
        <v>109.47800709000001</v>
      </c>
      <c r="J16" s="94">
        <v>1.5070270153000001</v>
      </c>
      <c r="K16" s="93">
        <v>84.436279217000006</v>
      </c>
      <c r="L16" s="94">
        <v>0.93534228949999998</v>
      </c>
      <c r="M16" s="93">
        <v>0.25001609050000001</v>
      </c>
      <c r="N16" s="94">
        <v>2.0298865E-3</v>
      </c>
      <c r="O16" s="37" t="s">
        <v>76</v>
      </c>
      <c r="P16" s="13">
        <v>0</v>
      </c>
      <c r="Q16" s="93">
        <v>9.8553741419000005</v>
      </c>
      <c r="R16" s="94">
        <v>6.3748592199999995E-2</v>
      </c>
      <c r="S16" s="37" t="s">
        <v>76</v>
      </c>
      <c r="T16" s="13">
        <v>0</v>
      </c>
      <c r="U16" s="37" t="s">
        <v>76</v>
      </c>
      <c r="V16" s="13">
        <v>0</v>
      </c>
      <c r="W16" s="93">
        <v>4.6183516000000001E-2</v>
      </c>
      <c r="X16" s="94">
        <v>2.4852739999999999E-4</v>
      </c>
      <c r="Y16" s="93">
        <v>0.34250692710000002</v>
      </c>
      <c r="Z16" s="94">
        <v>1.2070659999999999E-4</v>
      </c>
      <c r="AA16" s="37" t="s">
        <v>76</v>
      </c>
      <c r="AB16" s="13">
        <v>0</v>
      </c>
      <c r="AC16" s="93">
        <v>0</v>
      </c>
      <c r="AD16" s="94">
        <v>0</v>
      </c>
      <c r="AE16" s="37" t="s">
        <v>76</v>
      </c>
      <c r="AF16" s="13">
        <v>0</v>
      </c>
      <c r="AG16" s="37" t="s">
        <v>76</v>
      </c>
      <c r="AH16" s="13">
        <v>0</v>
      </c>
      <c r="AI16" s="93">
        <v>0</v>
      </c>
      <c r="AJ16" s="94">
        <v>0</v>
      </c>
      <c r="AK16" s="93">
        <v>139.20598727000001</v>
      </c>
      <c r="AL16" s="94">
        <v>0.95917644520000001</v>
      </c>
      <c r="AM16" s="37" t="s">
        <v>76</v>
      </c>
      <c r="AN16" s="13">
        <v>0</v>
      </c>
      <c r="AO16" s="37" t="s">
        <v>76</v>
      </c>
      <c r="AP16" s="13">
        <v>0</v>
      </c>
      <c r="AQ16" s="37" t="s">
        <v>76</v>
      </c>
      <c r="AR16" s="13">
        <v>0</v>
      </c>
      <c r="AS16" s="93">
        <v>9.0374683001000005</v>
      </c>
      <c r="AT16" s="94">
        <v>0.30115995769999998</v>
      </c>
      <c r="AU16" s="93">
        <v>12.695635512999999</v>
      </c>
      <c r="AV16" s="94">
        <v>9.9742224800000001E-2</v>
      </c>
      <c r="AW16" s="93">
        <v>7.9071510252000001</v>
      </c>
      <c r="AX16" s="94">
        <v>4.9902464399999999E-2</v>
      </c>
      <c r="AY16" s="93">
        <v>3.4681701433000001</v>
      </c>
      <c r="AZ16" s="94">
        <v>1.89971159E-2</v>
      </c>
      <c r="BA16" s="79">
        <v>1.3203143443000001</v>
      </c>
      <c r="BB16" s="13">
        <v>3.0842644499999999E-2</v>
      </c>
      <c r="BC16" s="93">
        <v>0</v>
      </c>
      <c r="BD16" s="86">
        <v>0</v>
      </c>
      <c r="BE16" s="93">
        <v>5.3586479741000002</v>
      </c>
      <c r="BF16" s="94">
        <v>3.4305211699999998E-2</v>
      </c>
      <c r="BG16" s="94">
        <v>6.6042299999999996E-5</v>
      </c>
      <c r="BH16" s="86">
        <v>0</v>
      </c>
      <c r="BI16" s="93">
        <v>0.1082356421</v>
      </c>
      <c r="BJ16" s="94">
        <v>8.351818E-4</v>
      </c>
      <c r="BK16" s="93">
        <v>1.1944654900000001E-2</v>
      </c>
      <c r="BL16" s="94">
        <v>6.7426800000000003E-5</v>
      </c>
      <c r="BM16" s="7" t="s">
        <v>76</v>
      </c>
      <c r="BN16" s="13">
        <v>0</v>
      </c>
      <c r="BO16" s="7" t="s">
        <v>76</v>
      </c>
      <c r="BP16" s="13">
        <v>0</v>
      </c>
      <c r="BQ16" s="93">
        <v>9.5369862102000003</v>
      </c>
      <c r="BR16" s="94">
        <v>6.20859219E-2</v>
      </c>
      <c r="BS16" s="93">
        <v>4.9212732299999999E-2</v>
      </c>
      <c r="BT16" s="94">
        <v>3.8615360000000002E-4</v>
      </c>
      <c r="BU16" s="7" t="s">
        <v>76</v>
      </c>
      <c r="BV16" s="13">
        <v>0</v>
      </c>
      <c r="BW16" s="7" t="s">
        <v>76</v>
      </c>
      <c r="BX16" s="13">
        <v>0</v>
      </c>
      <c r="BY16" s="7" t="s">
        <v>76</v>
      </c>
      <c r="BZ16" s="13">
        <v>0</v>
      </c>
      <c r="CA16" s="7" t="s">
        <v>76</v>
      </c>
      <c r="CB16" s="13">
        <v>0</v>
      </c>
      <c r="CC16" s="93">
        <v>4.1964114099999998E-2</v>
      </c>
      <c r="CD16" s="94">
        <v>2.1694180000000001E-4</v>
      </c>
      <c r="CE16" s="93">
        <v>0</v>
      </c>
      <c r="CF16" s="94">
        <v>0</v>
      </c>
      <c r="CG16" s="93">
        <v>0.22427636100000001</v>
      </c>
      <c r="CH16" s="94">
        <v>1.2169507000000001E-3</v>
      </c>
      <c r="CI16" s="93">
        <v>5.4914850000000002E-4</v>
      </c>
      <c r="CJ16" s="94">
        <v>1.2401E-5</v>
      </c>
      <c r="CK16" s="6" t="s">
        <v>76</v>
      </c>
      <c r="CL16" s="13">
        <v>0</v>
      </c>
      <c r="CM16" s="7" t="s">
        <v>76</v>
      </c>
      <c r="CN16" s="15">
        <v>0</v>
      </c>
      <c r="CO16" s="93">
        <v>7.1474216251999998</v>
      </c>
      <c r="CP16" s="94">
        <v>6.6629114399999995E-2</v>
      </c>
      <c r="CQ16" s="93">
        <v>2.8681703100000001E-2</v>
      </c>
      <c r="CR16" s="94">
        <v>2.2314350000000001E-4</v>
      </c>
      <c r="CS16" s="93">
        <v>3.5860763099000001</v>
      </c>
      <c r="CT16" s="94">
        <v>1.8927426800000001E-2</v>
      </c>
      <c r="CU16" s="93">
        <v>5.14962349E-2</v>
      </c>
      <c r="CV16" s="88">
        <v>4.1532249999999999E-4</v>
      </c>
      <c r="CW16" s="188">
        <v>4.8031300000000002E-5</v>
      </c>
      <c r="CX16" s="189">
        <v>6.4373299999999996E-5</v>
      </c>
      <c r="CY16" s="189">
        <v>6.6042299999999996E-5</v>
      </c>
      <c r="CZ16" s="189">
        <v>6.6042299999999996E-5</v>
      </c>
      <c r="DA16" s="189">
        <v>6.6042299999999996E-5</v>
      </c>
      <c r="DB16" s="189">
        <v>6.6042299999999996E-5</v>
      </c>
      <c r="DC16" s="189">
        <v>6.6042299999999996E-5</v>
      </c>
      <c r="DD16" s="189">
        <v>6.6042299999999996E-5</v>
      </c>
      <c r="DE16" s="189">
        <v>6.6042299999999996E-5</v>
      </c>
      <c r="DF16" s="190">
        <v>6.6042299999999996E-5</v>
      </c>
      <c r="DG16" s="112">
        <v>47.286535798999999</v>
      </c>
      <c r="DH16" s="13">
        <v>0.89023269689999995</v>
      </c>
      <c r="DI16" s="79">
        <v>25.834975329999999</v>
      </c>
      <c r="DJ16" s="13">
        <v>0.49690591680000001</v>
      </c>
      <c r="DK16" s="79">
        <v>13.255245126</v>
      </c>
      <c r="DL16" s="13">
        <v>0.26792099250000001</v>
      </c>
      <c r="DM16" s="79">
        <v>6.4616570471000001</v>
      </c>
      <c r="DN16" s="13">
        <v>0.14245717469999999</v>
      </c>
      <c r="DO16" s="79">
        <v>3.0723659562000001</v>
      </c>
      <c r="DP16" s="13">
        <v>7.73487484E-2</v>
      </c>
      <c r="DQ16" s="79">
        <v>1.4600939253</v>
      </c>
      <c r="DR16" s="13">
        <v>4.4217502200000001E-2</v>
      </c>
      <c r="DS16" s="79">
        <v>0.72526103340000003</v>
      </c>
      <c r="DT16" s="13">
        <v>2.7319818499999999E-2</v>
      </c>
      <c r="DU16" s="79">
        <v>0.39347685319999998</v>
      </c>
      <c r="DV16" s="13">
        <v>1.8164036299999999E-2</v>
      </c>
      <c r="DW16" s="79">
        <v>0.23415291469999999</v>
      </c>
      <c r="DX16" s="13">
        <v>1.25095178E-2</v>
      </c>
      <c r="DY16" s="79">
        <v>0.15259113269999999</v>
      </c>
      <c r="DZ16" s="15">
        <v>8.7779026E-3</v>
      </c>
    </row>
    <row r="17" spans="1:130" x14ac:dyDescent="0.2">
      <c r="A17" s="8">
        <v>1200</v>
      </c>
      <c r="B17" s="82">
        <v>26088</v>
      </c>
      <c r="C17" s="83">
        <v>759.34827398000004</v>
      </c>
      <c r="D17" s="93">
        <v>1149.5049515000001</v>
      </c>
      <c r="E17" s="93">
        <v>4.6472783393999997</v>
      </c>
      <c r="F17" s="94">
        <v>1.68712398E-2</v>
      </c>
      <c r="G17" s="83">
        <v>3.5952943100000002E-2</v>
      </c>
      <c r="H17" s="94">
        <v>6.0241999999999997E-5</v>
      </c>
      <c r="I17" s="93">
        <v>115.88110687</v>
      </c>
      <c r="J17" s="94">
        <v>1.5779038473</v>
      </c>
      <c r="K17" s="93">
        <v>93.677977509000002</v>
      </c>
      <c r="L17" s="94">
        <v>1.0127000290999999</v>
      </c>
      <c r="M17" s="93">
        <v>0.27666264540000002</v>
      </c>
      <c r="N17" s="94">
        <v>2.2492375E-3</v>
      </c>
      <c r="O17" s="37" t="s">
        <v>76</v>
      </c>
      <c r="P17" s="13">
        <v>0</v>
      </c>
      <c r="Q17" s="93">
        <v>11.253289322000001</v>
      </c>
      <c r="R17" s="94">
        <v>7.0762683300000004E-2</v>
      </c>
      <c r="S17" s="37" t="s">
        <v>76</v>
      </c>
      <c r="T17" s="13">
        <v>0</v>
      </c>
      <c r="U17" s="37" t="s">
        <v>76</v>
      </c>
      <c r="V17" s="13">
        <v>0</v>
      </c>
      <c r="W17" s="93">
        <v>5.0592758000000002E-2</v>
      </c>
      <c r="X17" s="94">
        <v>2.6039690000000001E-4</v>
      </c>
      <c r="Y17" s="93">
        <v>0.4067211771</v>
      </c>
      <c r="Z17" s="94">
        <v>1.2585450000000001E-4</v>
      </c>
      <c r="AA17" s="37" t="s">
        <v>76</v>
      </c>
      <c r="AB17" s="13">
        <v>0</v>
      </c>
      <c r="AC17" s="93">
        <v>0</v>
      </c>
      <c r="AD17" s="94">
        <v>0</v>
      </c>
      <c r="AE17" s="37" t="s">
        <v>76</v>
      </c>
      <c r="AF17" s="13">
        <v>0</v>
      </c>
      <c r="AG17" s="37" t="s">
        <v>76</v>
      </c>
      <c r="AH17" s="13">
        <v>0</v>
      </c>
      <c r="AI17" s="93">
        <v>0</v>
      </c>
      <c r="AJ17" s="94">
        <v>0</v>
      </c>
      <c r="AK17" s="93">
        <v>147.27409428999999</v>
      </c>
      <c r="AL17" s="94">
        <v>1.0057555037000001</v>
      </c>
      <c r="AM17" s="37" t="s">
        <v>76</v>
      </c>
      <c r="AN17" s="13">
        <v>0</v>
      </c>
      <c r="AO17" s="37" t="s">
        <v>76</v>
      </c>
      <c r="AP17" s="13">
        <v>0</v>
      </c>
      <c r="AQ17" s="37" t="s">
        <v>76</v>
      </c>
      <c r="AR17" s="13">
        <v>0</v>
      </c>
      <c r="AS17" s="93">
        <v>10.164951565000001</v>
      </c>
      <c r="AT17" s="94">
        <v>0.32060613129999999</v>
      </c>
      <c r="AU17" s="93">
        <v>13.822311167000001</v>
      </c>
      <c r="AV17" s="94">
        <v>0.1071460617</v>
      </c>
      <c r="AW17" s="93">
        <v>8.6693088635999995</v>
      </c>
      <c r="AX17" s="94">
        <v>5.3739155300000001E-2</v>
      </c>
      <c r="AY17" s="93">
        <v>3.7049069335000002</v>
      </c>
      <c r="AZ17" s="94">
        <v>2.0158294899999998E-2</v>
      </c>
      <c r="BA17" s="79">
        <v>1.4480953695000001</v>
      </c>
      <c r="BB17" s="13">
        <v>3.3248611499999997E-2</v>
      </c>
      <c r="BC17" s="93">
        <v>0</v>
      </c>
      <c r="BD17" s="86">
        <v>0</v>
      </c>
      <c r="BE17" s="93">
        <v>6.1419798914000001</v>
      </c>
      <c r="BF17" s="94">
        <v>3.8017520399999997E-2</v>
      </c>
      <c r="BG17" s="94">
        <v>7.75742E-5</v>
      </c>
      <c r="BH17" s="86">
        <v>0</v>
      </c>
      <c r="BI17" s="93">
        <v>0.1212465403</v>
      </c>
      <c r="BJ17" s="94">
        <v>9.5442729999999998E-4</v>
      </c>
      <c r="BK17" s="93">
        <v>1.2358397300000001E-2</v>
      </c>
      <c r="BL17" s="94">
        <v>6.8473999999999995E-5</v>
      </c>
      <c r="BM17" s="7" t="s">
        <v>76</v>
      </c>
      <c r="BN17" s="13">
        <v>0</v>
      </c>
      <c r="BO17" s="7" t="s">
        <v>76</v>
      </c>
      <c r="BP17" s="13">
        <v>0</v>
      </c>
      <c r="BQ17" s="93">
        <v>10.890352158000001</v>
      </c>
      <c r="BR17" s="94">
        <v>6.8923974700000001E-2</v>
      </c>
      <c r="BS17" s="93">
        <v>5.6253528999999997E-2</v>
      </c>
      <c r="BT17" s="94">
        <v>4.373569E-4</v>
      </c>
      <c r="BU17" s="7" t="s">
        <v>76</v>
      </c>
      <c r="BV17" s="13">
        <v>0</v>
      </c>
      <c r="BW17" s="7" t="s">
        <v>76</v>
      </c>
      <c r="BX17" s="13">
        <v>0</v>
      </c>
      <c r="BY17" s="7" t="s">
        <v>76</v>
      </c>
      <c r="BZ17" s="13">
        <v>0</v>
      </c>
      <c r="CA17" s="7" t="s">
        <v>76</v>
      </c>
      <c r="CB17" s="13">
        <v>0</v>
      </c>
      <c r="CC17" s="93">
        <v>4.5870751799999998E-2</v>
      </c>
      <c r="CD17" s="94">
        <v>2.23673E-4</v>
      </c>
      <c r="CE17" s="93">
        <v>0</v>
      </c>
      <c r="CF17" s="94">
        <v>0</v>
      </c>
      <c r="CG17" s="93">
        <v>0.2796794226</v>
      </c>
      <c r="CH17" s="94">
        <v>1.466743E-3</v>
      </c>
      <c r="CI17" s="93">
        <v>5.2906790000000002E-4</v>
      </c>
      <c r="CJ17" s="94">
        <v>1.1935E-5</v>
      </c>
      <c r="CK17" s="6" t="s">
        <v>76</v>
      </c>
      <c r="CL17" s="13">
        <v>0</v>
      </c>
      <c r="CM17" s="7" t="s">
        <v>76</v>
      </c>
      <c r="CN17" s="15">
        <v>0</v>
      </c>
      <c r="CO17" s="93">
        <v>8.0720388306000004</v>
      </c>
      <c r="CP17" s="94">
        <v>7.2336950900000002E-2</v>
      </c>
      <c r="CQ17" s="93">
        <v>2.8472999799999999E-2</v>
      </c>
      <c r="CR17" s="94">
        <v>2.4285570000000001E-4</v>
      </c>
      <c r="CS17" s="93">
        <v>4.1152322014999996</v>
      </c>
      <c r="CT17" s="94">
        <v>2.0973293399999999E-2</v>
      </c>
      <c r="CU17" s="93">
        <v>5.3587731399999998E-2</v>
      </c>
      <c r="CV17" s="88">
        <v>4.4108610000000002E-4</v>
      </c>
      <c r="CW17" s="188">
        <v>5.9326100000000001E-5</v>
      </c>
      <c r="CX17" s="189">
        <v>7.5969600000000005E-5</v>
      </c>
      <c r="CY17" s="189">
        <v>7.75742E-5</v>
      </c>
      <c r="CZ17" s="189">
        <v>7.75742E-5</v>
      </c>
      <c r="DA17" s="189">
        <v>7.75742E-5</v>
      </c>
      <c r="DB17" s="189">
        <v>7.75742E-5</v>
      </c>
      <c r="DC17" s="189">
        <v>7.75742E-5</v>
      </c>
      <c r="DD17" s="189">
        <v>7.75742E-5</v>
      </c>
      <c r="DE17" s="189">
        <v>7.75742E-5</v>
      </c>
      <c r="DF17" s="190">
        <v>7.75742E-5</v>
      </c>
      <c r="DG17" s="112">
        <v>51.139440540000002</v>
      </c>
      <c r="DH17" s="13">
        <v>0.9511642414</v>
      </c>
      <c r="DI17" s="79">
        <v>28.745941464000001</v>
      </c>
      <c r="DJ17" s="13">
        <v>0.54480075370000003</v>
      </c>
      <c r="DK17" s="79">
        <v>15.281331382999999</v>
      </c>
      <c r="DL17" s="13">
        <v>0.30265002470000002</v>
      </c>
      <c r="DM17" s="79">
        <v>7.7703266492000003</v>
      </c>
      <c r="DN17" s="13">
        <v>0.1660700765</v>
      </c>
      <c r="DO17" s="79">
        <v>3.8634383658</v>
      </c>
      <c r="DP17" s="13">
        <v>9.2595092899999995E-2</v>
      </c>
      <c r="DQ17" s="79">
        <v>1.9220914025</v>
      </c>
      <c r="DR17" s="13">
        <v>5.3888570099999998E-2</v>
      </c>
      <c r="DS17" s="79">
        <v>0.98948157690000005</v>
      </c>
      <c r="DT17" s="13">
        <v>3.3451979E-2</v>
      </c>
      <c r="DU17" s="79">
        <v>0.544694444</v>
      </c>
      <c r="DV17" s="13">
        <v>2.21225317E-2</v>
      </c>
      <c r="DW17" s="79">
        <v>0.3215314601</v>
      </c>
      <c r="DX17" s="13">
        <v>1.51338963E-2</v>
      </c>
      <c r="DY17" s="79">
        <v>0.20542578589999999</v>
      </c>
      <c r="DZ17" s="15">
        <v>1.0586981699999999E-2</v>
      </c>
    </row>
    <row r="18" spans="1:130" x14ac:dyDescent="0.2">
      <c r="A18" s="8">
        <v>1300</v>
      </c>
      <c r="B18" s="82">
        <v>23933</v>
      </c>
      <c r="C18" s="83">
        <v>803.04943657000001</v>
      </c>
      <c r="D18" s="93">
        <v>1249.4217828000001</v>
      </c>
      <c r="E18" s="93">
        <v>5.4653694198</v>
      </c>
      <c r="F18" s="94">
        <v>1.9127538699999998E-2</v>
      </c>
      <c r="G18" s="83">
        <v>5.7842056400000001E-2</v>
      </c>
      <c r="H18" s="94">
        <v>8.7378400000000004E-5</v>
      </c>
      <c r="I18" s="93">
        <v>121.91241134000001</v>
      </c>
      <c r="J18" s="94">
        <v>1.6431787011000001</v>
      </c>
      <c r="K18" s="93">
        <v>103.13989586</v>
      </c>
      <c r="L18" s="94">
        <v>1.0898362338000001</v>
      </c>
      <c r="M18" s="93">
        <v>0.29297913069999998</v>
      </c>
      <c r="N18" s="94">
        <v>2.3593258000000001E-3</v>
      </c>
      <c r="O18" s="37" t="s">
        <v>76</v>
      </c>
      <c r="P18" s="13">
        <v>0</v>
      </c>
      <c r="Q18" s="93">
        <v>12.618189808</v>
      </c>
      <c r="R18" s="94">
        <v>7.7229638200000006E-2</v>
      </c>
      <c r="S18" s="37" t="s">
        <v>76</v>
      </c>
      <c r="T18" s="13">
        <v>0</v>
      </c>
      <c r="U18" s="37" t="s">
        <v>76</v>
      </c>
      <c r="V18" s="13">
        <v>0</v>
      </c>
      <c r="W18" s="93">
        <v>5.7138807899999998E-2</v>
      </c>
      <c r="X18" s="94">
        <v>2.802905E-4</v>
      </c>
      <c r="Y18" s="93">
        <v>0.47074890330000002</v>
      </c>
      <c r="Z18" s="94">
        <v>1.4160480000000001E-4</v>
      </c>
      <c r="AA18" s="37" t="s">
        <v>76</v>
      </c>
      <c r="AB18" s="13">
        <v>0</v>
      </c>
      <c r="AC18" s="93">
        <v>0</v>
      </c>
      <c r="AD18" s="94">
        <v>0</v>
      </c>
      <c r="AE18" s="37" t="s">
        <v>76</v>
      </c>
      <c r="AF18" s="13">
        <v>0</v>
      </c>
      <c r="AG18" s="37" t="s">
        <v>76</v>
      </c>
      <c r="AH18" s="13">
        <v>0</v>
      </c>
      <c r="AI18" s="93">
        <v>0</v>
      </c>
      <c r="AJ18" s="94">
        <v>0</v>
      </c>
      <c r="AK18" s="93">
        <v>154.84512027</v>
      </c>
      <c r="AL18" s="94">
        <v>1.0486719868000001</v>
      </c>
      <c r="AM18" s="37" t="s">
        <v>76</v>
      </c>
      <c r="AN18" s="13">
        <v>0</v>
      </c>
      <c r="AO18" s="37" t="s">
        <v>76</v>
      </c>
      <c r="AP18" s="13">
        <v>0</v>
      </c>
      <c r="AQ18" s="37" t="s">
        <v>76</v>
      </c>
      <c r="AR18" s="13">
        <v>0</v>
      </c>
      <c r="AS18" s="93">
        <v>11.245771948</v>
      </c>
      <c r="AT18" s="94">
        <v>0.3387811053</v>
      </c>
      <c r="AU18" s="93">
        <v>14.841595679999999</v>
      </c>
      <c r="AV18" s="94">
        <v>0.1140851328</v>
      </c>
      <c r="AW18" s="93">
        <v>9.3415274497999992</v>
      </c>
      <c r="AX18" s="94">
        <v>5.7279173900000001E-2</v>
      </c>
      <c r="AY18" s="93">
        <v>3.9200585485000001</v>
      </c>
      <c r="AZ18" s="94">
        <v>2.1211498799999999E-2</v>
      </c>
      <c r="BA18" s="79">
        <v>1.5800096817</v>
      </c>
      <c r="BB18" s="13">
        <v>3.5594460199999997E-2</v>
      </c>
      <c r="BC18" s="93">
        <v>0</v>
      </c>
      <c r="BD18" s="86">
        <v>0</v>
      </c>
      <c r="BE18" s="93">
        <v>6.9908600581</v>
      </c>
      <c r="BF18" s="94">
        <v>4.1711645300000003E-2</v>
      </c>
      <c r="BG18" s="94">
        <v>1.047874E-4</v>
      </c>
      <c r="BH18" s="86">
        <v>0</v>
      </c>
      <c r="BI18" s="93">
        <v>0.1241000895</v>
      </c>
      <c r="BJ18" s="94">
        <v>9.6474560000000002E-4</v>
      </c>
      <c r="BK18" s="93">
        <v>1.44059006E-2</v>
      </c>
      <c r="BL18" s="94">
        <v>7.7517100000000004E-5</v>
      </c>
      <c r="BM18" s="7" t="s">
        <v>76</v>
      </c>
      <c r="BN18" s="13">
        <v>0</v>
      </c>
      <c r="BO18" s="7" t="s">
        <v>76</v>
      </c>
      <c r="BP18" s="13">
        <v>0</v>
      </c>
      <c r="BQ18" s="93">
        <v>12.213434264</v>
      </c>
      <c r="BR18" s="94">
        <v>7.52243472E-2</v>
      </c>
      <c r="BS18" s="93">
        <v>6.3748905199999997E-2</v>
      </c>
      <c r="BT18" s="94">
        <v>4.8977500000000002E-4</v>
      </c>
      <c r="BU18" s="7" t="s">
        <v>76</v>
      </c>
      <c r="BV18" s="13">
        <v>0</v>
      </c>
      <c r="BW18" s="7" t="s">
        <v>76</v>
      </c>
      <c r="BX18" s="13">
        <v>0</v>
      </c>
      <c r="BY18" s="7" t="s">
        <v>76</v>
      </c>
      <c r="BZ18" s="13">
        <v>0</v>
      </c>
      <c r="CA18" s="7" t="s">
        <v>76</v>
      </c>
      <c r="CB18" s="13">
        <v>0</v>
      </c>
      <c r="CC18" s="93">
        <v>5.2474987100000002E-2</v>
      </c>
      <c r="CD18" s="94">
        <v>2.4386960000000001E-4</v>
      </c>
      <c r="CE18" s="93">
        <v>0</v>
      </c>
      <c r="CF18" s="94">
        <v>0</v>
      </c>
      <c r="CG18" s="93">
        <v>0.33047587909999998</v>
      </c>
      <c r="CH18" s="94">
        <v>1.7711268000000001E-3</v>
      </c>
      <c r="CI18" s="93">
        <v>5.1209940000000005E-4</v>
      </c>
      <c r="CJ18" s="94">
        <v>1.1529700000000001E-5</v>
      </c>
      <c r="CK18" s="6" t="s">
        <v>76</v>
      </c>
      <c r="CL18" s="13">
        <v>0</v>
      </c>
      <c r="CM18" s="7" t="s">
        <v>76</v>
      </c>
      <c r="CN18" s="15">
        <v>0</v>
      </c>
      <c r="CO18" s="93">
        <v>8.9411399114000005</v>
      </c>
      <c r="CP18" s="94">
        <v>7.7339122999999996E-2</v>
      </c>
      <c r="CQ18" s="93">
        <v>2.8401549200000001E-2</v>
      </c>
      <c r="CR18" s="94">
        <v>2.5305E-4</v>
      </c>
      <c r="CS18" s="93">
        <v>4.7177764758</v>
      </c>
      <c r="CT18" s="94">
        <v>2.3132934399999999E-2</v>
      </c>
      <c r="CU18" s="93">
        <v>5.4921900000000003E-2</v>
      </c>
      <c r="CV18" s="88">
        <v>4.6434159999999999E-4</v>
      </c>
      <c r="CW18" s="188">
        <v>8.4009000000000002E-5</v>
      </c>
      <c r="CX18" s="189">
        <v>1.0324019999999999E-4</v>
      </c>
      <c r="CY18" s="189">
        <v>1.047874E-4</v>
      </c>
      <c r="CZ18" s="189">
        <v>1.047874E-4</v>
      </c>
      <c r="DA18" s="189">
        <v>1.047874E-4</v>
      </c>
      <c r="DB18" s="189">
        <v>1.047874E-4</v>
      </c>
      <c r="DC18" s="189">
        <v>1.047874E-4</v>
      </c>
      <c r="DD18" s="189">
        <v>1.047874E-4</v>
      </c>
      <c r="DE18" s="189">
        <v>1.047874E-4</v>
      </c>
      <c r="DF18" s="190">
        <v>1.047874E-4</v>
      </c>
      <c r="DG18" s="112">
        <v>54.785033601999999</v>
      </c>
      <c r="DH18" s="13">
        <v>1.0078867564</v>
      </c>
      <c r="DI18" s="79">
        <v>31.539919448999999</v>
      </c>
      <c r="DJ18" s="13">
        <v>0.59005523299999996</v>
      </c>
      <c r="DK18" s="79">
        <v>17.265687598</v>
      </c>
      <c r="DL18" s="13">
        <v>0.33625924439999999</v>
      </c>
      <c r="DM18" s="79">
        <v>9.0982499454999992</v>
      </c>
      <c r="DN18" s="13">
        <v>0.18977460090000001</v>
      </c>
      <c r="DO18" s="79">
        <v>4.7091098420000002</v>
      </c>
      <c r="DP18" s="13">
        <v>0.1086454447</v>
      </c>
      <c r="DQ18" s="79">
        <v>2.4396671810999999</v>
      </c>
      <c r="DR18" s="13">
        <v>6.4441187499999997E-2</v>
      </c>
      <c r="DS18" s="79">
        <v>1.2979253154999999</v>
      </c>
      <c r="DT18" s="13">
        <v>4.0312980300000002E-2</v>
      </c>
      <c r="DU18" s="79">
        <v>0.72885020599999994</v>
      </c>
      <c r="DV18" s="13">
        <v>2.6658644200000001E-2</v>
      </c>
      <c r="DW18" s="79">
        <v>0.43302005919999997</v>
      </c>
      <c r="DX18" s="13">
        <v>1.8203980599999999E-2</v>
      </c>
      <c r="DY18" s="79">
        <v>0.27573487070000002</v>
      </c>
      <c r="DZ18" s="15">
        <v>1.2750088E-2</v>
      </c>
    </row>
    <row r="19" spans="1:130" x14ac:dyDescent="0.2">
      <c r="A19" s="8">
        <v>1400</v>
      </c>
      <c r="B19" s="82">
        <v>21889</v>
      </c>
      <c r="C19" s="83">
        <v>844.91759254999999</v>
      </c>
      <c r="D19" s="93">
        <v>1349.3203687</v>
      </c>
      <c r="E19" s="93">
        <v>6.3559274692000001</v>
      </c>
      <c r="F19" s="94">
        <v>2.15230423E-2</v>
      </c>
      <c r="G19" s="83">
        <v>8.06824025E-2</v>
      </c>
      <c r="H19" s="94">
        <v>1.15355E-4</v>
      </c>
      <c r="I19" s="93">
        <v>127.40609542999999</v>
      </c>
      <c r="J19" s="94">
        <v>1.7011826564999999</v>
      </c>
      <c r="K19" s="93">
        <v>112.65418098000001</v>
      </c>
      <c r="L19" s="94">
        <v>1.1654907216999999</v>
      </c>
      <c r="M19" s="93">
        <v>0.32125538069999998</v>
      </c>
      <c r="N19" s="94">
        <v>2.5558060999999999E-3</v>
      </c>
      <c r="O19" s="37" t="s">
        <v>76</v>
      </c>
      <c r="P19" s="13">
        <v>0</v>
      </c>
      <c r="Q19" s="93">
        <v>13.960358371</v>
      </c>
      <c r="R19" s="94">
        <v>8.3356202599999998E-2</v>
      </c>
      <c r="S19" s="37" t="s">
        <v>76</v>
      </c>
      <c r="T19" s="13">
        <v>0</v>
      </c>
      <c r="U19" s="37" t="s">
        <v>76</v>
      </c>
      <c r="V19" s="13">
        <v>0</v>
      </c>
      <c r="W19" s="93">
        <v>6.9733404600000007E-2</v>
      </c>
      <c r="X19" s="94">
        <v>3.2285339999999998E-4</v>
      </c>
      <c r="Y19" s="93">
        <v>0.54290289329999997</v>
      </c>
      <c r="Z19" s="94">
        <v>1.5897679999999999E-4</v>
      </c>
      <c r="AA19" s="37" t="s">
        <v>76</v>
      </c>
      <c r="AB19" s="13">
        <v>0</v>
      </c>
      <c r="AC19" s="93">
        <v>0</v>
      </c>
      <c r="AD19" s="94">
        <v>0</v>
      </c>
      <c r="AE19" s="37" t="s">
        <v>76</v>
      </c>
      <c r="AF19" s="13">
        <v>0</v>
      </c>
      <c r="AG19" s="37" t="s">
        <v>76</v>
      </c>
      <c r="AH19" s="13">
        <v>0</v>
      </c>
      <c r="AI19" s="93">
        <v>0</v>
      </c>
      <c r="AJ19" s="94">
        <v>0</v>
      </c>
      <c r="AK19" s="93">
        <v>161.78662059000001</v>
      </c>
      <c r="AL19" s="94">
        <v>1.0874592363</v>
      </c>
      <c r="AM19" s="37" t="s">
        <v>76</v>
      </c>
      <c r="AN19" s="13">
        <v>0</v>
      </c>
      <c r="AO19" s="37" t="s">
        <v>76</v>
      </c>
      <c r="AP19" s="13">
        <v>0</v>
      </c>
      <c r="AQ19" s="37" t="s">
        <v>76</v>
      </c>
      <c r="AR19" s="13">
        <v>0</v>
      </c>
      <c r="AS19" s="93">
        <v>12.327675258999999</v>
      </c>
      <c r="AT19" s="94">
        <v>0.35550376280000001</v>
      </c>
      <c r="AU19" s="93">
        <v>15.831750989</v>
      </c>
      <c r="AV19" s="94">
        <v>0.1206354496</v>
      </c>
      <c r="AW19" s="93">
        <v>10.03199635</v>
      </c>
      <c r="AX19" s="94">
        <v>6.0824130499999997E-2</v>
      </c>
      <c r="AY19" s="93">
        <v>4.1093271208999997</v>
      </c>
      <c r="AZ19" s="94">
        <v>2.2141182499999999E-2</v>
      </c>
      <c r="BA19" s="79">
        <v>1.6904275183999999</v>
      </c>
      <c r="BB19" s="13">
        <v>3.7670136600000001E-2</v>
      </c>
      <c r="BC19" s="93">
        <v>0</v>
      </c>
      <c r="BD19" s="86">
        <v>0</v>
      </c>
      <c r="BE19" s="93">
        <v>7.8732938383000004</v>
      </c>
      <c r="BF19" s="94">
        <v>4.5676628599999998E-2</v>
      </c>
      <c r="BG19" s="94">
        <v>1.4791000000000001E-4</v>
      </c>
      <c r="BH19" s="86">
        <v>0</v>
      </c>
      <c r="BI19" s="93">
        <v>0.13538181769999999</v>
      </c>
      <c r="BJ19" s="94">
        <v>1.0292405E-3</v>
      </c>
      <c r="BK19" s="93">
        <v>1.8290081E-2</v>
      </c>
      <c r="BL19" s="94">
        <v>9.1680600000000004E-5</v>
      </c>
      <c r="BM19" s="7" t="s">
        <v>76</v>
      </c>
      <c r="BN19" s="13">
        <v>0</v>
      </c>
      <c r="BO19" s="7" t="s">
        <v>76</v>
      </c>
      <c r="BP19" s="13">
        <v>0</v>
      </c>
      <c r="BQ19" s="93">
        <v>13.513921276</v>
      </c>
      <c r="BR19" s="94">
        <v>8.1175947299999995E-2</v>
      </c>
      <c r="BS19" s="93">
        <v>7.0462023299999996E-2</v>
      </c>
      <c r="BT19" s="94">
        <v>5.3559970000000001E-4</v>
      </c>
      <c r="BU19" s="7" t="s">
        <v>76</v>
      </c>
      <c r="BV19" s="13">
        <v>0</v>
      </c>
      <c r="BW19" s="7" t="s">
        <v>76</v>
      </c>
      <c r="BX19" s="13">
        <v>0</v>
      </c>
      <c r="BY19" s="7" t="s">
        <v>76</v>
      </c>
      <c r="BZ19" s="13">
        <v>0</v>
      </c>
      <c r="CA19" s="7" t="s">
        <v>76</v>
      </c>
      <c r="CB19" s="13">
        <v>0</v>
      </c>
      <c r="CC19" s="93">
        <v>6.4529084200000003E-2</v>
      </c>
      <c r="CD19" s="94">
        <v>2.8159460000000002E-4</v>
      </c>
      <c r="CE19" s="93">
        <v>0</v>
      </c>
      <c r="CF19" s="94">
        <v>0</v>
      </c>
      <c r="CG19" s="93">
        <v>0.3866871039</v>
      </c>
      <c r="CH19" s="94">
        <v>1.9627111999999999E-3</v>
      </c>
      <c r="CI19" s="93">
        <v>4.975623E-4</v>
      </c>
      <c r="CJ19" s="94">
        <v>1.2683200000000001E-5</v>
      </c>
      <c r="CK19" s="6" t="s">
        <v>76</v>
      </c>
      <c r="CL19" s="13">
        <v>0</v>
      </c>
      <c r="CM19" s="7" t="s">
        <v>76</v>
      </c>
      <c r="CN19" s="15">
        <v>0</v>
      </c>
      <c r="CO19" s="93">
        <v>9.8263587209000001</v>
      </c>
      <c r="CP19" s="94">
        <v>8.2576284999999999E-2</v>
      </c>
      <c r="CQ19" s="93">
        <v>3.0355385299999999E-2</v>
      </c>
      <c r="CR19" s="94">
        <v>2.6497510000000001E-4</v>
      </c>
      <c r="CS19" s="93">
        <v>5.3278045637</v>
      </c>
      <c r="CT19" s="94">
        <v>2.5320197700000002E-2</v>
      </c>
      <c r="CU19" s="93">
        <v>5.7517174300000001E-2</v>
      </c>
      <c r="CV19" s="88">
        <v>5.0305559999999996E-4</v>
      </c>
      <c r="CW19" s="188">
        <v>1.120742E-4</v>
      </c>
      <c r="CX19" s="189">
        <v>1.4317679999999999E-4</v>
      </c>
      <c r="CY19" s="189">
        <v>1.4704790000000001E-4</v>
      </c>
      <c r="CZ19" s="189">
        <v>1.4791000000000001E-4</v>
      </c>
      <c r="DA19" s="189">
        <v>1.4791000000000001E-4</v>
      </c>
      <c r="DB19" s="189">
        <v>1.4791000000000001E-4</v>
      </c>
      <c r="DC19" s="189">
        <v>1.4791000000000001E-4</v>
      </c>
      <c r="DD19" s="189">
        <v>1.4791000000000001E-4</v>
      </c>
      <c r="DE19" s="189">
        <v>1.4791000000000001E-4</v>
      </c>
      <c r="DF19" s="190">
        <v>1.4791000000000001E-4</v>
      </c>
      <c r="DG19" s="112">
        <v>58.133758595000003</v>
      </c>
      <c r="DH19" s="13">
        <v>1.0585679847</v>
      </c>
      <c r="DI19" s="79">
        <v>34.121373568000003</v>
      </c>
      <c r="DJ19" s="13">
        <v>0.63071898790000003</v>
      </c>
      <c r="DK19" s="79">
        <v>19.121333664000002</v>
      </c>
      <c r="DL19" s="13">
        <v>0.36672654100000002</v>
      </c>
      <c r="DM19" s="79">
        <v>10.350074019999999</v>
      </c>
      <c r="DN19" s="13">
        <v>0.21129091289999999</v>
      </c>
      <c r="DO19" s="79">
        <v>5.5242011134000002</v>
      </c>
      <c r="DP19" s="13">
        <v>0.1233489864</v>
      </c>
      <c r="DQ19" s="79">
        <v>2.9446195405000002</v>
      </c>
      <c r="DR19" s="13">
        <v>7.4099369200000001E-2</v>
      </c>
      <c r="DS19" s="79">
        <v>1.601889473</v>
      </c>
      <c r="DT19" s="13">
        <v>4.6529665200000001E-2</v>
      </c>
      <c r="DU19" s="79">
        <v>0.91093162009999995</v>
      </c>
      <c r="DV19" s="13">
        <v>3.0692882800000001E-2</v>
      </c>
      <c r="DW19" s="79">
        <v>0.54166040910000002</v>
      </c>
      <c r="DX19" s="13">
        <v>2.08471753E-2</v>
      </c>
      <c r="DY19" s="79">
        <v>0.34290093970000002</v>
      </c>
      <c r="DZ19" s="15">
        <v>1.45426576E-2</v>
      </c>
    </row>
    <row r="20" spans="1:130" x14ac:dyDescent="0.2">
      <c r="A20" s="8">
        <v>1500</v>
      </c>
      <c r="B20" s="82">
        <v>20272</v>
      </c>
      <c r="C20" s="83">
        <v>885.10005297999999</v>
      </c>
      <c r="D20" s="93">
        <v>1449.2930957000001</v>
      </c>
      <c r="E20" s="93">
        <v>7.2996168831999997</v>
      </c>
      <c r="F20" s="94">
        <v>2.38235215E-2</v>
      </c>
      <c r="G20" s="83">
        <v>0.1058956855</v>
      </c>
      <c r="H20" s="94">
        <v>1.410239E-4</v>
      </c>
      <c r="I20" s="93">
        <v>132.55871446</v>
      </c>
      <c r="J20" s="94">
        <v>1.7552716517</v>
      </c>
      <c r="K20" s="93">
        <v>121.93048044</v>
      </c>
      <c r="L20" s="94">
        <v>1.2377150217999999</v>
      </c>
      <c r="M20" s="93">
        <v>0.35730369610000001</v>
      </c>
      <c r="N20" s="94">
        <v>2.8375212E-3</v>
      </c>
      <c r="O20" s="37" t="s">
        <v>76</v>
      </c>
      <c r="P20" s="13">
        <v>0</v>
      </c>
      <c r="Q20" s="93">
        <v>15.376611112000001</v>
      </c>
      <c r="R20" s="94">
        <v>8.9410259699999994E-2</v>
      </c>
      <c r="S20" s="37" t="s">
        <v>76</v>
      </c>
      <c r="T20" s="13">
        <v>0</v>
      </c>
      <c r="U20" s="37" t="s">
        <v>76</v>
      </c>
      <c r="V20" s="13">
        <v>0</v>
      </c>
      <c r="W20" s="93">
        <v>7.85248162E-2</v>
      </c>
      <c r="X20" s="94">
        <v>4.1643749999999998E-4</v>
      </c>
      <c r="Y20" s="93">
        <v>0.63654429400000001</v>
      </c>
      <c r="Z20" s="94">
        <v>1.8586709999999999E-4</v>
      </c>
      <c r="AA20" s="37" t="s">
        <v>76</v>
      </c>
      <c r="AB20" s="13">
        <v>0</v>
      </c>
      <c r="AC20" s="93">
        <v>0</v>
      </c>
      <c r="AD20" s="94">
        <v>0</v>
      </c>
      <c r="AE20" s="37" t="s">
        <v>76</v>
      </c>
      <c r="AF20" s="13">
        <v>0</v>
      </c>
      <c r="AG20" s="37" t="s">
        <v>76</v>
      </c>
      <c r="AH20" s="13">
        <v>0</v>
      </c>
      <c r="AI20" s="93">
        <v>0</v>
      </c>
      <c r="AJ20" s="94">
        <v>0</v>
      </c>
      <c r="AK20" s="93">
        <v>168.29652743</v>
      </c>
      <c r="AL20" s="94">
        <v>1.1230205407</v>
      </c>
      <c r="AM20" s="37" t="s">
        <v>76</v>
      </c>
      <c r="AN20" s="13">
        <v>0</v>
      </c>
      <c r="AO20" s="37" t="s">
        <v>76</v>
      </c>
      <c r="AP20" s="13">
        <v>0</v>
      </c>
      <c r="AQ20" s="37" t="s">
        <v>76</v>
      </c>
      <c r="AR20" s="13">
        <v>0</v>
      </c>
      <c r="AS20" s="93">
        <v>13.434818764999999</v>
      </c>
      <c r="AT20" s="94">
        <v>0.37128716789999999</v>
      </c>
      <c r="AU20" s="93">
        <v>16.863165745</v>
      </c>
      <c r="AV20" s="94">
        <v>0.12697533450000001</v>
      </c>
      <c r="AW20" s="93">
        <v>10.738219429000001</v>
      </c>
      <c r="AX20" s="94">
        <v>6.4153970699999993E-2</v>
      </c>
      <c r="AY20" s="93">
        <v>4.3240368004</v>
      </c>
      <c r="AZ20" s="94">
        <v>2.3173794099999999E-2</v>
      </c>
      <c r="BA20" s="79">
        <v>1.8009095159999999</v>
      </c>
      <c r="BB20" s="13">
        <v>3.9647569600000002E-2</v>
      </c>
      <c r="BC20" s="93">
        <v>0</v>
      </c>
      <c r="BD20" s="86">
        <v>0</v>
      </c>
      <c r="BE20" s="93">
        <v>8.8025351155999996</v>
      </c>
      <c r="BF20" s="94">
        <v>4.9541263299999999E-2</v>
      </c>
      <c r="BG20" s="94">
        <v>1.891873E-4</v>
      </c>
      <c r="BH20" s="86">
        <v>0</v>
      </c>
      <c r="BI20" s="93">
        <v>0.15446708300000001</v>
      </c>
      <c r="BJ20" s="94">
        <v>1.1950565000000001E-3</v>
      </c>
      <c r="BK20" s="93">
        <v>2.1519573199999999E-2</v>
      </c>
      <c r="BL20" s="94">
        <v>1.0196369999999999E-4</v>
      </c>
      <c r="BM20" s="7" t="s">
        <v>76</v>
      </c>
      <c r="BN20" s="13">
        <v>0</v>
      </c>
      <c r="BO20" s="7" t="s">
        <v>76</v>
      </c>
      <c r="BP20" s="13">
        <v>0</v>
      </c>
      <c r="BQ20" s="93">
        <v>14.88510907</v>
      </c>
      <c r="BR20" s="94">
        <v>8.7062076700000005E-2</v>
      </c>
      <c r="BS20" s="93">
        <v>8.2175855699999995E-2</v>
      </c>
      <c r="BT20" s="94">
        <v>6.0849440000000003E-4</v>
      </c>
      <c r="BU20" s="7" t="s">
        <v>76</v>
      </c>
      <c r="BV20" s="13">
        <v>0</v>
      </c>
      <c r="BW20" s="7" t="s">
        <v>76</v>
      </c>
      <c r="BX20" s="13">
        <v>0</v>
      </c>
      <c r="BY20" s="7" t="s">
        <v>76</v>
      </c>
      <c r="BZ20" s="13">
        <v>0</v>
      </c>
      <c r="CA20" s="7" t="s">
        <v>76</v>
      </c>
      <c r="CB20" s="13">
        <v>0</v>
      </c>
      <c r="CC20" s="93">
        <v>7.1874225E-2</v>
      </c>
      <c r="CD20" s="94">
        <v>3.3722850000000003E-4</v>
      </c>
      <c r="CE20" s="93">
        <v>0</v>
      </c>
      <c r="CF20" s="94">
        <v>0</v>
      </c>
      <c r="CG20" s="93">
        <v>0.46300218809999999</v>
      </c>
      <c r="CH20" s="94">
        <v>2.3024847999999999E-3</v>
      </c>
      <c r="CI20" s="93">
        <v>6.2292860000000001E-4</v>
      </c>
      <c r="CJ20" s="94">
        <v>1.3196100000000001E-5</v>
      </c>
      <c r="CK20" s="6" t="s">
        <v>76</v>
      </c>
      <c r="CL20" s="13">
        <v>0</v>
      </c>
      <c r="CM20" s="7" t="s">
        <v>76</v>
      </c>
      <c r="CN20" s="15">
        <v>0</v>
      </c>
      <c r="CO20" s="93">
        <v>10.727398835000001</v>
      </c>
      <c r="CP20" s="94">
        <v>8.7531161800000007E-2</v>
      </c>
      <c r="CQ20" s="93">
        <v>3.5995202800000001E-2</v>
      </c>
      <c r="CR20" s="94">
        <v>2.909915E-4</v>
      </c>
      <c r="CS20" s="93">
        <v>5.9307020706999998</v>
      </c>
      <c r="CT20" s="94">
        <v>2.74604315E-2</v>
      </c>
      <c r="CU20" s="93">
        <v>6.1152771699999997E-2</v>
      </c>
      <c r="CV20" s="88">
        <v>5.3459769999999996E-4</v>
      </c>
      <c r="CW20" s="188">
        <v>1.378215E-4</v>
      </c>
      <c r="CX20" s="189">
        <v>1.760155E-4</v>
      </c>
      <c r="CY20" s="189">
        <v>1.843832E-4</v>
      </c>
      <c r="CZ20" s="189">
        <v>1.891873E-4</v>
      </c>
      <c r="DA20" s="189">
        <v>1.891873E-4</v>
      </c>
      <c r="DB20" s="189">
        <v>1.891873E-4</v>
      </c>
      <c r="DC20" s="189">
        <v>1.891873E-4</v>
      </c>
      <c r="DD20" s="189">
        <v>1.891873E-4</v>
      </c>
      <c r="DE20" s="189">
        <v>1.891873E-4</v>
      </c>
      <c r="DF20" s="190">
        <v>1.891873E-4</v>
      </c>
      <c r="DG20" s="112">
        <v>61.279527086999998</v>
      </c>
      <c r="DH20" s="13">
        <v>1.1060418334</v>
      </c>
      <c r="DI20" s="79">
        <v>36.575442901999999</v>
      </c>
      <c r="DJ20" s="13">
        <v>0.66933576709999998</v>
      </c>
      <c r="DK20" s="79">
        <v>20.91671697</v>
      </c>
      <c r="DL20" s="13">
        <v>0.39619727469999999</v>
      </c>
      <c r="DM20" s="79">
        <v>11.592948055999999</v>
      </c>
      <c r="DN20" s="13">
        <v>0.23269487780000001</v>
      </c>
      <c r="DO20" s="79">
        <v>6.3514586156000004</v>
      </c>
      <c r="DP20" s="13">
        <v>0.13833436690000001</v>
      </c>
      <c r="DQ20" s="79">
        <v>3.4769796826000001</v>
      </c>
      <c r="DR20" s="13">
        <v>8.4361400899999994E-2</v>
      </c>
      <c r="DS20" s="79">
        <v>1.9404214156999999</v>
      </c>
      <c r="DT20" s="13">
        <v>5.34909753E-2</v>
      </c>
      <c r="DU20" s="79">
        <v>1.1228641059</v>
      </c>
      <c r="DV20" s="13">
        <v>3.5421836499999998E-2</v>
      </c>
      <c r="DW20" s="79">
        <v>0.67282160329999996</v>
      </c>
      <c r="DX20" s="13">
        <v>2.4085932099999999E-2</v>
      </c>
      <c r="DY20" s="79">
        <v>0.4257541682</v>
      </c>
      <c r="DZ20" s="15">
        <v>1.68159108E-2</v>
      </c>
    </row>
    <row r="21" spans="1:130" x14ac:dyDescent="0.2">
      <c r="A21" s="8">
        <v>1600</v>
      </c>
      <c r="B21" s="82">
        <v>18707</v>
      </c>
      <c r="C21" s="83">
        <v>923.73472533999995</v>
      </c>
      <c r="D21" s="93">
        <v>1549.66023</v>
      </c>
      <c r="E21" s="93">
        <v>8.1796470457999995</v>
      </c>
      <c r="F21" s="94">
        <v>2.59764582E-2</v>
      </c>
      <c r="G21" s="83">
        <v>0.15068322040000001</v>
      </c>
      <c r="H21" s="94">
        <v>1.843635E-4</v>
      </c>
      <c r="I21" s="93">
        <v>137.44342563000001</v>
      </c>
      <c r="J21" s="94">
        <v>1.8056507873000001</v>
      </c>
      <c r="K21" s="93">
        <v>131.13746965999999</v>
      </c>
      <c r="L21" s="94">
        <v>1.3072955502000001</v>
      </c>
      <c r="M21" s="93">
        <v>0.38641915780000002</v>
      </c>
      <c r="N21" s="94">
        <v>3.0278778999999999E-3</v>
      </c>
      <c r="O21" s="37" t="s">
        <v>76</v>
      </c>
      <c r="P21" s="13">
        <v>0</v>
      </c>
      <c r="Q21" s="93">
        <v>16.739180505</v>
      </c>
      <c r="R21" s="94">
        <v>9.51250914E-2</v>
      </c>
      <c r="S21" s="37" t="s">
        <v>76</v>
      </c>
      <c r="T21" s="13">
        <v>0</v>
      </c>
      <c r="U21" s="37" t="s">
        <v>76</v>
      </c>
      <c r="V21" s="13">
        <v>0</v>
      </c>
      <c r="W21" s="93">
        <v>8.7476778899999996E-2</v>
      </c>
      <c r="X21" s="94">
        <v>4.6808579999999998E-4</v>
      </c>
      <c r="Y21" s="93">
        <v>0.73979029549999997</v>
      </c>
      <c r="Z21" s="94">
        <v>2.1286969999999999E-4</v>
      </c>
      <c r="AA21" s="37" t="s">
        <v>76</v>
      </c>
      <c r="AB21" s="13">
        <v>0</v>
      </c>
      <c r="AC21" s="93">
        <v>0</v>
      </c>
      <c r="AD21" s="94">
        <v>0</v>
      </c>
      <c r="AE21" s="37" t="s">
        <v>76</v>
      </c>
      <c r="AF21" s="13">
        <v>0</v>
      </c>
      <c r="AG21" s="37" t="s">
        <v>76</v>
      </c>
      <c r="AH21" s="13">
        <v>0</v>
      </c>
      <c r="AI21" s="93">
        <v>0</v>
      </c>
      <c r="AJ21" s="94">
        <v>0</v>
      </c>
      <c r="AK21" s="93">
        <v>174.25158755000001</v>
      </c>
      <c r="AL21" s="94">
        <v>1.1551781323999999</v>
      </c>
      <c r="AM21" s="37" t="s">
        <v>76</v>
      </c>
      <c r="AN21" s="13">
        <v>0</v>
      </c>
      <c r="AO21" s="37" t="s">
        <v>76</v>
      </c>
      <c r="AP21" s="13">
        <v>0</v>
      </c>
      <c r="AQ21" s="37" t="s">
        <v>76</v>
      </c>
      <c r="AR21" s="13">
        <v>0</v>
      </c>
      <c r="AS21" s="93">
        <v>14.490081116000001</v>
      </c>
      <c r="AT21" s="94">
        <v>0.3855115523</v>
      </c>
      <c r="AU21" s="93">
        <v>17.867018760000001</v>
      </c>
      <c r="AV21" s="94">
        <v>0.1330951071</v>
      </c>
      <c r="AW21" s="93">
        <v>11.437283516000001</v>
      </c>
      <c r="AX21" s="94">
        <v>6.7426820200000001E-2</v>
      </c>
      <c r="AY21" s="93">
        <v>4.5060467018999999</v>
      </c>
      <c r="AZ21" s="94">
        <v>2.3988449799999999E-2</v>
      </c>
      <c r="BA21" s="79">
        <v>1.9236885417</v>
      </c>
      <c r="BB21" s="13">
        <v>4.1679836999999997E-2</v>
      </c>
      <c r="BC21" s="93">
        <v>0</v>
      </c>
      <c r="BD21" s="86">
        <v>0</v>
      </c>
      <c r="BE21" s="93">
        <v>9.6920445046000001</v>
      </c>
      <c r="BF21" s="94">
        <v>5.3153137900000001E-2</v>
      </c>
      <c r="BG21" s="94">
        <v>2.5986610000000002E-4</v>
      </c>
      <c r="BH21" s="86">
        <v>0</v>
      </c>
      <c r="BI21" s="93">
        <v>0.17060433080000001</v>
      </c>
      <c r="BJ21" s="94">
        <v>1.3001035999999999E-3</v>
      </c>
      <c r="BK21" s="93">
        <v>2.4526902499999999E-2</v>
      </c>
      <c r="BL21" s="94">
        <v>1.1280759999999999E-4</v>
      </c>
      <c r="BM21" s="7" t="s">
        <v>76</v>
      </c>
      <c r="BN21" s="13">
        <v>0</v>
      </c>
      <c r="BO21" s="7" t="s">
        <v>76</v>
      </c>
      <c r="BP21" s="13">
        <v>0</v>
      </c>
      <c r="BQ21" s="93">
        <v>16.216949226000001</v>
      </c>
      <c r="BR21" s="94">
        <v>9.2639681900000007E-2</v>
      </c>
      <c r="BS21" s="93">
        <v>8.8663028800000002E-2</v>
      </c>
      <c r="BT21" s="94">
        <v>6.6121479999999998E-4</v>
      </c>
      <c r="BU21" s="7" t="s">
        <v>76</v>
      </c>
      <c r="BV21" s="13">
        <v>0</v>
      </c>
      <c r="BW21" s="7" t="s">
        <v>76</v>
      </c>
      <c r="BX21" s="13">
        <v>0</v>
      </c>
      <c r="BY21" s="7" t="s">
        <v>76</v>
      </c>
      <c r="BZ21" s="13">
        <v>0</v>
      </c>
      <c r="CA21" s="7" t="s">
        <v>76</v>
      </c>
      <c r="CB21" s="13">
        <v>0</v>
      </c>
      <c r="CC21" s="93">
        <v>7.9323434900000003E-2</v>
      </c>
      <c r="CD21" s="94">
        <v>3.7799200000000001E-4</v>
      </c>
      <c r="CE21" s="93">
        <v>0</v>
      </c>
      <c r="CF21" s="94">
        <v>0</v>
      </c>
      <c r="CG21" s="93">
        <v>0.54523956679999996</v>
      </c>
      <c r="CH21" s="94">
        <v>2.6561040999999999E-3</v>
      </c>
      <c r="CI21" s="93">
        <v>6.0827989999999996E-4</v>
      </c>
      <c r="CJ21" s="94">
        <v>1.2873299999999999E-5</v>
      </c>
      <c r="CK21" s="6" t="s">
        <v>76</v>
      </c>
      <c r="CL21" s="13">
        <v>0</v>
      </c>
      <c r="CM21" s="7" t="s">
        <v>76</v>
      </c>
      <c r="CN21" s="15">
        <v>0</v>
      </c>
      <c r="CO21" s="93">
        <v>11.598463534</v>
      </c>
      <c r="CP21" s="94">
        <v>9.2252280300000003E-2</v>
      </c>
      <c r="CQ21" s="93">
        <v>3.8876969999999997E-2</v>
      </c>
      <c r="CR21" s="94">
        <v>3.0928919999999999E-4</v>
      </c>
      <c r="CS21" s="93">
        <v>6.5358487429999998</v>
      </c>
      <c r="CT21" s="94">
        <v>2.9449900300000002E-2</v>
      </c>
      <c r="CU21" s="93">
        <v>6.3131027899999997E-2</v>
      </c>
      <c r="CV21" s="88">
        <v>5.5772850000000002E-4</v>
      </c>
      <c r="CW21" s="188">
        <v>1.8060609999999999E-4</v>
      </c>
      <c r="CX21" s="189">
        <v>2.4377789999999999E-4</v>
      </c>
      <c r="CY21" s="189">
        <v>2.545634E-4</v>
      </c>
      <c r="CZ21" s="189">
        <v>2.5986610000000002E-4</v>
      </c>
      <c r="DA21" s="189">
        <v>2.5986610000000002E-4</v>
      </c>
      <c r="DB21" s="189">
        <v>2.5986610000000002E-4</v>
      </c>
      <c r="DC21" s="189">
        <v>2.5986610000000002E-4</v>
      </c>
      <c r="DD21" s="189">
        <v>2.5986610000000002E-4</v>
      </c>
      <c r="DE21" s="189">
        <v>2.5986610000000002E-4</v>
      </c>
      <c r="DF21" s="190">
        <v>2.5986610000000002E-4</v>
      </c>
      <c r="DG21" s="112">
        <v>64.278456849999998</v>
      </c>
      <c r="DH21" s="13">
        <v>1.1506575569999999</v>
      </c>
      <c r="DI21" s="79">
        <v>38.936586847999997</v>
      </c>
      <c r="DJ21" s="13">
        <v>0.70600126669999996</v>
      </c>
      <c r="DK21" s="79">
        <v>22.661625947000001</v>
      </c>
      <c r="DL21" s="13">
        <v>0.4245516158</v>
      </c>
      <c r="DM21" s="79">
        <v>12.827726689</v>
      </c>
      <c r="DN21" s="13">
        <v>0.25368167940000003</v>
      </c>
      <c r="DO21" s="79">
        <v>7.1913805971000002</v>
      </c>
      <c r="DP21" s="13">
        <v>0.15331470750000001</v>
      </c>
      <c r="DQ21" s="79">
        <v>4.0365423538999998</v>
      </c>
      <c r="DR21" s="13">
        <v>9.4883797800000003E-2</v>
      </c>
      <c r="DS21" s="79">
        <v>2.3013622328999999</v>
      </c>
      <c r="DT21" s="13">
        <v>6.07306658E-2</v>
      </c>
      <c r="DU21" s="79">
        <v>1.3517267303</v>
      </c>
      <c r="DV21" s="13">
        <v>4.0392444600000001E-2</v>
      </c>
      <c r="DW21" s="79">
        <v>0.81849294319999999</v>
      </c>
      <c r="DX21" s="13">
        <v>2.7554476500000001E-2</v>
      </c>
      <c r="DY21" s="79">
        <v>0.52016950510000004</v>
      </c>
      <c r="DZ21" s="15">
        <v>1.92833E-2</v>
      </c>
    </row>
    <row r="22" spans="1:130" x14ac:dyDescent="0.2">
      <c r="A22" s="8">
        <v>1700</v>
      </c>
      <c r="B22" s="82">
        <v>17242</v>
      </c>
      <c r="C22" s="83">
        <v>960.93696316</v>
      </c>
      <c r="D22" s="93">
        <v>1649.3415668</v>
      </c>
      <c r="E22" s="93">
        <v>9.0843551891000001</v>
      </c>
      <c r="F22" s="94">
        <v>2.8091549699999999E-2</v>
      </c>
      <c r="G22" s="83">
        <v>0.1969294171</v>
      </c>
      <c r="H22" s="94">
        <v>2.2997269999999999E-4</v>
      </c>
      <c r="I22" s="93">
        <v>142.06899741000001</v>
      </c>
      <c r="J22" s="94">
        <v>1.8522995828</v>
      </c>
      <c r="K22" s="93">
        <v>140.19601789000001</v>
      </c>
      <c r="L22" s="94">
        <v>1.3769580814</v>
      </c>
      <c r="M22" s="93">
        <v>0.41680079050000002</v>
      </c>
      <c r="N22" s="94">
        <v>3.2170737999999998E-3</v>
      </c>
      <c r="O22" s="37" t="s">
        <v>76</v>
      </c>
      <c r="P22" s="13">
        <v>0</v>
      </c>
      <c r="Q22" s="93">
        <v>18.08306232</v>
      </c>
      <c r="R22" s="94">
        <v>0.1004877472</v>
      </c>
      <c r="S22" s="37" t="s">
        <v>76</v>
      </c>
      <c r="T22" s="13">
        <v>0</v>
      </c>
      <c r="U22" s="37" t="s">
        <v>76</v>
      </c>
      <c r="V22" s="13">
        <v>0</v>
      </c>
      <c r="W22" s="93">
        <v>9.9579119800000004E-2</v>
      </c>
      <c r="X22" s="94">
        <v>5.2109560000000005E-4</v>
      </c>
      <c r="Y22" s="93">
        <v>0.83249943110000002</v>
      </c>
      <c r="Z22" s="94">
        <v>2.3677330000000001E-4</v>
      </c>
      <c r="AA22" s="37" t="s">
        <v>76</v>
      </c>
      <c r="AB22" s="13">
        <v>0</v>
      </c>
      <c r="AC22" s="93">
        <v>0</v>
      </c>
      <c r="AD22" s="94">
        <v>0</v>
      </c>
      <c r="AE22" s="37" t="s">
        <v>76</v>
      </c>
      <c r="AF22" s="13">
        <v>0</v>
      </c>
      <c r="AG22" s="37" t="s">
        <v>76</v>
      </c>
      <c r="AH22" s="13">
        <v>0</v>
      </c>
      <c r="AI22" s="93">
        <v>0</v>
      </c>
      <c r="AJ22" s="94">
        <v>0</v>
      </c>
      <c r="AK22" s="93">
        <v>179.76269378000001</v>
      </c>
      <c r="AL22" s="94">
        <v>1.1849736784</v>
      </c>
      <c r="AM22" s="37" t="s">
        <v>76</v>
      </c>
      <c r="AN22" s="13">
        <v>0</v>
      </c>
      <c r="AO22" s="37" t="s">
        <v>76</v>
      </c>
      <c r="AP22" s="13">
        <v>0</v>
      </c>
      <c r="AQ22" s="37" t="s">
        <v>76</v>
      </c>
      <c r="AR22" s="13">
        <v>0</v>
      </c>
      <c r="AS22" s="93">
        <v>15.467550501</v>
      </c>
      <c r="AT22" s="94">
        <v>0.39886672249999999</v>
      </c>
      <c r="AU22" s="93">
        <v>18.838196197999999</v>
      </c>
      <c r="AV22" s="94">
        <v>0.1389348027</v>
      </c>
      <c r="AW22" s="93">
        <v>12.118506729</v>
      </c>
      <c r="AX22" s="94">
        <v>7.0647199300000005E-2</v>
      </c>
      <c r="AY22" s="93">
        <v>4.6809769407999999</v>
      </c>
      <c r="AZ22" s="94">
        <v>2.4810377200000001E-2</v>
      </c>
      <c r="BA22" s="79">
        <v>2.038712528</v>
      </c>
      <c r="BB22" s="13">
        <v>4.3477226200000003E-2</v>
      </c>
      <c r="BC22" s="93">
        <v>0</v>
      </c>
      <c r="BD22" s="86">
        <v>0</v>
      </c>
      <c r="BE22" s="93">
        <v>10.624696145</v>
      </c>
      <c r="BF22" s="94">
        <v>5.6645644000000002E-2</v>
      </c>
      <c r="BG22" s="94">
        <v>3.0906720000000001E-4</v>
      </c>
      <c r="BH22" s="86">
        <v>0</v>
      </c>
      <c r="BI22" s="93">
        <v>0.18474143430000001</v>
      </c>
      <c r="BJ22" s="94">
        <v>1.3653978E-3</v>
      </c>
      <c r="BK22" s="93">
        <v>2.6681953000000001E-2</v>
      </c>
      <c r="BL22" s="94">
        <v>1.18309E-4</v>
      </c>
      <c r="BM22" s="7" t="s">
        <v>76</v>
      </c>
      <c r="BN22" s="13">
        <v>0</v>
      </c>
      <c r="BO22" s="7" t="s">
        <v>76</v>
      </c>
      <c r="BP22" s="13">
        <v>0</v>
      </c>
      <c r="BQ22" s="93">
        <v>17.520774595999999</v>
      </c>
      <c r="BR22" s="94">
        <v>9.7867169700000006E-2</v>
      </c>
      <c r="BS22" s="93">
        <v>0.1020592855</v>
      </c>
      <c r="BT22" s="94">
        <v>7.4287340000000004E-4</v>
      </c>
      <c r="BU22" s="7" t="s">
        <v>76</v>
      </c>
      <c r="BV22" s="13">
        <v>0</v>
      </c>
      <c r="BW22" s="7" t="s">
        <v>76</v>
      </c>
      <c r="BX22" s="13">
        <v>0</v>
      </c>
      <c r="BY22" s="7" t="s">
        <v>76</v>
      </c>
      <c r="BZ22" s="13">
        <v>0</v>
      </c>
      <c r="CA22" s="7" t="s">
        <v>76</v>
      </c>
      <c r="CB22" s="13">
        <v>0</v>
      </c>
      <c r="CC22" s="93">
        <v>8.9841828299999996E-2</v>
      </c>
      <c r="CD22" s="94">
        <v>4.0238360000000001E-4</v>
      </c>
      <c r="CE22" s="93">
        <v>0</v>
      </c>
      <c r="CF22" s="94">
        <v>0</v>
      </c>
      <c r="CG22" s="93">
        <v>0.6218210851</v>
      </c>
      <c r="CH22" s="94">
        <v>2.9790137999999998E-3</v>
      </c>
      <c r="CI22" s="93">
        <v>7.9241040000000004E-4</v>
      </c>
      <c r="CJ22" s="94">
        <v>1.33953E-5</v>
      </c>
      <c r="CK22" s="6" t="s">
        <v>76</v>
      </c>
      <c r="CL22" s="13">
        <v>0</v>
      </c>
      <c r="CM22" s="7" t="s">
        <v>76</v>
      </c>
      <c r="CN22" s="15">
        <v>0</v>
      </c>
      <c r="CO22" s="93">
        <v>12.420628134999999</v>
      </c>
      <c r="CP22" s="94">
        <v>9.6683959599999994E-2</v>
      </c>
      <c r="CQ22" s="93">
        <v>3.9359089600000001E-2</v>
      </c>
      <c r="CR22" s="94">
        <v>3.1936090000000001E-4</v>
      </c>
      <c r="CS22" s="93">
        <v>7.1564500442999996</v>
      </c>
      <c r="CT22" s="94">
        <v>3.1372097000000002E-2</v>
      </c>
      <c r="CU22" s="93">
        <v>6.3066918E-2</v>
      </c>
      <c r="CV22" s="88">
        <v>5.7626330000000003E-4</v>
      </c>
      <c r="CW22" s="188">
        <v>2.240167E-4</v>
      </c>
      <c r="CX22" s="189">
        <v>2.9332769999999999E-4</v>
      </c>
      <c r="CY22" s="189">
        <v>3.0388209999999998E-4</v>
      </c>
      <c r="CZ22" s="189">
        <v>3.0906720000000001E-4</v>
      </c>
      <c r="DA22" s="189">
        <v>3.0906720000000001E-4</v>
      </c>
      <c r="DB22" s="189">
        <v>3.0906720000000001E-4</v>
      </c>
      <c r="DC22" s="189">
        <v>3.0906720000000001E-4</v>
      </c>
      <c r="DD22" s="189">
        <v>3.0906720000000001E-4</v>
      </c>
      <c r="DE22" s="189">
        <v>3.0906720000000001E-4</v>
      </c>
      <c r="DF22" s="190">
        <v>3.0906720000000001E-4</v>
      </c>
      <c r="DG22" s="112">
        <v>67.132986334999998</v>
      </c>
      <c r="DH22" s="13">
        <v>1.1921394899</v>
      </c>
      <c r="DI22" s="79">
        <v>41.206088321000003</v>
      </c>
      <c r="DJ22" s="13">
        <v>0.74046008549999998</v>
      </c>
      <c r="DK22" s="79">
        <v>24.372791209999999</v>
      </c>
      <c r="DL22" s="13">
        <v>0.45172210930000001</v>
      </c>
      <c r="DM22" s="79">
        <v>14.066652568</v>
      </c>
      <c r="DN22" s="13">
        <v>0.27428724269999999</v>
      </c>
      <c r="DO22" s="79">
        <v>8.0586357555999992</v>
      </c>
      <c r="DP22" s="13">
        <v>0.16856407030000001</v>
      </c>
      <c r="DQ22" s="79">
        <v>4.6295637438000004</v>
      </c>
      <c r="DR22" s="13">
        <v>0.1059453845</v>
      </c>
      <c r="DS22" s="79">
        <v>2.7000908753999999</v>
      </c>
      <c r="DT22" s="13">
        <v>6.8680848200000005E-2</v>
      </c>
      <c r="DU22" s="79">
        <v>1.6189800539999999</v>
      </c>
      <c r="DV22" s="13">
        <v>4.6129358199999998E-2</v>
      </c>
      <c r="DW22" s="79">
        <v>0.99728587219999998</v>
      </c>
      <c r="DX22" s="13">
        <v>3.17165373E-2</v>
      </c>
      <c r="DY22" s="79">
        <v>0.64064114419999996</v>
      </c>
      <c r="DZ22" s="15">
        <v>2.2339525200000002E-2</v>
      </c>
    </row>
    <row r="23" spans="1:130" x14ac:dyDescent="0.2">
      <c r="A23" s="8">
        <v>1800</v>
      </c>
      <c r="B23" s="82">
        <v>15986</v>
      </c>
      <c r="C23" s="83">
        <v>996.82584564000001</v>
      </c>
      <c r="D23" s="93">
        <v>1749.734336</v>
      </c>
      <c r="E23" s="93">
        <v>10.088549613</v>
      </c>
      <c r="F23" s="94">
        <v>3.0405343000000001E-2</v>
      </c>
      <c r="G23" s="83">
        <v>0.2372195929</v>
      </c>
      <c r="H23" s="94">
        <v>2.6818190000000002E-4</v>
      </c>
      <c r="I23" s="93">
        <v>146.3521336</v>
      </c>
      <c r="J23" s="94">
        <v>1.8941232869</v>
      </c>
      <c r="K23" s="93">
        <v>149.17234232999999</v>
      </c>
      <c r="L23" s="94">
        <v>1.4439035613</v>
      </c>
      <c r="M23" s="93">
        <v>0.44361276379999998</v>
      </c>
      <c r="N23" s="94">
        <v>3.3687305000000001E-3</v>
      </c>
      <c r="O23" s="37" t="s">
        <v>76</v>
      </c>
      <c r="P23" s="13">
        <v>0</v>
      </c>
      <c r="Q23" s="93">
        <v>19.398166126</v>
      </c>
      <c r="R23" s="94">
        <v>0.1055772639</v>
      </c>
      <c r="S23" s="37" t="s">
        <v>76</v>
      </c>
      <c r="T23" s="13">
        <v>0</v>
      </c>
      <c r="U23" s="37" t="s">
        <v>76</v>
      </c>
      <c r="V23" s="13">
        <v>0</v>
      </c>
      <c r="W23" s="93">
        <v>0.11136416439999999</v>
      </c>
      <c r="X23" s="94">
        <v>5.6525710000000003E-4</v>
      </c>
      <c r="Y23" s="93">
        <v>0.91784444600000004</v>
      </c>
      <c r="Z23" s="94">
        <v>2.543504E-4</v>
      </c>
      <c r="AA23" s="37" t="s">
        <v>76</v>
      </c>
      <c r="AB23" s="13">
        <v>0</v>
      </c>
      <c r="AC23" s="93">
        <v>0</v>
      </c>
      <c r="AD23" s="94">
        <v>0</v>
      </c>
      <c r="AE23" s="37" t="s">
        <v>76</v>
      </c>
      <c r="AF23" s="13">
        <v>0</v>
      </c>
      <c r="AG23" s="37" t="s">
        <v>76</v>
      </c>
      <c r="AH23" s="13">
        <v>0</v>
      </c>
      <c r="AI23" s="93">
        <v>0</v>
      </c>
      <c r="AJ23" s="94">
        <v>0</v>
      </c>
      <c r="AK23" s="93">
        <v>185.10079472999999</v>
      </c>
      <c r="AL23" s="94">
        <v>1.2123316172</v>
      </c>
      <c r="AM23" s="37" t="s">
        <v>76</v>
      </c>
      <c r="AN23" s="13">
        <v>0</v>
      </c>
      <c r="AO23" s="37" t="s">
        <v>76</v>
      </c>
      <c r="AP23" s="13">
        <v>0</v>
      </c>
      <c r="AQ23" s="37" t="s">
        <v>76</v>
      </c>
      <c r="AR23" s="13">
        <v>0</v>
      </c>
      <c r="AS23" s="93">
        <v>16.404559442</v>
      </c>
      <c r="AT23" s="94">
        <v>0.41158504769999998</v>
      </c>
      <c r="AU23" s="93">
        <v>19.773202776000002</v>
      </c>
      <c r="AV23" s="94">
        <v>0.14429124239999999</v>
      </c>
      <c r="AW23" s="93">
        <v>12.806699209</v>
      </c>
      <c r="AX23" s="94">
        <v>7.3660228800000005E-2</v>
      </c>
      <c r="AY23" s="93">
        <v>4.8303113690000004</v>
      </c>
      <c r="AZ23" s="94">
        <v>2.5486641000000001E-2</v>
      </c>
      <c r="BA23" s="79">
        <v>2.1361921977999998</v>
      </c>
      <c r="BB23" s="13">
        <v>4.5144372600000003E-2</v>
      </c>
      <c r="BC23" s="93">
        <v>0</v>
      </c>
      <c r="BD23" s="86">
        <v>0</v>
      </c>
      <c r="BE23" s="93">
        <v>11.543553535999999</v>
      </c>
      <c r="BF23" s="94">
        <v>5.9958743100000003E-2</v>
      </c>
      <c r="BG23" s="94">
        <v>3.7413289999999998E-4</v>
      </c>
      <c r="BH23" s="86">
        <v>0</v>
      </c>
      <c r="BI23" s="93">
        <v>0.2012001474</v>
      </c>
      <c r="BJ23" s="94">
        <v>1.4423575E-3</v>
      </c>
      <c r="BK23" s="93">
        <v>2.6828360200000002E-2</v>
      </c>
      <c r="BL23" s="94">
        <v>1.1746760000000001E-4</v>
      </c>
      <c r="BM23" s="7" t="s">
        <v>76</v>
      </c>
      <c r="BN23" s="13">
        <v>0</v>
      </c>
      <c r="BO23" s="7" t="s">
        <v>76</v>
      </c>
      <c r="BP23" s="13">
        <v>0</v>
      </c>
      <c r="BQ23" s="93">
        <v>18.795097986999998</v>
      </c>
      <c r="BR23" s="94">
        <v>0.10279278209999999</v>
      </c>
      <c r="BS23" s="93">
        <v>0.110449845</v>
      </c>
      <c r="BT23" s="94">
        <v>7.8935870000000001E-4</v>
      </c>
      <c r="BU23" s="7" t="s">
        <v>76</v>
      </c>
      <c r="BV23" s="13">
        <v>0</v>
      </c>
      <c r="BW23" s="7" t="s">
        <v>76</v>
      </c>
      <c r="BX23" s="13">
        <v>0</v>
      </c>
      <c r="BY23" s="7" t="s">
        <v>76</v>
      </c>
      <c r="BZ23" s="13">
        <v>0</v>
      </c>
      <c r="CA23" s="7" t="s">
        <v>76</v>
      </c>
      <c r="CB23" s="13">
        <v>0</v>
      </c>
      <c r="CC23" s="93">
        <v>9.9278983599999995E-2</v>
      </c>
      <c r="CD23" s="94">
        <v>4.3120950000000001E-4</v>
      </c>
      <c r="CE23" s="93">
        <v>6.0846930000000004E-4</v>
      </c>
      <c r="CF23" s="94">
        <v>2.2341798000000001E-6</v>
      </c>
      <c r="CG23" s="93">
        <v>0.70291572619999998</v>
      </c>
      <c r="CH23" s="94">
        <v>3.2798147000000001E-3</v>
      </c>
      <c r="CI23" s="93">
        <v>8.1137389999999998E-4</v>
      </c>
      <c r="CJ23" s="94">
        <v>1.6823399999999999E-5</v>
      </c>
      <c r="CK23" s="6" t="s">
        <v>76</v>
      </c>
      <c r="CL23" s="13">
        <v>0</v>
      </c>
      <c r="CM23" s="7" t="s">
        <v>76</v>
      </c>
      <c r="CN23" s="15">
        <v>0</v>
      </c>
      <c r="CO23" s="93">
        <v>13.207268901000001</v>
      </c>
      <c r="CP23" s="94">
        <v>0.1008628164</v>
      </c>
      <c r="CQ23" s="93">
        <v>4.1438048700000001E-2</v>
      </c>
      <c r="CR23" s="94">
        <v>3.3845499999999998E-4</v>
      </c>
      <c r="CS23" s="93">
        <v>7.7639891049000003</v>
      </c>
      <c r="CT23" s="94">
        <v>3.32779853E-2</v>
      </c>
      <c r="CU23" s="93">
        <v>6.9359991100000004E-2</v>
      </c>
      <c r="CV23" s="88">
        <v>6.1607160000000003E-4</v>
      </c>
      <c r="CW23" s="188">
        <v>2.6232959999999999E-4</v>
      </c>
      <c r="CX23" s="189">
        <v>3.4674499999999997E-4</v>
      </c>
      <c r="CY23" s="189">
        <v>3.6134779999999998E-4</v>
      </c>
      <c r="CZ23" s="189">
        <v>3.6835330000000002E-4</v>
      </c>
      <c r="DA23" s="189">
        <v>3.7027989999999998E-4</v>
      </c>
      <c r="DB23" s="189">
        <v>3.7220640000000001E-4</v>
      </c>
      <c r="DC23" s="189">
        <v>3.7413289999999998E-4</v>
      </c>
      <c r="DD23" s="189">
        <v>3.7413289999999998E-4</v>
      </c>
      <c r="DE23" s="189">
        <v>3.7413289999999998E-4</v>
      </c>
      <c r="DF23" s="190">
        <v>3.7413289999999998E-4</v>
      </c>
      <c r="DG23" s="112">
        <v>69.768485534000007</v>
      </c>
      <c r="DH23" s="13">
        <v>1.2293602487999999</v>
      </c>
      <c r="DI23" s="79">
        <v>43.308906764</v>
      </c>
      <c r="DJ23" s="13">
        <v>0.77146430830000001</v>
      </c>
      <c r="DK23" s="79">
        <v>25.965629454999998</v>
      </c>
      <c r="DL23" s="13">
        <v>0.47614220099999999</v>
      </c>
      <c r="DM23" s="79">
        <v>15.221242824999999</v>
      </c>
      <c r="DN23" s="13">
        <v>0.29272569770000001</v>
      </c>
      <c r="DO23" s="79">
        <v>8.8730655083999999</v>
      </c>
      <c r="DP23" s="13">
        <v>0.1820918812</v>
      </c>
      <c r="DQ23" s="79">
        <v>5.1873981115000003</v>
      </c>
      <c r="DR23" s="13">
        <v>0.1155949156</v>
      </c>
      <c r="DS23" s="79">
        <v>3.0726186136</v>
      </c>
      <c r="DT23" s="13">
        <v>7.5429363799999996E-2</v>
      </c>
      <c r="DU23" s="79">
        <v>1.8632045321999999</v>
      </c>
      <c r="DV23" s="13">
        <v>5.0796335499999998E-2</v>
      </c>
      <c r="DW23" s="79">
        <v>1.1568700577</v>
      </c>
      <c r="DX23" s="13">
        <v>3.4941914400000003E-2</v>
      </c>
      <c r="DY23" s="79">
        <v>0.74220520430000003</v>
      </c>
      <c r="DZ23" s="15">
        <v>2.4527795799999998E-2</v>
      </c>
    </row>
    <row r="24" spans="1:130" x14ac:dyDescent="0.2">
      <c r="A24" s="8">
        <v>1900</v>
      </c>
      <c r="B24" s="82">
        <v>15151</v>
      </c>
      <c r="C24" s="83">
        <v>1031.4729354999999</v>
      </c>
      <c r="D24" s="93">
        <v>1849.2790126</v>
      </c>
      <c r="E24" s="93">
        <v>11.097835815</v>
      </c>
      <c r="F24" s="94">
        <v>3.2511284799999998E-2</v>
      </c>
      <c r="G24" s="83">
        <v>0.31295458180000002</v>
      </c>
      <c r="H24" s="94">
        <v>3.2740980000000002E-4</v>
      </c>
      <c r="I24" s="93">
        <v>150.39173387</v>
      </c>
      <c r="J24" s="94">
        <v>1.9337632588</v>
      </c>
      <c r="K24" s="93">
        <v>157.95901936999999</v>
      </c>
      <c r="L24" s="94">
        <v>1.5067993285000001</v>
      </c>
      <c r="M24" s="93">
        <v>0.49324409499999999</v>
      </c>
      <c r="N24" s="94">
        <v>3.7612405000000001E-3</v>
      </c>
      <c r="O24" s="37" t="s">
        <v>76</v>
      </c>
      <c r="P24" s="13">
        <v>0</v>
      </c>
      <c r="Q24" s="93">
        <v>20.627008218</v>
      </c>
      <c r="R24" s="94">
        <v>0.1101972363</v>
      </c>
      <c r="S24" s="37" t="s">
        <v>76</v>
      </c>
      <c r="T24" s="13">
        <v>0</v>
      </c>
      <c r="U24" s="37" t="s">
        <v>76</v>
      </c>
      <c r="V24" s="13">
        <v>0</v>
      </c>
      <c r="W24" s="93">
        <v>0.1225544886</v>
      </c>
      <c r="X24" s="94">
        <v>6.5727709999999998E-4</v>
      </c>
      <c r="Y24" s="93">
        <v>1.015905917</v>
      </c>
      <c r="Z24" s="94">
        <v>2.928222E-4</v>
      </c>
      <c r="AA24" s="37" t="s">
        <v>76</v>
      </c>
      <c r="AB24" s="13">
        <v>0</v>
      </c>
      <c r="AC24" s="93">
        <v>0</v>
      </c>
      <c r="AD24" s="94">
        <v>0</v>
      </c>
      <c r="AE24" s="37" t="s">
        <v>76</v>
      </c>
      <c r="AF24" s="13">
        <v>0</v>
      </c>
      <c r="AG24" s="37" t="s">
        <v>76</v>
      </c>
      <c r="AH24" s="13">
        <v>0</v>
      </c>
      <c r="AI24" s="93">
        <v>0</v>
      </c>
      <c r="AJ24" s="94">
        <v>0</v>
      </c>
      <c r="AK24" s="93">
        <v>190.30708293000001</v>
      </c>
      <c r="AL24" s="94">
        <v>1.2381532368999999</v>
      </c>
      <c r="AM24" s="37" t="s">
        <v>76</v>
      </c>
      <c r="AN24" s="13">
        <v>0</v>
      </c>
      <c r="AO24" s="37" t="s">
        <v>76</v>
      </c>
      <c r="AP24" s="13">
        <v>0</v>
      </c>
      <c r="AQ24" s="37" t="s">
        <v>76</v>
      </c>
      <c r="AR24" s="13">
        <v>0</v>
      </c>
      <c r="AS24" s="93">
        <v>17.424299497</v>
      </c>
      <c r="AT24" s="94">
        <v>0.4237654984</v>
      </c>
      <c r="AU24" s="93">
        <v>20.650761848999998</v>
      </c>
      <c r="AV24" s="94">
        <v>0.1496136079</v>
      </c>
      <c r="AW24" s="93">
        <v>13.417625254000001</v>
      </c>
      <c r="AX24" s="94">
        <v>7.6597756000000003E-2</v>
      </c>
      <c r="AY24" s="93">
        <v>4.9768308046999996</v>
      </c>
      <c r="AZ24" s="94">
        <v>2.6185336699999999E-2</v>
      </c>
      <c r="BA24" s="79">
        <v>2.2563057900999999</v>
      </c>
      <c r="BB24" s="13">
        <v>4.6830515199999999E-2</v>
      </c>
      <c r="BC24" s="93">
        <v>0</v>
      </c>
      <c r="BD24" s="86">
        <v>0</v>
      </c>
      <c r="BE24" s="93">
        <v>12.571080084</v>
      </c>
      <c r="BF24" s="94">
        <v>6.3492859099999993E-2</v>
      </c>
      <c r="BG24" s="94">
        <v>4.671333E-4</v>
      </c>
      <c r="BH24" s="86">
        <v>0</v>
      </c>
      <c r="BI24" s="93">
        <v>0.22997115570000001</v>
      </c>
      <c r="BJ24" s="94">
        <v>1.7033770000000001E-3</v>
      </c>
      <c r="BK24" s="93">
        <v>3.2782889000000003E-2</v>
      </c>
      <c r="BL24" s="94">
        <v>1.3892439999999999E-4</v>
      </c>
      <c r="BM24" s="7" t="s">
        <v>76</v>
      </c>
      <c r="BN24" s="13">
        <v>0</v>
      </c>
      <c r="BO24" s="7" t="s">
        <v>76</v>
      </c>
      <c r="BP24" s="13">
        <v>0</v>
      </c>
      <c r="BQ24" s="93">
        <v>19.983621499000002</v>
      </c>
      <c r="BR24" s="94">
        <v>0.1072415817</v>
      </c>
      <c r="BS24" s="93">
        <v>0.118452196</v>
      </c>
      <c r="BT24" s="94">
        <v>8.3910259999999998E-4</v>
      </c>
      <c r="BU24" s="7" t="s">
        <v>76</v>
      </c>
      <c r="BV24" s="13">
        <v>0</v>
      </c>
      <c r="BW24" s="7" t="s">
        <v>76</v>
      </c>
      <c r="BX24" s="13">
        <v>0</v>
      </c>
      <c r="BY24" s="7" t="s">
        <v>76</v>
      </c>
      <c r="BZ24" s="13">
        <v>0</v>
      </c>
      <c r="CA24" s="7" t="s">
        <v>76</v>
      </c>
      <c r="CB24" s="13">
        <v>0</v>
      </c>
      <c r="CC24" s="93">
        <v>0.1106145653</v>
      </c>
      <c r="CD24" s="94">
        <v>5.2568799999999996E-4</v>
      </c>
      <c r="CE24" s="93">
        <v>6.7492560000000004E-4</v>
      </c>
      <c r="CF24" s="94">
        <v>2.9714384999999999E-6</v>
      </c>
      <c r="CG24" s="93">
        <v>0.77680230429999997</v>
      </c>
      <c r="CH24" s="94">
        <v>3.6755745000000002E-3</v>
      </c>
      <c r="CI24" s="93">
        <v>7.9673090000000003E-4</v>
      </c>
      <c r="CJ24" s="94">
        <v>1.7845700000000001E-5</v>
      </c>
      <c r="CK24" s="6" t="s">
        <v>76</v>
      </c>
      <c r="CL24" s="13">
        <v>0</v>
      </c>
      <c r="CM24" s="7" t="s">
        <v>76</v>
      </c>
      <c r="CN24" s="15">
        <v>0</v>
      </c>
      <c r="CO24" s="93">
        <v>14.06645735</v>
      </c>
      <c r="CP24" s="94">
        <v>0.10521763119999999</v>
      </c>
      <c r="CQ24" s="93">
        <v>4.3282330000000001E-2</v>
      </c>
      <c r="CR24" s="94">
        <v>3.597238E-4</v>
      </c>
      <c r="CS24" s="93">
        <v>8.4276459247000002</v>
      </c>
      <c r="CT24" s="94">
        <v>3.5328108800000001E-2</v>
      </c>
      <c r="CU24" s="93">
        <v>7.2579326400000005E-2</v>
      </c>
      <c r="CV24" s="88">
        <v>6.3601930000000003E-4</v>
      </c>
      <c r="CW24" s="188">
        <v>3.2165409999999997E-4</v>
      </c>
      <c r="CX24" s="189">
        <v>4.342619E-4</v>
      </c>
      <c r="CY24" s="189">
        <v>4.5247080000000001E-4</v>
      </c>
      <c r="CZ24" s="189">
        <v>4.6145449999999998E-4</v>
      </c>
      <c r="DA24" s="189">
        <v>4.6334739999999999E-4</v>
      </c>
      <c r="DB24" s="189">
        <v>4.6524039999999998E-4</v>
      </c>
      <c r="DC24" s="189">
        <v>4.671333E-4</v>
      </c>
      <c r="DD24" s="189">
        <v>4.671333E-4</v>
      </c>
      <c r="DE24" s="189">
        <v>4.671333E-4</v>
      </c>
      <c r="DF24" s="190">
        <v>4.671333E-4</v>
      </c>
      <c r="DG24" s="112">
        <v>72.275443543999998</v>
      </c>
      <c r="DH24" s="13">
        <v>1.2648663097999999</v>
      </c>
      <c r="DI24" s="79">
        <v>45.322698623999997</v>
      </c>
      <c r="DJ24" s="13">
        <v>0.80121829840000003</v>
      </c>
      <c r="DK24" s="79">
        <v>27.497761365999999</v>
      </c>
      <c r="DL24" s="13">
        <v>0.49974885520000001</v>
      </c>
      <c r="DM24" s="79">
        <v>16.339511533</v>
      </c>
      <c r="DN24" s="13">
        <v>0.31068602620000002</v>
      </c>
      <c r="DO24" s="79">
        <v>9.6647112484999997</v>
      </c>
      <c r="DP24" s="13">
        <v>0.19537076610000001</v>
      </c>
      <c r="DQ24" s="79">
        <v>5.7348303111999996</v>
      </c>
      <c r="DR24" s="13">
        <v>0.12520481319999999</v>
      </c>
      <c r="DS24" s="79">
        <v>3.4439780933000002</v>
      </c>
      <c r="DT24" s="13">
        <v>8.2280552899999998E-2</v>
      </c>
      <c r="DU24" s="79">
        <v>2.1142951394999998</v>
      </c>
      <c r="DV24" s="13">
        <v>5.56927532E-2</v>
      </c>
      <c r="DW24" s="79">
        <v>1.3252731876999999</v>
      </c>
      <c r="DX24" s="13">
        <v>3.8426610100000001E-2</v>
      </c>
      <c r="DY24" s="79">
        <v>0.85662356429999997</v>
      </c>
      <c r="DZ24" s="15">
        <v>2.70349218E-2</v>
      </c>
    </row>
    <row r="25" spans="1:130" x14ac:dyDescent="0.2">
      <c r="A25" s="8">
        <v>2000</v>
      </c>
      <c r="B25" s="82">
        <v>14056</v>
      </c>
      <c r="C25" s="83">
        <v>1064.9660510000001</v>
      </c>
      <c r="D25" s="93">
        <v>1949.4519068</v>
      </c>
      <c r="E25" s="93">
        <v>11.994960665000001</v>
      </c>
      <c r="F25" s="94">
        <v>3.44366064E-2</v>
      </c>
      <c r="G25" s="83">
        <v>0.3968955153</v>
      </c>
      <c r="H25" s="94">
        <v>3.929615E-4</v>
      </c>
      <c r="I25" s="93">
        <v>154.21635198000001</v>
      </c>
      <c r="J25" s="94">
        <v>1.9711711775</v>
      </c>
      <c r="K25" s="93">
        <v>166.65826417</v>
      </c>
      <c r="L25" s="94">
        <v>1.5692506667999999</v>
      </c>
      <c r="M25" s="93">
        <v>0.51907373160000003</v>
      </c>
      <c r="N25" s="94">
        <v>3.9151541999999998E-3</v>
      </c>
      <c r="O25" s="37" t="s">
        <v>76</v>
      </c>
      <c r="P25" s="13">
        <v>0</v>
      </c>
      <c r="Q25" s="93">
        <v>22.000908257999999</v>
      </c>
      <c r="R25" s="94">
        <v>0.1149446742</v>
      </c>
      <c r="S25" s="37" t="s">
        <v>76</v>
      </c>
      <c r="T25" s="13">
        <v>0</v>
      </c>
      <c r="U25" s="37" t="s">
        <v>76</v>
      </c>
      <c r="V25" s="13">
        <v>0</v>
      </c>
      <c r="W25" s="93">
        <v>0.14108186580000001</v>
      </c>
      <c r="X25" s="94">
        <v>7.3141259999999996E-4</v>
      </c>
      <c r="Y25" s="93">
        <v>1.1075308000999999</v>
      </c>
      <c r="Z25" s="94">
        <v>3.0531649999999998E-4</v>
      </c>
      <c r="AA25" s="37" t="s">
        <v>76</v>
      </c>
      <c r="AB25" s="13">
        <v>0</v>
      </c>
      <c r="AC25" s="93">
        <v>0</v>
      </c>
      <c r="AD25" s="94">
        <v>0</v>
      </c>
      <c r="AE25" s="37" t="s">
        <v>76</v>
      </c>
      <c r="AF25" s="13">
        <v>0</v>
      </c>
      <c r="AG25" s="37" t="s">
        <v>76</v>
      </c>
      <c r="AH25" s="13">
        <v>0</v>
      </c>
      <c r="AI25" s="93">
        <v>0</v>
      </c>
      <c r="AJ25" s="94">
        <v>0</v>
      </c>
      <c r="AK25" s="93">
        <v>195.07677738999999</v>
      </c>
      <c r="AL25" s="94">
        <v>1.2614703757000001</v>
      </c>
      <c r="AM25" s="37" t="s">
        <v>76</v>
      </c>
      <c r="AN25" s="13">
        <v>0</v>
      </c>
      <c r="AO25" s="37" t="s">
        <v>76</v>
      </c>
      <c r="AP25" s="13">
        <v>0</v>
      </c>
      <c r="AQ25" s="37" t="s">
        <v>76</v>
      </c>
      <c r="AR25" s="13">
        <v>0</v>
      </c>
      <c r="AS25" s="93">
        <v>18.40137665</v>
      </c>
      <c r="AT25" s="94">
        <v>0.43454378529999999</v>
      </c>
      <c r="AU25" s="93">
        <v>21.534467596999999</v>
      </c>
      <c r="AV25" s="94">
        <v>0.1545813446</v>
      </c>
      <c r="AW25" s="93">
        <v>14.048806000000001</v>
      </c>
      <c r="AX25" s="94">
        <v>7.9321450599999996E-2</v>
      </c>
      <c r="AY25" s="93">
        <v>5.1334936874999997</v>
      </c>
      <c r="AZ25" s="94">
        <v>2.6885672100000001E-2</v>
      </c>
      <c r="BA25" s="79">
        <v>2.3521679091999999</v>
      </c>
      <c r="BB25" s="13">
        <v>4.83742219E-2</v>
      </c>
      <c r="BC25" s="93">
        <v>0</v>
      </c>
      <c r="BD25" s="86">
        <v>0</v>
      </c>
      <c r="BE25" s="93">
        <v>13.648238662000001</v>
      </c>
      <c r="BF25" s="94">
        <v>6.7300919200000003E-2</v>
      </c>
      <c r="BG25" s="94">
        <v>5.8728679999999996E-4</v>
      </c>
      <c r="BH25" s="86">
        <v>0</v>
      </c>
      <c r="BI25" s="93">
        <v>0.23912568070000001</v>
      </c>
      <c r="BJ25" s="94">
        <v>1.755957E-3</v>
      </c>
      <c r="BK25" s="93">
        <v>3.5365632000000001E-2</v>
      </c>
      <c r="BL25" s="94">
        <v>1.4969199999999999E-4</v>
      </c>
      <c r="BM25" s="7" t="s">
        <v>76</v>
      </c>
      <c r="BN25" s="13">
        <v>0</v>
      </c>
      <c r="BO25" s="7" t="s">
        <v>76</v>
      </c>
      <c r="BP25" s="13">
        <v>0</v>
      </c>
      <c r="BQ25" s="93">
        <v>21.318235550000001</v>
      </c>
      <c r="BR25" s="94">
        <v>0.1118514372</v>
      </c>
      <c r="BS25" s="93">
        <v>0.12856835690000001</v>
      </c>
      <c r="BT25" s="94">
        <v>8.989375E-4</v>
      </c>
      <c r="BU25" s="7" t="s">
        <v>76</v>
      </c>
      <c r="BV25" s="13">
        <v>0</v>
      </c>
      <c r="BW25" s="7" t="s">
        <v>76</v>
      </c>
      <c r="BX25" s="13">
        <v>0</v>
      </c>
      <c r="BY25" s="7" t="s">
        <v>76</v>
      </c>
      <c r="BZ25" s="13">
        <v>0</v>
      </c>
      <c r="CA25" s="7" t="s">
        <v>76</v>
      </c>
      <c r="CB25" s="13">
        <v>0</v>
      </c>
      <c r="CC25" s="93">
        <v>0.1260668787</v>
      </c>
      <c r="CD25" s="94">
        <v>5.7878330000000003E-4</v>
      </c>
      <c r="CE25" s="93">
        <v>6.6518380000000002E-4</v>
      </c>
      <c r="CF25" s="94">
        <v>2.9273786999999999E-6</v>
      </c>
      <c r="CG25" s="93">
        <v>0.86245382709999996</v>
      </c>
      <c r="CH25" s="94">
        <v>4.0539505000000003E-3</v>
      </c>
      <c r="CI25" s="93">
        <v>7.8331600000000005E-4</v>
      </c>
      <c r="CJ25" s="94">
        <v>1.7537399999999999E-5</v>
      </c>
      <c r="CK25" s="6" t="s">
        <v>76</v>
      </c>
      <c r="CL25" s="13">
        <v>0</v>
      </c>
      <c r="CM25" s="7" t="s">
        <v>76</v>
      </c>
      <c r="CN25" s="15">
        <v>0</v>
      </c>
      <c r="CO25" s="93">
        <v>14.880812849</v>
      </c>
      <c r="CP25" s="94">
        <v>0.1090790619</v>
      </c>
      <c r="CQ25" s="93">
        <v>4.4948803400000001E-2</v>
      </c>
      <c r="CR25" s="94">
        <v>3.8152979999999997E-4</v>
      </c>
      <c r="CS25" s="93">
        <v>9.0937697578000005</v>
      </c>
      <c r="CT25" s="94">
        <v>3.7302417400000003E-2</v>
      </c>
      <c r="CU25" s="93">
        <v>7.5623653999999998E-2</v>
      </c>
      <c r="CV25" s="88">
        <v>6.7346370000000003E-4</v>
      </c>
      <c r="CW25" s="188">
        <v>3.8728969999999999E-4</v>
      </c>
      <c r="CX25" s="189">
        <v>5.2862679999999998E-4</v>
      </c>
      <c r="CY25" s="189">
        <v>5.5118189999999996E-4</v>
      </c>
      <c r="CZ25" s="189">
        <v>5.6245579999999996E-4</v>
      </c>
      <c r="DA25" s="189">
        <v>5.6676440000000001E-4</v>
      </c>
      <c r="DB25" s="189">
        <v>5.7049580000000002E-4</v>
      </c>
      <c r="DC25" s="189">
        <v>5.742271E-4</v>
      </c>
      <c r="DD25" s="189">
        <v>5.760928E-4</v>
      </c>
      <c r="DE25" s="189">
        <v>5.7795850000000001E-4</v>
      </c>
      <c r="DF25" s="190">
        <v>5.7982409999999998E-4</v>
      </c>
      <c r="DG25" s="112">
        <v>74.669613862999995</v>
      </c>
      <c r="DH25" s="13">
        <v>1.2986011630000001</v>
      </c>
      <c r="DI25" s="79">
        <v>47.265478748</v>
      </c>
      <c r="DJ25" s="13">
        <v>0.82974547300000001</v>
      </c>
      <c r="DK25" s="79">
        <v>29.007161362000002</v>
      </c>
      <c r="DL25" s="13">
        <v>0.52275653050000004</v>
      </c>
      <c r="DM25" s="79">
        <v>17.465352405000001</v>
      </c>
      <c r="DN25" s="13">
        <v>0.32853734309999999</v>
      </c>
      <c r="DO25" s="79">
        <v>10.481053053</v>
      </c>
      <c r="DP25" s="13">
        <v>0.20890876550000001</v>
      </c>
      <c r="DQ25" s="79">
        <v>6.3174422130999996</v>
      </c>
      <c r="DR25" s="13">
        <v>0.13532851379999999</v>
      </c>
      <c r="DS25" s="79">
        <v>3.8576243720000001</v>
      </c>
      <c r="DT25" s="13">
        <v>8.9779456600000002E-2</v>
      </c>
      <c r="DU25" s="79">
        <v>2.4080831258000002</v>
      </c>
      <c r="DV25" s="13">
        <v>6.1254864499999999E-2</v>
      </c>
      <c r="DW25" s="79">
        <v>1.5357081051000001</v>
      </c>
      <c r="DX25" s="13">
        <v>4.25887161E-2</v>
      </c>
      <c r="DY25" s="79">
        <v>1.0084143925</v>
      </c>
      <c r="DZ25" s="15">
        <v>3.01764757E-2</v>
      </c>
    </row>
    <row r="26" spans="1:130" x14ac:dyDescent="0.2">
      <c r="A26" s="8">
        <v>2100</v>
      </c>
      <c r="B26" s="82">
        <v>13049</v>
      </c>
      <c r="C26" s="83">
        <v>1097.3912577999999</v>
      </c>
      <c r="D26" s="93">
        <v>2049.7477054999999</v>
      </c>
      <c r="E26" s="93">
        <v>12.953645076000001</v>
      </c>
      <c r="F26" s="94">
        <v>3.6396284500000001E-2</v>
      </c>
      <c r="G26" s="83">
        <v>0.4860597619</v>
      </c>
      <c r="H26" s="94">
        <v>4.66217E-4</v>
      </c>
      <c r="I26" s="93">
        <v>157.88018772999999</v>
      </c>
      <c r="J26" s="94">
        <v>2.0065835355999999</v>
      </c>
      <c r="K26" s="93">
        <v>175.12719440000001</v>
      </c>
      <c r="L26" s="94">
        <v>1.6292946607000001</v>
      </c>
      <c r="M26" s="93">
        <v>0.55403481310000002</v>
      </c>
      <c r="N26" s="94">
        <v>4.1260754E-3</v>
      </c>
      <c r="O26" s="37" t="s">
        <v>76</v>
      </c>
      <c r="P26" s="13">
        <v>0</v>
      </c>
      <c r="Q26" s="93">
        <v>23.239733418</v>
      </c>
      <c r="R26" s="94">
        <v>0.1193818111</v>
      </c>
      <c r="S26" s="37" t="s">
        <v>76</v>
      </c>
      <c r="T26" s="13">
        <v>0</v>
      </c>
      <c r="U26" s="37" t="s">
        <v>76</v>
      </c>
      <c r="V26" s="13">
        <v>0</v>
      </c>
      <c r="W26" s="93">
        <v>0.15178580529999999</v>
      </c>
      <c r="X26" s="94">
        <v>7.654634E-4</v>
      </c>
      <c r="Y26" s="93">
        <v>1.2307516656999999</v>
      </c>
      <c r="Z26" s="94">
        <v>3.2092829999999999E-4</v>
      </c>
      <c r="AA26" s="37" t="s">
        <v>76</v>
      </c>
      <c r="AB26" s="13">
        <v>0</v>
      </c>
      <c r="AC26" s="93">
        <v>0</v>
      </c>
      <c r="AD26" s="94">
        <v>0</v>
      </c>
      <c r="AE26" s="37" t="s">
        <v>76</v>
      </c>
      <c r="AF26" s="13">
        <v>0</v>
      </c>
      <c r="AG26" s="37" t="s">
        <v>76</v>
      </c>
      <c r="AH26" s="13">
        <v>0</v>
      </c>
      <c r="AI26" s="93">
        <v>0</v>
      </c>
      <c r="AJ26" s="94">
        <v>0</v>
      </c>
      <c r="AK26" s="93">
        <v>199.58712634</v>
      </c>
      <c r="AL26" s="94">
        <v>1.2838050744</v>
      </c>
      <c r="AM26" s="37" t="s">
        <v>76</v>
      </c>
      <c r="AN26" s="13">
        <v>0</v>
      </c>
      <c r="AO26" s="37" t="s">
        <v>76</v>
      </c>
      <c r="AP26" s="13">
        <v>0</v>
      </c>
      <c r="AQ26" s="37" t="s">
        <v>76</v>
      </c>
      <c r="AR26" s="13">
        <v>0</v>
      </c>
      <c r="AS26" s="93">
        <v>19.275482615000001</v>
      </c>
      <c r="AT26" s="94">
        <v>0.44486591310000001</v>
      </c>
      <c r="AU26" s="93">
        <v>22.342013819000002</v>
      </c>
      <c r="AV26" s="94">
        <v>0.159227588</v>
      </c>
      <c r="AW26" s="93">
        <v>14.626104602</v>
      </c>
      <c r="AX26" s="94">
        <v>8.1863034099999996E-2</v>
      </c>
      <c r="AY26" s="93">
        <v>5.2647526805</v>
      </c>
      <c r="AZ26" s="94">
        <v>2.7493252400000001E-2</v>
      </c>
      <c r="BA26" s="79">
        <v>2.4511565364000001</v>
      </c>
      <c r="BB26" s="13">
        <v>4.9871301600000001E-2</v>
      </c>
      <c r="BC26" s="93">
        <v>0</v>
      </c>
      <c r="BD26" s="86">
        <v>0</v>
      </c>
      <c r="BE26" s="93">
        <v>14.724397222</v>
      </c>
      <c r="BF26" s="94">
        <v>7.08062104E-2</v>
      </c>
      <c r="BG26" s="94">
        <v>6.898974E-4</v>
      </c>
      <c r="BH26" s="86">
        <v>0</v>
      </c>
      <c r="BI26" s="93">
        <v>0.25682961869999998</v>
      </c>
      <c r="BJ26" s="94">
        <v>1.8520857999999999E-3</v>
      </c>
      <c r="BK26" s="93">
        <v>3.7160807300000001E-2</v>
      </c>
      <c r="BL26" s="94">
        <v>1.596662E-4</v>
      </c>
      <c r="BM26" s="7" t="s">
        <v>76</v>
      </c>
      <c r="BN26" s="13">
        <v>0</v>
      </c>
      <c r="BO26" s="7" t="s">
        <v>76</v>
      </c>
      <c r="BP26" s="13">
        <v>0</v>
      </c>
      <c r="BQ26" s="93">
        <v>22.512398057999999</v>
      </c>
      <c r="BR26" s="94">
        <v>0.1161249656</v>
      </c>
      <c r="BS26" s="93">
        <v>0.13653525750000001</v>
      </c>
      <c r="BT26" s="94">
        <v>9.5038019999999998E-4</v>
      </c>
      <c r="BU26" s="7" t="s">
        <v>76</v>
      </c>
      <c r="BV26" s="13">
        <v>0</v>
      </c>
      <c r="BW26" s="7" t="s">
        <v>76</v>
      </c>
      <c r="BX26" s="13">
        <v>0</v>
      </c>
      <c r="BY26" s="7" t="s">
        <v>76</v>
      </c>
      <c r="BZ26" s="13">
        <v>0</v>
      </c>
      <c r="CA26" s="7" t="s">
        <v>76</v>
      </c>
      <c r="CB26" s="13">
        <v>0</v>
      </c>
      <c r="CC26" s="93">
        <v>0.1364165239</v>
      </c>
      <c r="CD26" s="94">
        <v>6.0372330000000001E-4</v>
      </c>
      <c r="CE26" s="93">
        <v>7.3115949999999995E-4</v>
      </c>
      <c r="CF26" s="94">
        <v>4.1773634000000002E-6</v>
      </c>
      <c r="CG26" s="93">
        <v>0.96827016990000003</v>
      </c>
      <c r="CH26" s="94">
        <v>4.4262941000000004E-3</v>
      </c>
      <c r="CI26" s="93">
        <v>9.3581190000000002E-4</v>
      </c>
      <c r="CJ26" s="94">
        <v>1.8582700000000001E-5</v>
      </c>
      <c r="CK26" s="6" t="s">
        <v>76</v>
      </c>
      <c r="CL26" s="13">
        <v>0</v>
      </c>
      <c r="CM26" s="7" t="s">
        <v>76</v>
      </c>
      <c r="CN26" s="15">
        <v>0</v>
      </c>
      <c r="CO26" s="93">
        <v>15.607909797</v>
      </c>
      <c r="CP26" s="94">
        <v>0.1128061378</v>
      </c>
      <c r="CQ26" s="93">
        <v>4.6034451900000002E-2</v>
      </c>
      <c r="CR26" s="94">
        <v>3.9434479999999998E-4</v>
      </c>
      <c r="CS26" s="93">
        <v>9.7578109596000004</v>
      </c>
      <c r="CT26" s="94">
        <v>3.9142722800000002E-2</v>
      </c>
      <c r="CU26" s="93">
        <v>7.9993322399999997E-2</v>
      </c>
      <c r="CV26" s="88">
        <v>7.0931599999999998E-4</v>
      </c>
      <c r="CW26" s="188">
        <v>4.6062400000000003E-4</v>
      </c>
      <c r="CX26" s="189">
        <v>6.2911330000000004E-4</v>
      </c>
      <c r="CY26" s="189">
        <v>6.543117E-4</v>
      </c>
      <c r="CZ26" s="189">
        <v>6.6541739999999999E-4</v>
      </c>
      <c r="DA26" s="189">
        <v>6.6966539999999998E-4</v>
      </c>
      <c r="DB26" s="189">
        <v>6.7334389999999995E-4</v>
      </c>
      <c r="DC26" s="189">
        <v>6.7702249999999995E-4</v>
      </c>
      <c r="DD26" s="189">
        <v>6.7886170000000003E-4</v>
      </c>
      <c r="DE26" s="189">
        <v>6.8070100000000003E-4</v>
      </c>
      <c r="DF26" s="190">
        <v>6.8254030000000003E-4</v>
      </c>
      <c r="DG26" s="112">
        <v>76.974046247000004</v>
      </c>
      <c r="DH26" s="13">
        <v>1.3306785487999999</v>
      </c>
      <c r="DI26" s="79">
        <v>49.150632301000002</v>
      </c>
      <c r="DJ26" s="13">
        <v>0.85706877889999999</v>
      </c>
      <c r="DK26" s="79">
        <v>30.474685857000001</v>
      </c>
      <c r="DL26" s="13">
        <v>0.54496876670000005</v>
      </c>
      <c r="DM26" s="79">
        <v>18.568018506000001</v>
      </c>
      <c r="DN26" s="13">
        <v>0.34598528810000001</v>
      </c>
      <c r="DO26" s="79">
        <v>11.285841536</v>
      </c>
      <c r="DP26" s="13">
        <v>0.2222524588</v>
      </c>
      <c r="DQ26" s="79">
        <v>6.8990877997000002</v>
      </c>
      <c r="DR26" s="13">
        <v>0.14537383030000001</v>
      </c>
      <c r="DS26" s="79">
        <v>4.2699254153000004</v>
      </c>
      <c r="DT26" s="13">
        <v>9.7214252000000001E-2</v>
      </c>
      <c r="DU26" s="79">
        <v>2.6965436421</v>
      </c>
      <c r="DV26" s="13">
        <v>6.6708432100000006E-2</v>
      </c>
      <c r="DW26" s="79">
        <v>1.7362439594000001</v>
      </c>
      <c r="DX26" s="13">
        <v>4.65762672E-2</v>
      </c>
      <c r="DY26" s="79">
        <v>1.1482073649</v>
      </c>
      <c r="DZ26" s="15">
        <v>3.3117584700000001E-2</v>
      </c>
    </row>
    <row r="27" spans="1:130" x14ac:dyDescent="0.2">
      <c r="A27" s="8">
        <v>2200</v>
      </c>
      <c r="B27" s="82">
        <v>12259</v>
      </c>
      <c r="C27" s="83">
        <v>1128.8104688000001</v>
      </c>
      <c r="D27" s="93">
        <v>2149.3164759000001</v>
      </c>
      <c r="E27" s="93">
        <v>14.010712693</v>
      </c>
      <c r="F27" s="94">
        <v>3.8369558999999998E-2</v>
      </c>
      <c r="G27" s="83">
        <v>0.60369542399999998</v>
      </c>
      <c r="H27" s="94">
        <v>5.6362549999999995E-4</v>
      </c>
      <c r="I27" s="93">
        <v>161.35834209000001</v>
      </c>
      <c r="J27" s="94">
        <v>2.0403759796999998</v>
      </c>
      <c r="K27" s="93">
        <v>183.39259620999999</v>
      </c>
      <c r="L27" s="94">
        <v>1.6875918702999999</v>
      </c>
      <c r="M27" s="93">
        <v>0.58319773210000003</v>
      </c>
      <c r="N27" s="94">
        <v>4.3600169999999999E-3</v>
      </c>
      <c r="O27" s="37" t="s">
        <v>76</v>
      </c>
      <c r="P27" s="13">
        <v>0</v>
      </c>
      <c r="Q27" s="93">
        <v>24.476023498</v>
      </c>
      <c r="R27" s="94">
        <v>0.1233627932</v>
      </c>
      <c r="S27" s="37" t="s">
        <v>76</v>
      </c>
      <c r="T27" s="13">
        <v>0</v>
      </c>
      <c r="U27" s="37" t="s">
        <v>76</v>
      </c>
      <c r="V27" s="13">
        <v>0</v>
      </c>
      <c r="W27" s="93">
        <v>0.16334682389999999</v>
      </c>
      <c r="X27" s="94">
        <v>7.9566019999999997E-4</v>
      </c>
      <c r="Y27" s="93">
        <v>1.3553172113</v>
      </c>
      <c r="Z27" s="94">
        <v>3.6560020000000001E-4</v>
      </c>
      <c r="AA27" s="37" t="s">
        <v>76</v>
      </c>
      <c r="AB27" s="13">
        <v>0</v>
      </c>
      <c r="AC27" s="93">
        <v>0</v>
      </c>
      <c r="AD27" s="94">
        <v>0</v>
      </c>
      <c r="AE27" s="37" t="s">
        <v>76</v>
      </c>
      <c r="AF27" s="13">
        <v>0</v>
      </c>
      <c r="AG27" s="37" t="s">
        <v>76</v>
      </c>
      <c r="AH27" s="13">
        <v>0</v>
      </c>
      <c r="AI27" s="93">
        <v>0</v>
      </c>
      <c r="AJ27" s="94">
        <v>0</v>
      </c>
      <c r="AK27" s="93">
        <v>204.01630326</v>
      </c>
      <c r="AL27" s="94">
        <v>1.3053835619</v>
      </c>
      <c r="AM27" s="37" t="s">
        <v>76</v>
      </c>
      <c r="AN27" s="13">
        <v>0</v>
      </c>
      <c r="AO27" s="37" t="s">
        <v>76</v>
      </c>
      <c r="AP27" s="13">
        <v>0</v>
      </c>
      <c r="AQ27" s="37" t="s">
        <v>76</v>
      </c>
      <c r="AR27" s="13">
        <v>0</v>
      </c>
      <c r="AS27" s="93">
        <v>20.065383489999999</v>
      </c>
      <c r="AT27" s="94">
        <v>0.45454908929999999</v>
      </c>
      <c r="AU27" s="93">
        <v>23.151820847</v>
      </c>
      <c r="AV27" s="94">
        <v>0.1637037807</v>
      </c>
      <c r="AW27" s="93">
        <v>15.232186286999999</v>
      </c>
      <c r="AX27" s="94">
        <v>8.4428752199999998E-2</v>
      </c>
      <c r="AY27" s="93">
        <v>5.3776754341000004</v>
      </c>
      <c r="AZ27" s="94">
        <v>2.7997728E-2</v>
      </c>
      <c r="BA27" s="79">
        <v>2.5419591252</v>
      </c>
      <c r="BB27" s="13">
        <v>5.1277300599999999E-2</v>
      </c>
      <c r="BC27" s="93">
        <v>0</v>
      </c>
      <c r="BD27" s="86">
        <v>0</v>
      </c>
      <c r="BE27" s="93">
        <v>15.775607307</v>
      </c>
      <c r="BF27" s="94">
        <v>7.4115570199999994E-2</v>
      </c>
      <c r="BG27" s="94">
        <v>8.276793E-4</v>
      </c>
      <c r="BH27" s="86">
        <v>0</v>
      </c>
      <c r="BI27" s="93">
        <v>0.26443831559999997</v>
      </c>
      <c r="BJ27" s="94">
        <v>1.9504730999999999E-3</v>
      </c>
      <c r="BK27" s="93">
        <v>3.87773961E-2</v>
      </c>
      <c r="BL27" s="94">
        <v>1.675829E-4</v>
      </c>
      <c r="BM27" s="7" t="s">
        <v>76</v>
      </c>
      <c r="BN27" s="13">
        <v>0</v>
      </c>
      <c r="BO27" s="7" t="s">
        <v>76</v>
      </c>
      <c r="BP27" s="13">
        <v>0</v>
      </c>
      <c r="BQ27" s="93">
        <v>23.708397425000001</v>
      </c>
      <c r="BR27" s="94">
        <v>0.11995736799999999</v>
      </c>
      <c r="BS27" s="93">
        <v>0.14890256390000001</v>
      </c>
      <c r="BT27" s="94">
        <v>1.0030792999999999E-3</v>
      </c>
      <c r="BU27" s="7" t="s">
        <v>76</v>
      </c>
      <c r="BV27" s="13">
        <v>0</v>
      </c>
      <c r="BW27" s="7" t="s">
        <v>76</v>
      </c>
      <c r="BX27" s="13">
        <v>0</v>
      </c>
      <c r="BY27" s="7" t="s">
        <v>76</v>
      </c>
      <c r="BZ27" s="13">
        <v>0</v>
      </c>
      <c r="CA27" s="7" t="s">
        <v>76</v>
      </c>
      <c r="CB27" s="13">
        <v>0</v>
      </c>
      <c r="CC27" s="93">
        <v>0.1476351289</v>
      </c>
      <c r="CD27" s="94">
        <v>6.3245409999999999E-4</v>
      </c>
      <c r="CE27" s="93">
        <v>1.1664614000000001E-3</v>
      </c>
      <c r="CF27" s="94">
        <v>1.1754599999999999E-5</v>
      </c>
      <c r="CG27" s="93">
        <v>1.0841725414000001</v>
      </c>
      <c r="CH27" s="94">
        <v>4.8919046999999997E-3</v>
      </c>
      <c r="CI27" s="93">
        <v>2.0793299999999999E-3</v>
      </c>
      <c r="CJ27" s="94">
        <v>2.3998500000000001E-5</v>
      </c>
      <c r="CK27" s="6" t="s">
        <v>76</v>
      </c>
      <c r="CL27" s="13">
        <v>0</v>
      </c>
      <c r="CM27" s="7" t="s">
        <v>76</v>
      </c>
      <c r="CN27" s="15">
        <v>0</v>
      </c>
      <c r="CO27" s="93">
        <v>16.265717552000002</v>
      </c>
      <c r="CP27" s="94">
        <v>0.116210169</v>
      </c>
      <c r="CQ27" s="93">
        <v>4.6549559300000001E-2</v>
      </c>
      <c r="CR27" s="94">
        <v>3.9931649999999999E-4</v>
      </c>
      <c r="CS27" s="93">
        <v>10.415698957</v>
      </c>
      <c r="CT27" s="94">
        <v>4.0922707099999997E-2</v>
      </c>
      <c r="CU27" s="93">
        <v>8.0571519300000005E-2</v>
      </c>
      <c r="CV27" s="88">
        <v>7.2363750000000002E-4</v>
      </c>
      <c r="CW27" s="188">
        <v>5.554736E-4</v>
      </c>
      <c r="CX27" s="189">
        <v>7.5669789999999995E-4</v>
      </c>
      <c r="CY27" s="189">
        <v>7.8956079999999997E-4</v>
      </c>
      <c r="CZ27" s="189">
        <v>8.0238800000000002E-4</v>
      </c>
      <c r="DA27" s="189">
        <v>8.0714399999999998E-4</v>
      </c>
      <c r="DB27" s="189">
        <v>8.1133780000000003E-4</v>
      </c>
      <c r="DC27" s="189">
        <v>8.1496919999999998E-4</v>
      </c>
      <c r="DD27" s="189">
        <v>8.1678499999999999E-4</v>
      </c>
      <c r="DE27" s="189">
        <v>8.1860069999999997E-4</v>
      </c>
      <c r="DF27" s="190">
        <v>8.2041639999999995E-4</v>
      </c>
      <c r="DG27" s="112">
        <v>79.171880071999993</v>
      </c>
      <c r="DH27" s="13">
        <v>1.3614009829</v>
      </c>
      <c r="DI27" s="79">
        <v>50.954888766000003</v>
      </c>
      <c r="DJ27" s="13">
        <v>0.88346978279999999</v>
      </c>
      <c r="DK27" s="79">
        <v>31.895545384999998</v>
      </c>
      <c r="DL27" s="13">
        <v>0.56661214530000004</v>
      </c>
      <c r="DM27" s="79">
        <v>19.646947806</v>
      </c>
      <c r="DN27" s="13">
        <v>0.36312987600000002</v>
      </c>
      <c r="DO27" s="79">
        <v>12.081909807000001</v>
      </c>
      <c r="DP27" s="13">
        <v>0.23551267549999999</v>
      </c>
      <c r="DQ27" s="79">
        <v>7.4810011629000002</v>
      </c>
      <c r="DR27" s="13">
        <v>0.15551052909999999</v>
      </c>
      <c r="DS27" s="79">
        <v>4.6926560540000004</v>
      </c>
      <c r="DT27" s="13">
        <v>0.104877371</v>
      </c>
      <c r="DU27" s="79">
        <v>3.0038155743999999</v>
      </c>
      <c r="DV27" s="13">
        <v>7.2502383300000001E-2</v>
      </c>
      <c r="DW27" s="79">
        <v>1.9603088585999999</v>
      </c>
      <c r="DX27" s="13">
        <v>5.0963103099999997E-2</v>
      </c>
      <c r="DY27" s="79">
        <v>1.3139631079</v>
      </c>
      <c r="DZ27" s="15">
        <v>3.6476366199999999E-2</v>
      </c>
    </row>
    <row r="28" spans="1:130" x14ac:dyDescent="0.2">
      <c r="A28" s="8">
        <v>2300</v>
      </c>
      <c r="B28" s="82">
        <v>11566</v>
      </c>
      <c r="C28" s="83">
        <v>1159.2881924000001</v>
      </c>
      <c r="D28" s="93">
        <v>2249.6253305999999</v>
      </c>
      <c r="E28" s="93">
        <v>15.079605661</v>
      </c>
      <c r="F28" s="94">
        <v>4.0393193600000002E-2</v>
      </c>
      <c r="G28" s="83">
        <v>0.71122775439999997</v>
      </c>
      <c r="H28" s="94">
        <v>6.4928760000000001E-4</v>
      </c>
      <c r="I28" s="93">
        <v>164.68813014</v>
      </c>
      <c r="J28" s="94">
        <v>2.0719520722999998</v>
      </c>
      <c r="K28" s="93">
        <v>191.71082945000001</v>
      </c>
      <c r="L28" s="94">
        <v>1.7440765759000001</v>
      </c>
      <c r="M28" s="93">
        <v>0.6132285784</v>
      </c>
      <c r="N28" s="94">
        <v>4.6005569999999999E-3</v>
      </c>
      <c r="O28" s="37" t="s">
        <v>76</v>
      </c>
      <c r="P28" s="13">
        <v>0</v>
      </c>
      <c r="Q28" s="93">
        <v>25.630273705</v>
      </c>
      <c r="R28" s="94">
        <v>0.12713622799999999</v>
      </c>
      <c r="S28" s="37" t="s">
        <v>76</v>
      </c>
      <c r="T28" s="13">
        <v>0</v>
      </c>
      <c r="U28" s="37" t="s">
        <v>76</v>
      </c>
      <c r="V28" s="13">
        <v>0</v>
      </c>
      <c r="W28" s="93">
        <v>0.17956913930000001</v>
      </c>
      <c r="X28" s="94">
        <v>9.4619289999999998E-4</v>
      </c>
      <c r="Y28" s="93">
        <v>1.4775056069000001</v>
      </c>
      <c r="Z28" s="94">
        <v>4.0618739999999999E-4</v>
      </c>
      <c r="AA28" s="37" t="s">
        <v>76</v>
      </c>
      <c r="AB28" s="13">
        <v>0</v>
      </c>
      <c r="AC28" s="93">
        <v>0</v>
      </c>
      <c r="AD28" s="94">
        <v>0</v>
      </c>
      <c r="AE28" s="37" t="s">
        <v>76</v>
      </c>
      <c r="AF28" s="13">
        <v>0</v>
      </c>
      <c r="AG28" s="37" t="s">
        <v>76</v>
      </c>
      <c r="AH28" s="13">
        <v>0</v>
      </c>
      <c r="AI28" s="93">
        <v>0</v>
      </c>
      <c r="AJ28" s="94">
        <v>0</v>
      </c>
      <c r="AK28" s="93">
        <v>208.32960018</v>
      </c>
      <c r="AL28" s="94">
        <v>1.3252796272</v>
      </c>
      <c r="AM28" s="37" t="s">
        <v>76</v>
      </c>
      <c r="AN28" s="13">
        <v>0</v>
      </c>
      <c r="AO28" s="37" t="s">
        <v>76</v>
      </c>
      <c r="AP28" s="13">
        <v>0</v>
      </c>
      <c r="AQ28" s="37" t="s">
        <v>76</v>
      </c>
      <c r="AR28" s="13">
        <v>0</v>
      </c>
      <c r="AS28" s="93">
        <v>20.913348895999999</v>
      </c>
      <c r="AT28" s="94">
        <v>0.4637317238</v>
      </c>
      <c r="AU28" s="93">
        <v>23.890297984</v>
      </c>
      <c r="AV28" s="94">
        <v>0.16778759679999999</v>
      </c>
      <c r="AW28" s="93">
        <v>15.783233274000001</v>
      </c>
      <c r="AX28" s="94">
        <v>8.6738850800000003E-2</v>
      </c>
      <c r="AY28" s="93">
        <v>5.4958652857999999</v>
      </c>
      <c r="AZ28" s="94">
        <v>2.8568181799999998E-2</v>
      </c>
      <c r="BA28" s="79">
        <v>2.6111994237</v>
      </c>
      <c r="BB28" s="13">
        <v>5.2480564299999997E-2</v>
      </c>
      <c r="BC28" s="93">
        <v>0</v>
      </c>
      <c r="BD28" s="86">
        <v>0</v>
      </c>
      <c r="BE28" s="93">
        <v>16.855076011000001</v>
      </c>
      <c r="BF28" s="94">
        <v>7.7553622000000003E-2</v>
      </c>
      <c r="BG28" s="94">
        <v>9.7085309999999996E-4</v>
      </c>
      <c r="BH28" s="86">
        <v>0</v>
      </c>
      <c r="BI28" s="93">
        <v>0.28264265379999998</v>
      </c>
      <c r="BJ28" s="94">
        <v>2.1037648E-3</v>
      </c>
      <c r="BK28" s="93">
        <v>3.9137938400000002E-2</v>
      </c>
      <c r="BL28" s="94">
        <v>1.674774E-4</v>
      </c>
      <c r="BM28" s="7" t="s">
        <v>76</v>
      </c>
      <c r="BN28" s="13">
        <v>0</v>
      </c>
      <c r="BO28" s="7" t="s">
        <v>76</v>
      </c>
      <c r="BP28" s="13">
        <v>0</v>
      </c>
      <c r="BQ28" s="93">
        <v>24.827380260999998</v>
      </c>
      <c r="BR28" s="94">
        <v>0.12359001880000001</v>
      </c>
      <c r="BS28" s="93">
        <v>0.15500691990000001</v>
      </c>
      <c r="BT28" s="94">
        <v>1.037282E-3</v>
      </c>
      <c r="BU28" s="7" t="s">
        <v>76</v>
      </c>
      <c r="BV28" s="13">
        <v>0</v>
      </c>
      <c r="BW28" s="7" t="s">
        <v>76</v>
      </c>
      <c r="BX28" s="13">
        <v>0</v>
      </c>
      <c r="BY28" s="7" t="s">
        <v>76</v>
      </c>
      <c r="BZ28" s="13">
        <v>0</v>
      </c>
      <c r="CA28" s="7" t="s">
        <v>76</v>
      </c>
      <c r="CB28" s="13">
        <v>0</v>
      </c>
      <c r="CC28" s="93">
        <v>0.15670196149999999</v>
      </c>
      <c r="CD28" s="94">
        <v>7.168659E-4</v>
      </c>
      <c r="CE28" s="93">
        <v>1.1517178999999999E-3</v>
      </c>
      <c r="CF28" s="94">
        <v>1.1597700000000001E-5</v>
      </c>
      <c r="CG28" s="93">
        <v>1.1816517176000001</v>
      </c>
      <c r="CH28" s="94">
        <v>5.2679192000000003E-3</v>
      </c>
      <c r="CI28" s="93">
        <v>2.0523614000000001E-3</v>
      </c>
      <c r="CJ28" s="94">
        <v>2.3669999999999999E-5</v>
      </c>
      <c r="CK28" s="6" t="s">
        <v>76</v>
      </c>
      <c r="CL28" s="13">
        <v>0</v>
      </c>
      <c r="CM28" s="7" t="s">
        <v>76</v>
      </c>
      <c r="CN28" s="15">
        <v>0</v>
      </c>
      <c r="CO28" s="93">
        <v>16.959524669</v>
      </c>
      <c r="CP28" s="94">
        <v>0.119610837</v>
      </c>
      <c r="CQ28" s="93">
        <v>5.16234707E-2</v>
      </c>
      <c r="CR28" s="94">
        <v>4.1646180000000002E-4</v>
      </c>
      <c r="CS28" s="93">
        <v>11.078565365999999</v>
      </c>
      <c r="CT28" s="94">
        <v>4.2709434499999997E-2</v>
      </c>
      <c r="CU28" s="93">
        <v>8.46632732E-2</v>
      </c>
      <c r="CV28" s="88">
        <v>7.4777999999999997E-4</v>
      </c>
      <c r="CW28" s="188">
        <v>6.3703499999999999E-4</v>
      </c>
      <c r="CX28" s="189">
        <v>8.7834420000000005E-4</v>
      </c>
      <c r="CY28" s="189">
        <v>9.2351870000000004E-4</v>
      </c>
      <c r="CZ28" s="189">
        <v>9.4329349999999995E-4</v>
      </c>
      <c r="DA28" s="189">
        <v>9.4927770000000002E-4</v>
      </c>
      <c r="DB28" s="189">
        <v>9.5470630000000004E-4</v>
      </c>
      <c r="DC28" s="189">
        <v>9.582945E-4</v>
      </c>
      <c r="DD28" s="189">
        <v>9.6008849999999995E-4</v>
      </c>
      <c r="DE28" s="189">
        <v>9.6188260000000005E-4</v>
      </c>
      <c r="DF28" s="190">
        <v>9.6367670000000003E-4</v>
      </c>
      <c r="DG28" s="112">
        <v>81.274135080999997</v>
      </c>
      <c r="DH28" s="13">
        <v>1.3901174801</v>
      </c>
      <c r="DI28" s="79">
        <v>52.693458839999998</v>
      </c>
      <c r="DJ28" s="13">
        <v>0.90819743850000001</v>
      </c>
      <c r="DK28" s="79">
        <v>33.265998566</v>
      </c>
      <c r="DL28" s="13">
        <v>0.58695484379999996</v>
      </c>
      <c r="DM28" s="79">
        <v>20.686954141000001</v>
      </c>
      <c r="DN28" s="13">
        <v>0.37926711330000001</v>
      </c>
      <c r="DO28" s="79">
        <v>12.856490153999999</v>
      </c>
      <c r="DP28" s="13">
        <v>0.24805684580000001</v>
      </c>
      <c r="DQ28" s="79">
        <v>8.0474464032000004</v>
      </c>
      <c r="DR28" s="13">
        <v>0.1650905114</v>
      </c>
      <c r="DS28" s="79">
        <v>5.1005628688</v>
      </c>
      <c r="DT28" s="13">
        <v>0.1120670406</v>
      </c>
      <c r="DU28" s="79">
        <v>3.2955671622999998</v>
      </c>
      <c r="DV28" s="13">
        <v>7.7837809800000005E-2</v>
      </c>
      <c r="DW28" s="79">
        <v>2.1688955222000001</v>
      </c>
      <c r="DX28" s="13">
        <v>5.4915987100000001E-2</v>
      </c>
      <c r="DY28" s="79">
        <v>1.4656901886</v>
      </c>
      <c r="DZ28" s="15">
        <v>3.9444316700000003E-2</v>
      </c>
    </row>
    <row r="29" spans="1:130" x14ac:dyDescent="0.2">
      <c r="A29" s="8">
        <v>2400</v>
      </c>
      <c r="B29" s="82">
        <v>10822</v>
      </c>
      <c r="C29" s="83">
        <v>1188.8726492000001</v>
      </c>
      <c r="D29" s="93">
        <v>2349.6998472</v>
      </c>
      <c r="E29" s="93">
        <v>16.050863201999999</v>
      </c>
      <c r="F29" s="94">
        <v>4.22064719E-2</v>
      </c>
      <c r="G29" s="83">
        <v>0.85875023039999998</v>
      </c>
      <c r="H29" s="94">
        <v>7.512269E-4</v>
      </c>
      <c r="I29" s="93">
        <v>167.81323366999999</v>
      </c>
      <c r="J29" s="94">
        <v>2.1014930052</v>
      </c>
      <c r="K29" s="93">
        <v>199.64315844000001</v>
      </c>
      <c r="L29" s="94">
        <v>1.7974188357000001</v>
      </c>
      <c r="M29" s="93">
        <v>0.63871538000000005</v>
      </c>
      <c r="N29" s="94">
        <v>4.7144405E-3</v>
      </c>
      <c r="O29" s="37" t="s">
        <v>76</v>
      </c>
      <c r="P29" s="13">
        <v>0</v>
      </c>
      <c r="Q29" s="93">
        <v>26.837848863000001</v>
      </c>
      <c r="R29" s="94">
        <v>0.13078120160000001</v>
      </c>
      <c r="S29" s="37" t="s">
        <v>76</v>
      </c>
      <c r="T29" s="13">
        <v>0</v>
      </c>
      <c r="U29" s="37" t="s">
        <v>76</v>
      </c>
      <c r="V29" s="13">
        <v>0</v>
      </c>
      <c r="W29" s="93">
        <v>0.2008437045</v>
      </c>
      <c r="X29" s="94">
        <v>1.1849183E-3</v>
      </c>
      <c r="Y29" s="93">
        <v>1.5998054418000001</v>
      </c>
      <c r="Z29" s="94">
        <v>4.2977020000000001E-4</v>
      </c>
      <c r="AA29" s="37" t="s">
        <v>76</v>
      </c>
      <c r="AB29" s="13">
        <v>0</v>
      </c>
      <c r="AC29" s="93">
        <v>0</v>
      </c>
      <c r="AD29" s="94">
        <v>0</v>
      </c>
      <c r="AE29" s="37" t="s">
        <v>76</v>
      </c>
      <c r="AF29" s="13">
        <v>0</v>
      </c>
      <c r="AG29" s="37" t="s">
        <v>76</v>
      </c>
      <c r="AH29" s="13">
        <v>0</v>
      </c>
      <c r="AI29" s="93">
        <v>0</v>
      </c>
      <c r="AJ29" s="94">
        <v>0</v>
      </c>
      <c r="AK29" s="93">
        <v>212.36681217</v>
      </c>
      <c r="AL29" s="94">
        <v>1.3437554222000001</v>
      </c>
      <c r="AM29" s="37" t="s">
        <v>76</v>
      </c>
      <c r="AN29" s="13">
        <v>0</v>
      </c>
      <c r="AO29" s="37" t="s">
        <v>76</v>
      </c>
      <c r="AP29" s="13">
        <v>0</v>
      </c>
      <c r="AQ29" s="37" t="s">
        <v>76</v>
      </c>
      <c r="AR29" s="13">
        <v>0</v>
      </c>
      <c r="AS29" s="93">
        <v>21.720818591</v>
      </c>
      <c r="AT29" s="94">
        <v>0.47266927320000002</v>
      </c>
      <c r="AU29" s="93">
        <v>24.655527808999999</v>
      </c>
      <c r="AV29" s="94">
        <v>0.17175145359999999</v>
      </c>
      <c r="AW29" s="93">
        <v>16.352555119000002</v>
      </c>
      <c r="AX29" s="94">
        <v>8.9001374800000005E-2</v>
      </c>
      <c r="AY29" s="93">
        <v>5.6040294477000003</v>
      </c>
      <c r="AZ29" s="94">
        <v>2.9022887800000001E-2</v>
      </c>
      <c r="BA29" s="79">
        <v>2.6989432420999999</v>
      </c>
      <c r="BB29" s="13">
        <v>5.3727191100000002E-2</v>
      </c>
      <c r="BC29" s="93">
        <v>0</v>
      </c>
      <c r="BD29" s="86">
        <v>0</v>
      </c>
      <c r="BE29" s="93">
        <v>18.001325286</v>
      </c>
      <c r="BF29" s="94">
        <v>8.0958026099999997E-2</v>
      </c>
      <c r="BG29" s="94">
        <v>1.1296394999999999E-3</v>
      </c>
      <c r="BH29" s="86">
        <v>0</v>
      </c>
      <c r="BI29" s="93">
        <v>0.29890281120000001</v>
      </c>
      <c r="BJ29" s="94">
        <v>2.1872519000000002E-3</v>
      </c>
      <c r="BK29" s="93">
        <v>3.9235303800000003E-2</v>
      </c>
      <c r="BL29" s="94">
        <v>1.686569E-4</v>
      </c>
      <c r="BM29" s="7" t="s">
        <v>76</v>
      </c>
      <c r="BN29" s="13">
        <v>0</v>
      </c>
      <c r="BO29" s="7" t="s">
        <v>76</v>
      </c>
      <c r="BP29" s="13">
        <v>0</v>
      </c>
      <c r="BQ29" s="93">
        <v>25.992959210999999</v>
      </c>
      <c r="BR29" s="94">
        <v>0.12707334179999999</v>
      </c>
      <c r="BS29" s="93">
        <v>0.1645386838</v>
      </c>
      <c r="BT29" s="94">
        <v>1.0910618E-3</v>
      </c>
      <c r="BU29" s="7" t="s">
        <v>76</v>
      </c>
      <c r="BV29" s="13">
        <v>0</v>
      </c>
      <c r="BW29" s="7" t="s">
        <v>76</v>
      </c>
      <c r="BX29" s="13">
        <v>0</v>
      </c>
      <c r="BY29" s="7" t="s">
        <v>76</v>
      </c>
      <c r="BZ29" s="13">
        <v>0</v>
      </c>
      <c r="CA29" s="7" t="s">
        <v>76</v>
      </c>
      <c r="CB29" s="13">
        <v>0</v>
      </c>
      <c r="CC29" s="93">
        <v>0.16969009769999999</v>
      </c>
      <c r="CD29" s="94">
        <v>8.3253489999999999E-4</v>
      </c>
      <c r="CE29" s="93">
        <v>1.1381283000000001E-3</v>
      </c>
      <c r="CF29" s="94">
        <v>1.14553E-5</v>
      </c>
      <c r="CG29" s="93">
        <v>1.2874985692000001</v>
      </c>
      <c r="CH29" s="94">
        <v>5.6858465000000002E-3</v>
      </c>
      <c r="CI29" s="93">
        <v>2.0815807999999998E-3</v>
      </c>
      <c r="CJ29" s="94">
        <v>2.4816599999999999E-5</v>
      </c>
      <c r="CK29" s="6" t="s">
        <v>76</v>
      </c>
      <c r="CL29" s="13">
        <v>0</v>
      </c>
      <c r="CM29" s="7" t="s">
        <v>76</v>
      </c>
      <c r="CN29" s="15">
        <v>0</v>
      </c>
      <c r="CO29" s="93">
        <v>17.615515332000001</v>
      </c>
      <c r="CP29" s="94">
        <v>0.1228309794</v>
      </c>
      <c r="CQ29" s="93">
        <v>5.25795742E-2</v>
      </c>
      <c r="CR29" s="94">
        <v>4.231703E-4</v>
      </c>
      <c r="CS29" s="93">
        <v>11.776066533</v>
      </c>
      <c r="CT29" s="94">
        <v>4.4443378700000001E-2</v>
      </c>
      <c r="CU29" s="93">
        <v>8.7090404900000001E-2</v>
      </c>
      <c r="CV29" s="88">
        <v>7.7185800000000005E-4</v>
      </c>
      <c r="CW29" s="188">
        <v>7.3522949999999996E-4</v>
      </c>
      <c r="CX29" s="189">
        <v>1.0240258999999999E-3</v>
      </c>
      <c r="CY29" s="189">
        <v>1.0804745000000001E-3</v>
      </c>
      <c r="CZ29" s="189">
        <v>1.1023877000000001E-3</v>
      </c>
      <c r="DA29" s="189">
        <v>1.1083046E-3</v>
      </c>
      <c r="DB29" s="189">
        <v>1.113672E-3</v>
      </c>
      <c r="DC29" s="189">
        <v>1.1172203E-3</v>
      </c>
      <c r="DD29" s="189">
        <v>1.1189945000000001E-3</v>
      </c>
      <c r="DE29" s="189">
        <v>1.1207687000000001E-3</v>
      </c>
      <c r="DF29" s="190">
        <v>1.1225428999999999E-3</v>
      </c>
      <c r="DG29" s="112">
        <v>83.240130914000005</v>
      </c>
      <c r="DH29" s="13">
        <v>1.4170290628</v>
      </c>
      <c r="DI29" s="79">
        <v>54.318788621000003</v>
      </c>
      <c r="DJ29" s="13">
        <v>0.93146812889999997</v>
      </c>
      <c r="DK29" s="79">
        <v>34.561869436000002</v>
      </c>
      <c r="DL29" s="13">
        <v>0.60625811389999995</v>
      </c>
      <c r="DM29" s="79">
        <v>21.689108201</v>
      </c>
      <c r="DN29" s="13">
        <v>0.39478313650000002</v>
      </c>
      <c r="DO29" s="79">
        <v>13.613561950999999</v>
      </c>
      <c r="DP29" s="13">
        <v>0.26027630419999997</v>
      </c>
      <c r="DQ29" s="79">
        <v>8.6061738760999997</v>
      </c>
      <c r="DR29" s="13">
        <v>0.17450082710000001</v>
      </c>
      <c r="DS29" s="79">
        <v>5.5113628512000004</v>
      </c>
      <c r="DT29" s="13">
        <v>0.1192847348</v>
      </c>
      <c r="DU29" s="79">
        <v>3.5938706221999999</v>
      </c>
      <c r="DV29" s="13">
        <v>8.3334346599999998E-2</v>
      </c>
      <c r="DW29" s="79">
        <v>2.3865360570999998</v>
      </c>
      <c r="DX29" s="13">
        <v>5.9105019799999998E-2</v>
      </c>
      <c r="DY29" s="79">
        <v>1.6255387575</v>
      </c>
      <c r="DZ29" s="15">
        <v>4.2655514999999998E-2</v>
      </c>
    </row>
    <row r="30" spans="1:130" x14ac:dyDescent="0.2">
      <c r="A30" s="8">
        <v>2500</v>
      </c>
      <c r="B30" s="82">
        <v>10569</v>
      </c>
      <c r="C30" s="83">
        <v>1217.602973</v>
      </c>
      <c r="D30" s="93">
        <v>2449.1367583000001</v>
      </c>
      <c r="E30" s="93">
        <v>17.087468051999998</v>
      </c>
      <c r="F30" s="94">
        <v>4.4009465300000002E-2</v>
      </c>
      <c r="G30" s="83">
        <v>1.0235652726</v>
      </c>
      <c r="H30" s="94">
        <v>8.6347240000000003E-4</v>
      </c>
      <c r="I30" s="93">
        <v>170.78623119</v>
      </c>
      <c r="J30" s="94">
        <v>2.1295975644</v>
      </c>
      <c r="K30" s="93">
        <v>207.83233931999999</v>
      </c>
      <c r="L30" s="94">
        <v>1.8522655344000001</v>
      </c>
      <c r="M30" s="93">
        <v>0.68287169619999999</v>
      </c>
      <c r="N30" s="94">
        <v>4.9888893000000004E-3</v>
      </c>
      <c r="O30" s="37" t="s">
        <v>76</v>
      </c>
      <c r="P30" s="13">
        <v>0</v>
      </c>
      <c r="Q30" s="93">
        <v>28.072786597</v>
      </c>
      <c r="R30" s="94">
        <v>0.1344908859</v>
      </c>
      <c r="S30" s="37" t="s">
        <v>76</v>
      </c>
      <c r="T30" s="13">
        <v>0</v>
      </c>
      <c r="U30" s="37" t="s">
        <v>76</v>
      </c>
      <c r="V30" s="13">
        <v>0</v>
      </c>
      <c r="W30" s="93">
        <v>0.21718414420000001</v>
      </c>
      <c r="X30" s="94">
        <v>1.2880348E-3</v>
      </c>
      <c r="Y30" s="93">
        <v>1.7132906291000001</v>
      </c>
      <c r="Z30" s="94">
        <v>4.4040669999999998E-4</v>
      </c>
      <c r="AA30" s="37" t="s">
        <v>76</v>
      </c>
      <c r="AB30" s="13">
        <v>0</v>
      </c>
      <c r="AC30" s="93">
        <v>0</v>
      </c>
      <c r="AD30" s="94">
        <v>0</v>
      </c>
      <c r="AE30" s="37" t="s">
        <v>76</v>
      </c>
      <c r="AF30" s="13">
        <v>0</v>
      </c>
      <c r="AG30" s="37" t="s">
        <v>76</v>
      </c>
      <c r="AH30" s="13">
        <v>0</v>
      </c>
      <c r="AI30" s="93">
        <v>0</v>
      </c>
      <c r="AJ30" s="94">
        <v>0</v>
      </c>
      <c r="AK30" s="93">
        <v>216.44168443000001</v>
      </c>
      <c r="AL30" s="94">
        <v>1.3621943456000001</v>
      </c>
      <c r="AM30" s="37" t="s">
        <v>76</v>
      </c>
      <c r="AN30" s="13">
        <v>0</v>
      </c>
      <c r="AO30" s="37" t="s">
        <v>76</v>
      </c>
      <c r="AP30" s="13">
        <v>0</v>
      </c>
      <c r="AQ30" s="37" t="s">
        <v>76</v>
      </c>
      <c r="AR30" s="13">
        <v>0</v>
      </c>
      <c r="AS30" s="93">
        <v>22.577831217</v>
      </c>
      <c r="AT30" s="94">
        <v>0.48124150939999999</v>
      </c>
      <c r="AU30" s="93">
        <v>25.368862293999999</v>
      </c>
      <c r="AV30" s="94">
        <v>0.17584173789999999</v>
      </c>
      <c r="AW30" s="93">
        <v>16.873194080000001</v>
      </c>
      <c r="AX30" s="94">
        <v>9.1409590999999998E-2</v>
      </c>
      <c r="AY30" s="93">
        <v>5.701193484</v>
      </c>
      <c r="AZ30" s="94">
        <v>2.9489296000000002E-2</v>
      </c>
      <c r="BA30" s="79">
        <v>2.7944747298000001</v>
      </c>
      <c r="BB30" s="13">
        <v>5.49428509E-2</v>
      </c>
      <c r="BC30" s="93">
        <v>0</v>
      </c>
      <c r="BD30" s="86">
        <v>0</v>
      </c>
      <c r="BE30" s="93">
        <v>19.234452449999999</v>
      </c>
      <c r="BF30" s="94">
        <v>8.4399328999999995E-2</v>
      </c>
      <c r="BG30" s="94">
        <v>1.3290566000000001E-3</v>
      </c>
      <c r="BH30" s="86">
        <v>0</v>
      </c>
      <c r="BI30" s="93">
        <v>0.32509409360000002</v>
      </c>
      <c r="BJ30" s="94">
        <v>2.3485748999999998E-3</v>
      </c>
      <c r="BK30" s="93">
        <v>4.2728184400000001E-2</v>
      </c>
      <c r="BL30" s="94">
        <v>1.940523E-4</v>
      </c>
      <c r="BM30" s="7" t="s">
        <v>76</v>
      </c>
      <c r="BN30" s="13">
        <v>0</v>
      </c>
      <c r="BO30" s="7" t="s">
        <v>76</v>
      </c>
      <c r="BP30" s="13">
        <v>0</v>
      </c>
      <c r="BQ30" s="93">
        <v>27.192433156</v>
      </c>
      <c r="BR30" s="94">
        <v>0.130642277</v>
      </c>
      <c r="BS30" s="93">
        <v>0.17127300710000001</v>
      </c>
      <c r="BT30" s="94">
        <v>1.1293891E-3</v>
      </c>
      <c r="BU30" s="7" t="s">
        <v>76</v>
      </c>
      <c r="BV30" s="13">
        <v>0</v>
      </c>
      <c r="BW30" s="7" t="s">
        <v>76</v>
      </c>
      <c r="BX30" s="13">
        <v>0</v>
      </c>
      <c r="BY30" s="7" t="s">
        <v>76</v>
      </c>
      <c r="BZ30" s="13">
        <v>0</v>
      </c>
      <c r="CA30" s="7" t="s">
        <v>76</v>
      </c>
      <c r="CB30" s="13">
        <v>0</v>
      </c>
      <c r="CC30" s="93">
        <v>0.18176163179999999</v>
      </c>
      <c r="CD30" s="94">
        <v>8.8352790000000004E-4</v>
      </c>
      <c r="CE30" s="93">
        <v>1.25102E-3</v>
      </c>
      <c r="CF30" s="94">
        <v>1.2541899999999999E-5</v>
      </c>
      <c r="CG30" s="93">
        <v>1.3827639276000001</v>
      </c>
      <c r="CH30" s="94">
        <v>6.0692923000000001E-3</v>
      </c>
      <c r="CI30" s="93">
        <v>2.0577912999999999E-3</v>
      </c>
      <c r="CJ30" s="94">
        <v>2.4513300000000001E-5</v>
      </c>
      <c r="CK30" s="6" t="s">
        <v>76</v>
      </c>
      <c r="CL30" s="13">
        <v>0</v>
      </c>
      <c r="CM30" s="7" t="s">
        <v>76</v>
      </c>
      <c r="CN30" s="15">
        <v>0</v>
      </c>
      <c r="CO30" s="93">
        <v>18.305145745000001</v>
      </c>
      <c r="CP30" s="94">
        <v>0.1258631214</v>
      </c>
      <c r="CQ30" s="93">
        <v>5.54031195E-2</v>
      </c>
      <c r="CR30" s="94">
        <v>4.3150540000000002E-4</v>
      </c>
      <c r="CS30" s="93">
        <v>12.519735183</v>
      </c>
      <c r="CT30" s="94">
        <v>4.6233490199999998E-2</v>
      </c>
      <c r="CU30" s="93">
        <v>9.3937872899999997E-2</v>
      </c>
      <c r="CV30" s="88">
        <v>8.0899710000000003E-4</v>
      </c>
      <c r="CW30" s="188">
        <v>8.4506070000000004E-4</v>
      </c>
      <c r="CX30" s="189">
        <v>1.1963427E-3</v>
      </c>
      <c r="CY30" s="189">
        <v>1.2712183000000001E-3</v>
      </c>
      <c r="CZ30" s="189">
        <v>1.3020934E-3</v>
      </c>
      <c r="DA30" s="189">
        <v>1.3079472999999999E-3</v>
      </c>
      <c r="DB30" s="189">
        <v>1.3132574999999999E-3</v>
      </c>
      <c r="DC30" s="189">
        <v>1.3167684E-3</v>
      </c>
      <c r="DD30" s="189">
        <v>1.3185238999999999E-3</v>
      </c>
      <c r="DE30" s="189">
        <v>1.3202793E-3</v>
      </c>
      <c r="DF30" s="190">
        <v>1.3220348E-3</v>
      </c>
      <c r="DG30" s="112">
        <v>85.114471957999996</v>
      </c>
      <c r="DH30" s="13">
        <v>1.4425484566</v>
      </c>
      <c r="DI30" s="79">
        <v>55.866893245999997</v>
      </c>
      <c r="DJ30" s="13">
        <v>0.95342264350000006</v>
      </c>
      <c r="DK30" s="79">
        <v>35.795470582</v>
      </c>
      <c r="DL30" s="13">
        <v>0.62436501499999997</v>
      </c>
      <c r="DM30" s="79">
        <v>22.641798721000001</v>
      </c>
      <c r="DN30" s="13">
        <v>0.40928238719999999</v>
      </c>
      <c r="DO30" s="79">
        <v>14.331379827999999</v>
      </c>
      <c r="DP30" s="13">
        <v>0.27165586949999998</v>
      </c>
      <c r="DQ30" s="79">
        <v>9.1378201172000004</v>
      </c>
      <c r="DR30" s="13">
        <v>0.18330697630000001</v>
      </c>
      <c r="DS30" s="79">
        <v>5.8993945560999999</v>
      </c>
      <c r="DT30" s="13">
        <v>0.12600759540000001</v>
      </c>
      <c r="DU30" s="79">
        <v>3.8763120933000002</v>
      </c>
      <c r="DV30" s="13">
        <v>8.84321525E-2</v>
      </c>
      <c r="DW30" s="79">
        <v>2.5928705191999999</v>
      </c>
      <c r="DX30" s="13">
        <v>6.29674598E-2</v>
      </c>
      <c r="DY30" s="79">
        <v>1.7755224808000001</v>
      </c>
      <c r="DZ30" s="15">
        <v>4.5579092199999997E-2</v>
      </c>
    </row>
    <row r="31" spans="1:130" x14ac:dyDescent="0.2">
      <c r="A31" s="8">
        <v>2600</v>
      </c>
      <c r="B31" s="82">
        <v>9922</v>
      </c>
      <c r="C31" s="83">
        <v>1245.525815</v>
      </c>
      <c r="D31" s="93">
        <v>2550.0784700999998</v>
      </c>
      <c r="E31" s="93">
        <v>18.178734343999999</v>
      </c>
      <c r="F31" s="94">
        <v>4.5770695100000001E-2</v>
      </c>
      <c r="G31" s="83">
        <v>1.2154061848</v>
      </c>
      <c r="H31" s="94">
        <v>9.8953660000000005E-4</v>
      </c>
      <c r="I31" s="93">
        <v>173.77745403</v>
      </c>
      <c r="J31" s="94">
        <v>2.1572185559000001</v>
      </c>
      <c r="K31" s="93">
        <v>215.67834141</v>
      </c>
      <c r="L31" s="94">
        <v>1.9036918851</v>
      </c>
      <c r="M31" s="93">
        <v>0.7292117199</v>
      </c>
      <c r="N31" s="94">
        <v>5.2081310000000004E-3</v>
      </c>
      <c r="O31" s="37" t="s">
        <v>76</v>
      </c>
      <c r="P31" s="13">
        <v>0</v>
      </c>
      <c r="Q31" s="93">
        <v>29.142429543999999</v>
      </c>
      <c r="R31" s="94">
        <v>0.13762687639999999</v>
      </c>
      <c r="S31" s="37" t="s">
        <v>76</v>
      </c>
      <c r="T31" s="13">
        <v>0</v>
      </c>
      <c r="U31" s="37" t="s">
        <v>76</v>
      </c>
      <c r="V31" s="13">
        <v>0</v>
      </c>
      <c r="W31" s="93">
        <v>0.22986071550000001</v>
      </c>
      <c r="X31" s="94">
        <v>1.3278896000000001E-3</v>
      </c>
      <c r="Y31" s="93">
        <v>1.8599292338</v>
      </c>
      <c r="Z31" s="94">
        <v>4.7968920000000001E-4</v>
      </c>
      <c r="AA31" s="37" t="s">
        <v>76</v>
      </c>
      <c r="AB31" s="13">
        <v>0</v>
      </c>
      <c r="AC31" s="93">
        <v>0</v>
      </c>
      <c r="AD31" s="94">
        <v>0</v>
      </c>
      <c r="AE31" s="37" t="s">
        <v>76</v>
      </c>
      <c r="AF31" s="13">
        <v>0</v>
      </c>
      <c r="AG31" s="37" t="s">
        <v>76</v>
      </c>
      <c r="AH31" s="13">
        <v>0</v>
      </c>
      <c r="AI31" s="93">
        <v>0</v>
      </c>
      <c r="AJ31" s="94">
        <v>0</v>
      </c>
      <c r="AK31" s="93">
        <v>220.37312553999999</v>
      </c>
      <c r="AL31" s="94">
        <v>1.3797468348999999</v>
      </c>
      <c r="AM31" s="37" t="s">
        <v>76</v>
      </c>
      <c r="AN31" s="13">
        <v>0</v>
      </c>
      <c r="AO31" s="37" t="s">
        <v>76</v>
      </c>
      <c r="AP31" s="13">
        <v>0</v>
      </c>
      <c r="AQ31" s="37" t="s">
        <v>76</v>
      </c>
      <c r="AR31" s="13">
        <v>0</v>
      </c>
      <c r="AS31" s="93">
        <v>23.359352393999998</v>
      </c>
      <c r="AT31" s="94">
        <v>0.48928982040000002</v>
      </c>
      <c r="AU31" s="93">
        <v>26.052138000999999</v>
      </c>
      <c r="AV31" s="94">
        <v>0.17950117630000001</v>
      </c>
      <c r="AW31" s="93">
        <v>17.374406231999998</v>
      </c>
      <c r="AX31" s="94">
        <v>9.3414124500000001E-2</v>
      </c>
      <c r="AY31" s="93">
        <v>5.7972066455000002</v>
      </c>
      <c r="AZ31" s="94">
        <v>2.9918355899999999E-2</v>
      </c>
      <c r="BA31" s="79">
        <v>2.8805251243000001</v>
      </c>
      <c r="BB31" s="13">
        <v>5.6168695999999997E-2</v>
      </c>
      <c r="BC31" s="93">
        <v>0</v>
      </c>
      <c r="BD31" s="86">
        <v>0</v>
      </c>
      <c r="BE31" s="93">
        <v>20.439370748000002</v>
      </c>
      <c r="BF31" s="94">
        <v>8.7788908499999999E-2</v>
      </c>
      <c r="BG31" s="94">
        <v>1.5435026E-3</v>
      </c>
      <c r="BH31" s="86">
        <v>0</v>
      </c>
      <c r="BI31" s="93">
        <v>0.349725701</v>
      </c>
      <c r="BJ31" s="94">
        <v>2.4599169999999998E-3</v>
      </c>
      <c r="BK31" s="93">
        <v>4.8405052099999998E-2</v>
      </c>
      <c r="BL31" s="94">
        <v>2.1284529999999999E-4</v>
      </c>
      <c r="BM31" s="7" t="s">
        <v>76</v>
      </c>
      <c r="BN31" s="13">
        <v>0</v>
      </c>
      <c r="BO31" s="7" t="s">
        <v>76</v>
      </c>
      <c r="BP31" s="13">
        <v>0</v>
      </c>
      <c r="BQ31" s="93">
        <v>28.210147424999999</v>
      </c>
      <c r="BR31" s="94">
        <v>0.13363282330000001</v>
      </c>
      <c r="BS31" s="93">
        <v>0.18099686540000001</v>
      </c>
      <c r="BT31" s="94">
        <v>1.1696204E-3</v>
      </c>
      <c r="BU31" s="7" t="s">
        <v>76</v>
      </c>
      <c r="BV31" s="13">
        <v>0</v>
      </c>
      <c r="BW31" s="7" t="s">
        <v>76</v>
      </c>
      <c r="BX31" s="13">
        <v>0</v>
      </c>
      <c r="BY31" s="7" t="s">
        <v>76</v>
      </c>
      <c r="BZ31" s="13">
        <v>0</v>
      </c>
      <c r="CA31" s="7" t="s">
        <v>76</v>
      </c>
      <c r="CB31" s="13">
        <v>0</v>
      </c>
      <c r="CC31" s="93">
        <v>0.19363647370000001</v>
      </c>
      <c r="CD31" s="94">
        <v>9.2082799999999995E-4</v>
      </c>
      <c r="CE31" s="93">
        <v>1.2378198999999999E-3</v>
      </c>
      <c r="CF31" s="94">
        <v>1.2405199999999999E-5</v>
      </c>
      <c r="CG31" s="93">
        <v>1.5163553944999999</v>
      </c>
      <c r="CH31" s="94">
        <v>6.6241948999999998E-3</v>
      </c>
      <c r="CI31" s="93">
        <v>2.1273020999999998E-3</v>
      </c>
      <c r="CJ31" s="94">
        <v>2.49548E-5</v>
      </c>
      <c r="CK31" s="6" t="s">
        <v>76</v>
      </c>
      <c r="CL31" s="13">
        <v>0</v>
      </c>
      <c r="CM31" s="7" t="s">
        <v>76</v>
      </c>
      <c r="CN31" s="15">
        <v>0</v>
      </c>
      <c r="CO31" s="93">
        <v>18.947937696</v>
      </c>
      <c r="CP31" s="94">
        <v>0.12881849879999999</v>
      </c>
      <c r="CQ31" s="93">
        <v>5.6474953500000001E-2</v>
      </c>
      <c r="CR31" s="94">
        <v>4.422138E-4</v>
      </c>
      <c r="CS31" s="93">
        <v>13.275200828999999</v>
      </c>
      <c r="CT31" s="94">
        <v>4.8014009599999997E-2</v>
      </c>
      <c r="CU31" s="93">
        <v>9.6346501099999995E-2</v>
      </c>
      <c r="CV31" s="88">
        <v>8.238958E-4</v>
      </c>
      <c r="CW31" s="188">
        <v>9.6849879999999998E-4</v>
      </c>
      <c r="CX31" s="189">
        <v>1.3865405999999999E-3</v>
      </c>
      <c r="CY31" s="189">
        <v>1.477529E-3</v>
      </c>
      <c r="CZ31" s="189">
        <v>1.5125424000000001E-3</v>
      </c>
      <c r="DA31" s="189">
        <v>1.5215185999999999E-3</v>
      </c>
      <c r="DB31" s="189">
        <v>1.5278529E-3</v>
      </c>
      <c r="DC31" s="189">
        <v>1.5313306E-3</v>
      </c>
      <c r="DD31" s="189">
        <v>1.5330694000000001E-3</v>
      </c>
      <c r="DE31" s="189">
        <v>1.5348083E-3</v>
      </c>
      <c r="DF31" s="190">
        <v>1.5365471999999999E-3</v>
      </c>
      <c r="DG31" s="112">
        <v>87.007197434999995</v>
      </c>
      <c r="DH31" s="13">
        <v>1.4678103642</v>
      </c>
      <c r="DI31" s="79">
        <v>57.447414743000003</v>
      </c>
      <c r="DJ31" s="13">
        <v>0.97536939030000003</v>
      </c>
      <c r="DK31" s="79">
        <v>37.064881732000003</v>
      </c>
      <c r="DL31" s="13">
        <v>0.64268869259999994</v>
      </c>
      <c r="DM31" s="79">
        <v>23.630766452</v>
      </c>
      <c r="DN31" s="13">
        <v>0.42411924899999998</v>
      </c>
      <c r="DO31" s="79">
        <v>15.085830777</v>
      </c>
      <c r="DP31" s="13">
        <v>0.2834235926</v>
      </c>
      <c r="DQ31" s="79">
        <v>9.7042983201999995</v>
      </c>
      <c r="DR31" s="13">
        <v>0.19246159439999999</v>
      </c>
      <c r="DS31" s="79">
        <v>6.3184170069999999</v>
      </c>
      <c r="DT31" s="13">
        <v>0.13301998700000001</v>
      </c>
      <c r="DU31" s="79">
        <v>4.1850441971999999</v>
      </c>
      <c r="DV31" s="13">
        <v>9.3777548200000005E-2</v>
      </c>
      <c r="DW31" s="79">
        <v>2.8170791679999998</v>
      </c>
      <c r="DX31" s="13">
        <v>6.6987959499999999E-2</v>
      </c>
      <c r="DY31" s="79">
        <v>1.9379531386</v>
      </c>
      <c r="DZ31" s="15">
        <v>4.8589218000000003E-2</v>
      </c>
    </row>
    <row r="32" spans="1:130" x14ac:dyDescent="0.2">
      <c r="A32" s="8">
        <v>2700</v>
      </c>
      <c r="B32" s="82">
        <v>9395</v>
      </c>
      <c r="C32" s="83">
        <v>1272.6760047</v>
      </c>
      <c r="D32" s="93">
        <v>2649.6288113000001</v>
      </c>
      <c r="E32" s="93">
        <v>19.353720199000001</v>
      </c>
      <c r="F32" s="94">
        <v>4.7623697299999997E-2</v>
      </c>
      <c r="G32" s="83">
        <v>1.4125720212999999</v>
      </c>
      <c r="H32" s="94">
        <v>1.1192131E-3</v>
      </c>
      <c r="I32" s="93">
        <v>176.46554054000001</v>
      </c>
      <c r="J32" s="94">
        <v>2.1819229147999999</v>
      </c>
      <c r="K32" s="93">
        <v>223.34739249</v>
      </c>
      <c r="L32" s="94">
        <v>1.9533667960000001</v>
      </c>
      <c r="M32" s="93">
        <v>0.7767128378</v>
      </c>
      <c r="N32" s="94">
        <v>5.4438860999999998E-3</v>
      </c>
      <c r="O32" s="37" t="s">
        <v>76</v>
      </c>
      <c r="P32" s="13">
        <v>0</v>
      </c>
      <c r="Q32" s="93">
        <v>30.470750057</v>
      </c>
      <c r="R32" s="94">
        <v>0.14127680540000001</v>
      </c>
      <c r="S32" s="37" t="s">
        <v>76</v>
      </c>
      <c r="T32" s="13">
        <v>0</v>
      </c>
      <c r="U32" s="37" t="s">
        <v>76</v>
      </c>
      <c r="V32" s="13">
        <v>0</v>
      </c>
      <c r="W32" s="93">
        <v>0.2410360178</v>
      </c>
      <c r="X32" s="94">
        <v>1.3644620999999999E-3</v>
      </c>
      <c r="Y32" s="93">
        <v>1.9515745704</v>
      </c>
      <c r="Z32" s="94">
        <v>4.857552E-4</v>
      </c>
      <c r="AA32" s="37" t="s">
        <v>76</v>
      </c>
      <c r="AB32" s="13">
        <v>0</v>
      </c>
      <c r="AC32" s="93">
        <v>0</v>
      </c>
      <c r="AD32" s="94">
        <v>0</v>
      </c>
      <c r="AE32" s="37" t="s">
        <v>76</v>
      </c>
      <c r="AF32" s="13">
        <v>0</v>
      </c>
      <c r="AG32" s="37" t="s">
        <v>76</v>
      </c>
      <c r="AH32" s="13">
        <v>0</v>
      </c>
      <c r="AI32" s="93">
        <v>0</v>
      </c>
      <c r="AJ32" s="94">
        <v>0</v>
      </c>
      <c r="AK32" s="93">
        <v>224.00025754999999</v>
      </c>
      <c r="AL32" s="94">
        <v>1.3960334210000001</v>
      </c>
      <c r="AM32" s="37" t="s">
        <v>76</v>
      </c>
      <c r="AN32" s="13">
        <v>0</v>
      </c>
      <c r="AO32" s="37" t="s">
        <v>76</v>
      </c>
      <c r="AP32" s="13">
        <v>0</v>
      </c>
      <c r="AQ32" s="37" t="s">
        <v>76</v>
      </c>
      <c r="AR32" s="13">
        <v>0</v>
      </c>
      <c r="AS32" s="93">
        <v>24.121745493999999</v>
      </c>
      <c r="AT32" s="94">
        <v>0.49697809310000002</v>
      </c>
      <c r="AU32" s="93">
        <v>26.736873736</v>
      </c>
      <c r="AV32" s="94">
        <v>0.18321476689999999</v>
      </c>
      <c r="AW32" s="93">
        <v>17.881090975999999</v>
      </c>
      <c r="AX32" s="94">
        <v>9.5546458500000001E-2</v>
      </c>
      <c r="AY32" s="93">
        <v>5.8867904693000002</v>
      </c>
      <c r="AZ32" s="94">
        <v>3.0306959599999999E-2</v>
      </c>
      <c r="BA32" s="79">
        <v>2.9689922910000002</v>
      </c>
      <c r="BB32" s="13">
        <v>5.7361348800000003E-2</v>
      </c>
      <c r="BC32" s="93">
        <v>0</v>
      </c>
      <c r="BD32" s="86">
        <v>0</v>
      </c>
      <c r="BE32" s="93">
        <v>21.669996421</v>
      </c>
      <c r="BF32" s="94">
        <v>9.1343797800000001E-2</v>
      </c>
      <c r="BG32" s="94">
        <v>1.7358539E-3</v>
      </c>
      <c r="BH32" s="86">
        <v>0</v>
      </c>
      <c r="BI32" s="93">
        <v>0.37600166509999999</v>
      </c>
      <c r="BJ32" s="94">
        <v>2.5374185999999998E-3</v>
      </c>
      <c r="BK32" s="93">
        <v>5.2161084500000003E-2</v>
      </c>
      <c r="BL32" s="94">
        <v>2.3009540000000001E-4</v>
      </c>
      <c r="BM32" s="7" t="s">
        <v>76</v>
      </c>
      <c r="BN32" s="13">
        <v>0</v>
      </c>
      <c r="BO32" s="7" t="s">
        <v>76</v>
      </c>
      <c r="BP32" s="13">
        <v>0</v>
      </c>
      <c r="BQ32" s="93">
        <v>29.475589666000001</v>
      </c>
      <c r="BR32" s="94">
        <v>0.13707226889999999</v>
      </c>
      <c r="BS32" s="93">
        <v>0.19052342929999999</v>
      </c>
      <c r="BT32" s="94">
        <v>1.2163882E-3</v>
      </c>
      <c r="BU32" s="7" t="s">
        <v>76</v>
      </c>
      <c r="BV32" s="13">
        <v>0</v>
      </c>
      <c r="BW32" s="7" t="s">
        <v>76</v>
      </c>
      <c r="BX32" s="13">
        <v>0</v>
      </c>
      <c r="BY32" s="7" t="s">
        <v>76</v>
      </c>
      <c r="BZ32" s="13">
        <v>0</v>
      </c>
      <c r="CA32" s="7" t="s">
        <v>76</v>
      </c>
      <c r="CB32" s="13">
        <v>0</v>
      </c>
      <c r="CC32" s="93">
        <v>0.20450340829999999</v>
      </c>
      <c r="CD32" s="94">
        <v>9.5386780000000001E-4</v>
      </c>
      <c r="CE32" s="93">
        <v>1.2250027E-3</v>
      </c>
      <c r="CF32" s="94">
        <v>1.2272999999999999E-5</v>
      </c>
      <c r="CG32" s="93">
        <v>1.5896803938999999</v>
      </c>
      <c r="CH32" s="94">
        <v>6.9327034999999999E-3</v>
      </c>
      <c r="CI32" s="93">
        <v>2.1060980999999999E-3</v>
      </c>
      <c r="CJ32" s="94">
        <v>2.4691299999999999E-5</v>
      </c>
      <c r="CK32" s="6" t="s">
        <v>76</v>
      </c>
      <c r="CL32" s="13">
        <v>0</v>
      </c>
      <c r="CM32" s="7" t="s">
        <v>76</v>
      </c>
      <c r="CN32" s="15">
        <v>0</v>
      </c>
      <c r="CO32" s="93">
        <v>19.585566437000001</v>
      </c>
      <c r="CP32" s="94">
        <v>0.13171823620000001</v>
      </c>
      <c r="CQ32" s="93">
        <v>6.23698876E-2</v>
      </c>
      <c r="CR32" s="94">
        <v>4.5889679999999998E-4</v>
      </c>
      <c r="CS32" s="93">
        <v>14.006462831</v>
      </c>
      <c r="CT32" s="94">
        <v>4.9810744400000002E-2</v>
      </c>
      <c r="CU32" s="93">
        <v>0.1070160866</v>
      </c>
      <c r="CV32" s="88">
        <v>8.6623220000000005E-4</v>
      </c>
      <c r="CW32" s="188">
        <v>1.0973129999999999E-3</v>
      </c>
      <c r="CX32" s="189">
        <v>1.5709696E-3</v>
      </c>
      <c r="CY32" s="189">
        <v>1.668746E-3</v>
      </c>
      <c r="CZ32" s="189">
        <v>1.7051714E-3</v>
      </c>
      <c r="DA32" s="189">
        <v>1.7140644999999999E-3</v>
      </c>
      <c r="DB32" s="189">
        <v>1.7203404E-3</v>
      </c>
      <c r="DC32" s="189">
        <v>1.7237877999999999E-3</v>
      </c>
      <c r="DD32" s="189">
        <v>1.7255116000000001E-3</v>
      </c>
      <c r="DE32" s="189">
        <v>1.7272353E-3</v>
      </c>
      <c r="DF32" s="190">
        <v>1.728959E-3</v>
      </c>
      <c r="DG32" s="112">
        <v>88.701608219999997</v>
      </c>
      <c r="DH32" s="13">
        <v>1.4903183636999999</v>
      </c>
      <c r="DI32" s="79">
        <v>58.846444202000001</v>
      </c>
      <c r="DJ32" s="13">
        <v>0.99482821710000002</v>
      </c>
      <c r="DK32" s="79">
        <v>38.181111022000003</v>
      </c>
      <c r="DL32" s="13">
        <v>0.65888394419999996</v>
      </c>
      <c r="DM32" s="79">
        <v>24.499577117000001</v>
      </c>
      <c r="DN32" s="13">
        <v>0.43724784919999998</v>
      </c>
      <c r="DO32" s="79">
        <v>15.751229832</v>
      </c>
      <c r="DP32" s="13">
        <v>0.29389278289999998</v>
      </c>
      <c r="DQ32" s="79">
        <v>10.208636903</v>
      </c>
      <c r="DR32" s="13">
        <v>0.20071550299999999</v>
      </c>
      <c r="DS32" s="79">
        <v>6.6973444658999997</v>
      </c>
      <c r="DT32" s="13">
        <v>0.13945969259999999</v>
      </c>
      <c r="DU32" s="79">
        <v>4.4675255996000001</v>
      </c>
      <c r="DV32" s="13">
        <v>9.8770392799999995E-2</v>
      </c>
      <c r="DW32" s="79">
        <v>3.0269088577000001</v>
      </c>
      <c r="DX32" s="13">
        <v>7.0844729999999995E-2</v>
      </c>
      <c r="DY32" s="79">
        <v>2.0944335848</v>
      </c>
      <c r="DZ32" s="15">
        <v>5.1578313399999999E-2</v>
      </c>
    </row>
    <row r="33" spans="1:130" x14ac:dyDescent="0.2">
      <c r="A33" s="8">
        <v>2800</v>
      </c>
      <c r="B33" s="82">
        <v>8932</v>
      </c>
      <c r="C33" s="83">
        <v>1299.1057079</v>
      </c>
      <c r="D33" s="93">
        <v>2749.6151524000002</v>
      </c>
      <c r="E33" s="93">
        <v>20.583427826000001</v>
      </c>
      <c r="F33" s="94">
        <v>4.94559163E-2</v>
      </c>
      <c r="G33" s="83">
        <v>1.6127512262999999</v>
      </c>
      <c r="H33" s="94">
        <v>1.2389291E-3</v>
      </c>
      <c r="I33" s="93">
        <v>179.09390619000001</v>
      </c>
      <c r="J33" s="94">
        <v>2.2061310930000002</v>
      </c>
      <c r="K33" s="93">
        <v>230.78019939999999</v>
      </c>
      <c r="L33" s="94">
        <v>2.0018057875999999</v>
      </c>
      <c r="M33" s="93">
        <v>0.80490491659999996</v>
      </c>
      <c r="N33" s="94">
        <v>5.6148556000000004E-3</v>
      </c>
      <c r="O33" s="37" t="s">
        <v>76</v>
      </c>
      <c r="P33" s="13">
        <v>0</v>
      </c>
      <c r="Q33" s="93">
        <v>31.587841028</v>
      </c>
      <c r="R33" s="94">
        <v>0.14437262279999999</v>
      </c>
      <c r="S33" s="37" t="s">
        <v>76</v>
      </c>
      <c r="T33" s="13">
        <v>0</v>
      </c>
      <c r="U33" s="37" t="s">
        <v>76</v>
      </c>
      <c r="V33" s="13">
        <v>0</v>
      </c>
      <c r="W33" s="93">
        <v>0.24654494769999999</v>
      </c>
      <c r="X33" s="94">
        <v>1.3808129E-3</v>
      </c>
      <c r="Y33" s="93">
        <v>2.0811535712999998</v>
      </c>
      <c r="Z33" s="94">
        <v>5.1116989999999999E-4</v>
      </c>
      <c r="AA33" s="37" t="s">
        <v>76</v>
      </c>
      <c r="AB33" s="13">
        <v>0</v>
      </c>
      <c r="AC33" s="93">
        <v>0</v>
      </c>
      <c r="AD33" s="94">
        <v>0</v>
      </c>
      <c r="AE33" s="37" t="s">
        <v>76</v>
      </c>
      <c r="AF33" s="13">
        <v>0</v>
      </c>
      <c r="AG33" s="37" t="s">
        <v>76</v>
      </c>
      <c r="AH33" s="13">
        <v>0</v>
      </c>
      <c r="AI33" s="93">
        <v>0</v>
      </c>
      <c r="AJ33" s="94">
        <v>0</v>
      </c>
      <c r="AK33" s="93">
        <v>227.47273232000001</v>
      </c>
      <c r="AL33" s="94">
        <v>1.4115433582000001</v>
      </c>
      <c r="AM33" s="37" t="s">
        <v>76</v>
      </c>
      <c r="AN33" s="13">
        <v>0</v>
      </c>
      <c r="AO33" s="37" t="s">
        <v>76</v>
      </c>
      <c r="AP33" s="13">
        <v>0</v>
      </c>
      <c r="AQ33" s="37" t="s">
        <v>76</v>
      </c>
      <c r="AR33" s="13">
        <v>0</v>
      </c>
      <c r="AS33" s="93">
        <v>24.928516858999998</v>
      </c>
      <c r="AT33" s="94">
        <v>0.50427908769999996</v>
      </c>
      <c r="AU33" s="93">
        <v>27.351056985</v>
      </c>
      <c r="AV33" s="94">
        <v>0.18651493969999999</v>
      </c>
      <c r="AW33" s="93">
        <v>18.349959041000002</v>
      </c>
      <c r="AX33" s="94">
        <v>9.7407249000000001E-2</v>
      </c>
      <c r="AY33" s="93">
        <v>5.9610468290999998</v>
      </c>
      <c r="AZ33" s="94">
        <v>3.0659714899999999E-2</v>
      </c>
      <c r="BA33" s="79">
        <v>3.0400511153999998</v>
      </c>
      <c r="BB33" s="13">
        <v>5.8447975800000003E-2</v>
      </c>
      <c r="BC33" s="93">
        <v>0</v>
      </c>
      <c r="BD33" s="86">
        <v>0</v>
      </c>
      <c r="BE33" s="93">
        <v>22.913102528</v>
      </c>
      <c r="BF33" s="94">
        <v>9.4581550599999994E-2</v>
      </c>
      <c r="BG33" s="94">
        <v>1.9352629E-3</v>
      </c>
      <c r="BH33" s="86">
        <v>0</v>
      </c>
      <c r="BI33" s="93">
        <v>0.38697433539999998</v>
      </c>
      <c r="BJ33" s="94">
        <v>2.6046171000000001E-3</v>
      </c>
      <c r="BK33" s="93">
        <v>5.3183215899999997E-2</v>
      </c>
      <c r="BL33" s="94">
        <v>2.3417800000000001E-4</v>
      </c>
      <c r="BM33" s="7" t="s">
        <v>76</v>
      </c>
      <c r="BN33" s="13">
        <v>0</v>
      </c>
      <c r="BO33" s="7" t="s">
        <v>76</v>
      </c>
      <c r="BP33" s="13">
        <v>0</v>
      </c>
      <c r="BQ33" s="93">
        <v>30.552371466</v>
      </c>
      <c r="BR33" s="94">
        <v>0.1400255943</v>
      </c>
      <c r="BS33" s="93">
        <v>0.1995665928</v>
      </c>
      <c r="BT33" s="94">
        <v>1.2606117E-3</v>
      </c>
      <c r="BU33" s="7" t="s">
        <v>76</v>
      </c>
      <c r="BV33" s="13">
        <v>0</v>
      </c>
      <c r="BW33" s="7" t="s">
        <v>76</v>
      </c>
      <c r="BX33" s="13">
        <v>0</v>
      </c>
      <c r="BY33" s="7" t="s">
        <v>76</v>
      </c>
      <c r="BZ33" s="13">
        <v>0</v>
      </c>
      <c r="CA33" s="7" t="s">
        <v>76</v>
      </c>
      <c r="CB33" s="13">
        <v>0</v>
      </c>
      <c r="CC33" s="93">
        <v>0.20794784350000001</v>
      </c>
      <c r="CD33" s="94">
        <v>9.5911779999999995E-4</v>
      </c>
      <c r="CE33" s="93">
        <v>1.2138354000000001E-3</v>
      </c>
      <c r="CF33" s="94">
        <v>1.2153200000000001E-5</v>
      </c>
      <c r="CG33" s="93">
        <v>1.6959458272000001</v>
      </c>
      <c r="CH33" s="94">
        <v>7.3562775999999998E-3</v>
      </c>
      <c r="CI33" s="93">
        <v>2.0862608999999998E-3</v>
      </c>
      <c r="CJ33" s="94">
        <v>2.4445400000000001E-5</v>
      </c>
      <c r="CK33" s="6" t="s">
        <v>76</v>
      </c>
      <c r="CL33" s="13">
        <v>0</v>
      </c>
      <c r="CM33" s="7" t="s">
        <v>76</v>
      </c>
      <c r="CN33" s="15">
        <v>0</v>
      </c>
      <c r="CO33" s="93">
        <v>20.271397611000001</v>
      </c>
      <c r="CP33" s="94">
        <v>0.13445523879999999</v>
      </c>
      <c r="CQ33" s="93">
        <v>6.3985559999999997E-2</v>
      </c>
      <c r="CR33" s="94">
        <v>4.726218E-4</v>
      </c>
      <c r="CS33" s="93">
        <v>14.782365395999999</v>
      </c>
      <c r="CT33" s="94">
        <v>5.1541160599999997E-2</v>
      </c>
      <c r="CU33" s="93">
        <v>0.1077620644</v>
      </c>
      <c r="CV33" s="88">
        <v>8.8457260000000002E-4</v>
      </c>
      <c r="CW33" s="188">
        <v>1.2166892E-3</v>
      </c>
      <c r="CX33" s="189">
        <v>1.7551956E-3</v>
      </c>
      <c r="CY33" s="189">
        <v>1.8647227000000001E-3</v>
      </c>
      <c r="CZ33" s="189">
        <v>1.9037902999999999E-3</v>
      </c>
      <c r="DA33" s="189">
        <v>1.9131338000000001E-3</v>
      </c>
      <c r="DB33" s="189">
        <v>1.9198819999999999E-3</v>
      </c>
      <c r="DC33" s="189">
        <v>1.9233E-3</v>
      </c>
      <c r="DD33" s="189">
        <v>1.9250090000000001E-3</v>
      </c>
      <c r="DE33" s="189">
        <v>1.926718E-3</v>
      </c>
      <c r="DF33" s="190">
        <v>1.9284269999999999E-3</v>
      </c>
      <c r="DG33" s="112">
        <v>90.376857877000006</v>
      </c>
      <c r="DH33" s="13">
        <v>1.5125207382000001</v>
      </c>
      <c r="DI33" s="79">
        <v>60.247127509000002</v>
      </c>
      <c r="DJ33" s="13">
        <v>1.0142288064</v>
      </c>
      <c r="DK33" s="79">
        <v>39.307732004000002</v>
      </c>
      <c r="DL33" s="13">
        <v>0.67516526929999998</v>
      </c>
      <c r="DM33" s="79">
        <v>25.382078837000002</v>
      </c>
      <c r="DN33" s="13">
        <v>0.45054937410000001</v>
      </c>
      <c r="DO33" s="79">
        <v>16.432439635000001</v>
      </c>
      <c r="DP33" s="13">
        <v>0.30457569220000003</v>
      </c>
      <c r="DQ33" s="79">
        <v>10.726417565</v>
      </c>
      <c r="DR33" s="13">
        <v>0.20916467750000001</v>
      </c>
      <c r="DS33" s="79">
        <v>7.0888619666999997</v>
      </c>
      <c r="DT33" s="13">
        <v>0.14610682589999999</v>
      </c>
      <c r="DU33" s="79">
        <v>4.7638127162000004</v>
      </c>
      <c r="DV33" s="13">
        <v>0.10401266100000001</v>
      </c>
      <c r="DW33" s="79">
        <v>3.2511815748999999</v>
      </c>
      <c r="DX33" s="13">
        <v>7.49777732E-2</v>
      </c>
      <c r="DY33" s="79">
        <v>2.2655042099</v>
      </c>
      <c r="DZ33" s="15">
        <v>5.4849381599999997E-2</v>
      </c>
    </row>
    <row r="34" spans="1:130" x14ac:dyDescent="0.2">
      <c r="A34" s="8">
        <v>2900</v>
      </c>
      <c r="B34" s="82">
        <v>8391</v>
      </c>
      <c r="C34" s="83">
        <v>1324.8516672000001</v>
      </c>
      <c r="D34" s="93">
        <v>2849.7876941999998</v>
      </c>
      <c r="E34" s="93">
        <v>21.723364374999999</v>
      </c>
      <c r="F34" s="94">
        <v>5.1131803300000001E-2</v>
      </c>
      <c r="G34" s="83">
        <v>1.8668066382999999</v>
      </c>
      <c r="H34" s="94">
        <v>1.3885734000000001E-3</v>
      </c>
      <c r="I34" s="93">
        <v>181.64015609</v>
      </c>
      <c r="J34" s="94">
        <v>2.2294857244999999</v>
      </c>
      <c r="K34" s="93">
        <v>238.15374399000001</v>
      </c>
      <c r="L34" s="94">
        <v>2.0482775360000001</v>
      </c>
      <c r="M34" s="93">
        <v>0.82825277310000001</v>
      </c>
      <c r="N34" s="94">
        <v>5.7450445000000001E-3</v>
      </c>
      <c r="O34" s="37" t="s">
        <v>76</v>
      </c>
      <c r="P34" s="13">
        <v>0</v>
      </c>
      <c r="Q34" s="93">
        <v>32.837053478999998</v>
      </c>
      <c r="R34" s="94">
        <v>0.1476085191</v>
      </c>
      <c r="S34" s="37" t="s">
        <v>76</v>
      </c>
      <c r="T34" s="13">
        <v>0</v>
      </c>
      <c r="U34" s="37" t="s">
        <v>76</v>
      </c>
      <c r="V34" s="13">
        <v>0</v>
      </c>
      <c r="W34" s="93">
        <v>0.25772281679999998</v>
      </c>
      <c r="X34" s="94">
        <v>1.4953199E-3</v>
      </c>
      <c r="Y34" s="93">
        <v>2.2269834417999999</v>
      </c>
      <c r="Z34" s="94">
        <v>5.2644780000000004E-4</v>
      </c>
      <c r="AA34" s="37" t="s">
        <v>76</v>
      </c>
      <c r="AB34" s="13">
        <v>0</v>
      </c>
      <c r="AC34" s="93">
        <v>0</v>
      </c>
      <c r="AD34" s="94">
        <v>0</v>
      </c>
      <c r="AE34" s="37" t="s">
        <v>76</v>
      </c>
      <c r="AF34" s="13">
        <v>0</v>
      </c>
      <c r="AG34" s="37" t="s">
        <v>76</v>
      </c>
      <c r="AH34" s="13">
        <v>0</v>
      </c>
      <c r="AI34" s="93">
        <v>0</v>
      </c>
      <c r="AJ34" s="94">
        <v>0</v>
      </c>
      <c r="AK34" s="93">
        <v>231.03396445999999</v>
      </c>
      <c r="AL34" s="94">
        <v>1.4264456921999999</v>
      </c>
      <c r="AM34" s="37" t="s">
        <v>76</v>
      </c>
      <c r="AN34" s="13">
        <v>0</v>
      </c>
      <c r="AO34" s="37" t="s">
        <v>76</v>
      </c>
      <c r="AP34" s="13">
        <v>0</v>
      </c>
      <c r="AQ34" s="37" t="s">
        <v>76</v>
      </c>
      <c r="AR34" s="13">
        <v>0</v>
      </c>
      <c r="AS34" s="93">
        <v>25.712429595</v>
      </c>
      <c r="AT34" s="94">
        <v>0.51123116179999994</v>
      </c>
      <c r="AU34" s="93">
        <v>27.974827031</v>
      </c>
      <c r="AV34" s="94">
        <v>0.189873506</v>
      </c>
      <c r="AW34" s="93">
        <v>18.819797047000002</v>
      </c>
      <c r="AX34" s="94">
        <v>9.9352855300000001E-2</v>
      </c>
      <c r="AY34" s="93">
        <v>6.0574761017999998</v>
      </c>
      <c r="AZ34" s="94">
        <v>3.10987829E-2</v>
      </c>
      <c r="BA34" s="79">
        <v>3.0975538827000002</v>
      </c>
      <c r="BB34" s="13">
        <v>5.9421867900000001E-2</v>
      </c>
      <c r="BC34" s="93">
        <v>0</v>
      </c>
      <c r="BD34" s="86">
        <v>0</v>
      </c>
      <c r="BE34" s="93">
        <v>24.106725787999999</v>
      </c>
      <c r="BF34" s="94">
        <v>9.7714340299999994E-2</v>
      </c>
      <c r="BG34" s="94">
        <v>2.1767649000000002E-3</v>
      </c>
      <c r="BH34" s="86">
        <v>0</v>
      </c>
      <c r="BI34" s="93">
        <v>0.3983480713</v>
      </c>
      <c r="BJ34" s="94">
        <v>2.6693145000000001E-3</v>
      </c>
      <c r="BK34" s="93">
        <v>5.8241476799999997E-2</v>
      </c>
      <c r="BL34" s="94">
        <v>2.5362810000000003E-4</v>
      </c>
      <c r="BM34" s="7" t="s">
        <v>76</v>
      </c>
      <c r="BN34" s="13">
        <v>0</v>
      </c>
      <c r="BO34" s="7" t="s">
        <v>76</v>
      </c>
      <c r="BP34" s="13">
        <v>0</v>
      </c>
      <c r="BQ34" s="93">
        <v>31.754551719999998</v>
      </c>
      <c r="BR34" s="94">
        <v>0.1431071756</v>
      </c>
      <c r="BS34" s="93">
        <v>0.21277587219999999</v>
      </c>
      <c r="BT34" s="94">
        <v>1.3199611E-3</v>
      </c>
      <c r="BU34" s="7" t="s">
        <v>76</v>
      </c>
      <c r="BV34" s="13">
        <v>0</v>
      </c>
      <c r="BW34" s="7" t="s">
        <v>76</v>
      </c>
      <c r="BX34" s="13">
        <v>0</v>
      </c>
      <c r="BY34" s="7" t="s">
        <v>76</v>
      </c>
      <c r="BZ34" s="13">
        <v>0</v>
      </c>
      <c r="CA34" s="7" t="s">
        <v>76</v>
      </c>
      <c r="CB34" s="13">
        <v>0</v>
      </c>
      <c r="CC34" s="93">
        <v>0.2194797946</v>
      </c>
      <c r="CD34" s="94">
        <v>1.0775012999999999E-3</v>
      </c>
      <c r="CE34" s="93">
        <v>1.2026379E-3</v>
      </c>
      <c r="CF34" s="94">
        <v>1.20402E-5</v>
      </c>
      <c r="CG34" s="93">
        <v>1.8286346002</v>
      </c>
      <c r="CH34" s="94">
        <v>7.8216573999999994E-3</v>
      </c>
      <c r="CI34" s="93">
        <v>2.3785272000000001E-3</v>
      </c>
      <c r="CJ34" s="94">
        <v>2.66929E-5</v>
      </c>
      <c r="CK34" s="6" t="s">
        <v>76</v>
      </c>
      <c r="CL34" s="13">
        <v>0</v>
      </c>
      <c r="CM34" s="7" t="s">
        <v>76</v>
      </c>
      <c r="CN34" s="15">
        <v>0</v>
      </c>
      <c r="CO34" s="93">
        <v>20.935081302</v>
      </c>
      <c r="CP34" s="94">
        <v>0.13717580369999999</v>
      </c>
      <c r="CQ34" s="93">
        <v>6.6194550099999999E-2</v>
      </c>
      <c r="CR34" s="94">
        <v>4.8186520000000001E-4</v>
      </c>
      <c r="CS34" s="93">
        <v>15.480277856000001</v>
      </c>
      <c r="CT34" s="94">
        <v>5.3162682199999999E-2</v>
      </c>
      <c r="CU34" s="93">
        <v>0.1094168591</v>
      </c>
      <c r="CV34" s="88">
        <v>9.0508709999999998E-4</v>
      </c>
      <c r="CW34" s="188">
        <v>1.3653044E-3</v>
      </c>
      <c r="CX34" s="189">
        <v>1.9774093E-3</v>
      </c>
      <c r="CY34" s="189">
        <v>2.1013592999999998E-3</v>
      </c>
      <c r="CZ34" s="189">
        <v>2.1445195999999999E-3</v>
      </c>
      <c r="DA34" s="189">
        <v>2.1543074E-3</v>
      </c>
      <c r="DB34" s="189">
        <v>2.1615216999999998E-3</v>
      </c>
      <c r="DC34" s="189">
        <v>2.1649091000000001E-3</v>
      </c>
      <c r="DD34" s="189">
        <v>2.1666028E-3</v>
      </c>
      <c r="DE34" s="189">
        <v>2.1682963999999998E-3</v>
      </c>
      <c r="DF34" s="190">
        <v>2.1699901000000001E-3</v>
      </c>
      <c r="DG34" s="112">
        <v>92.006749181000004</v>
      </c>
      <c r="DH34" s="13">
        <v>1.5339741753</v>
      </c>
      <c r="DI34" s="79">
        <v>61.621190710999997</v>
      </c>
      <c r="DJ34" s="13">
        <v>1.0329858553</v>
      </c>
      <c r="DK34" s="79">
        <v>40.426849937</v>
      </c>
      <c r="DL34" s="13">
        <v>0.69094110350000004</v>
      </c>
      <c r="DM34" s="79">
        <v>26.269609443</v>
      </c>
      <c r="DN34" s="13">
        <v>0.46348135740000002</v>
      </c>
      <c r="DO34" s="79">
        <v>17.122184570000002</v>
      </c>
      <c r="DP34" s="13">
        <v>0.31498871960000002</v>
      </c>
      <c r="DQ34" s="79">
        <v>11.256688621</v>
      </c>
      <c r="DR34" s="13">
        <v>0.21744804440000001</v>
      </c>
      <c r="DS34" s="79">
        <v>7.4923841069000003</v>
      </c>
      <c r="DT34" s="13">
        <v>0.15264193370000001</v>
      </c>
      <c r="DU34" s="79">
        <v>5.0709704484999998</v>
      </c>
      <c r="DV34" s="13">
        <v>0.1091616443</v>
      </c>
      <c r="DW34" s="79">
        <v>3.4848357354999999</v>
      </c>
      <c r="DX34" s="13">
        <v>7.9035834099999994E-2</v>
      </c>
      <c r="DY34" s="79">
        <v>2.4448233826000001</v>
      </c>
      <c r="DZ34" s="15">
        <v>5.8057995699999997E-2</v>
      </c>
    </row>
    <row r="35" spans="1:130" x14ac:dyDescent="0.2">
      <c r="A35" s="8">
        <v>3000</v>
      </c>
      <c r="B35" s="82">
        <v>8182</v>
      </c>
      <c r="C35" s="83">
        <v>1349.9362685999999</v>
      </c>
      <c r="D35" s="93">
        <v>2949.8109659000002</v>
      </c>
      <c r="E35" s="93">
        <v>22.890746653000001</v>
      </c>
      <c r="F35" s="94">
        <v>5.26953914E-2</v>
      </c>
      <c r="G35" s="83">
        <v>2.1435752503000001</v>
      </c>
      <c r="H35" s="94">
        <v>1.5481E-3</v>
      </c>
      <c r="I35" s="93">
        <v>184.13764653000001</v>
      </c>
      <c r="J35" s="94">
        <v>2.2520791415999999</v>
      </c>
      <c r="K35" s="93">
        <v>245.27081383000001</v>
      </c>
      <c r="L35" s="94">
        <v>2.0938943888999999</v>
      </c>
      <c r="M35" s="93">
        <v>0.85878922359999998</v>
      </c>
      <c r="N35" s="94">
        <v>5.9721302E-3</v>
      </c>
      <c r="O35" s="37" t="s">
        <v>76</v>
      </c>
      <c r="P35" s="13">
        <v>0</v>
      </c>
      <c r="Q35" s="93">
        <v>34.162255549999998</v>
      </c>
      <c r="R35" s="94">
        <v>0.15088346799999999</v>
      </c>
      <c r="S35" s="37" t="s">
        <v>76</v>
      </c>
      <c r="T35" s="13">
        <v>0</v>
      </c>
      <c r="U35" s="37" t="s">
        <v>76</v>
      </c>
      <c r="V35" s="13">
        <v>0</v>
      </c>
      <c r="W35" s="93">
        <v>0.27698675630000003</v>
      </c>
      <c r="X35" s="94">
        <v>1.5335952999999999E-3</v>
      </c>
      <c r="Y35" s="93">
        <v>2.3503860452000001</v>
      </c>
      <c r="Z35" s="94">
        <v>5.3908269999999999E-4</v>
      </c>
      <c r="AA35" s="37" t="s">
        <v>76</v>
      </c>
      <c r="AB35" s="13">
        <v>0</v>
      </c>
      <c r="AC35" s="93">
        <v>0</v>
      </c>
      <c r="AD35" s="94">
        <v>0</v>
      </c>
      <c r="AE35" s="37" t="s">
        <v>76</v>
      </c>
      <c r="AF35" s="13">
        <v>0</v>
      </c>
      <c r="AG35" s="37" t="s">
        <v>76</v>
      </c>
      <c r="AH35" s="13">
        <v>0</v>
      </c>
      <c r="AI35" s="93">
        <v>0</v>
      </c>
      <c r="AJ35" s="94">
        <v>0</v>
      </c>
      <c r="AK35" s="93">
        <v>234.29309437000001</v>
      </c>
      <c r="AL35" s="94">
        <v>1.4407797721</v>
      </c>
      <c r="AM35" s="37" t="s">
        <v>76</v>
      </c>
      <c r="AN35" s="13">
        <v>0</v>
      </c>
      <c r="AO35" s="37" t="s">
        <v>76</v>
      </c>
      <c r="AP35" s="13">
        <v>0</v>
      </c>
      <c r="AQ35" s="37" t="s">
        <v>76</v>
      </c>
      <c r="AR35" s="13">
        <v>0</v>
      </c>
      <c r="AS35" s="93">
        <v>26.471972194999999</v>
      </c>
      <c r="AT35" s="94">
        <v>0.51816813269999995</v>
      </c>
      <c r="AU35" s="93">
        <v>28.614099206999999</v>
      </c>
      <c r="AV35" s="94">
        <v>0.19319675389999999</v>
      </c>
      <c r="AW35" s="93">
        <v>19.296868019000001</v>
      </c>
      <c r="AX35" s="94">
        <v>0.10117331659999999</v>
      </c>
      <c r="AY35" s="93">
        <v>6.1439453224999996</v>
      </c>
      <c r="AZ35" s="94">
        <v>3.1472316100000002E-2</v>
      </c>
      <c r="BA35" s="79">
        <v>3.173285865</v>
      </c>
      <c r="BB35" s="13">
        <v>6.0551121200000002E-2</v>
      </c>
      <c r="BC35" s="93">
        <v>0</v>
      </c>
      <c r="BD35" s="86">
        <v>0</v>
      </c>
      <c r="BE35" s="93">
        <v>25.365854159000001</v>
      </c>
      <c r="BF35" s="94">
        <v>0.10109170269999999</v>
      </c>
      <c r="BG35" s="94">
        <v>2.4418028000000001E-3</v>
      </c>
      <c r="BH35" s="86">
        <v>0</v>
      </c>
      <c r="BI35" s="93">
        <v>0.41371373389999999</v>
      </c>
      <c r="BJ35" s="94">
        <v>2.7826154000000001E-3</v>
      </c>
      <c r="BK35" s="93">
        <v>5.9855035799999998E-2</v>
      </c>
      <c r="BL35" s="94">
        <v>2.583207E-4</v>
      </c>
      <c r="BM35" s="7" t="s">
        <v>76</v>
      </c>
      <c r="BN35" s="13">
        <v>0</v>
      </c>
      <c r="BO35" s="7" t="s">
        <v>76</v>
      </c>
      <c r="BP35" s="13">
        <v>0</v>
      </c>
      <c r="BQ35" s="93">
        <v>33.032764622999998</v>
      </c>
      <c r="BR35" s="94">
        <v>0.14624781440000001</v>
      </c>
      <c r="BS35" s="93">
        <v>0.22360344160000001</v>
      </c>
      <c r="BT35" s="94">
        <v>1.3667187999999999E-3</v>
      </c>
      <c r="BU35" s="7" t="s">
        <v>76</v>
      </c>
      <c r="BV35" s="13">
        <v>0</v>
      </c>
      <c r="BW35" s="7" t="s">
        <v>76</v>
      </c>
      <c r="BX35" s="13">
        <v>0</v>
      </c>
      <c r="BY35" s="7" t="s">
        <v>76</v>
      </c>
      <c r="BZ35" s="13">
        <v>0</v>
      </c>
      <c r="CA35" s="7" t="s">
        <v>76</v>
      </c>
      <c r="CB35" s="13">
        <v>0</v>
      </c>
      <c r="CC35" s="93">
        <v>0.23649864379999999</v>
      </c>
      <c r="CD35" s="94">
        <v>1.1177711999999999E-3</v>
      </c>
      <c r="CE35" s="93">
        <v>1.1923512E-3</v>
      </c>
      <c r="CF35" s="94">
        <v>1.1933700000000001E-5</v>
      </c>
      <c r="CG35" s="93">
        <v>1.946266252</v>
      </c>
      <c r="CH35" s="94">
        <v>8.3013869000000007E-3</v>
      </c>
      <c r="CI35" s="93">
        <v>2.4208836000000002E-3</v>
      </c>
      <c r="CJ35" s="94">
        <v>2.69743E-5</v>
      </c>
      <c r="CK35" s="6" t="s">
        <v>76</v>
      </c>
      <c r="CL35" s="13">
        <v>0</v>
      </c>
      <c r="CM35" s="7" t="s">
        <v>76</v>
      </c>
      <c r="CN35" s="15">
        <v>0</v>
      </c>
      <c r="CO35" s="93">
        <v>21.572765021999999</v>
      </c>
      <c r="CP35" s="94">
        <v>0.1398856004</v>
      </c>
      <c r="CQ35" s="93">
        <v>6.8375384400000003E-2</v>
      </c>
      <c r="CR35" s="94">
        <v>4.8907040000000001E-4</v>
      </c>
      <c r="CS35" s="93">
        <v>16.226800439000002</v>
      </c>
      <c r="CT35" s="94">
        <v>5.4780820899999999E-2</v>
      </c>
      <c r="CU35" s="93">
        <v>0.11151128370000001</v>
      </c>
      <c r="CV35" s="88">
        <v>9.1931100000000002E-4</v>
      </c>
      <c r="CW35" s="188">
        <v>1.5243408E-3</v>
      </c>
      <c r="CX35" s="189">
        <v>2.2165863000000001E-3</v>
      </c>
      <c r="CY35" s="189">
        <v>2.3608118999999999E-3</v>
      </c>
      <c r="CZ35" s="189">
        <v>2.4072078E-3</v>
      </c>
      <c r="DA35" s="189">
        <v>2.4188369E-3</v>
      </c>
      <c r="DB35" s="189">
        <v>2.4266722E-3</v>
      </c>
      <c r="DC35" s="189">
        <v>2.4300346E-3</v>
      </c>
      <c r="DD35" s="189">
        <v>2.4317157999999999E-3</v>
      </c>
      <c r="DE35" s="189">
        <v>2.4333968999999999E-3</v>
      </c>
      <c r="DF35" s="190">
        <v>2.4350780999999998E-3</v>
      </c>
      <c r="DG35" s="112">
        <v>93.608013740999994</v>
      </c>
      <c r="DH35" s="13">
        <v>1.5547806538</v>
      </c>
      <c r="DI35" s="79">
        <v>62.975147673999999</v>
      </c>
      <c r="DJ35" s="13">
        <v>1.0512622570000001</v>
      </c>
      <c r="DK35" s="79">
        <v>41.529561328</v>
      </c>
      <c r="DL35" s="13">
        <v>0.70638585490000005</v>
      </c>
      <c r="DM35" s="79">
        <v>27.146937894000001</v>
      </c>
      <c r="DN35" s="13">
        <v>0.4762241284</v>
      </c>
      <c r="DO35" s="79">
        <v>17.80888333</v>
      </c>
      <c r="DP35" s="13">
        <v>0.3253336403</v>
      </c>
      <c r="DQ35" s="79">
        <v>11.783222852</v>
      </c>
      <c r="DR35" s="13">
        <v>0.22569980810000001</v>
      </c>
      <c r="DS35" s="79">
        <v>7.8938674990999997</v>
      </c>
      <c r="DT35" s="13">
        <v>0.15918045980000001</v>
      </c>
      <c r="DU35" s="79">
        <v>5.3791923941000004</v>
      </c>
      <c r="DV35" s="13">
        <v>0.11433419710000001</v>
      </c>
      <c r="DW35" s="79">
        <v>3.7188091432000001</v>
      </c>
      <c r="DX35" s="13">
        <v>8.3103943099999994E-2</v>
      </c>
      <c r="DY35" s="79">
        <v>2.6226948163000001</v>
      </c>
      <c r="DZ35" s="15">
        <v>6.1249535299999998E-2</v>
      </c>
    </row>
    <row r="36" spans="1:130" x14ac:dyDescent="0.2">
      <c r="A36" s="8">
        <v>3100</v>
      </c>
      <c r="B36" s="82">
        <v>7659</v>
      </c>
      <c r="C36" s="83">
        <v>1374.3985659</v>
      </c>
      <c r="D36" s="93">
        <v>3049.8117072</v>
      </c>
      <c r="E36" s="93">
        <v>24.013512992999999</v>
      </c>
      <c r="F36" s="94">
        <v>5.42817196E-2</v>
      </c>
      <c r="G36" s="83">
        <v>2.3930639467999999</v>
      </c>
      <c r="H36" s="94">
        <v>1.7106790999999999E-3</v>
      </c>
      <c r="I36" s="93">
        <v>186.48460851999999</v>
      </c>
      <c r="J36" s="94">
        <v>2.2727357719999999</v>
      </c>
      <c r="K36" s="93">
        <v>252.29787809999999</v>
      </c>
      <c r="L36" s="94">
        <v>2.1369014307</v>
      </c>
      <c r="M36" s="93">
        <v>0.88511074440000004</v>
      </c>
      <c r="N36" s="94">
        <v>6.0803747999999998E-3</v>
      </c>
      <c r="O36" s="37" t="s">
        <v>76</v>
      </c>
      <c r="P36" s="13">
        <v>0</v>
      </c>
      <c r="Q36" s="93">
        <v>35.370161805000002</v>
      </c>
      <c r="R36" s="94">
        <v>0.1538609786</v>
      </c>
      <c r="S36" s="37" t="s">
        <v>76</v>
      </c>
      <c r="T36" s="13">
        <v>0</v>
      </c>
      <c r="U36" s="37" t="s">
        <v>76</v>
      </c>
      <c r="V36" s="13">
        <v>0</v>
      </c>
      <c r="W36" s="93">
        <v>0.28553497090000002</v>
      </c>
      <c r="X36" s="94">
        <v>1.5581926999999999E-3</v>
      </c>
      <c r="Y36" s="93">
        <v>2.4728386950000001</v>
      </c>
      <c r="Z36" s="94">
        <v>5.4701350000000001E-4</v>
      </c>
      <c r="AA36" s="37" t="s">
        <v>76</v>
      </c>
      <c r="AB36" s="13">
        <v>0</v>
      </c>
      <c r="AC36" s="93">
        <v>0</v>
      </c>
      <c r="AD36" s="94">
        <v>0</v>
      </c>
      <c r="AE36" s="37" t="s">
        <v>76</v>
      </c>
      <c r="AF36" s="13">
        <v>0</v>
      </c>
      <c r="AG36" s="37" t="s">
        <v>76</v>
      </c>
      <c r="AH36" s="13">
        <v>0</v>
      </c>
      <c r="AI36" s="93">
        <v>0</v>
      </c>
      <c r="AJ36" s="94">
        <v>0</v>
      </c>
      <c r="AK36" s="93">
        <v>237.41092318</v>
      </c>
      <c r="AL36" s="94">
        <v>1.4538440277</v>
      </c>
      <c r="AM36" s="37" t="s">
        <v>76</v>
      </c>
      <c r="AN36" s="13">
        <v>0</v>
      </c>
      <c r="AO36" s="37" t="s">
        <v>76</v>
      </c>
      <c r="AP36" s="13">
        <v>0</v>
      </c>
      <c r="AQ36" s="37" t="s">
        <v>76</v>
      </c>
      <c r="AR36" s="13">
        <v>0</v>
      </c>
      <c r="AS36" s="93">
        <v>27.166832035999999</v>
      </c>
      <c r="AT36" s="94">
        <v>0.52469594620000004</v>
      </c>
      <c r="AU36" s="93">
        <v>29.210875732000002</v>
      </c>
      <c r="AV36" s="94">
        <v>0.19632767679999999</v>
      </c>
      <c r="AW36" s="93">
        <v>19.733468305999999</v>
      </c>
      <c r="AX36" s="94">
        <v>0.10298926780000001</v>
      </c>
      <c r="AY36" s="93">
        <v>6.2238314224</v>
      </c>
      <c r="AZ36" s="94">
        <v>3.1812649599999999E-2</v>
      </c>
      <c r="BA36" s="79">
        <v>3.2535760028</v>
      </c>
      <c r="BB36" s="13">
        <v>6.1525759499999999E-2</v>
      </c>
      <c r="BC36" s="93">
        <v>0</v>
      </c>
      <c r="BD36" s="86">
        <v>0</v>
      </c>
      <c r="BE36" s="93">
        <v>26.649249115</v>
      </c>
      <c r="BF36" s="94">
        <v>0.1042980947</v>
      </c>
      <c r="BG36" s="94">
        <v>2.7277613000000001E-3</v>
      </c>
      <c r="BH36" s="86">
        <v>0</v>
      </c>
      <c r="BI36" s="93">
        <v>0.42547429279999999</v>
      </c>
      <c r="BJ36" s="94">
        <v>2.8194143999999998E-3</v>
      </c>
      <c r="BK36" s="93">
        <v>6.3049750000000002E-2</v>
      </c>
      <c r="BL36" s="94">
        <v>2.6808950000000001E-4</v>
      </c>
      <c r="BM36" s="7" t="s">
        <v>76</v>
      </c>
      <c r="BN36" s="13">
        <v>0</v>
      </c>
      <c r="BO36" s="7" t="s">
        <v>76</v>
      </c>
      <c r="BP36" s="13">
        <v>0</v>
      </c>
      <c r="BQ36" s="93">
        <v>34.195766857999999</v>
      </c>
      <c r="BR36" s="94">
        <v>0.14908384520000001</v>
      </c>
      <c r="BS36" s="93">
        <v>0.24079136340000001</v>
      </c>
      <c r="BT36" s="94">
        <v>1.4280670000000001E-3</v>
      </c>
      <c r="BU36" s="7" t="s">
        <v>76</v>
      </c>
      <c r="BV36" s="13">
        <v>0</v>
      </c>
      <c r="BW36" s="7" t="s">
        <v>76</v>
      </c>
      <c r="BX36" s="13">
        <v>0</v>
      </c>
      <c r="BY36" s="7" t="s">
        <v>76</v>
      </c>
      <c r="BZ36" s="13">
        <v>0</v>
      </c>
      <c r="CA36" s="7" t="s">
        <v>76</v>
      </c>
      <c r="CB36" s="13">
        <v>0</v>
      </c>
      <c r="CC36" s="93">
        <v>0.24537139629999999</v>
      </c>
      <c r="CD36" s="94">
        <v>1.1457468000000001E-3</v>
      </c>
      <c r="CE36" s="93">
        <v>1.1832237E-3</v>
      </c>
      <c r="CF36" s="94">
        <v>1.1837100000000001E-5</v>
      </c>
      <c r="CG36" s="93">
        <v>2.0537916036000001</v>
      </c>
      <c r="CH36" s="94">
        <v>8.6740471000000003E-3</v>
      </c>
      <c r="CI36" s="93">
        <v>2.4018329999999999E-3</v>
      </c>
      <c r="CJ36" s="94">
        <v>2.9059200000000001E-5</v>
      </c>
      <c r="CK36" s="6" t="s">
        <v>76</v>
      </c>
      <c r="CL36" s="13">
        <v>0</v>
      </c>
      <c r="CM36" s="7" t="s">
        <v>76</v>
      </c>
      <c r="CN36" s="15">
        <v>0</v>
      </c>
      <c r="CO36" s="93">
        <v>22.123468226</v>
      </c>
      <c r="CP36" s="94">
        <v>0.14230196249999999</v>
      </c>
      <c r="CQ36" s="93">
        <v>6.9209309499999996E-2</v>
      </c>
      <c r="CR36" s="94">
        <v>4.9849970000000003E-4</v>
      </c>
      <c r="CS36" s="93">
        <v>16.946996690999999</v>
      </c>
      <c r="CT36" s="94">
        <v>5.6312008300000001E-2</v>
      </c>
      <c r="CU36" s="93">
        <v>0.1125549282</v>
      </c>
      <c r="CV36" s="88">
        <v>9.3727860000000004E-4</v>
      </c>
      <c r="CW36" s="188">
        <v>1.6715746000000001E-3</v>
      </c>
      <c r="CX36" s="189">
        <v>2.4485831999999999E-3</v>
      </c>
      <c r="CY36" s="189">
        <v>2.6141856E-3</v>
      </c>
      <c r="CZ36" s="189">
        <v>2.6664957999999999E-3</v>
      </c>
      <c r="DA36" s="189">
        <v>2.6804142E-3</v>
      </c>
      <c r="DB36" s="189">
        <v>2.6894163000000001E-3</v>
      </c>
      <c r="DC36" s="189">
        <v>2.6939815E-3</v>
      </c>
      <c r="DD36" s="189">
        <v>2.6968780000000002E-3</v>
      </c>
      <c r="DE36" s="189">
        <v>2.6997744E-3</v>
      </c>
      <c r="DF36" s="190">
        <v>2.7026709000000002E-3</v>
      </c>
      <c r="DG36" s="112">
        <v>95.108678686999994</v>
      </c>
      <c r="DH36" s="13">
        <v>1.5738392334</v>
      </c>
      <c r="DI36" s="79">
        <v>64.243312672000002</v>
      </c>
      <c r="DJ36" s="13">
        <v>1.0680044162</v>
      </c>
      <c r="DK36" s="79">
        <v>42.569297593000002</v>
      </c>
      <c r="DL36" s="13">
        <v>0.72057138939999998</v>
      </c>
      <c r="DM36" s="79">
        <v>27.973363638999999</v>
      </c>
      <c r="DN36" s="13">
        <v>0.48792847569999998</v>
      </c>
      <c r="DO36" s="79">
        <v>18.460155671999999</v>
      </c>
      <c r="DP36" s="13">
        <v>0.33487339399999999</v>
      </c>
      <c r="DQ36" s="79">
        <v>12.290258787000001</v>
      </c>
      <c r="DR36" s="13">
        <v>0.2333961698</v>
      </c>
      <c r="DS36" s="79">
        <v>8.2861281298999998</v>
      </c>
      <c r="DT36" s="13">
        <v>0.1653470796</v>
      </c>
      <c r="DU36" s="79">
        <v>5.6841178663000003</v>
      </c>
      <c r="DV36" s="13">
        <v>0.11927231219999999</v>
      </c>
      <c r="DW36" s="79">
        <v>3.9554987711999998</v>
      </c>
      <c r="DX36" s="13">
        <v>8.7033318799999995E-2</v>
      </c>
      <c r="DY36" s="79">
        <v>2.8064316879</v>
      </c>
      <c r="DZ36" s="15">
        <v>6.4370652099999995E-2</v>
      </c>
    </row>
    <row r="37" spans="1:130" x14ac:dyDescent="0.2">
      <c r="A37" s="8">
        <v>3200</v>
      </c>
      <c r="B37" s="82">
        <v>7276</v>
      </c>
      <c r="C37" s="83">
        <v>1398.2691907000001</v>
      </c>
      <c r="D37" s="93">
        <v>3149.5604486000002</v>
      </c>
      <c r="E37" s="93">
        <v>25.135014129999998</v>
      </c>
      <c r="F37" s="94">
        <v>5.5764340099999997E-2</v>
      </c>
      <c r="G37" s="83">
        <v>2.6949134807999999</v>
      </c>
      <c r="H37" s="94">
        <v>1.8772454E-3</v>
      </c>
      <c r="I37" s="93">
        <v>188.84016020999999</v>
      </c>
      <c r="J37" s="94">
        <v>2.2934722180999998</v>
      </c>
      <c r="K37" s="93">
        <v>259.11514256999999</v>
      </c>
      <c r="L37" s="94">
        <v>2.1772475455999998</v>
      </c>
      <c r="M37" s="93">
        <v>0.90557784919999995</v>
      </c>
      <c r="N37" s="94">
        <v>6.208982E-3</v>
      </c>
      <c r="O37" s="37" t="s">
        <v>76</v>
      </c>
      <c r="P37" s="13">
        <v>0</v>
      </c>
      <c r="Q37" s="93">
        <v>36.643486080999999</v>
      </c>
      <c r="R37" s="94">
        <v>0.15693507940000001</v>
      </c>
      <c r="S37" s="37" t="s">
        <v>76</v>
      </c>
      <c r="T37" s="13">
        <v>0</v>
      </c>
      <c r="U37" s="37" t="s">
        <v>76</v>
      </c>
      <c r="V37" s="13">
        <v>0</v>
      </c>
      <c r="W37" s="93">
        <v>0.2962223772</v>
      </c>
      <c r="X37" s="94">
        <v>1.5851106E-3</v>
      </c>
      <c r="Y37" s="93">
        <v>2.6125193100000002</v>
      </c>
      <c r="Z37" s="94">
        <v>5.7964400000000004E-4</v>
      </c>
      <c r="AA37" s="37" t="s">
        <v>76</v>
      </c>
      <c r="AB37" s="13">
        <v>0</v>
      </c>
      <c r="AC37" s="93">
        <v>0</v>
      </c>
      <c r="AD37" s="94">
        <v>0</v>
      </c>
      <c r="AE37" s="37" t="s">
        <v>76</v>
      </c>
      <c r="AF37" s="13">
        <v>0</v>
      </c>
      <c r="AG37" s="37" t="s">
        <v>76</v>
      </c>
      <c r="AH37" s="13">
        <v>0</v>
      </c>
      <c r="AI37" s="93">
        <v>0</v>
      </c>
      <c r="AJ37" s="94">
        <v>0</v>
      </c>
      <c r="AK37" s="93">
        <v>240.35191447</v>
      </c>
      <c r="AL37" s="94">
        <v>1.4665677395000001</v>
      </c>
      <c r="AM37" s="37" t="s">
        <v>76</v>
      </c>
      <c r="AN37" s="13">
        <v>0</v>
      </c>
      <c r="AO37" s="37" t="s">
        <v>76</v>
      </c>
      <c r="AP37" s="13">
        <v>0</v>
      </c>
      <c r="AQ37" s="37" t="s">
        <v>76</v>
      </c>
      <c r="AR37" s="13">
        <v>0</v>
      </c>
      <c r="AS37" s="93">
        <v>27.913409551000001</v>
      </c>
      <c r="AT37" s="94">
        <v>0.53118065270000003</v>
      </c>
      <c r="AU37" s="93">
        <v>29.726571261</v>
      </c>
      <c r="AV37" s="94">
        <v>0.19904422790000001</v>
      </c>
      <c r="AW37" s="93">
        <v>20.110789601</v>
      </c>
      <c r="AX37" s="94">
        <v>0.10447003169999999</v>
      </c>
      <c r="AY37" s="93">
        <v>6.3052533994999997</v>
      </c>
      <c r="AZ37" s="94">
        <v>3.2164030099999998E-2</v>
      </c>
      <c r="BA37" s="79">
        <v>3.3105282613</v>
      </c>
      <c r="BB37" s="13">
        <v>6.2410166099999997E-2</v>
      </c>
      <c r="BC37" s="93">
        <v>0</v>
      </c>
      <c r="BD37" s="86">
        <v>0</v>
      </c>
      <c r="BE37" s="93">
        <v>27.989819465</v>
      </c>
      <c r="BF37" s="94">
        <v>0.1074841186</v>
      </c>
      <c r="BG37" s="94">
        <v>3.0198298000000002E-3</v>
      </c>
      <c r="BH37" s="86">
        <v>0</v>
      </c>
      <c r="BI37" s="93">
        <v>0.43425575379999998</v>
      </c>
      <c r="BJ37" s="94">
        <v>2.8685210000000002E-3</v>
      </c>
      <c r="BK37" s="93">
        <v>6.4605275700000006E-2</v>
      </c>
      <c r="BL37" s="94">
        <v>2.7133970000000002E-4</v>
      </c>
      <c r="BM37" s="7" t="s">
        <v>76</v>
      </c>
      <c r="BN37" s="13">
        <v>0</v>
      </c>
      <c r="BO37" s="7" t="s">
        <v>76</v>
      </c>
      <c r="BP37" s="13">
        <v>0</v>
      </c>
      <c r="BQ37" s="93">
        <v>35.412472878999999</v>
      </c>
      <c r="BR37" s="94">
        <v>0.15198895539999999</v>
      </c>
      <c r="BS37" s="93">
        <v>0.25212206999999998</v>
      </c>
      <c r="BT37" s="94">
        <v>1.4784424000000001E-3</v>
      </c>
      <c r="BU37" s="7" t="s">
        <v>76</v>
      </c>
      <c r="BV37" s="13">
        <v>0</v>
      </c>
      <c r="BW37" s="7" t="s">
        <v>76</v>
      </c>
      <c r="BX37" s="13">
        <v>0</v>
      </c>
      <c r="BY37" s="7" t="s">
        <v>76</v>
      </c>
      <c r="BZ37" s="13">
        <v>0</v>
      </c>
      <c r="CA37" s="7" t="s">
        <v>76</v>
      </c>
      <c r="CB37" s="13">
        <v>0</v>
      </c>
      <c r="CC37" s="93">
        <v>0.25444252010000001</v>
      </c>
      <c r="CD37" s="94">
        <v>1.1599627999999999E-3</v>
      </c>
      <c r="CE37" s="93">
        <v>1.1745199E-3</v>
      </c>
      <c r="CF37" s="94">
        <v>1.1746800000000001E-5</v>
      </c>
      <c r="CG37" s="93">
        <v>2.1723466818000001</v>
      </c>
      <c r="CH37" s="94">
        <v>9.0772109000000004E-3</v>
      </c>
      <c r="CI37" s="93">
        <v>2.5420112999999999E-3</v>
      </c>
      <c r="CJ37" s="94">
        <v>2.9501599999999999E-5</v>
      </c>
      <c r="CK37" s="6" t="s">
        <v>76</v>
      </c>
      <c r="CL37" s="13">
        <v>0</v>
      </c>
      <c r="CM37" s="7" t="s">
        <v>76</v>
      </c>
      <c r="CN37" s="15">
        <v>0</v>
      </c>
      <c r="CO37" s="93">
        <v>22.731157158999999</v>
      </c>
      <c r="CP37" s="94">
        <v>0.14492755660000001</v>
      </c>
      <c r="CQ37" s="93">
        <v>7.1322233299999996E-2</v>
      </c>
      <c r="CR37" s="94">
        <v>5.0581720000000005E-4</v>
      </c>
      <c r="CS37" s="93">
        <v>17.706901598000002</v>
      </c>
      <c r="CT37" s="94">
        <v>5.7828221300000003E-2</v>
      </c>
      <c r="CU37" s="93">
        <v>0.1161002451</v>
      </c>
      <c r="CV37" s="88">
        <v>9.624697E-4</v>
      </c>
      <c r="CW37" s="188">
        <v>1.8366088E-3</v>
      </c>
      <c r="CX37" s="189">
        <v>2.7078610999999998E-3</v>
      </c>
      <c r="CY37" s="189">
        <v>2.8954323E-3</v>
      </c>
      <c r="CZ37" s="189">
        <v>2.9559450999999998E-3</v>
      </c>
      <c r="DA37" s="189">
        <v>2.9728491000000001E-3</v>
      </c>
      <c r="DB37" s="189">
        <v>2.9817827999999999E-3</v>
      </c>
      <c r="DC37" s="189">
        <v>2.9863139999999999E-3</v>
      </c>
      <c r="DD37" s="189">
        <v>2.9891884E-3</v>
      </c>
      <c r="DE37" s="189">
        <v>2.9920628E-3</v>
      </c>
      <c r="DF37" s="190">
        <v>2.9949372000000001E-3</v>
      </c>
      <c r="DG37" s="112">
        <v>96.618882495999998</v>
      </c>
      <c r="DH37" s="13">
        <v>1.5929285842000001</v>
      </c>
      <c r="DI37" s="79">
        <v>65.522569270999995</v>
      </c>
      <c r="DJ37" s="13">
        <v>1.0847384759000001</v>
      </c>
      <c r="DK37" s="79">
        <v>43.615588782000003</v>
      </c>
      <c r="DL37" s="13">
        <v>0.73472792539999998</v>
      </c>
      <c r="DM37" s="79">
        <v>28.806994656000001</v>
      </c>
      <c r="DN37" s="13">
        <v>0.49963219669999998</v>
      </c>
      <c r="DO37" s="79">
        <v>19.108421301</v>
      </c>
      <c r="DP37" s="13">
        <v>0.34434645870000002</v>
      </c>
      <c r="DQ37" s="79">
        <v>12.789932865000001</v>
      </c>
      <c r="DR37" s="13">
        <v>0.24100669999999999</v>
      </c>
      <c r="DS37" s="79">
        <v>8.6715289097999992</v>
      </c>
      <c r="DT37" s="13">
        <v>0.17144371850000001</v>
      </c>
      <c r="DU37" s="79">
        <v>5.9801850940000003</v>
      </c>
      <c r="DV37" s="13">
        <v>0.1241508459</v>
      </c>
      <c r="DW37" s="79">
        <v>4.1878387167</v>
      </c>
      <c r="DX37" s="13">
        <v>9.0975726600000001E-2</v>
      </c>
      <c r="DY37" s="79">
        <v>2.9889093053</v>
      </c>
      <c r="DZ37" s="15">
        <v>6.7553668100000006E-2</v>
      </c>
    </row>
    <row r="38" spans="1:130" x14ac:dyDescent="0.2">
      <c r="A38" s="8">
        <v>3300</v>
      </c>
      <c r="B38" s="82">
        <v>7080</v>
      </c>
      <c r="C38" s="83">
        <v>1421.5686443</v>
      </c>
      <c r="D38" s="93">
        <v>3249.4086754999998</v>
      </c>
      <c r="E38" s="93">
        <v>26.368894134000001</v>
      </c>
      <c r="F38" s="94">
        <v>5.7355094299999999E-2</v>
      </c>
      <c r="G38" s="83">
        <v>3.0188480592000002</v>
      </c>
      <c r="H38" s="94">
        <v>2.0617575000000002E-3</v>
      </c>
      <c r="I38" s="93">
        <v>191.02350519000001</v>
      </c>
      <c r="J38" s="94">
        <v>2.3132022184999999</v>
      </c>
      <c r="K38" s="93">
        <v>265.98635574999997</v>
      </c>
      <c r="L38" s="94">
        <v>2.2186860337000001</v>
      </c>
      <c r="M38" s="93">
        <v>0.92956417499999999</v>
      </c>
      <c r="N38" s="94">
        <v>6.3094021999999996E-3</v>
      </c>
      <c r="O38" s="37" t="s">
        <v>76</v>
      </c>
      <c r="P38" s="13">
        <v>0</v>
      </c>
      <c r="Q38" s="93">
        <v>37.921723950000001</v>
      </c>
      <c r="R38" s="94">
        <v>0.1599453874</v>
      </c>
      <c r="S38" s="37" t="s">
        <v>76</v>
      </c>
      <c r="T38" s="13">
        <v>0</v>
      </c>
      <c r="U38" s="37" t="s">
        <v>76</v>
      </c>
      <c r="V38" s="13">
        <v>0</v>
      </c>
      <c r="W38" s="93">
        <v>0.3047964527</v>
      </c>
      <c r="X38" s="94">
        <v>1.6448902E-3</v>
      </c>
      <c r="Y38" s="93">
        <v>2.7391170255000001</v>
      </c>
      <c r="Z38" s="94">
        <v>6.1321349999999999E-4</v>
      </c>
      <c r="AA38" s="37" t="s">
        <v>76</v>
      </c>
      <c r="AB38" s="13">
        <v>0</v>
      </c>
      <c r="AC38" s="93">
        <v>0</v>
      </c>
      <c r="AD38" s="94">
        <v>0</v>
      </c>
      <c r="AE38" s="37" t="s">
        <v>76</v>
      </c>
      <c r="AF38" s="13">
        <v>0</v>
      </c>
      <c r="AG38" s="37" t="s">
        <v>76</v>
      </c>
      <c r="AH38" s="13">
        <v>0</v>
      </c>
      <c r="AI38" s="93">
        <v>0</v>
      </c>
      <c r="AJ38" s="94">
        <v>0</v>
      </c>
      <c r="AK38" s="93">
        <v>243.30636104999999</v>
      </c>
      <c r="AL38" s="94">
        <v>1.4789494654999999</v>
      </c>
      <c r="AM38" s="37" t="s">
        <v>76</v>
      </c>
      <c r="AN38" s="13">
        <v>0</v>
      </c>
      <c r="AO38" s="37" t="s">
        <v>76</v>
      </c>
      <c r="AP38" s="13">
        <v>0</v>
      </c>
      <c r="AQ38" s="37" t="s">
        <v>76</v>
      </c>
      <c r="AR38" s="13">
        <v>0</v>
      </c>
      <c r="AS38" s="93">
        <v>28.62105841</v>
      </c>
      <c r="AT38" s="94">
        <v>0.53724013609999999</v>
      </c>
      <c r="AU38" s="93">
        <v>30.2722205</v>
      </c>
      <c r="AV38" s="94">
        <v>0.20182385219999999</v>
      </c>
      <c r="AW38" s="93">
        <v>20.490032527</v>
      </c>
      <c r="AX38" s="94">
        <v>0.10595764589999999</v>
      </c>
      <c r="AY38" s="93">
        <v>6.3864311631000001</v>
      </c>
      <c r="AZ38" s="94">
        <v>3.2490132300000002E-2</v>
      </c>
      <c r="BA38" s="79">
        <v>3.3957568089999999</v>
      </c>
      <c r="BB38" s="13">
        <v>6.3376074000000004E-2</v>
      </c>
      <c r="BC38" s="93">
        <v>0</v>
      </c>
      <c r="BD38" s="86">
        <v>0</v>
      </c>
      <c r="BE38" s="93">
        <v>29.347384775999998</v>
      </c>
      <c r="BF38" s="94">
        <v>0.1107791853</v>
      </c>
      <c r="BG38" s="94">
        <v>3.306037E-3</v>
      </c>
      <c r="BH38" s="86">
        <v>0</v>
      </c>
      <c r="BI38" s="93">
        <v>0.45296728870000003</v>
      </c>
      <c r="BJ38" s="94">
        <v>2.9292576E-3</v>
      </c>
      <c r="BK38" s="93">
        <v>6.5615808299999995E-2</v>
      </c>
      <c r="BL38" s="94">
        <v>2.761935E-4</v>
      </c>
      <c r="BM38" s="7" t="s">
        <v>76</v>
      </c>
      <c r="BN38" s="13">
        <v>0</v>
      </c>
      <c r="BO38" s="7" t="s">
        <v>76</v>
      </c>
      <c r="BP38" s="13">
        <v>0</v>
      </c>
      <c r="BQ38" s="93">
        <v>36.650442220999999</v>
      </c>
      <c r="BR38" s="94">
        <v>0.15484180550000001</v>
      </c>
      <c r="BS38" s="93">
        <v>0.26191144490000001</v>
      </c>
      <c r="BT38" s="94">
        <v>1.5236150000000001E-3</v>
      </c>
      <c r="BU38" s="7" t="s">
        <v>76</v>
      </c>
      <c r="BV38" s="13">
        <v>0</v>
      </c>
      <c r="BW38" s="7" t="s">
        <v>76</v>
      </c>
      <c r="BX38" s="13">
        <v>0</v>
      </c>
      <c r="BY38" s="7" t="s">
        <v>76</v>
      </c>
      <c r="BZ38" s="13">
        <v>0</v>
      </c>
      <c r="CA38" s="7" t="s">
        <v>76</v>
      </c>
      <c r="CB38" s="13">
        <v>0</v>
      </c>
      <c r="CC38" s="93">
        <v>0.2633259812</v>
      </c>
      <c r="CD38" s="94">
        <v>1.2229211999999999E-3</v>
      </c>
      <c r="CE38" s="93">
        <v>1.1658324E-3</v>
      </c>
      <c r="CF38" s="94">
        <v>1.16575E-5</v>
      </c>
      <c r="CG38" s="93">
        <v>2.2852436559</v>
      </c>
      <c r="CH38" s="94">
        <v>9.5262621999999998E-3</v>
      </c>
      <c r="CI38" s="93">
        <v>2.5237654E-3</v>
      </c>
      <c r="CJ38" s="94">
        <v>2.9277299999999998E-5</v>
      </c>
      <c r="CK38" s="6" t="s">
        <v>76</v>
      </c>
      <c r="CL38" s="13">
        <v>0</v>
      </c>
      <c r="CM38" s="7" t="s">
        <v>76</v>
      </c>
      <c r="CN38" s="15">
        <v>0</v>
      </c>
      <c r="CO38" s="93">
        <v>23.309388841000001</v>
      </c>
      <c r="CP38" s="94">
        <v>0.14728132120000001</v>
      </c>
      <c r="CQ38" s="93">
        <v>7.21840854E-2</v>
      </c>
      <c r="CR38" s="94">
        <v>5.1918869999999998E-4</v>
      </c>
      <c r="CS38" s="93">
        <v>18.506890544000001</v>
      </c>
      <c r="CT38" s="94">
        <v>5.94521841E-2</v>
      </c>
      <c r="CU38" s="93">
        <v>0.1182221503</v>
      </c>
      <c r="CV38" s="88">
        <v>9.8735870000000005E-4</v>
      </c>
      <c r="CW38" s="188">
        <v>2.0152706999999998E-3</v>
      </c>
      <c r="CX38" s="189">
        <v>2.9656472000000001E-3</v>
      </c>
      <c r="CY38" s="189">
        <v>3.1772768E-3</v>
      </c>
      <c r="CZ38" s="189">
        <v>3.2416277999999998E-3</v>
      </c>
      <c r="DA38" s="189">
        <v>3.2589125999999999E-3</v>
      </c>
      <c r="DB38" s="189">
        <v>3.2682881999999999E-3</v>
      </c>
      <c r="DC38" s="189">
        <v>3.2727864999999999E-3</v>
      </c>
      <c r="DD38" s="189">
        <v>3.2756394E-3</v>
      </c>
      <c r="DE38" s="189">
        <v>3.2784922000000001E-3</v>
      </c>
      <c r="DF38" s="190">
        <v>3.2813450000000002E-3</v>
      </c>
      <c r="DG38" s="112">
        <v>98.024763074000006</v>
      </c>
      <c r="DH38" s="13">
        <v>1.6111597623</v>
      </c>
      <c r="DI38" s="79">
        <v>66.717126028999999</v>
      </c>
      <c r="DJ38" s="13">
        <v>1.1008101610000001</v>
      </c>
      <c r="DK38" s="79">
        <v>44.596446079000003</v>
      </c>
      <c r="DL38" s="13">
        <v>0.74837984739999996</v>
      </c>
      <c r="DM38" s="79">
        <v>29.590397190000001</v>
      </c>
      <c r="DN38" s="13">
        <v>0.51090413150000002</v>
      </c>
      <c r="DO38" s="79">
        <v>19.720623219</v>
      </c>
      <c r="DP38" s="13">
        <v>0.35347347730000001</v>
      </c>
      <c r="DQ38" s="79">
        <v>13.265448979</v>
      </c>
      <c r="DR38" s="13">
        <v>0.24835374490000001</v>
      </c>
      <c r="DS38" s="79">
        <v>9.0419113037999992</v>
      </c>
      <c r="DT38" s="13">
        <v>0.1773670956</v>
      </c>
      <c r="DU38" s="79">
        <v>6.2697469739000002</v>
      </c>
      <c r="DV38" s="13">
        <v>0.12894120749999999</v>
      </c>
      <c r="DW38" s="79">
        <v>4.4155440949000004</v>
      </c>
      <c r="DX38" s="13">
        <v>9.4857233499999999E-2</v>
      </c>
      <c r="DY38" s="79">
        <v>3.1682782894999999</v>
      </c>
      <c r="DZ38" s="15">
        <v>7.0713260999999999E-2</v>
      </c>
    </row>
    <row r="39" spans="1:130" x14ac:dyDescent="0.2">
      <c r="A39" s="8">
        <v>3400</v>
      </c>
      <c r="B39" s="82">
        <v>6732</v>
      </c>
      <c r="C39" s="83">
        <v>1444.323333</v>
      </c>
      <c r="D39" s="93">
        <v>3349.9396373999998</v>
      </c>
      <c r="E39" s="93">
        <v>27.586940870999999</v>
      </c>
      <c r="F39" s="94">
        <v>5.8810582899999998E-2</v>
      </c>
      <c r="G39" s="83">
        <v>3.3278036114999998</v>
      </c>
      <c r="H39" s="94">
        <v>2.232015E-3</v>
      </c>
      <c r="I39" s="93">
        <v>193.17775370999999</v>
      </c>
      <c r="J39" s="94">
        <v>2.3314551419999998</v>
      </c>
      <c r="K39" s="93">
        <v>272.55266320999999</v>
      </c>
      <c r="L39" s="94">
        <v>2.2581100188000001</v>
      </c>
      <c r="M39" s="93">
        <v>0.96717781739999997</v>
      </c>
      <c r="N39" s="94">
        <v>6.5842890000000001E-3</v>
      </c>
      <c r="O39" s="37" t="s">
        <v>76</v>
      </c>
      <c r="P39" s="13">
        <v>0</v>
      </c>
      <c r="Q39" s="93">
        <v>39.193376532000002</v>
      </c>
      <c r="R39" s="94">
        <v>0.16271729360000001</v>
      </c>
      <c r="S39" s="37" t="s">
        <v>76</v>
      </c>
      <c r="T39" s="13">
        <v>0</v>
      </c>
      <c r="U39" s="37" t="s">
        <v>76</v>
      </c>
      <c r="V39" s="13">
        <v>0</v>
      </c>
      <c r="W39" s="93">
        <v>0.30623913790000001</v>
      </c>
      <c r="X39" s="94">
        <v>1.640571E-3</v>
      </c>
      <c r="Y39" s="93">
        <v>2.8933075758000002</v>
      </c>
      <c r="Z39" s="94">
        <v>6.5357559999999998E-4</v>
      </c>
      <c r="AA39" s="37" t="s">
        <v>76</v>
      </c>
      <c r="AB39" s="13">
        <v>0</v>
      </c>
      <c r="AC39" s="93">
        <v>3.7593069999999998E-4</v>
      </c>
      <c r="AD39" s="94">
        <v>1.9734229000000001E-6</v>
      </c>
      <c r="AE39" s="37" t="s">
        <v>76</v>
      </c>
      <c r="AF39" s="13">
        <v>0</v>
      </c>
      <c r="AG39" s="37" t="s">
        <v>76</v>
      </c>
      <c r="AH39" s="13">
        <v>0</v>
      </c>
      <c r="AI39" s="93">
        <v>3.7593069999999998E-4</v>
      </c>
      <c r="AJ39" s="94">
        <v>1.9734229000000001E-6</v>
      </c>
      <c r="AK39" s="93">
        <v>246.13679153000001</v>
      </c>
      <c r="AL39" s="94">
        <v>1.4905211741</v>
      </c>
      <c r="AM39" s="37" t="s">
        <v>76</v>
      </c>
      <c r="AN39" s="13">
        <v>0</v>
      </c>
      <c r="AO39" s="37" t="s">
        <v>76</v>
      </c>
      <c r="AP39" s="13">
        <v>0</v>
      </c>
      <c r="AQ39" s="37" t="s">
        <v>76</v>
      </c>
      <c r="AR39" s="13">
        <v>0</v>
      </c>
      <c r="AS39" s="93">
        <v>29.362981939000001</v>
      </c>
      <c r="AT39" s="94">
        <v>0.54292186860000002</v>
      </c>
      <c r="AU39" s="93">
        <v>30.820573208999999</v>
      </c>
      <c r="AV39" s="94">
        <v>0.20442439030000001</v>
      </c>
      <c r="AW39" s="93">
        <v>20.919018608999998</v>
      </c>
      <c r="AX39" s="94">
        <v>0.107455757</v>
      </c>
      <c r="AY39" s="93">
        <v>6.4467085425999997</v>
      </c>
      <c r="AZ39" s="94">
        <v>3.2765024400000002E-2</v>
      </c>
      <c r="BA39" s="79">
        <v>3.4548460571000001</v>
      </c>
      <c r="BB39" s="13">
        <v>6.4203608800000006E-2</v>
      </c>
      <c r="BC39" s="93">
        <v>0</v>
      </c>
      <c r="BD39" s="86">
        <v>0</v>
      </c>
      <c r="BE39" s="93">
        <v>30.7250187</v>
      </c>
      <c r="BF39" s="94">
        <v>0.11387354700000001</v>
      </c>
      <c r="BG39" s="94">
        <v>3.5931444000000001E-3</v>
      </c>
      <c r="BH39" s="86">
        <v>0</v>
      </c>
      <c r="BI39" s="93">
        <v>0.48073983190000003</v>
      </c>
      <c r="BJ39" s="94">
        <v>3.1210062E-3</v>
      </c>
      <c r="BK39" s="93">
        <v>6.5621234400000006E-2</v>
      </c>
      <c r="BL39" s="94">
        <v>2.761285E-4</v>
      </c>
      <c r="BM39" s="7" t="s">
        <v>76</v>
      </c>
      <c r="BN39" s="13">
        <v>0</v>
      </c>
      <c r="BO39" s="7" t="s">
        <v>76</v>
      </c>
      <c r="BP39" s="13">
        <v>0</v>
      </c>
      <c r="BQ39" s="93">
        <v>37.854411001000003</v>
      </c>
      <c r="BR39" s="94">
        <v>0.15742729659999999</v>
      </c>
      <c r="BS39" s="93">
        <v>0.27675508510000002</v>
      </c>
      <c r="BT39" s="94">
        <v>1.5812331000000001E-3</v>
      </c>
      <c r="BU39" s="7" t="s">
        <v>76</v>
      </c>
      <c r="BV39" s="13">
        <v>0</v>
      </c>
      <c r="BW39" s="7" t="s">
        <v>76</v>
      </c>
      <c r="BX39" s="13">
        <v>0</v>
      </c>
      <c r="BY39" s="7" t="s">
        <v>76</v>
      </c>
      <c r="BZ39" s="13">
        <v>0</v>
      </c>
      <c r="CA39" s="7" t="s">
        <v>76</v>
      </c>
      <c r="CB39" s="13">
        <v>0</v>
      </c>
      <c r="CC39" s="93">
        <v>0.26506881259999998</v>
      </c>
      <c r="CD39" s="94">
        <v>1.221726E-3</v>
      </c>
      <c r="CE39" s="93">
        <v>1.1572939000000001E-3</v>
      </c>
      <c r="CF39" s="94">
        <v>1.1568300000000001E-5</v>
      </c>
      <c r="CG39" s="93">
        <v>2.4226453303</v>
      </c>
      <c r="CH39" s="94">
        <v>9.9822955000000001E-3</v>
      </c>
      <c r="CI39" s="93">
        <v>2.7699712E-3</v>
      </c>
      <c r="CJ39" s="94">
        <v>3.0932800000000003E-5</v>
      </c>
      <c r="CK39" s="6" t="s">
        <v>76</v>
      </c>
      <c r="CL39" s="13">
        <v>0</v>
      </c>
      <c r="CM39" s="7" t="s">
        <v>76</v>
      </c>
      <c r="CN39" s="15">
        <v>0</v>
      </c>
      <c r="CO39" s="93">
        <v>23.901719817</v>
      </c>
      <c r="CP39" s="94">
        <v>0.14958740549999999</v>
      </c>
      <c r="CQ39" s="93">
        <v>7.4448146399999998E-2</v>
      </c>
      <c r="CR39" s="94">
        <v>5.2516339999999996E-4</v>
      </c>
      <c r="CS39" s="93">
        <v>19.311787664000001</v>
      </c>
      <c r="CT39" s="94">
        <v>6.0989535900000003E-2</v>
      </c>
      <c r="CU39" s="93">
        <v>0.1194250926</v>
      </c>
      <c r="CV39" s="88">
        <v>1.0060145999999999E-3</v>
      </c>
      <c r="CW39" s="188">
        <v>2.1832148E-3</v>
      </c>
      <c r="CX39" s="189">
        <v>3.2244929000000001E-3</v>
      </c>
      <c r="CY39" s="189">
        <v>3.4583437999999998E-3</v>
      </c>
      <c r="CZ39" s="189">
        <v>3.5282107000000002E-3</v>
      </c>
      <c r="DA39" s="189">
        <v>3.5458771999999999E-3</v>
      </c>
      <c r="DB39" s="189">
        <v>3.5556911000000002E-3</v>
      </c>
      <c r="DC39" s="189">
        <v>3.5601577999999998E-3</v>
      </c>
      <c r="DD39" s="189">
        <v>3.5629896000000001E-3</v>
      </c>
      <c r="DE39" s="189">
        <v>3.5658212999999999E-3</v>
      </c>
      <c r="DF39" s="190">
        <v>3.5686530999999998E-3</v>
      </c>
      <c r="DG39" s="112">
        <v>99.398939975999994</v>
      </c>
      <c r="DH39" s="13">
        <v>1.6280123971</v>
      </c>
      <c r="DI39" s="79">
        <v>67.875258000000002</v>
      </c>
      <c r="DJ39" s="13">
        <v>1.1156580968000001</v>
      </c>
      <c r="DK39" s="79">
        <v>45.541896596999997</v>
      </c>
      <c r="DL39" s="13">
        <v>0.7609986795</v>
      </c>
      <c r="DM39" s="79">
        <v>30.342254187000002</v>
      </c>
      <c r="DN39" s="13">
        <v>0.52133772739999995</v>
      </c>
      <c r="DO39" s="79">
        <v>20.309828531000001</v>
      </c>
      <c r="DP39" s="13">
        <v>0.36197681209999999</v>
      </c>
      <c r="DQ39" s="79">
        <v>13.721785959</v>
      </c>
      <c r="DR39" s="13">
        <v>0.2551987174</v>
      </c>
      <c r="DS39" s="79">
        <v>9.3997073906999997</v>
      </c>
      <c r="DT39" s="13">
        <v>0.1829225958</v>
      </c>
      <c r="DU39" s="79">
        <v>6.5492694465000003</v>
      </c>
      <c r="DV39" s="13">
        <v>0.13343725309999999</v>
      </c>
      <c r="DW39" s="79">
        <v>4.6341196592999996</v>
      </c>
      <c r="DX39" s="13">
        <v>9.8500485799999996E-2</v>
      </c>
      <c r="DY39" s="79">
        <v>3.3411401227000002</v>
      </c>
      <c r="DZ39" s="15">
        <v>7.3670909699999995E-2</v>
      </c>
    </row>
    <row r="40" spans="1:130" x14ac:dyDescent="0.2">
      <c r="A40" s="8">
        <v>3500</v>
      </c>
      <c r="B40" s="82">
        <v>6474</v>
      </c>
      <c r="C40" s="83">
        <v>1466.5534127000001</v>
      </c>
      <c r="D40" s="93">
        <v>3450.1208317000001</v>
      </c>
      <c r="E40" s="93">
        <v>28.741116218999998</v>
      </c>
      <c r="F40" s="94">
        <v>6.02392702E-2</v>
      </c>
      <c r="G40" s="83">
        <v>3.6314990522000001</v>
      </c>
      <c r="H40" s="94">
        <v>2.3959075999999998E-3</v>
      </c>
      <c r="I40" s="93">
        <v>195.36127152</v>
      </c>
      <c r="J40" s="94">
        <v>2.3500816389999999</v>
      </c>
      <c r="K40" s="93">
        <v>279.20553311999998</v>
      </c>
      <c r="L40" s="94">
        <v>2.2971744913999999</v>
      </c>
      <c r="M40" s="93">
        <v>0.99996019940000003</v>
      </c>
      <c r="N40" s="94">
        <v>6.8461329999999999E-3</v>
      </c>
      <c r="O40" s="37" t="s">
        <v>76</v>
      </c>
      <c r="P40" s="13">
        <v>0</v>
      </c>
      <c r="Q40" s="93">
        <v>40.343728388999999</v>
      </c>
      <c r="R40" s="94">
        <v>0.16538750029999999</v>
      </c>
      <c r="S40" s="37" t="s">
        <v>76</v>
      </c>
      <c r="T40" s="13">
        <v>0</v>
      </c>
      <c r="U40" s="37" t="s">
        <v>76</v>
      </c>
      <c r="V40" s="13">
        <v>0</v>
      </c>
      <c r="W40" s="93">
        <v>0.31423663270000002</v>
      </c>
      <c r="X40" s="94">
        <v>1.7022695999999999E-3</v>
      </c>
      <c r="Y40" s="93">
        <v>3.0250985410000002</v>
      </c>
      <c r="Z40" s="94">
        <v>6.8366800000000001E-4</v>
      </c>
      <c r="AA40" s="37" t="s">
        <v>76</v>
      </c>
      <c r="AB40" s="13">
        <v>0</v>
      </c>
      <c r="AC40" s="93">
        <v>8.6004059999999995E-4</v>
      </c>
      <c r="AD40" s="94">
        <v>3.9199881000000002E-6</v>
      </c>
      <c r="AE40" s="37" t="s">
        <v>76</v>
      </c>
      <c r="AF40" s="13">
        <v>0</v>
      </c>
      <c r="AG40" s="37" t="s">
        <v>76</v>
      </c>
      <c r="AH40" s="13">
        <v>0</v>
      </c>
      <c r="AI40" s="93">
        <v>8.6004059999999995E-4</v>
      </c>
      <c r="AJ40" s="94">
        <v>3.9199881000000002E-6</v>
      </c>
      <c r="AK40" s="93">
        <v>248.95506921</v>
      </c>
      <c r="AL40" s="94">
        <v>1.5023783632000001</v>
      </c>
      <c r="AM40" s="37" t="s">
        <v>76</v>
      </c>
      <c r="AN40" s="13">
        <v>0</v>
      </c>
      <c r="AO40" s="37" t="s">
        <v>76</v>
      </c>
      <c r="AP40" s="13">
        <v>0</v>
      </c>
      <c r="AQ40" s="37" t="s">
        <v>76</v>
      </c>
      <c r="AR40" s="13">
        <v>0</v>
      </c>
      <c r="AS40" s="93">
        <v>30.056982703999999</v>
      </c>
      <c r="AT40" s="94">
        <v>0.54875978950000004</v>
      </c>
      <c r="AU40" s="93">
        <v>31.390783531</v>
      </c>
      <c r="AV40" s="94">
        <v>0.20720615070000001</v>
      </c>
      <c r="AW40" s="93">
        <v>21.351631818000001</v>
      </c>
      <c r="AX40" s="94">
        <v>0.1090289455</v>
      </c>
      <c r="AY40" s="93">
        <v>6.5101413354000002</v>
      </c>
      <c r="AZ40" s="94">
        <v>3.30369077E-2</v>
      </c>
      <c r="BA40" s="79">
        <v>3.5290103772000001</v>
      </c>
      <c r="BB40" s="13">
        <v>6.5140297400000005E-2</v>
      </c>
      <c r="BC40" s="93">
        <v>0</v>
      </c>
      <c r="BD40" s="86">
        <v>0</v>
      </c>
      <c r="BE40" s="93">
        <v>32.18088565</v>
      </c>
      <c r="BF40" s="94">
        <v>0.1170524715</v>
      </c>
      <c r="BG40" s="94">
        <v>3.8804378999999999E-3</v>
      </c>
      <c r="BH40" s="86">
        <v>0</v>
      </c>
      <c r="BI40" s="93">
        <v>0.50101132339999999</v>
      </c>
      <c r="BJ40" s="94">
        <v>3.2985162000000001E-3</v>
      </c>
      <c r="BK40" s="93">
        <v>6.6068004E-2</v>
      </c>
      <c r="BL40" s="94">
        <v>2.780778E-4</v>
      </c>
      <c r="BM40" s="7" t="s">
        <v>76</v>
      </c>
      <c r="BN40" s="13">
        <v>0</v>
      </c>
      <c r="BO40" s="7" t="s">
        <v>76</v>
      </c>
      <c r="BP40" s="13">
        <v>0</v>
      </c>
      <c r="BQ40" s="93">
        <v>38.953708413999998</v>
      </c>
      <c r="BR40" s="94">
        <v>0.15993686100000001</v>
      </c>
      <c r="BS40" s="93">
        <v>0.28971038690000001</v>
      </c>
      <c r="BT40" s="94">
        <v>1.6243843000000001E-3</v>
      </c>
      <c r="BU40" s="7" t="s">
        <v>76</v>
      </c>
      <c r="BV40" s="13">
        <v>0</v>
      </c>
      <c r="BW40" s="7" t="s">
        <v>76</v>
      </c>
      <c r="BX40" s="13">
        <v>0</v>
      </c>
      <c r="BY40" s="7" t="s">
        <v>76</v>
      </c>
      <c r="BZ40" s="13">
        <v>0</v>
      </c>
      <c r="CA40" s="7" t="s">
        <v>76</v>
      </c>
      <c r="CB40" s="13">
        <v>0</v>
      </c>
      <c r="CC40" s="93">
        <v>0.27061244099999998</v>
      </c>
      <c r="CD40" s="94">
        <v>1.251612E-3</v>
      </c>
      <c r="CE40" s="93">
        <v>1.21897E-3</v>
      </c>
      <c r="CF40" s="94">
        <v>1.26055E-5</v>
      </c>
      <c r="CG40" s="93">
        <v>2.5451502190999999</v>
      </c>
      <c r="CH40" s="94">
        <v>1.04210441E-2</v>
      </c>
      <c r="CI40" s="93">
        <v>2.7519757000000001E-3</v>
      </c>
      <c r="CJ40" s="94">
        <v>3.0716400000000003E-5</v>
      </c>
      <c r="CK40" s="6" t="s">
        <v>76</v>
      </c>
      <c r="CL40" s="13">
        <v>0</v>
      </c>
      <c r="CM40" s="7" t="s">
        <v>76</v>
      </c>
      <c r="CN40" s="15">
        <v>0</v>
      </c>
      <c r="CO40" s="93">
        <v>24.483879255000002</v>
      </c>
      <c r="CP40" s="94">
        <v>0.15184680119999999</v>
      </c>
      <c r="CQ40" s="93">
        <v>7.4324888000000006E-2</v>
      </c>
      <c r="CR40" s="94">
        <v>5.2972030000000001E-4</v>
      </c>
      <c r="CS40" s="93">
        <v>20.164466629</v>
      </c>
      <c r="CT40" s="94">
        <v>6.2657381299999995E-2</v>
      </c>
      <c r="CU40" s="93">
        <v>0.1215138519</v>
      </c>
      <c r="CV40" s="88">
        <v>1.0283320000000001E-3</v>
      </c>
      <c r="CW40" s="188">
        <v>2.3462713000000001E-3</v>
      </c>
      <c r="CX40" s="189">
        <v>3.4819374000000002E-3</v>
      </c>
      <c r="CY40" s="189">
        <v>3.7427897000000001E-3</v>
      </c>
      <c r="CZ40" s="189">
        <v>3.8159668999999999E-3</v>
      </c>
      <c r="DA40" s="189">
        <v>3.8335129000000002E-3</v>
      </c>
      <c r="DB40" s="189">
        <v>3.8432619E-3</v>
      </c>
      <c r="DC40" s="189">
        <v>3.8476994000000001E-3</v>
      </c>
      <c r="DD40" s="189">
        <v>3.8505114000000002E-3</v>
      </c>
      <c r="DE40" s="189">
        <v>3.8533234999999998E-3</v>
      </c>
      <c r="DF40" s="190">
        <v>3.8561355999999999E-3</v>
      </c>
      <c r="DG40" s="112">
        <v>100.79984002</v>
      </c>
      <c r="DH40" s="13">
        <v>1.6452718756</v>
      </c>
      <c r="DI40" s="79">
        <v>69.066052055</v>
      </c>
      <c r="DJ40" s="13">
        <v>1.1308967418</v>
      </c>
      <c r="DK40" s="79">
        <v>46.528363612</v>
      </c>
      <c r="DL40" s="13">
        <v>0.77400902260000004</v>
      </c>
      <c r="DM40" s="79">
        <v>31.141519489</v>
      </c>
      <c r="DN40" s="13">
        <v>0.53218082659999999</v>
      </c>
      <c r="DO40" s="79">
        <v>20.944334599000001</v>
      </c>
      <c r="DP40" s="13">
        <v>0.37084053140000001</v>
      </c>
      <c r="DQ40" s="79">
        <v>14.214034718000001</v>
      </c>
      <c r="DR40" s="13">
        <v>0.2623162591</v>
      </c>
      <c r="DS40" s="79">
        <v>9.7794260442999992</v>
      </c>
      <c r="DT40" s="13">
        <v>0.1886128222</v>
      </c>
      <c r="DU40" s="79">
        <v>6.8394809543999999</v>
      </c>
      <c r="DV40" s="13">
        <v>0.1379446218</v>
      </c>
      <c r="DW40" s="79">
        <v>4.8569802135</v>
      </c>
      <c r="DX40" s="13">
        <v>0.10207326429999999</v>
      </c>
      <c r="DY40" s="79">
        <v>3.5129016551999999</v>
      </c>
      <c r="DZ40" s="15">
        <v>7.6497536099999999E-2</v>
      </c>
    </row>
    <row r="41" spans="1:130" x14ac:dyDescent="0.2">
      <c r="A41" s="8">
        <v>3600</v>
      </c>
      <c r="B41" s="82">
        <v>6150</v>
      </c>
      <c r="C41" s="83">
        <v>1488.2713305</v>
      </c>
      <c r="D41" s="93">
        <v>3549.7666100000001</v>
      </c>
      <c r="E41" s="93">
        <v>29.938070688</v>
      </c>
      <c r="F41" s="94">
        <v>6.1701257199999998E-2</v>
      </c>
      <c r="G41" s="83">
        <v>4.0556308535000003</v>
      </c>
      <c r="H41" s="94">
        <v>2.6157098000000002E-3</v>
      </c>
      <c r="I41" s="93">
        <v>197.34133908000001</v>
      </c>
      <c r="J41" s="94">
        <v>2.3669835229</v>
      </c>
      <c r="K41" s="93">
        <v>285.76020691999997</v>
      </c>
      <c r="L41" s="94">
        <v>2.3351282108999998</v>
      </c>
      <c r="M41" s="93">
        <v>1.0495331787</v>
      </c>
      <c r="N41" s="94">
        <v>7.1190547000000003E-3</v>
      </c>
      <c r="O41" s="37" t="s">
        <v>76</v>
      </c>
      <c r="P41" s="13">
        <v>0</v>
      </c>
      <c r="Q41" s="93">
        <v>41.516219931000002</v>
      </c>
      <c r="R41" s="94">
        <v>0.16797987410000001</v>
      </c>
      <c r="S41" s="37" t="s">
        <v>76</v>
      </c>
      <c r="T41" s="13">
        <v>0</v>
      </c>
      <c r="U41" s="37" t="s">
        <v>76</v>
      </c>
      <c r="V41" s="13">
        <v>0</v>
      </c>
      <c r="W41" s="93">
        <v>0.3227589817</v>
      </c>
      <c r="X41" s="94">
        <v>1.7179751000000001E-3</v>
      </c>
      <c r="Y41" s="93">
        <v>3.1453160286999999</v>
      </c>
      <c r="Z41" s="94">
        <v>7.058298E-4</v>
      </c>
      <c r="AA41" s="37" t="s">
        <v>76</v>
      </c>
      <c r="AB41" s="13">
        <v>0</v>
      </c>
      <c r="AC41" s="93">
        <v>8.5477519999999996E-4</v>
      </c>
      <c r="AD41" s="94">
        <v>3.8959888999999996E-6</v>
      </c>
      <c r="AE41" s="37" t="s">
        <v>76</v>
      </c>
      <c r="AF41" s="13">
        <v>0</v>
      </c>
      <c r="AG41" s="37" t="s">
        <v>76</v>
      </c>
      <c r="AH41" s="13">
        <v>0</v>
      </c>
      <c r="AI41" s="93">
        <v>8.5477519999999996E-4</v>
      </c>
      <c r="AJ41" s="94">
        <v>3.8959888999999996E-6</v>
      </c>
      <c r="AK41" s="93">
        <v>251.51954803000001</v>
      </c>
      <c r="AL41" s="94">
        <v>1.5132902004</v>
      </c>
      <c r="AM41" s="37" t="s">
        <v>76</v>
      </c>
      <c r="AN41" s="13">
        <v>0</v>
      </c>
      <c r="AO41" s="37" t="s">
        <v>76</v>
      </c>
      <c r="AP41" s="13">
        <v>0</v>
      </c>
      <c r="AQ41" s="37" t="s">
        <v>76</v>
      </c>
      <c r="AR41" s="13">
        <v>0</v>
      </c>
      <c r="AS41" s="93">
        <v>30.760524583999999</v>
      </c>
      <c r="AT41" s="94">
        <v>0.55453326589999996</v>
      </c>
      <c r="AU41" s="93">
        <v>31.983126613</v>
      </c>
      <c r="AV41" s="94">
        <v>0.2099881411</v>
      </c>
      <c r="AW41" s="93">
        <v>21.798318558999998</v>
      </c>
      <c r="AX41" s="94">
        <v>0.11066433689999999</v>
      </c>
      <c r="AY41" s="93">
        <v>6.5736402597000003</v>
      </c>
      <c r="AZ41" s="94">
        <v>3.3311947100000003E-2</v>
      </c>
      <c r="BA41" s="79">
        <v>3.6111677939</v>
      </c>
      <c r="BB41" s="13">
        <v>6.6011857100000002E-2</v>
      </c>
      <c r="BC41" s="93">
        <v>0</v>
      </c>
      <c r="BD41" s="86">
        <v>0</v>
      </c>
      <c r="BE41" s="93">
        <v>33.561915186</v>
      </c>
      <c r="BF41" s="94">
        <v>0.1202823889</v>
      </c>
      <c r="BG41" s="94">
        <v>4.2659962999999999E-3</v>
      </c>
      <c r="BH41" s="86">
        <v>0</v>
      </c>
      <c r="BI41" s="93">
        <v>0.52514560450000003</v>
      </c>
      <c r="BJ41" s="94">
        <v>3.4184426E-3</v>
      </c>
      <c r="BK41" s="93">
        <v>6.9791982299999999E-2</v>
      </c>
      <c r="BL41" s="94">
        <v>2.8913160000000002E-4</v>
      </c>
      <c r="BM41" s="7" t="s">
        <v>76</v>
      </c>
      <c r="BN41" s="13">
        <v>0</v>
      </c>
      <c r="BO41" s="7" t="s">
        <v>76</v>
      </c>
      <c r="BP41" s="13">
        <v>0</v>
      </c>
      <c r="BQ41" s="93">
        <v>40.077743798</v>
      </c>
      <c r="BR41" s="94">
        <v>0.16238901380000001</v>
      </c>
      <c r="BS41" s="93">
        <v>0.30298164929999999</v>
      </c>
      <c r="BT41" s="94">
        <v>1.6748536E-3</v>
      </c>
      <c r="BU41" s="7" t="s">
        <v>76</v>
      </c>
      <c r="BV41" s="13">
        <v>0</v>
      </c>
      <c r="BW41" s="7" t="s">
        <v>76</v>
      </c>
      <c r="BX41" s="13">
        <v>0</v>
      </c>
      <c r="BY41" s="7" t="s">
        <v>76</v>
      </c>
      <c r="BZ41" s="13">
        <v>0</v>
      </c>
      <c r="CA41" s="7" t="s">
        <v>76</v>
      </c>
      <c r="CB41" s="13">
        <v>0</v>
      </c>
      <c r="CC41" s="93">
        <v>0.27941612230000001</v>
      </c>
      <c r="CD41" s="94">
        <v>1.2702785000000001E-3</v>
      </c>
      <c r="CE41" s="93">
        <v>1.2108811000000001E-3</v>
      </c>
      <c r="CF41" s="94">
        <v>1.25199E-5</v>
      </c>
      <c r="CG41" s="93">
        <v>2.6551633791000002</v>
      </c>
      <c r="CH41" s="94">
        <v>1.07952468E-2</v>
      </c>
      <c r="CI41" s="93">
        <v>2.786817E-3</v>
      </c>
      <c r="CJ41" s="94">
        <v>3.1165499999999998E-5</v>
      </c>
      <c r="CK41" s="6" t="s">
        <v>76</v>
      </c>
      <c r="CL41" s="13">
        <v>0</v>
      </c>
      <c r="CM41" s="7" t="s">
        <v>76</v>
      </c>
      <c r="CN41" s="15">
        <v>0</v>
      </c>
      <c r="CO41" s="93">
        <v>25.058052866000001</v>
      </c>
      <c r="CP41" s="94">
        <v>0.15423388269999999</v>
      </c>
      <c r="CQ41" s="93">
        <v>7.4880732899999997E-2</v>
      </c>
      <c r="CR41" s="94">
        <v>5.3582749999999996E-4</v>
      </c>
      <c r="CS41" s="93">
        <v>20.996974844</v>
      </c>
      <c r="CT41" s="94">
        <v>6.4298037299999999E-2</v>
      </c>
      <c r="CU41" s="93">
        <v>0.1228861135</v>
      </c>
      <c r="CV41" s="88">
        <v>1.052414E-3</v>
      </c>
      <c r="CW41" s="188">
        <v>2.5599461E-3</v>
      </c>
      <c r="CX41" s="189">
        <v>3.8193251000000002E-3</v>
      </c>
      <c r="CY41" s="189">
        <v>4.1117007000000001E-3</v>
      </c>
      <c r="CZ41" s="189">
        <v>4.2001421000000001E-3</v>
      </c>
      <c r="DA41" s="189">
        <v>4.2187235999999999E-3</v>
      </c>
      <c r="DB41" s="189">
        <v>4.2290623999999997E-3</v>
      </c>
      <c r="DC41" s="189">
        <v>4.2334731999999998E-3</v>
      </c>
      <c r="DD41" s="189">
        <v>4.2362678000000004E-3</v>
      </c>
      <c r="DE41" s="189">
        <v>4.2390622999999997E-3</v>
      </c>
      <c r="DF41" s="190">
        <v>4.2418569000000003E-3</v>
      </c>
      <c r="DG41" s="112">
        <v>102.07238079</v>
      </c>
      <c r="DH41" s="13">
        <v>1.6609036604</v>
      </c>
      <c r="DI41" s="79">
        <v>70.147427386999993</v>
      </c>
      <c r="DJ41" s="13">
        <v>1.144708327</v>
      </c>
      <c r="DK41" s="79">
        <v>47.421682189000002</v>
      </c>
      <c r="DL41" s="13">
        <v>0.78576357809999997</v>
      </c>
      <c r="DM41" s="79">
        <v>31.859479189999998</v>
      </c>
      <c r="DN41" s="13">
        <v>0.54192291940000004</v>
      </c>
      <c r="DO41" s="79">
        <v>21.508559282</v>
      </c>
      <c r="DP41" s="13">
        <v>0.37876525300000002</v>
      </c>
      <c r="DQ41" s="79">
        <v>14.654528595</v>
      </c>
      <c r="DR41" s="13">
        <v>0.26872355399999998</v>
      </c>
      <c r="DS41" s="79">
        <v>10.122991948999999</v>
      </c>
      <c r="DT41" s="13">
        <v>0.1937932396</v>
      </c>
      <c r="DU41" s="79">
        <v>7.1058993124000001</v>
      </c>
      <c r="DV41" s="13">
        <v>0.14211763099999999</v>
      </c>
      <c r="DW41" s="79">
        <v>5.0648476099000002</v>
      </c>
      <c r="DX41" s="13">
        <v>0.1054518547</v>
      </c>
      <c r="DY41" s="79">
        <v>3.6741610004999998</v>
      </c>
      <c r="DZ41" s="15">
        <v>7.9233194500000007E-2</v>
      </c>
    </row>
    <row r="42" spans="1:130" x14ac:dyDescent="0.2">
      <c r="A42" s="8">
        <v>3700</v>
      </c>
      <c r="B42" s="82">
        <v>5818</v>
      </c>
      <c r="C42" s="83">
        <v>1509.5090138999999</v>
      </c>
      <c r="D42" s="93">
        <v>3649.2920789999998</v>
      </c>
      <c r="E42" s="93">
        <v>31.232037901000002</v>
      </c>
      <c r="F42" s="94">
        <v>6.3199709899999998E-2</v>
      </c>
      <c r="G42" s="83">
        <v>4.3827969680000001</v>
      </c>
      <c r="H42" s="94">
        <v>2.7847601999999999E-3</v>
      </c>
      <c r="I42" s="93">
        <v>199.15214261</v>
      </c>
      <c r="J42" s="94">
        <v>2.3822803592000001</v>
      </c>
      <c r="K42" s="93">
        <v>292.07673469999997</v>
      </c>
      <c r="L42" s="94">
        <v>2.3713506248999998</v>
      </c>
      <c r="M42" s="93">
        <v>1.0821386777999999</v>
      </c>
      <c r="N42" s="94">
        <v>7.2925652000000001E-3</v>
      </c>
      <c r="O42" s="37" t="s">
        <v>76</v>
      </c>
      <c r="P42" s="13">
        <v>0</v>
      </c>
      <c r="Q42" s="93">
        <v>42.788818095000003</v>
      </c>
      <c r="R42" s="94">
        <v>0.17061509520000001</v>
      </c>
      <c r="S42" s="37" t="s">
        <v>76</v>
      </c>
      <c r="T42" s="13">
        <v>0</v>
      </c>
      <c r="U42" s="37" t="s">
        <v>76</v>
      </c>
      <c r="V42" s="13">
        <v>0</v>
      </c>
      <c r="W42" s="93">
        <v>0.34699495070000003</v>
      </c>
      <c r="X42" s="94">
        <v>1.8694323E-3</v>
      </c>
      <c r="Y42" s="93">
        <v>3.2850551716999998</v>
      </c>
      <c r="Z42" s="94">
        <v>7.1441829999999997E-4</v>
      </c>
      <c r="AA42" s="37" t="s">
        <v>76</v>
      </c>
      <c r="AB42" s="13">
        <v>0</v>
      </c>
      <c r="AC42" s="93">
        <v>8.496415E-4</v>
      </c>
      <c r="AD42" s="94">
        <v>3.8725901000000001E-6</v>
      </c>
      <c r="AE42" s="37" t="s">
        <v>76</v>
      </c>
      <c r="AF42" s="13">
        <v>0</v>
      </c>
      <c r="AG42" s="37" t="s">
        <v>76</v>
      </c>
      <c r="AH42" s="13">
        <v>0</v>
      </c>
      <c r="AI42" s="93">
        <v>8.496415E-4</v>
      </c>
      <c r="AJ42" s="94">
        <v>3.8725901000000001E-6</v>
      </c>
      <c r="AK42" s="93">
        <v>253.99517635999999</v>
      </c>
      <c r="AL42" s="94">
        <v>1.5230208709999999</v>
      </c>
      <c r="AM42" s="37" t="s">
        <v>76</v>
      </c>
      <c r="AN42" s="13">
        <v>0</v>
      </c>
      <c r="AO42" s="37" t="s">
        <v>76</v>
      </c>
      <c r="AP42" s="13">
        <v>0</v>
      </c>
      <c r="AQ42" s="37" t="s">
        <v>76</v>
      </c>
      <c r="AR42" s="13">
        <v>0</v>
      </c>
      <c r="AS42" s="93">
        <v>31.407546731</v>
      </c>
      <c r="AT42" s="94">
        <v>0.55930092860000002</v>
      </c>
      <c r="AU42" s="93">
        <v>32.470125969999998</v>
      </c>
      <c r="AV42" s="94">
        <v>0.21242847770000001</v>
      </c>
      <c r="AW42" s="93">
        <v>22.155696941999999</v>
      </c>
      <c r="AX42" s="94">
        <v>0.1119758163</v>
      </c>
      <c r="AY42" s="93">
        <v>6.6284591908000001</v>
      </c>
      <c r="AZ42" s="94">
        <v>3.3582740799999997E-2</v>
      </c>
      <c r="BA42" s="79">
        <v>3.6859698373000001</v>
      </c>
      <c r="BB42" s="13">
        <v>6.6869920599999993E-2</v>
      </c>
      <c r="BC42" s="93">
        <v>0</v>
      </c>
      <c r="BD42" s="86">
        <v>0</v>
      </c>
      <c r="BE42" s="93">
        <v>34.881435658000001</v>
      </c>
      <c r="BF42" s="94">
        <v>0.12317572089999999</v>
      </c>
      <c r="BG42" s="94">
        <v>4.5583797999999998E-3</v>
      </c>
      <c r="BH42" s="86">
        <v>0</v>
      </c>
      <c r="BI42" s="93">
        <v>0.55002284889999997</v>
      </c>
      <c r="BJ42" s="94">
        <v>3.5400146E-3</v>
      </c>
      <c r="BK42" s="93">
        <v>7.0088245600000001E-2</v>
      </c>
      <c r="BL42" s="94">
        <v>2.9096040000000002E-4</v>
      </c>
      <c r="BM42" s="7" t="s">
        <v>76</v>
      </c>
      <c r="BN42" s="13">
        <v>0</v>
      </c>
      <c r="BO42" s="7" t="s">
        <v>76</v>
      </c>
      <c r="BP42" s="13">
        <v>0</v>
      </c>
      <c r="BQ42" s="93">
        <v>41.306585677000001</v>
      </c>
      <c r="BR42" s="94">
        <v>0.1648949502</v>
      </c>
      <c r="BS42" s="93">
        <v>0.31207734910000001</v>
      </c>
      <c r="BT42" s="94">
        <v>1.7154157999999999E-3</v>
      </c>
      <c r="BU42" s="7" t="s">
        <v>76</v>
      </c>
      <c r="BV42" s="13">
        <v>0</v>
      </c>
      <c r="BW42" s="7" t="s">
        <v>76</v>
      </c>
      <c r="BX42" s="13">
        <v>0</v>
      </c>
      <c r="BY42" s="7" t="s">
        <v>76</v>
      </c>
      <c r="BZ42" s="13">
        <v>0</v>
      </c>
      <c r="CA42" s="7" t="s">
        <v>76</v>
      </c>
      <c r="CB42" s="13">
        <v>0</v>
      </c>
      <c r="CC42" s="93">
        <v>0.29992464050000001</v>
      </c>
      <c r="CD42" s="94">
        <v>1.3383656E-3</v>
      </c>
      <c r="CE42" s="93">
        <v>1.2034723E-3</v>
      </c>
      <c r="CF42" s="94">
        <v>1.24432E-5</v>
      </c>
      <c r="CG42" s="93">
        <v>2.7849536109000002</v>
      </c>
      <c r="CH42" s="94">
        <v>1.12942797E-2</v>
      </c>
      <c r="CI42" s="93">
        <v>2.7705735999999999E-3</v>
      </c>
      <c r="CJ42" s="94">
        <v>3.0973899999999998E-5</v>
      </c>
      <c r="CK42" s="6" t="s">
        <v>76</v>
      </c>
      <c r="CL42" s="13">
        <v>0</v>
      </c>
      <c r="CM42" s="7" t="s">
        <v>76</v>
      </c>
      <c r="CN42" s="15">
        <v>0</v>
      </c>
      <c r="CO42" s="93">
        <v>25.594449399999998</v>
      </c>
      <c r="CP42" s="94">
        <v>0.15631164789999999</v>
      </c>
      <c r="CQ42" s="93">
        <v>7.6313133300000002E-2</v>
      </c>
      <c r="CR42" s="94">
        <v>5.4160839999999998E-4</v>
      </c>
      <c r="CS42" s="93">
        <v>21.722189367999999</v>
      </c>
      <c r="CT42" s="94">
        <v>6.5640552800000002E-2</v>
      </c>
      <c r="CU42" s="93">
        <v>0.1237657526</v>
      </c>
      <c r="CV42" s="88">
        <v>1.0641054E-3</v>
      </c>
      <c r="CW42" s="188">
        <v>2.7270892999999999E-3</v>
      </c>
      <c r="CX42" s="189">
        <v>4.0806234000000004E-3</v>
      </c>
      <c r="CY42" s="189">
        <v>4.3975858999999997E-3</v>
      </c>
      <c r="CZ42" s="189">
        <v>4.491821E-3</v>
      </c>
      <c r="DA42" s="189">
        <v>4.5113938999999997E-3</v>
      </c>
      <c r="DB42" s="189">
        <v>4.5216728000000003E-3</v>
      </c>
      <c r="DC42" s="189">
        <v>4.5260596999999996E-3</v>
      </c>
      <c r="DD42" s="189">
        <v>4.5288382000000004E-3</v>
      </c>
      <c r="DE42" s="189">
        <v>4.5316167000000003E-3</v>
      </c>
      <c r="DF42" s="190">
        <v>4.5343950999999997E-3</v>
      </c>
      <c r="DG42" s="112">
        <v>103.22696593000001</v>
      </c>
      <c r="DH42" s="13">
        <v>1.6750064519000001</v>
      </c>
      <c r="DI42" s="79">
        <v>71.118386190999999</v>
      </c>
      <c r="DJ42" s="13">
        <v>1.1570853813999999</v>
      </c>
      <c r="DK42" s="79">
        <v>48.219047992999997</v>
      </c>
      <c r="DL42" s="13">
        <v>0.79630203610000005</v>
      </c>
      <c r="DM42" s="79">
        <v>32.502827992999997</v>
      </c>
      <c r="DN42" s="13">
        <v>0.55069837919999998</v>
      </c>
      <c r="DO42" s="79">
        <v>22.016324307000001</v>
      </c>
      <c r="DP42" s="13">
        <v>0.38593785920000001</v>
      </c>
      <c r="DQ42" s="79">
        <v>15.05073421</v>
      </c>
      <c r="DR42" s="13">
        <v>0.27451645590000001</v>
      </c>
      <c r="DS42" s="79">
        <v>10.433491406</v>
      </c>
      <c r="DT42" s="13">
        <v>0.1984522373</v>
      </c>
      <c r="DU42" s="79">
        <v>7.3502060146000003</v>
      </c>
      <c r="DV42" s="13">
        <v>0.14587856769999999</v>
      </c>
      <c r="DW42" s="79">
        <v>5.255793497</v>
      </c>
      <c r="DX42" s="13">
        <v>0.1084706719</v>
      </c>
      <c r="DY42" s="79">
        <v>3.8222343969999999</v>
      </c>
      <c r="DZ42" s="15">
        <v>8.1646826300000003E-2</v>
      </c>
    </row>
    <row r="43" spans="1:130" x14ac:dyDescent="0.2">
      <c r="A43" s="8">
        <v>3800</v>
      </c>
      <c r="B43" s="82">
        <v>5776</v>
      </c>
      <c r="C43" s="83">
        <v>1530.2896971</v>
      </c>
      <c r="D43" s="93">
        <v>3749.3244181</v>
      </c>
      <c r="E43" s="93">
        <v>32.414029947000003</v>
      </c>
      <c r="F43" s="94">
        <v>6.4521890700000001E-2</v>
      </c>
      <c r="G43" s="83">
        <v>4.7543237099000004</v>
      </c>
      <c r="H43" s="94">
        <v>2.9806371E-3</v>
      </c>
      <c r="I43" s="93">
        <v>201.08822616</v>
      </c>
      <c r="J43" s="94">
        <v>2.3986219682000001</v>
      </c>
      <c r="K43" s="93">
        <v>298.37563566</v>
      </c>
      <c r="L43" s="94">
        <v>2.4071371241000001</v>
      </c>
      <c r="M43" s="93">
        <v>1.115269418</v>
      </c>
      <c r="N43" s="94">
        <v>7.4711760000000004E-3</v>
      </c>
      <c r="O43" s="37" t="s">
        <v>76</v>
      </c>
      <c r="P43" s="13">
        <v>0</v>
      </c>
      <c r="Q43" s="93">
        <v>44.049169376999998</v>
      </c>
      <c r="R43" s="94">
        <v>0.17325405590000001</v>
      </c>
      <c r="S43" s="37" t="s">
        <v>76</v>
      </c>
      <c r="T43" s="13">
        <v>0</v>
      </c>
      <c r="U43" s="37" t="s">
        <v>76</v>
      </c>
      <c r="V43" s="13">
        <v>0</v>
      </c>
      <c r="W43" s="93">
        <v>0.36571545290000002</v>
      </c>
      <c r="X43" s="94">
        <v>1.9854664000000001E-3</v>
      </c>
      <c r="Y43" s="93">
        <v>3.4408705694999999</v>
      </c>
      <c r="Z43" s="94">
        <v>7.8481470000000002E-4</v>
      </c>
      <c r="AA43" s="37" t="s">
        <v>76</v>
      </c>
      <c r="AB43" s="13">
        <v>0</v>
      </c>
      <c r="AC43" s="93">
        <v>8.4453749999999998E-4</v>
      </c>
      <c r="AD43" s="94">
        <v>3.8493263999999998E-6</v>
      </c>
      <c r="AE43" s="37" t="s">
        <v>76</v>
      </c>
      <c r="AF43" s="13">
        <v>0</v>
      </c>
      <c r="AG43" s="37" t="s">
        <v>76</v>
      </c>
      <c r="AH43" s="13">
        <v>0</v>
      </c>
      <c r="AI43" s="93">
        <v>8.4453749999999998E-4</v>
      </c>
      <c r="AJ43" s="94">
        <v>3.8493263999999998E-6</v>
      </c>
      <c r="AK43" s="93">
        <v>256.48355787000003</v>
      </c>
      <c r="AL43" s="94">
        <v>1.533115327</v>
      </c>
      <c r="AM43" s="37" t="s">
        <v>76</v>
      </c>
      <c r="AN43" s="13">
        <v>0</v>
      </c>
      <c r="AO43" s="37" t="s">
        <v>76</v>
      </c>
      <c r="AP43" s="13">
        <v>0</v>
      </c>
      <c r="AQ43" s="37" t="s">
        <v>76</v>
      </c>
      <c r="AR43" s="13">
        <v>0</v>
      </c>
      <c r="AS43" s="93">
        <v>32.052999593000003</v>
      </c>
      <c r="AT43" s="94">
        <v>0.56449658030000005</v>
      </c>
      <c r="AU43" s="93">
        <v>33.028778903000003</v>
      </c>
      <c r="AV43" s="94">
        <v>0.2150298863</v>
      </c>
      <c r="AW43" s="93">
        <v>22.592975202000002</v>
      </c>
      <c r="AX43" s="94">
        <v>0.1135168532</v>
      </c>
      <c r="AY43" s="93">
        <v>6.6943313008000001</v>
      </c>
      <c r="AZ43" s="94">
        <v>3.3887379799999999E-2</v>
      </c>
      <c r="BA43" s="79">
        <v>3.7414724003000002</v>
      </c>
      <c r="BB43" s="13">
        <v>6.7625653399999999E-2</v>
      </c>
      <c r="BC43" s="93">
        <v>0</v>
      </c>
      <c r="BD43" s="86">
        <v>0</v>
      </c>
      <c r="BE43" s="93">
        <v>36.156417773999998</v>
      </c>
      <c r="BF43" s="94">
        <v>0.12609484430000001</v>
      </c>
      <c r="BG43" s="94">
        <v>4.8883733999999998E-3</v>
      </c>
      <c r="BH43" s="86">
        <v>0</v>
      </c>
      <c r="BI43" s="93">
        <v>0.56832543660000001</v>
      </c>
      <c r="BJ43" s="94">
        <v>3.5989997000000001E-3</v>
      </c>
      <c r="BK43" s="93">
        <v>7.0185600099999995E-2</v>
      </c>
      <c r="BL43" s="94">
        <v>2.915867E-4</v>
      </c>
      <c r="BM43" s="7" t="s">
        <v>76</v>
      </c>
      <c r="BN43" s="13">
        <v>0</v>
      </c>
      <c r="BO43" s="7" t="s">
        <v>76</v>
      </c>
      <c r="BP43" s="13">
        <v>0</v>
      </c>
      <c r="BQ43" s="93">
        <v>42.527666480999997</v>
      </c>
      <c r="BR43" s="94">
        <v>0.16740710140000001</v>
      </c>
      <c r="BS43" s="93">
        <v>0.32192751149999999</v>
      </c>
      <c r="BT43" s="94">
        <v>1.7579856999999999E-3</v>
      </c>
      <c r="BU43" s="7" t="s">
        <v>76</v>
      </c>
      <c r="BV43" s="13">
        <v>0</v>
      </c>
      <c r="BW43" s="7" t="s">
        <v>76</v>
      </c>
      <c r="BX43" s="13">
        <v>0</v>
      </c>
      <c r="BY43" s="7" t="s">
        <v>76</v>
      </c>
      <c r="BZ43" s="13">
        <v>0</v>
      </c>
      <c r="CA43" s="7" t="s">
        <v>76</v>
      </c>
      <c r="CB43" s="13">
        <v>0</v>
      </c>
      <c r="CC43" s="93">
        <v>0.31608896749999998</v>
      </c>
      <c r="CD43" s="94">
        <v>1.4420487E-3</v>
      </c>
      <c r="CE43" s="93">
        <v>1.1963144999999999E-3</v>
      </c>
      <c r="CF43" s="94">
        <v>1.2367E-5</v>
      </c>
      <c r="CG43" s="93">
        <v>2.9322660145000001</v>
      </c>
      <c r="CH43" s="94">
        <v>1.18292378E-2</v>
      </c>
      <c r="CI43" s="93">
        <v>2.7544643E-3</v>
      </c>
      <c r="CJ43" s="94">
        <v>3.0783800000000002E-5</v>
      </c>
      <c r="CK43" s="6" t="s">
        <v>76</v>
      </c>
      <c r="CL43" s="13">
        <v>0</v>
      </c>
      <c r="CM43" s="7" t="s">
        <v>76</v>
      </c>
      <c r="CN43" s="15">
        <v>0</v>
      </c>
      <c r="CO43" s="93">
        <v>26.131908373000002</v>
      </c>
      <c r="CP43" s="94">
        <v>0.15846997460000001</v>
      </c>
      <c r="CQ43" s="93">
        <v>7.6469935200000005E-2</v>
      </c>
      <c r="CR43" s="94">
        <v>5.5838589999999998E-4</v>
      </c>
      <c r="CS43" s="93">
        <v>22.431941120000001</v>
      </c>
      <c r="CT43" s="94">
        <v>6.7082656899999996E-2</v>
      </c>
      <c r="CU43" s="93">
        <v>0.12827439669999999</v>
      </c>
      <c r="CV43" s="88">
        <v>1.0873043E-3</v>
      </c>
      <c r="CW43" s="188">
        <v>2.9195177000000002E-3</v>
      </c>
      <c r="CX43" s="189">
        <v>4.3708451000000004E-3</v>
      </c>
      <c r="CY43" s="189">
        <v>4.7142801E-3</v>
      </c>
      <c r="CZ43" s="189">
        <v>4.8168051E-3</v>
      </c>
      <c r="DA43" s="189">
        <v>4.8385562999999996E-3</v>
      </c>
      <c r="DB43" s="189">
        <v>4.8504283999999996E-3</v>
      </c>
      <c r="DC43" s="189">
        <v>4.8552824E-3</v>
      </c>
      <c r="DD43" s="189">
        <v>4.8585358999999996E-3</v>
      </c>
      <c r="DE43" s="189">
        <v>4.8617892999999997E-3</v>
      </c>
      <c r="DF43" s="190">
        <v>4.8645512E-3</v>
      </c>
      <c r="DG43" s="112">
        <v>104.47659658000001</v>
      </c>
      <c r="DH43" s="13">
        <v>1.6901622596999999</v>
      </c>
      <c r="DI43" s="79">
        <v>72.185138006000003</v>
      </c>
      <c r="DJ43" s="13">
        <v>1.1705385748999999</v>
      </c>
      <c r="DK43" s="79">
        <v>49.103838512000003</v>
      </c>
      <c r="DL43" s="13">
        <v>0.80781369410000003</v>
      </c>
      <c r="DM43" s="79">
        <v>33.220323266999998</v>
      </c>
      <c r="DN43" s="13">
        <v>0.56029791699999998</v>
      </c>
      <c r="DO43" s="79">
        <v>22.588244463999999</v>
      </c>
      <c r="DP43" s="13">
        <v>0.3938059377</v>
      </c>
      <c r="DQ43" s="79">
        <v>15.497940656000001</v>
      </c>
      <c r="DR43" s="13">
        <v>0.28086316360000002</v>
      </c>
      <c r="DS43" s="79">
        <v>10.779887992000001</v>
      </c>
      <c r="DT43" s="13">
        <v>0.2035444575</v>
      </c>
      <c r="DU43" s="79">
        <v>7.6175731406000002</v>
      </c>
      <c r="DV43" s="13">
        <v>0.14993211510000001</v>
      </c>
      <c r="DW43" s="79">
        <v>5.4613906515000004</v>
      </c>
      <c r="DX43" s="13">
        <v>0.11169539169999999</v>
      </c>
      <c r="DY43" s="79">
        <v>3.9802989326999998</v>
      </c>
      <c r="DZ43" s="15">
        <v>8.4206838199999995E-2</v>
      </c>
    </row>
    <row r="44" spans="1:130" x14ac:dyDescent="0.2">
      <c r="A44" s="8">
        <v>3900</v>
      </c>
      <c r="B44" s="82">
        <v>5445</v>
      </c>
      <c r="C44" s="83">
        <v>1550.6239215999999</v>
      </c>
      <c r="D44" s="93">
        <v>3849.8658488999999</v>
      </c>
      <c r="E44" s="93">
        <v>33.647376659000003</v>
      </c>
      <c r="F44" s="94">
        <v>6.5864854400000006E-2</v>
      </c>
      <c r="G44" s="83">
        <v>5.1560501232</v>
      </c>
      <c r="H44" s="94">
        <v>3.1772598999999999E-3</v>
      </c>
      <c r="I44" s="93">
        <v>202.88822909999999</v>
      </c>
      <c r="J44" s="94">
        <v>2.4139580911</v>
      </c>
      <c r="K44" s="93">
        <v>304.48688179999999</v>
      </c>
      <c r="L44" s="94">
        <v>2.441695835</v>
      </c>
      <c r="M44" s="93">
        <v>1.1428924161</v>
      </c>
      <c r="N44" s="94">
        <v>7.6251701000000002E-3</v>
      </c>
      <c r="O44" s="37" t="s">
        <v>76</v>
      </c>
      <c r="P44" s="13">
        <v>0</v>
      </c>
      <c r="Q44" s="93">
        <v>45.274740080000001</v>
      </c>
      <c r="R44" s="94">
        <v>0.17578192170000001</v>
      </c>
      <c r="S44" s="37" t="s">
        <v>76</v>
      </c>
      <c r="T44" s="13">
        <v>0</v>
      </c>
      <c r="U44" s="37" t="s">
        <v>76</v>
      </c>
      <c r="V44" s="13">
        <v>0</v>
      </c>
      <c r="W44" s="93">
        <v>0.3670102898</v>
      </c>
      <c r="X44" s="94">
        <v>1.9875130999999998E-3</v>
      </c>
      <c r="Y44" s="93">
        <v>3.5963344871</v>
      </c>
      <c r="Z44" s="94">
        <v>8.0084150000000001E-4</v>
      </c>
      <c r="AA44" s="37" t="s">
        <v>76</v>
      </c>
      <c r="AB44" s="13">
        <v>0</v>
      </c>
      <c r="AC44" s="93">
        <v>8.3989440000000002E-4</v>
      </c>
      <c r="AD44" s="94">
        <v>3.8281635000000002E-6</v>
      </c>
      <c r="AE44" s="37" t="s">
        <v>76</v>
      </c>
      <c r="AF44" s="13">
        <v>0</v>
      </c>
      <c r="AG44" s="37" t="s">
        <v>76</v>
      </c>
      <c r="AH44" s="13">
        <v>0</v>
      </c>
      <c r="AI44" s="93">
        <v>8.3989440000000002E-4</v>
      </c>
      <c r="AJ44" s="94">
        <v>3.8281635000000002E-6</v>
      </c>
      <c r="AK44" s="93">
        <v>258.74501812</v>
      </c>
      <c r="AL44" s="94">
        <v>1.5426329561000001</v>
      </c>
      <c r="AM44" s="37" t="s">
        <v>76</v>
      </c>
      <c r="AN44" s="13">
        <v>0</v>
      </c>
      <c r="AO44" s="37" t="s">
        <v>76</v>
      </c>
      <c r="AP44" s="13">
        <v>0</v>
      </c>
      <c r="AQ44" s="37" t="s">
        <v>76</v>
      </c>
      <c r="AR44" s="13">
        <v>0</v>
      </c>
      <c r="AS44" s="93">
        <v>32.681113211000003</v>
      </c>
      <c r="AT44" s="94">
        <v>0.56938471160000004</v>
      </c>
      <c r="AU44" s="93">
        <v>33.510276374999997</v>
      </c>
      <c r="AV44" s="94">
        <v>0.21750688309999999</v>
      </c>
      <c r="AW44" s="93">
        <v>22.953638217999998</v>
      </c>
      <c r="AX44" s="94">
        <v>0.1148723276</v>
      </c>
      <c r="AY44" s="93">
        <v>6.7613967605000003</v>
      </c>
      <c r="AZ44" s="94">
        <v>3.4185136999999997E-2</v>
      </c>
      <c r="BA44" s="79">
        <v>3.7952413961999998</v>
      </c>
      <c r="BB44" s="13">
        <v>6.8449418499999998E-2</v>
      </c>
      <c r="BC44" s="93">
        <v>0</v>
      </c>
      <c r="BD44" s="86">
        <v>0</v>
      </c>
      <c r="BE44" s="93">
        <v>37.505769180999998</v>
      </c>
      <c r="BF44" s="94">
        <v>0.12915372759999999</v>
      </c>
      <c r="BG44" s="94">
        <v>5.2435321E-3</v>
      </c>
      <c r="BH44" s="86">
        <v>0</v>
      </c>
      <c r="BI44" s="93">
        <v>0.58787883159999998</v>
      </c>
      <c r="BJ44" s="94">
        <v>3.7006305000000001E-3</v>
      </c>
      <c r="BK44" s="93">
        <v>6.9788658200000006E-2</v>
      </c>
      <c r="BL44" s="94">
        <v>2.8992539999999999E-4</v>
      </c>
      <c r="BM44" s="7" t="s">
        <v>76</v>
      </c>
      <c r="BN44" s="13">
        <v>0</v>
      </c>
      <c r="BO44" s="7" t="s">
        <v>76</v>
      </c>
      <c r="BP44" s="13">
        <v>0</v>
      </c>
      <c r="BQ44" s="93">
        <v>43.698621576999997</v>
      </c>
      <c r="BR44" s="94">
        <v>0.16976868919999999</v>
      </c>
      <c r="BS44" s="93">
        <v>0.33130221230000001</v>
      </c>
      <c r="BT44" s="94">
        <v>1.7917192000000001E-3</v>
      </c>
      <c r="BU44" s="7" t="s">
        <v>76</v>
      </c>
      <c r="BV44" s="13">
        <v>0</v>
      </c>
      <c r="BW44" s="7" t="s">
        <v>76</v>
      </c>
      <c r="BX44" s="13">
        <v>0</v>
      </c>
      <c r="BY44" s="7" t="s">
        <v>76</v>
      </c>
      <c r="BZ44" s="13">
        <v>0</v>
      </c>
      <c r="CA44" s="7" t="s">
        <v>76</v>
      </c>
      <c r="CB44" s="13">
        <v>0</v>
      </c>
      <c r="CC44" s="93">
        <v>0.3176580383</v>
      </c>
      <c r="CD44" s="94">
        <v>1.4471416999999999E-3</v>
      </c>
      <c r="CE44" s="93">
        <v>1.1897495999999999E-3</v>
      </c>
      <c r="CF44" s="94">
        <v>1.22974E-5</v>
      </c>
      <c r="CG44" s="93">
        <v>3.0826656911999999</v>
      </c>
      <c r="CH44" s="94">
        <v>1.24325993E-2</v>
      </c>
      <c r="CI44" s="93">
        <v>3.0749807E-3</v>
      </c>
      <c r="CJ44" s="94">
        <v>3.28287E-5</v>
      </c>
      <c r="CK44" s="6" t="s">
        <v>76</v>
      </c>
      <c r="CL44" s="13">
        <v>0</v>
      </c>
      <c r="CM44" s="7" t="s">
        <v>76</v>
      </c>
      <c r="CN44" s="15">
        <v>0</v>
      </c>
      <c r="CO44" s="93">
        <v>26.652773598</v>
      </c>
      <c r="CP44" s="94">
        <v>0.1604983418</v>
      </c>
      <c r="CQ44" s="93">
        <v>7.8058954200000003E-2</v>
      </c>
      <c r="CR44" s="94">
        <v>5.6102590000000003E-4</v>
      </c>
      <c r="CS44" s="93">
        <v>23.162228716000001</v>
      </c>
      <c r="CT44" s="94">
        <v>6.8490090000000003E-2</v>
      </c>
      <c r="CU44" s="93">
        <v>0.13333701009999999</v>
      </c>
      <c r="CV44" s="88">
        <v>1.1047972999999999E-3</v>
      </c>
      <c r="CW44" s="188">
        <v>3.1124574E-3</v>
      </c>
      <c r="CX44" s="189">
        <v>4.6749877E-3</v>
      </c>
      <c r="CY44" s="189">
        <v>5.0532913999999998E-3</v>
      </c>
      <c r="CZ44" s="189">
        <v>5.1710630999999996E-3</v>
      </c>
      <c r="DA44" s="189">
        <v>5.1933483999999997E-3</v>
      </c>
      <c r="DB44" s="189">
        <v>5.2058093000000001E-3</v>
      </c>
      <c r="DC44" s="189">
        <v>5.2106371000000002E-3</v>
      </c>
      <c r="DD44" s="189">
        <v>5.2138723000000001E-3</v>
      </c>
      <c r="DE44" s="189">
        <v>5.2171075999999997E-3</v>
      </c>
      <c r="DF44" s="190">
        <v>5.2198540000000003E-3</v>
      </c>
      <c r="DG44" s="112">
        <v>105.62727819</v>
      </c>
      <c r="DH44" s="13">
        <v>1.7044384367000001</v>
      </c>
      <c r="DI44" s="79">
        <v>73.163119264000002</v>
      </c>
      <c r="DJ44" s="13">
        <v>1.1832736967999999</v>
      </c>
      <c r="DK44" s="79">
        <v>49.915085075</v>
      </c>
      <c r="DL44" s="13">
        <v>0.81880803339999997</v>
      </c>
      <c r="DM44" s="79">
        <v>33.880527504</v>
      </c>
      <c r="DN44" s="13">
        <v>0.56957552690000002</v>
      </c>
      <c r="DO44" s="79">
        <v>23.112379185000002</v>
      </c>
      <c r="DP44" s="13">
        <v>0.40145289480000002</v>
      </c>
      <c r="DQ44" s="79">
        <v>15.911947850000001</v>
      </c>
      <c r="DR44" s="13">
        <v>0.28709549420000002</v>
      </c>
      <c r="DS44" s="79">
        <v>11.107323151999999</v>
      </c>
      <c r="DT44" s="13">
        <v>0.2086184029</v>
      </c>
      <c r="DU44" s="79">
        <v>7.8783939352000001</v>
      </c>
      <c r="DV44" s="13">
        <v>0.15407146999999999</v>
      </c>
      <c r="DW44" s="79">
        <v>5.6683055283000003</v>
      </c>
      <c r="DX44" s="13">
        <v>0.1150592652</v>
      </c>
      <c r="DY44" s="79">
        <v>4.1458098348999997</v>
      </c>
      <c r="DZ44" s="15">
        <v>8.6955221099999994E-2</v>
      </c>
    </row>
    <row r="45" spans="1:130" x14ac:dyDescent="0.2">
      <c r="A45" s="8">
        <v>4000</v>
      </c>
      <c r="B45" s="82">
        <v>5243</v>
      </c>
      <c r="C45" s="83">
        <v>1570.5342744</v>
      </c>
      <c r="D45" s="93">
        <v>3949.5360910999998</v>
      </c>
      <c r="E45" s="93">
        <v>34.915590629</v>
      </c>
      <c r="F45" s="94">
        <v>6.7187410700000005E-2</v>
      </c>
      <c r="G45" s="83">
        <v>5.5999967155999997</v>
      </c>
      <c r="H45" s="94">
        <v>3.3954133E-3</v>
      </c>
      <c r="I45" s="93">
        <v>204.75639516000001</v>
      </c>
      <c r="J45" s="94">
        <v>2.4291026065999999</v>
      </c>
      <c r="K45" s="93">
        <v>310.42302355999999</v>
      </c>
      <c r="L45" s="94">
        <v>2.4751368689</v>
      </c>
      <c r="M45" s="93">
        <v>1.1851312178</v>
      </c>
      <c r="N45" s="94">
        <v>7.7748267999999997E-3</v>
      </c>
      <c r="O45" s="37" t="s">
        <v>76</v>
      </c>
      <c r="P45" s="13">
        <v>0</v>
      </c>
      <c r="Q45" s="93">
        <v>46.556154438999997</v>
      </c>
      <c r="R45" s="94">
        <v>0.17836464939999999</v>
      </c>
      <c r="S45" s="37" t="s">
        <v>76</v>
      </c>
      <c r="T45" s="13">
        <v>0</v>
      </c>
      <c r="U45" s="37" t="s">
        <v>76</v>
      </c>
      <c r="V45" s="13">
        <v>0</v>
      </c>
      <c r="W45" s="93">
        <v>0.38295525590000001</v>
      </c>
      <c r="X45" s="94">
        <v>2.0610082000000001E-3</v>
      </c>
      <c r="Y45" s="93">
        <v>3.7292045121999999</v>
      </c>
      <c r="Z45" s="94">
        <v>8.2216570000000005E-4</v>
      </c>
      <c r="AA45" s="37" t="s">
        <v>76</v>
      </c>
      <c r="AB45" s="13">
        <v>0</v>
      </c>
      <c r="AC45" s="93">
        <v>8.3551549999999995E-4</v>
      </c>
      <c r="AD45" s="94">
        <v>3.8082050000000002E-6</v>
      </c>
      <c r="AE45" s="37" t="s">
        <v>76</v>
      </c>
      <c r="AF45" s="13">
        <v>0</v>
      </c>
      <c r="AG45" s="37" t="s">
        <v>76</v>
      </c>
      <c r="AH45" s="13">
        <v>0</v>
      </c>
      <c r="AI45" s="93">
        <v>8.3551549999999995E-4</v>
      </c>
      <c r="AJ45" s="94">
        <v>3.8082050000000002E-6</v>
      </c>
      <c r="AK45" s="93">
        <v>260.91970877</v>
      </c>
      <c r="AL45" s="94">
        <v>1.5517778250000001</v>
      </c>
      <c r="AM45" s="37" t="s">
        <v>76</v>
      </c>
      <c r="AN45" s="13">
        <v>0</v>
      </c>
      <c r="AO45" s="37" t="s">
        <v>76</v>
      </c>
      <c r="AP45" s="13">
        <v>0</v>
      </c>
      <c r="AQ45" s="37" t="s">
        <v>76</v>
      </c>
      <c r="AR45" s="13">
        <v>0</v>
      </c>
      <c r="AS45" s="93">
        <v>33.332320963999997</v>
      </c>
      <c r="AT45" s="94">
        <v>0.57450190609999996</v>
      </c>
      <c r="AU45" s="93">
        <v>33.995142919999999</v>
      </c>
      <c r="AV45" s="94">
        <v>0.2198882264</v>
      </c>
      <c r="AW45" s="93">
        <v>23.303674442999998</v>
      </c>
      <c r="AX45" s="94">
        <v>0.1161867904</v>
      </c>
      <c r="AY45" s="93">
        <v>6.8372250783000004</v>
      </c>
      <c r="AZ45" s="94">
        <v>3.45073142E-2</v>
      </c>
      <c r="BA45" s="79">
        <v>3.8542433991</v>
      </c>
      <c r="BB45" s="13">
        <v>6.9194121799999994E-2</v>
      </c>
      <c r="BC45" s="93">
        <v>0</v>
      </c>
      <c r="BD45" s="86">
        <v>0</v>
      </c>
      <c r="BE45" s="93">
        <v>38.826383956000001</v>
      </c>
      <c r="BF45" s="94">
        <v>0.13212500020000001</v>
      </c>
      <c r="BG45" s="94">
        <v>5.6345611000000002E-3</v>
      </c>
      <c r="BH45" s="86">
        <v>0</v>
      </c>
      <c r="BI45" s="93">
        <v>0.62204170650000001</v>
      </c>
      <c r="BJ45" s="94">
        <v>3.8558973000000002E-3</v>
      </c>
      <c r="BK45" s="93">
        <v>7.0162356400000001E-2</v>
      </c>
      <c r="BL45" s="94">
        <v>2.9151360000000001E-4</v>
      </c>
      <c r="BM45" s="7" t="s">
        <v>76</v>
      </c>
      <c r="BN45" s="13">
        <v>0</v>
      </c>
      <c r="BO45" s="7" t="s">
        <v>76</v>
      </c>
      <c r="BP45" s="13">
        <v>0</v>
      </c>
      <c r="BQ45" s="93">
        <v>44.933024715000002</v>
      </c>
      <c r="BR45" s="94">
        <v>0.17220532829999999</v>
      </c>
      <c r="BS45" s="93">
        <v>0.33808692610000002</v>
      </c>
      <c r="BT45" s="94">
        <v>1.8433568E-3</v>
      </c>
      <c r="BU45" s="7" t="s">
        <v>76</v>
      </c>
      <c r="BV45" s="13">
        <v>0</v>
      </c>
      <c r="BW45" s="7" t="s">
        <v>76</v>
      </c>
      <c r="BX45" s="13">
        <v>0</v>
      </c>
      <c r="BY45" s="7" t="s">
        <v>76</v>
      </c>
      <c r="BZ45" s="13">
        <v>0</v>
      </c>
      <c r="CA45" s="7" t="s">
        <v>76</v>
      </c>
      <c r="CB45" s="13">
        <v>0</v>
      </c>
      <c r="CC45" s="93">
        <v>0.32961609089999999</v>
      </c>
      <c r="CD45" s="94">
        <v>1.4981255000000001E-3</v>
      </c>
      <c r="CE45" s="93">
        <v>1.1834303E-3</v>
      </c>
      <c r="CF45" s="94">
        <v>1.22325E-5</v>
      </c>
      <c r="CG45" s="93">
        <v>3.2118589078999999</v>
      </c>
      <c r="CH45" s="94">
        <v>1.301601E-2</v>
      </c>
      <c r="CI45" s="93">
        <v>3.1959998E-3</v>
      </c>
      <c r="CJ45" s="94">
        <v>3.3920700000000002E-5</v>
      </c>
      <c r="CK45" s="6" t="s">
        <v>76</v>
      </c>
      <c r="CL45" s="13">
        <v>0</v>
      </c>
      <c r="CM45" s="7" t="s">
        <v>76</v>
      </c>
      <c r="CN45" s="15">
        <v>0</v>
      </c>
      <c r="CO45" s="93">
        <v>27.195123121999998</v>
      </c>
      <c r="CP45" s="94">
        <v>0.16266100310000001</v>
      </c>
      <c r="CQ45" s="93">
        <v>7.8279453900000004E-2</v>
      </c>
      <c r="CR45" s="94">
        <v>5.6552939999999997E-4</v>
      </c>
      <c r="CS45" s="93">
        <v>23.926139451000001</v>
      </c>
      <c r="CT45" s="94">
        <v>6.99568203E-2</v>
      </c>
      <c r="CU45" s="93">
        <v>0.13395159870000001</v>
      </c>
      <c r="CV45" s="88">
        <v>1.1144776E-3</v>
      </c>
      <c r="CW45" s="188">
        <v>3.3235744999999999E-3</v>
      </c>
      <c r="CX45" s="189">
        <v>5.0063757000000002E-3</v>
      </c>
      <c r="CY45" s="189">
        <v>5.4230564999999996E-3</v>
      </c>
      <c r="CZ45" s="189">
        <v>5.5502314000000002E-3</v>
      </c>
      <c r="DA45" s="189">
        <v>5.5768683000000001E-3</v>
      </c>
      <c r="DB45" s="189">
        <v>5.5918182999999998E-3</v>
      </c>
      <c r="DC45" s="189">
        <v>5.5986917999999997E-3</v>
      </c>
      <c r="DD45" s="189">
        <v>5.6034941999999997E-3</v>
      </c>
      <c r="DE45" s="189">
        <v>5.6082965000000002E-3</v>
      </c>
      <c r="DF45" s="190">
        <v>5.6110277999999996E-3</v>
      </c>
      <c r="DG45" s="112">
        <v>106.83395409000001</v>
      </c>
      <c r="DH45" s="13">
        <v>1.7185545221</v>
      </c>
      <c r="DI45" s="79">
        <v>74.193125824999996</v>
      </c>
      <c r="DJ45" s="13">
        <v>1.1958634259000001</v>
      </c>
      <c r="DK45" s="79">
        <v>50.768646895000003</v>
      </c>
      <c r="DL45" s="13">
        <v>0.82963744880000001</v>
      </c>
      <c r="DM45" s="79">
        <v>34.577406255</v>
      </c>
      <c r="DN45" s="13">
        <v>0.57871056300000001</v>
      </c>
      <c r="DO45" s="79">
        <v>23.673520103000001</v>
      </c>
      <c r="DP45" s="13">
        <v>0.40905486680000003</v>
      </c>
      <c r="DQ45" s="79">
        <v>16.359676243999999</v>
      </c>
      <c r="DR45" s="13">
        <v>0.2933705251</v>
      </c>
      <c r="DS45" s="79">
        <v>11.462371783</v>
      </c>
      <c r="DT45" s="13">
        <v>0.21374006819999999</v>
      </c>
      <c r="DU45" s="79">
        <v>8.1580722975000004</v>
      </c>
      <c r="DV45" s="13">
        <v>0.15822524769999999</v>
      </c>
      <c r="DW45" s="79">
        <v>5.8876893071999996</v>
      </c>
      <c r="DX45" s="13">
        <v>0.1184384141</v>
      </c>
      <c r="DY45" s="79">
        <v>4.3194266155000003</v>
      </c>
      <c r="DZ45" s="15">
        <v>8.9722808700000004E-2</v>
      </c>
    </row>
    <row r="46" spans="1:130" x14ac:dyDescent="0.2">
      <c r="A46" s="8">
        <v>4100</v>
      </c>
      <c r="B46" s="82">
        <v>4961</v>
      </c>
      <c r="C46" s="83">
        <v>1590.0375455000001</v>
      </c>
      <c r="D46" s="93">
        <v>4049.4407342</v>
      </c>
      <c r="E46" s="93">
        <v>36.224833963999998</v>
      </c>
      <c r="F46" s="94">
        <v>6.8567892300000002E-2</v>
      </c>
      <c r="G46" s="83">
        <v>6.0442138674999999</v>
      </c>
      <c r="H46" s="94">
        <v>3.6092639E-3</v>
      </c>
      <c r="I46" s="93">
        <v>206.51526127</v>
      </c>
      <c r="J46" s="94">
        <v>2.4432800444999998</v>
      </c>
      <c r="K46" s="93">
        <v>316.12514928000002</v>
      </c>
      <c r="L46" s="94">
        <v>2.5062467702000002</v>
      </c>
      <c r="M46" s="93">
        <v>1.2403645887000001</v>
      </c>
      <c r="N46" s="94">
        <v>8.0823301999999996E-3</v>
      </c>
      <c r="O46" s="37" t="s">
        <v>76</v>
      </c>
      <c r="P46" s="13">
        <v>0</v>
      </c>
      <c r="Q46" s="93">
        <v>47.671922748</v>
      </c>
      <c r="R46" s="94">
        <v>0.1806488856</v>
      </c>
      <c r="S46" s="37" t="s">
        <v>76</v>
      </c>
      <c r="T46" s="13">
        <v>0</v>
      </c>
      <c r="U46" s="37" t="s">
        <v>76</v>
      </c>
      <c r="V46" s="13">
        <v>0</v>
      </c>
      <c r="W46" s="93">
        <v>0.39203055209999998</v>
      </c>
      <c r="X46" s="94">
        <v>2.0826094000000002E-3</v>
      </c>
      <c r="Y46" s="93">
        <v>3.8355496447999999</v>
      </c>
      <c r="Z46" s="94">
        <v>8.2906120000000004E-4</v>
      </c>
      <c r="AA46" s="37" t="s">
        <v>76</v>
      </c>
      <c r="AB46" s="13">
        <v>0</v>
      </c>
      <c r="AC46" s="93">
        <v>8.3109000000000004E-4</v>
      </c>
      <c r="AD46" s="94">
        <v>3.7880341E-6</v>
      </c>
      <c r="AE46" s="37" t="s">
        <v>76</v>
      </c>
      <c r="AF46" s="13">
        <v>0</v>
      </c>
      <c r="AG46" s="37" t="s">
        <v>76</v>
      </c>
      <c r="AH46" s="13">
        <v>0</v>
      </c>
      <c r="AI46" s="93">
        <v>8.3109000000000004E-4</v>
      </c>
      <c r="AJ46" s="94">
        <v>3.7880341E-6</v>
      </c>
      <c r="AK46" s="93">
        <v>263.10182344999998</v>
      </c>
      <c r="AL46" s="94">
        <v>1.5606005135000001</v>
      </c>
      <c r="AM46" s="37" t="s">
        <v>76</v>
      </c>
      <c r="AN46" s="13">
        <v>0</v>
      </c>
      <c r="AO46" s="37" t="s">
        <v>76</v>
      </c>
      <c r="AP46" s="13">
        <v>0</v>
      </c>
      <c r="AQ46" s="37" t="s">
        <v>76</v>
      </c>
      <c r="AR46" s="13">
        <v>0</v>
      </c>
      <c r="AS46" s="93">
        <v>33.915801440000003</v>
      </c>
      <c r="AT46" s="94">
        <v>0.57885313910000002</v>
      </c>
      <c r="AU46" s="93">
        <v>34.484293182999998</v>
      </c>
      <c r="AV46" s="94">
        <v>0.2222377455</v>
      </c>
      <c r="AW46" s="93">
        <v>23.675339303000001</v>
      </c>
      <c r="AX46" s="94">
        <v>0.11753195600000001</v>
      </c>
      <c r="AY46" s="93">
        <v>6.8952266697000004</v>
      </c>
      <c r="AZ46" s="94">
        <v>3.4776940200000002E-2</v>
      </c>
      <c r="BA46" s="79">
        <v>3.9137272107999999</v>
      </c>
      <c r="BB46" s="13">
        <v>6.9928849400000007E-2</v>
      </c>
      <c r="BC46" s="93">
        <v>0</v>
      </c>
      <c r="BD46" s="86">
        <v>0</v>
      </c>
      <c r="BE46" s="93">
        <v>40.130818576999999</v>
      </c>
      <c r="BF46" s="94">
        <v>0.13496009440000001</v>
      </c>
      <c r="BG46" s="94">
        <v>6.0136412000000002E-3</v>
      </c>
      <c r="BH46" s="86">
        <v>0</v>
      </c>
      <c r="BI46" s="93">
        <v>0.654654709</v>
      </c>
      <c r="BJ46" s="94">
        <v>4.0246031000000003E-3</v>
      </c>
      <c r="BK46" s="93">
        <v>7.2272946599999999E-2</v>
      </c>
      <c r="BL46" s="94">
        <v>2.9923059999999998E-4</v>
      </c>
      <c r="BM46" s="7" t="s">
        <v>76</v>
      </c>
      <c r="BN46" s="13">
        <v>0</v>
      </c>
      <c r="BO46" s="7" t="s">
        <v>76</v>
      </c>
      <c r="BP46" s="13">
        <v>0</v>
      </c>
      <c r="BQ46" s="93">
        <v>46.006628337999999</v>
      </c>
      <c r="BR46" s="94">
        <v>0.1743548795</v>
      </c>
      <c r="BS46" s="93">
        <v>0.34619893410000002</v>
      </c>
      <c r="BT46" s="94">
        <v>1.8827735000000001E-3</v>
      </c>
      <c r="BU46" s="7" t="s">
        <v>76</v>
      </c>
      <c r="BV46" s="13">
        <v>0</v>
      </c>
      <c r="BW46" s="7" t="s">
        <v>76</v>
      </c>
      <c r="BX46" s="13">
        <v>0</v>
      </c>
      <c r="BY46" s="7" t="s">
        <v>76</v>
      </c>
      <c r="BZ46" s="13">
        <v>0</v>
      </c>
      <c r="CA46" s="7" t="s">
        <v>76</v>
      </c>
      <c r="CB46" s="13">
        <v>0</v>
      </c>
      <c r="CC46" s="93">
        <v>0.3326514874</v>
      </c>
      <c r="CD46" s="94">
        <v>1.5060952999999999E-3</v>
      </c>
      <c r="CE46" s="93">
        <v>1.1772893999999999E-3</v>
      </c>
      <c r="CF46" s="94">
        <v>1.2168799999999999E-5</v>
      </c>
      <c r="CG46" s="93">
        <v>3.3144098039999998</v>
      </c>
      <c r="CH46" s="94">
        <v>1.3322607199999999E-2</v>
      </c>
      <c r="CI46" s="93">
        <v>3.1802496000000002E-3</v>
      </c>
      <c r="CJ46" s="94">
        <v>3.3744700000000002E-5</v>
      </c>
      <c r="CK46" s="6" t="s">
        <v>76</v>
      </c>
      <c r="CL46" s="13">
        <v>0</v>
      </c>
      <c r="CM46" s="7" t="s">
        <v>76</v>
      </c>
      <c r="CN46" s="15">
        <v>0</v>
      </c>
      <c r="CO46" s="93">
        <v>27.688142333999998</v>
      </c>
      <c r="CP46" s="94">
        <v>0.1645151721</v>
      </c>
      <c r="CQ46" s="93">
        <v>7.8063853000000002E-2</v>
      </c>
      <c r="CR46" s="94">
        <v>5.7151999999999995E-4</v>
      </c>
      <c r="CS46" s="93">
        <v>24.702345912999998</v>
      </c>
      <c r="CT46" s="94">
        <v>7.14283577E-2</v>
      </c>
      <c r="CU46" s="93">
        <v>0.13589941699999999</v>
      </c>
      <c r="CV46" s="88">
        <v>1.1318963E-3</v>
      </c>
      <c r="CW46" s="188">
        <v>3.5308011000000001E-3</v>
      </c>
      <c r="CX46" s="189">
        <v>5.3404919999999996E-3</v>
      </c>
      <c r="CY46" s="189">
        <v>5.7913651999999998E-3</v>
      </c>
      <c r="CZ46" s="189">
        <v>5.9222835000000001E-3</v>
      </c>
      <c r="DA46" s="189">
        <v>5.9520340999999997E-3</v>
      </c>
      <c r="DB46" s="189">
        <v>5.9701564999999996E-3</v>
      </c>
      <c r="DC46" s="189">
        <v>5.9774818E-3</v>
      </c>
      <c r="DD46" s="189">
        <v>5.9827450000000003E-3</v>
      </c>
      <c r="DE46" s="189">
        <v>5.9875244999999999E-3</v>
      </c>
      <c r="DF46" s="190">
        <v>5.9902419000000002E-3</v>
      </c>
      <c r="DG46" s="112">
        <v>107.96222253000001</v>
      </c>
      <c r="DH46" s="13">
        <v>1.7317218834000001</v>
      </c>
      <c r="DI46" s="79">
        <v>75.157679544000004</v>
      </c>
      <c r="DJ46" s="13">
        <v>1.2075797340000001</v>
      </c>
      <c r="DK46" s="79">
        <v>51.564910220000002</v>
      </c>
      <c r="DL46" s="13">
        <v>0.83966465580000005</v>
      </c>
      <c r="DM46" s="79">
        <v>35.219555876000001</v>
      </c>
      <c r="DN46" s="13">
        <v>0.58706515829999995</v>
      </c>
      <c r="DO46" s="79">
        <v>24.185962506999999</v>
      </c>
      <c r="DP46" s="13">
        <v>0.4159189452</v>
      </c>
      <c r="DQ46" s="79">
        <v>16.763716153000001</v>
      </c>
      <c r="DR46" s="13">
        <v>0.29892111739999999</v>
      </c>
      <c r="DS46" s="79">
        <v>11.778454813</v>
      </c>
      <c r="DT46" s="13">
        <v>0.21820590910000001</v>
      </c>
      <c r="DU46" s="79">
        <v>8.4052635746999993</v>
      </c>
      <c r="DV46" s="13">
        <v>0.1618193842</v>
      </c>
      <c r="DW46" s="79">
        <v>6.0824037075000001</v>
      </c>
      <c r="DX46" s="13">
        <v>0.12134038060000001</v>
      </c>
      <c r="DY46" s="79">
        <v>4.4748840672999997</v>
      </c>
      <c r="DZ46" s="15">
        <v>9.2087505900000005E-2</v>
      </c>
    </row>
    <row r="47" spans="1:130" x14ac:dyDescent="0.2">
      <c r="A47" s="8">
        <v>4200</v>
      </c>
      <c r="B47" s="82">
        <v>4986</v>
      </c>
      <c r="C47" s="83">
        <v>1609.1519324000001</v>
      </c>
      <c r="D47" s="93">
        <v>4149.9311862000004</v>
      </c>
      <c r="E47" s="93">
        <v>37.466760119</v>
      </c>
      <c r="F47" s="94">
        <v>6.9757679899999994E-2</v>
      </c>
      <c r="G47" s="83">
        <v>6.4175008545000001</v>
      </c>
      <c r="H47" s="94">
        <v>3.7912783E-3</v>
      </c>
      <c r="I47" s="93">
        <v>208.26289224000001</v>
      </c>
      <c r="J47" s="94">
        <v>2.4568242149000001</v>
      </c>
      <c r="K47" s="93">
        <v>321.87817680000001</v>
      </c>
      <c r="L47" s="94">
        <v>2.5373199786999998</v>
      </c>
      <c r="M47" s="93">
        <v>1.2739617421</v>
      </c>
      <c r="N47" s="94">
        <v>8.3009207000000005E-3</v>
      </c>
      <c r="O47" s="37" t="s">
        <v>76</v>
      </c>
      <c r="P47" s="13">
        <v>0</v>
      </c>
      <c r="Q47" s="93">
        <v>48.975152127000001</v>
      </c>
      <c r="R47" s="94">
        <v>0.18309249590000001</v>
      </c>
      <c r="S47" s="37" t="s">
        <v>76</v>
      </c>
      <c r="T47" s="13">
        <v>0</v>
      </c>
      <c r="U47" s="37" t="s">
        <v>76</v>
      </c>
      <c r="V47" s="13">
        <v>0</v>
      </c>
      <c r="W47" s="93">
        <v>0.4012879962</v>
      </c>
      <c r="X47" s="94">
        <v>2.1705176000000001E-3</v>
      </c>
      <c r="Y47" s="93">
        <v>3.9619344935999998</v>
      </c>
      <c r="Z47" s="94">
        <v>8.5038710000000001E-4</v>
      </c>
      <c r="AA47" s="37" t="s">
        <v>76</v>
      </c>
      <c r="AB47" s="13">
        <v>0</v>
      </c>
      <c r="AC47" s="93">
        <v>1.0224425999999999E-3</v>
      </c>
      <c r="AD47" s="94">
        <v>4.3966082999999996E-6</v>
      </c>
      <c r="AE47" s="37" t="s">
        <v>76</v>
      </c>
      <c r="AF47" s="13">
        <v>0</v>
      </c>
      <c r="AG47" s="37" t="s">
        <v>76</v>
      </c>
      <c r="AH47" s="13">
        <v>0</v>
      </c>
      <c r="AI47" s="93">
        <v>1.0224425999999999E-3</v>
      </c>
      <c r="AJ47" s="94">
        <v>4.3966082999999996E-6</v>
      </c>
      <c r="AK47" s="93">
        <v>265.19625296999999</v>
      </c>
      <c r="AL47" s="94">
        <v>1.5690004234999999</v>
      </c>
      <c r="AM47" s="37" t="s">
        <v>76</v>
      </c>
      <c r="AN47" s="13">
        <v>0</v>
      </c>
      <c r="AO47" s="37" t="s">
        <v>76</v>
      </c>
      <c r="AP47" s="13">
        <v>0</v>
      </c>
      <c r="AQ47" s="37" t="s">
        <v>76</v>
      </c>
      <c r="AR47" s="13">
        <v>0</v>
      </c>
      <c r="AS47" s="93">
        <v>34.528577382999998</v>
      </c>
      <c r="AT47" s="94">
        <v>0.58330934889999997</v>
      </c>
      <c r="AU47" s="93">
        <v>34.988114224</v>
      </c>
      <c r="AV47" s="94">
        <v>0.2245827202</v>
      </c>
      <c r="AW47" s="93">
        <v>24.053078075999998</v>
      </c>
      <c r="AX47" s="94">
        <v>0.118934478</v>
      </c>
      <c r="AY47" s="93">
        <v>6.9482632437999996</v>
      </c>
      <c r="AZ47" s="94">
        <v>3.5024473100000002E-2</v>
      </c>
      <c r="BA47" s="79">
        <v>3.9867729041</v>
      </c>
      <c r="BB47" s="13">
        <v>7.0623769099999997E-2</v>
      </c>
      <c r="BC47" s="93">
        <v>0</v>
      </c>
      <c r="BD47" s="86">
        <v>0</v>
      </c>
      <c r="BE47" s="93">
        <v>41.498100831000002</v>
      </c>
      <c r="BF47" s="94">
        <v>0.13794512070000001</v>
      </c>
      <c r="BG47" s="94">
        <v>6.3446967999999998E-3</v>
      </c>
      <c r="BH47" s="86">
        <v>0</v>
      </c>
      <c r="BI47" s="93">
        <v>0.67703520419999996</v>
      </c>
      <c r="BJ47" s="94">
        <v>4.1550854999999999E-3</v>
      </c>
      <c r="BK47" s="93">
        <v>7.18990937E-2</v>
      </c>
      <c r="BL47" s="94">
        <v>2.9831029999999998E-4</v>
      </c>
      <c r="BM47" s="7" t="s">
        <v>76</v>
      </c>
      <c r="BN47" s="13">
        <v>0</v>
      </c>
      <c r="BO47" s="7" t="s">
        <v>76</v>
      </c>
      <c r="BP47" s="13">
        <v>0</v>
      </c>
      <c r="BQ47" s="93">
        <v>47.245780345</v>
      </c>
      <c r="BR47" s="94">
        <v>0.1766417488</v>
      </c>
      <c r="BS47" s="93">
        <v>0.36269734679999999</v>
      </c>
      <c r="BT47" s="94">
        <v>1.9418297E-3</v>
      </c>
      <c r="BU47" s="7" t="s">
        <v>76</v>
      </c>
      <c r="BV47" s="13">
        <v>0</v>
      </c>
      <c r="BW47" s="7" t="s">
        <v>76</v>
      </c>
      <c r="BX47" s="13">
        <v>0</v>
      </c>
      <c r="BY47" s="7" t="s">
        <v>76</v>
      </c>
      <c r="BZ47" s="13">
        <v>0</v>
      </c>
      <c r="CA47" s="7" t="s">
        <v>76</v>
      </c>
      <c r="CB47" s="13">
        <v>0</v>
      </c>
      <c r="CC47" s="93">
        <v>0.33939493799999998</v>
      </c>
      <c r="CD47" s="94">
        <v>1.5606503999999999E-3</v>
      </c>
      <c r="CE47" s="93">
        <v>1.1715814E-3</v>
      </c>
      <c r="CF47" s="94">
        <v>1.2109299999999999E-5</v>
      </c>
      <c r="CG47" s="93">
        <v>3.4221318666</v>
      </c>
      <c r="CH47" s="94">
        <v>1.3643809099999999E-2</v>
      </c>
      <c r="CI47" s="93">
        <v>3.2937912E-3</v>
      </c>
      <c r="CJ47" s="94">
        <v>3.4202999999999998E-5</v>
      </c>
      <c r="CK47" s="6" t="s">
        <v>76</v>
      </c>
      <c r="CL47" s="13">
        <v>0</v>
      </c>
      <c r="CM47" s="7" t="s">
        <v>76</v>
      </c>
      <c r="CN47" s="15">
        <v>0</v>
      </c>
      <c r="CO47" s="93">
        <v>28.194225985999999</v>
      </c>
      <c r="CP47" s="94">
        <v>0.16635097300000001</v>
      </c>
      <c r="CQ47" s="93">
        <v>7.7853313100000002E-2</v>
      </c>
      <c r="CR47" s="94">
        <v>5.7205690000000002E-4</v>
      </c>
      <c r="CS47" s="93">
        <v>25.447749498</v>
      </c>
      <c r="CT47" s="94">
        <v>7.2797027E-2</v>
      </c>
      <c r="CU47" s="93">
        <v>0.1371103008</v>
      </c>
      <c r="CV47" s="88">
        <v>1.1451562000000001E-3</v>
      </c>
      <c r="CW47" s="188">
        <v>3.7091174000000002E-3</v>
      </c>
      <c r="CX47" s="189">
        <v>5.6210859000000004E-3</v>
      </c>
      <c r="CY47" s="189">
        <v>6.1100766999999997E-3</v>
      </c>
      <c r="CZ47" s="189">
        <v>6.2525274E-3</v>
      </c>
      <c r="DA47" s="189">
        <v>6.2827724E-3</v>
      </c>
      <c r="DB47" s="189">
        <v>6.3014450000000001E-3</v>
      </c>
      <c r="DC47" s="189">
        <v>6.3087335000000001E-3</v>
      </c>
      <c r="DD47" s="189">
        <v>6.3139700000000003E-3</v>
      </c>
      <c r="DE47" s="189">
        <v>6.3187254E-3</v>
      </c>
      <c r="DF47" s="190">
        <v>6.3214287999999999E-3</v>
      </c>
      <c r="DG47" s="112">
        <v>109.07546484</v>
      </c>
      <c r="DH47" s="13">
        <v>1.7442912608000001</v>
      </c>
      <c r="DI47" s="79">
        <v>76.106457425000002</v>
      </c>
      <c r="DJ47" s="13">
        <v>1.2187601229</v>
      </c>
      <c r="DK47" s="79">
        <v>52.348162360000003</v>
      </c>
      <c r="DL47" s="13">
        <v>0.8492770462</v>
      </c>
      <c r="DM47" s="79">
        <v>35.855347881999997</v>
      </c>
      <c r="DN47" s="13">
        <v>0.59517420210000005</v>
      </c>
      <c r="DO47" s="79">
        <v>24.69145327</v>
      </c>
      <c r="DP47" s="13">
        <v>0.42262182339999999</v>
      </c>
      <c r="DQ47" s="79">
        <v>17.162083899999999</v>
      </c>
      <c r="DR47" s="13">
        <v>0.30441544170000001</v>
      </c>
      <c r="DS47" s="79">
        <v>12.089685172999999</v>
      </c>
      <c r="DT47" s="13">
        <v>0.22268938660000001</v>
      </c>
      <c r="DU47" s="79">
        <v>8.6447932173000002</v>
      </c>
      <c r="DV47" s="13">
        <v>0.1654442606</v>
      </c>
      <c r="DW47" s="79">
        <v>6.2697280423999997</v>
      </c>
      <c r="DX47" s="13">
        <v>0.1242891931</v>
      </c>
      <c r="DY47" s="79">
        <v>4.6246446147000002</v>
      </c>
      <c r="DZ47" s="15">
        <v>9.4513623800000002E-2</v>
      </c>
    </row>
    <row r="48" spans="1:130" x14ac:dyDescent="0.2">
      <c r="A48" s="8">
        <v>4300</v>
      </c>
      <c r="B48" s="82">
        <v>4784</v>
      </c>
      <c r="C48" s="83">
        <v>1627.8822349</v>
      </c>
      <c r="D48" s="93">
        <v>4250.0975979000004</v>
      </c>
      <c r="E48" s="93">
        <v>38.684957887000003</v>
      </c>
      <c r="F48" s="94">
        <v>7.1020687900000004E-2</v>
      </c>
      <c r="G48" s="83">
        <v>6.8638230216</v>
      </c>
      <c r="H48" s="94">
        <v>3.9881129000000001E-3</v>
      </c>
      <c r="I48" s="93">
        <v>210.08530203999999</v>
      </c>
      <c r="J48" s="94">
        <v>2.4708410643000001</v>
      </c>
      <c r="K48" s="93">
        <v>327.77702156999999</v>
      </c>
      <c r="L48" s="94">
        <v>2.5685691729000002</v>
      </c>
      <c r="M48" s="93">
        <v>1.3060368516</v>
      </c>
      <c r="N48" s="94">
        <v>8.4968826999999997E-3</v>
      </c>
      <c r="O48" s="37" t="s">
        <v>76</v>
      </c>
      <c r="P48" s="13">
        <v>0</v>
      </c>
      <c r="Q48" s="93">
        <v>50.198851443000002</v>
      </c>
      <c r="R48" s="94">
        <v>0.18542356600000001</v>
      </c>
      <c r="S48" s="37" t="s">
        <v>76</v>
      </c>
      <c r="T48" s="13">
        <v>0</v>
      </c>
      <c r="U48" s="37" t="s">
        <v>76</v>
      </c>
      <c r="V48" s="13">
        <v>0</v>
      </c>
      <c r="W48" s="93">
        <v>0.40277654810000002</v>
      </c>
      <c r="X48" s="94">
        <v>2.1774190999999999E-3</v>
      </c>
      <c r="Y48" s="93">
        <v>4.0693821348999997</v>
      </c>
      <c r="Z48" s="94">
        <v>8.9715710000000002E-4</v>
      </c>
      <c r="AA48" s="37" t="s">
        <v>76</v>
      </c>
      <c r="AB48" s="13">
        <v>0</v>
      </c>
      <c r="AC48" s="93">
        <v>1.0178222999999999E-3</v>
      </c>
      <c r="AD48" s="94">
        <v>4.3767406999999998E-6</v>
      </c>
      <c r="AE48" s="37" t="s">
        <v>76</v>
      </c>
      <c r="AF48" s="13">
        <v>0</v>
      </c>
      <c r="AG48" s="37" t="s">
        <v>76</v>
      </c>
      <c r="AH48" s="13">
        <v>0</v>
      </c>
      <c r="AI48" s="93">
        <v>1.0178222999999999E-3</v>
      </c>
      <c r="AJ48" s="94">
        <v>4.3767406999999998E-6</v>
      </c>
      <c r="AK48" s="93">
        <v>267.30574013</v>
      </c>
      <c r="AL48" s="94">
        <v>1.5773806732</v>
      </c>
      <c r="AM48" s="37" t="s">
        <v>76</v>
      </c>
      <c r="AN48" s="13">
        <v>0</v>
      </c>
      <c r="AO48" s="37" t="s">
        <v>76</v>
      </c>
      <c r="AP48" s="13">
        <v>0</v>
      </c>
      <c r="AQ48" s="37" t="s">
        <v>76</v>
      </c>
      <c r="AR48" s="13">
        <v>0</v>
      </c>
      <c r="AS48" s="93">
        <v>35.207915247999999</v>
      </c>
      <c r="AT48" s="94">
        <v>0.58809380190000005</v>
      </c>
      <c r="AU48" s="93">
        <v>35.443041143000002</v>
      </c>
      <c r="AV48" s="94">
        <v>0.22668730579999999</v>
      </c>
      <c r="AW48" s="93">
        <v>24.385774305999998</v>
      </c>
      <c r="AX48" s="94">
        <v>0.1200651486</v>
      </c>
      <c r="AY48" s="93">
        <v>6.9967073443999999</v>
      </c>
      <c r="AZ48" s="94">
        <v>3.5279357999999997E-2</v>
      </c>
      <c r="BA48" s="79">
        <v>4.0605594931000004</v>
      </c>
      <c r="BB48" s="13">
        <v>7.1342799200000001E-2</v>
      </c>
      <c r="BC48" s="93">
        <v>0</v>
      </c>
      <c r="BD48" s="86">
        <v>0</v>
      </c>
      <c r="BE48" s="93">
        <v>42.963494549000004</v>
      </c>
      <c r="BF48" s="94">
        <v>0.1410321973</v>
      </c>
      <c r="BG48" s="94">
        <v>6.6765506999999997E-3</v>
      </c>
      <c r="BH48" s="86">
        <v>0</v>
      </c>
      <c r="BI48" s="93">
        <v>0.68609423530000002</v>
      </c>
      <c r="BJ48" s="94">
        <v>4.2018612000000004E-3</v>
      </c>
      <c r="BK48" s="93">
        <v>7.1754901499999996E-2</v>
      </c>
      <c r="BL48" s="94">
        <v>2.9746219999999998E-4</v>
      </c>
      <c r="BM48" s="7" t="s">
        <v>76</v>
      </c>
      <c r="BN48" s="13">
        <v>0</v>
      </c>
      <c r="BO48" s="7" t="s">
        <v>76</v>
      </c>
      <c r="BP48" s="13">
        <v>0</v>
      </c>
      <c r="BQ48" s="93">
        <v>48.422245722</v>
      </c>
      <c r="BR48" s="94">
        <v>0.17885763230000001</v>
      </c>
      <c r="BS48" s="93">
        <v>0.37402966259999998</v>
      </c>
      <c r="BT48" s="94">
        <v>1.9798418999999999E-3</v>
      </c>
      <c r="BU48" s="7" t="s">
        <v>76</v>
      </c>
      <c r="BV48" s="13">
        <v>0</v>
      </c>
      <c r="BW48" s="7" t="s">
        <v>76</v>
      </c>
      <c r="BX48" s="13">
        <v>0</v>
      </c>
      <c r="BY48" s="7" t="s">
        <v>76</v>
      </c>
      <c r="BZ48" s="13">
        <v>0</v>
      </c>
      <c r="CA48" s="7" t="s">
        <v>76</v>
      </c>
      <c r="CB48" s="13">
        <v>0</v>
      </c>
      <c r="CC48" s="93">
        <v>0.34117977459999999</v>
      </c>
      <c r="CD48" s="94">
        <v>1.570564E-3</v>
      </c>
      <c r="CE48" s="93">
        <v>1.1653848000000001E-3</v>
      </c>
      <c r="CF48" s="94">
        <v>1.20441E-5</v>
      </c>
      <c r="CG48" s="93">
        <v>3.5247978735999999</v>
      </c>
      <c r="CH48" s="94">
        <v>1.4001690299999999E-2</v>
      </c>
      <c r="CI48" s="93">
        <v>3.3139770000000001E-3</v>
      </c>
      <c r="CJ48" s="94">
        <v>3.4656300000000002E-5</v>
      </c>
      <c r="CK48" s="6" t="s">
        <v>76</v>
      </c>
      <c r="CL48" s="13">
        <v>0</v>
      </c>
      <c r="CM48" s="7" t="s">
        <v>76</v>
      </c>
      <c r="CN48" s="15">
        <v>0</v>
      </c>
      <c r="CO48" s="93">
        <v>28.764018769</v>
      </c>
      <c r="CP48" s="94">
        <v>0.16844607710000001</v>
      </c>
      <c r="CQ48" s="93">
        <v>7.9924794300000004E-2</v>
      </c>
      <c r="CR48" s="94">
        <v>5.8168499999999997E-4</v>
      </c>
      <c r="CS48" s="93">
        <v>26.255677808000002</v>
      </c>
      <c r="CT48" s="94">
        <v>7.4260326799999998E-2</v>
      </c>
      <c r="CU48" s="93">
        <v>0.13884777549999999</v>
      </c>
      <c r="CV48" s="88">
        <v>1.1735510000000001E-3</v>
      </c>
      <c r="CW48" s="188">
        <v>3.9026348000000002E-3</v>
      </c>
      <c r="CX48" s="189">
        <v>5.9199821999999999E-3</v>
      </c>
      <c r="CY48" s="189">
        <v>6.4361169999999999E-3</v>
      </c>
      <c r="CZ48" s="189">
        <v>6.5827005000000001E-3</v>
      </c>
      <c r="DA48" s="189">
        <v>6.6138641000000001E-3</v>
      </c>
      <c r="DB48" s="189">
        <v>6.6335148000000003E-3</v>
      </c>
      <c r="DC48" s="189">
        <v>6.6407714999999999E-3</v>
      </c>
      <c r="DD48" s="189">
        <v>6.6459845000000004E-3</v>
      </c>
      <c r="DE48" s="189">
        <v>6.6507188000000002E-3</v>
      </c>
      <c r="DF48" s="190">
        <v>6.6534094E-3</v>
      </c>
      <c r="DG48" s="112">
        <v>110.24186053</v>
      </c>
      <c r="DH48" s="13">
        <v>1.7573525615000001</v>
      </c>
      <c r="DI48" s="79">
        <v>77.101635277</v>
      </c>
      <c r="DJ48" s="13">
        <v>1.2304450512</v>
      </c>
      <c r="DK48" s="79">
        <v>53.177959514000001</v>
      </c>
      <c r="DL48" s="13">
        <v>0.85941171429999996</v>
      </c>
      <c r="DM48" s="79">
        <v>36.534479228999999</v>
      </c>
      <c r="DN48" s="13">
        <v>0.60376004670000005</v>
      </c>
      <c r="DO48" s="79">
        <v>25.243371968000002</v>
      </c>
      <c r="DP48" s="13">
        <v>0.4298199969</v>
      </c>
      <c r="DQ48" s="79">
        <v>17.607104400000001</v>
      </c>
      <c r="DR48" s="13">
        <v>0.31037968599999999</v>
      </c>
      <c r="DS48" s="79">
        <v>12.446836468000001</v>
      </c>
      <c r="DT48" s="13">
        <v>0.22760644620000001</v>
      </c>
      <c r="DU48" s="79">
        <v>8.9320444379000001</v>
      </c>
      <c r="DV48" s="13">
        <v>0.16949175690000001</v>
      </c>
      <c r="DW48" s="79">
        <v>6.5000939548999996</v>
      </c>
      <c r="DX48" s="13">
        <v>0.1276090631</v>
      </c>
      <c r="DY48" s="79">
        <v>4.8093161260999997</v>
      </c>
      <c r="DZ48" s="15">
        <v>9.7239503800000002E-2</v>
      </c>
    </row>
    <row r="49" spans="1:130" x14ac:dyDescent="0.2">
      <c r="A49" s="8">
        <v>4400</v>
      </c>
      <c r="B49" s="82">
        <v>4460</v>
      </c>
      <c r="C49" s="83">
        <v>1646.2364047000001</v>
      </c>
      <c r="D49" s="93">
        <v>4349.7347233999999</v>
      </c>
      <c r="E49" s="93">
        <v>39.909688134</v>
      </c>
      <c r="F49" s="94">
        <v>7.2149522300000005E-2</v>
      </c>
      <c r="G49" s="83">
        <v>7.2877149892000004</v>
      </c>
      <c r="H49" s="94">
        <v>4.1715498000000004E-3</v>
      </c>
      <c r="I49" s="93">
        <v>211.66743868</v>
      </c>
      <c r="J49" s="94">
        <v>2.4835651377999999</v>
      </c>
      <c r="K49" s="93">
        <v>333.21749706999998</v>
      </c>
      <c r="L49" s="94">
        <v>2.5983172842000002</v>
      </c>
      <c r="M49" s="93">
        <v>1.3369761389999999</v>
      </c>
      <c r="N49" s="94">
        <v>8.6743706999999996E-3</v>
      </c>
      <c r="O49" s="37" t="s">
        <v>76</v>
      </c>
      <c r="P49" s="13">
        <v>0</v>
      </c>
      <c r="Q49" s="93">
        <v>51.377096850999997</v>
      </c>
      <c r="R49" s="94">
        <v>0.18772828229999999</v>
      </c>
      <c r="S49" s="37" t="s">
        <v>76</v>
      </c>
      <c r="T49" s="13">
        <v>0</v>
      </c>
      <c r="U49" s="37" t="s">
        <v>76</v>
      </c>
      <c r="V49" s="13">
        <v>0</v>
      </c>
      <c r="W49" s="93">
        <v>0.41745919520000002</v>
      </c>
      <c r="X49" s="94">
        <v>2.1992527999999999E-3</v>
      </c>
      <c r="Y49" s="93">
        <v>4.1688396490999997</v>
      </c>
      <c r="Z49" s="94">
        <v>9.0645910000000001E-4</v>
      </c>
      <c r="AA49" s="37" t="s">
        <v>76</v>
      </c>
      <c r="AB49" s="13">
        <v>0</v>
      </c>
      <c r="AC49" s="93">
        <v>1.0134238999999999E-3</v>
      </c>
      <c r="AD49" s="94">
        <v>4.3578268999999998E-6</v>
      </c>
      <c r="AE49" s="37" t="s">
        <v>76</v>
      </c>
      <c r="AF49" s="13">
        <v>0</v>
      </c>
      <c r="AG49" s="37" t="s">
        <v>76</v>
      </c>
      <c r="AH49" s="13">
        <v>0</v>
      </c>
      <c r="AI49" s="93">
        <v>1.0134238999999999E-3</v>
      </c>
      <c r="AJ49" s="94">
        <v>4.3578268999999998E-6</v>
      </c>
      <c r="AK49" s="93">
        <v>269.31616600000001</v>
      </c>
      <c r="AL49" s="94">
        <v>1.5856679988</v>
      </c>
      <c r="AM49" s="37" t="s">
        <v>76</v>
      </c>
      <c r="AN49" s="13">
        <v>0</v>
      </c>
      <c r="AO49" s="37" t="s">
        <v>76</v>
      </c>
      <c r="AP49" s="13">
        <v>0</v>
      </c>
      <c r="AQ49" s="37" t="s">
        <v>76</v>
      </c>
      <c r="AR49" s="13">
        <v>0</v>
      </c>
      <c r="AS49" s="93">
        <v>35.841868867999999</v>
      </c>
      <c r="AT49" s="94">
        <v>0.59277144709999996</v>
      </c>
      <c r="AU49" s="93">
        <v>35.915900935000003</v>
      </c>
      <c r="AV49" s="94">
        <v>0.2287742227</v>
      </c>
      <c r="AW49" s="93">
        <v>24.751756669999999</v>
      </c>
      <c r="AX49" s="94">
        <v>0.12127928189999999</v>
      </c>
      <c r="AY49" s="93">
        <v>7.0410391809000004</v>
      </c>
      <c r="AZ49" s="94">
        <v>3.5452016699999998E-2</v>
      </c>
      <c r="BA49" s="79">
        <v>4.1231050837999996</v>
      </c>
      <c r="BB49" s="13">
        <v>7.2042924100000003E-2</v>
      </c>
      <c r="BC49" s="93">
        <v>0</v>
      </c>
      <c r="BD49" s="86">
        <v>0</v>
      </c>
      <c r="BE49" s="93">
        <v>44.291574347000001</v>
      </c>
      <c r="BF49" s="94">
        <v>0.1437697034</v>
      </c>
      <c r="BG49" s="94">
        <v>6.9816987000000004E-3</v>
      </c>
      <c r="BH49" s="86">
        <v>0</v>
      </c>
      <c r="BI49" s="93">
        <v>0.70325722280000003</v>
      </c>
      <c r="BJ49" s="94">
        <v>4.2960856999999996E-3</v>
      </c>
      <c r="BK49" s="93">
        <v>7.4338652800000002E-2</v>
      </c>
      <c r="BL49" s="94">
        <v>3.1013820000000002E-4</v>
      </c>
      <c r="BM49" s="7" t="s">
        <v>76</v>
      </c>
      <c r="BN49" s="13">
        <v>0</v>
      </c>
      <c r="BO49" s="7" t="s">
        <v>76</v>
      </c>
      <c r="BP49" s="13">
        <v>0</v>
      </c>
      <c r="BQ49" s="93">
        <v>49.555484102000001</v>
      </c>
      <c r="BR49" s="94">
        <v>0.1810275807</v>
      </c>
      <c r="BS49" s="93">
        <v>0.38310590480000001</v>
      </c>
      <c r="BT49" s="94">
        <v>2.0134785000000001E-3</v>
      </c>
      <c r="BU49" s="7" t="s">
        <v>76</v>
      </c>
      <c r="BV49" s="13">
        <v>0</v>
      </c>
      <c r="BW49" s="7" t="s">
        <v>76</v>
      </c>
      <c r="BX49" s="13">
        <v>0</v>
      </c>
      <c r="BY49" s="7" t="s">
        <v>76</v>
      </c>
      <c r="BZ49" s="13">
        <v>0</v>
      </c>
      <c r="CA49" s="7" t="s">
        <v>76</v>
      </c>
      <c r="CB49" s="13">
        <v>0</v>
      </c>
      <c r="CC49" s="93">
        <v>0.35613225069999999</v>
      </c>
      <c r="CD49" s="94">
        <v>1.5951120000000001E-3</v>
      </c>
      <c r="CE49" s="93">
        <v>1.1601515000000001E-3</v>
      </c>
      <c r="CF49" s="94">
        <v>1.19877E-5</v>
      </c>
      <c r="CG49" s="93">
        <v>3.6231616014000001</v>
      </c>
      <c r="CH49" s="94">
        <v>1.44101764E-2</v>
      </c>
      <c r="CI49" s="93">
        <v>3.3304227999999998E-3</v>
      </c>
      <c r="CJ49" s="94">
        <v>3.5120000000000003E-5</v>
      </c>
      <c r="CK49" s="6" t="s">
        <v>76</v>
      </c>
      <c r="CL49" s="13">
        <v>0</v>
      </c>
      <c r="CM49" s="7" t="s">
        <v>76</v>
      </c>
      <c r="CN49" s="15">
        <v>0</v>
      </c>
      <c r="CO49" s="93">
        <v>29.272691301999998</v>
      </c>
      <c r="CP49" s="94">
        <v>0.17029399109999999</v>
      </c>
      <c r="CQ49" s="93">
        <v>8.0902533600000007E-2</v>
      </c>
      <c r="CR49" s="94">
        <v>5.8465250000000002E-4</v>
      </c>
      <c r="CS49" s="93">
        <v>27.032744564000001</v>
      </c>
      <c r="CT49" s="94">
        <v>7.5630446099999998E-2</v>
      </c>
      <c r="CU49" s="93">
        <v>0.1419622582</v>
      </c>
      <c r="CV49" s="88">
        <v>1.1929497E-3</v>
      </c>
      <c r="CW49" s="188">
        <v>4.0861515000000003E-3</v>
      </c>
      <c r="CX49" s="189">
        <v>6.1933476000000003E-3</v>
      </c>
      <c r="CY49" s="189">
        <v>6.7332064000000004E-3</v>
      </c>
      <c r="CZ49" s="189">
        <v>6.8854524000000004E-3</v>
      </c>
      <c r="DA49" s="189">
        <v>6.9188334000000002E-3</v>
      </c>
      <c r="DB49" s="189">
        <v>6.9388712000000002E-3</v>
      </c>
      <c r="DC49" s="189">
        <v>6.9460965999999999E-3</v>
      </c>
      <c r="DD49" s="189">
        <v>6.9512864999999998E-3</v>
      </c>
      <c r="DE49" s="189">
        <v>6.9560000000000004E-3</v>
      </c>
      <c r="DF49" s="190">
        <v>6.9586780000000003E-3</v>
      </c>
      <c r="DG49" s="112">
        <v>111.25757765</v>
      </c>
      <c r="DH49" s="13">
        <v>1.769214794</v>
      </c>
      <c r="DI49" s="79">
        <v>77.967641721999996</v>
      </c>
      <c r="DJ49" s="13">
        <v>1.2410418271999999</v>
      </c>
      <c r="DK49" s="79">
        <v>53.900654535999998</v>
      </c>
      <c r="DL49" s="13">
        <v>0.86859378279999999</v>
      </c>
      <c r="DM49" s="79">
        <v>37.123179724000003</v>
      </c>
      <c r="DN49" s="13">
        <v>0.61150869500000005</v>
      </c>
      <c r="DO49" s="79">
        <v>25.715954041</v>
      </c>
      <c r="DP49" s="13">
        <v>0.43626395060000001</v>
      </c>
      <c r="DQ49" s="79">
        <v>17.981649127000001</v>
      </c>
      <c r="DR49" s="13">
        <v>0.31568086820000002</v>
      </c>
      <c r="DS49" s="79">
        <v>12.745445495</v>
      </c>
      <c r="DT49" s="13">
        <v>0.2319686248</v>
      </c>
      <c r="DU49" s="79">
        <v>9.1677457085</v>
      </c>
      <c r="DV49" s="13">
        <v>0.17305222419999999</v>
      </c>
      <c r="DW49" s="79">
        <v>6.6887525869999997</v>
      </c>
      <c r="DX49" s="13">
        <v>0.13052672169999999</v>
      </c>
      <c r="DY49" s="79">
        <v>4.9605021684999997</v>
      </c>
      <c r="DZ49" s="15">
        <v>9.9621653399999996E-2</v>
      </c>
    </row>
    <row r="50" spans="1:130" x14ac:dyDescent="0.2">
      <c r="A50" s="8">
        <v>4500</v>
      </c>
      <c r="B50" s="82">
        <v>4352</v>
      </c>
      <c r="C50" s="83">
        <v>1664.2395475999999</v>
      </c>
      <c r="D50" s="93">
        <v>4449.5577015999997</v>
      </c>
      <c r="E50" s="93">
        <v>41.195397651</v>
      </c>
      <c r="F50" s="94">
        <v>7.3335774300000003E-2</v>
      </c>
      <c r="G50" s="83">
        <v>7.6957994244999997</v>
      </c>
      <c r="H50" s="94">
        <v>4.3483235999999996E-3</v>
      </c>
      <c r="I50" s="93">
        <v>213.26284071000001</v>
      </c>
      <c r="J50" s="94">
        <v>2.4960359134000001</v>
      </c>
      <c r="K50" s="93">
        <v>338.43873912999999</v>
      </c>
      <c r="L50" s="94">
        <v>2.6261889810999999</v>
      </c>
      <c r="M50" s="93">
        <v>1.3657269353999999</v>
      </c>
      <c r="N50" s="94">
        <v>8.7808052999999997E-3</v>
      </c>
      <c r="O50" s="37" t="s">
        <v>76</v>
      </c>
      <c r="P50" s="13">
        <v>0</v>
      </c>
      <c r="Q50" s="93">
        <v>52.695266949000001</v>
      </c>
      <c r="R50" s="94">
        <v>0.1900992178</v>
      </c>
      <c r="S50" s="37" t="s">
        <v>76</v>
      </c>
      <c r="T50" s="13">
        <v>0</v>
      </c>
      <c r="U50" s="37" t="s">
        <v>76</v>
      </c>
      <c r="V50" s="13">
        <v>0</v>
      </c>
      <c r="W50" s="93">
        <v>0.43894689580000001</v>
      </c>
      <c r="X50" s="94">
        <v>2.2723922999999999E-3</v>
      </c>
      <c r="Y50" s="93">
        <v>4.3151837255999999</v>
      </c>
      <c r="Z50" s="94">
        <v>9.3124120000000004E-4</v>
      </c>
      <c r="AA50" s="37" t="s">
        <v>76</v>
      </c>
      <c r="AB50" s="13">
        <v>0</v>
      </c>
      <c r="AC50" s="93">
        <v>1.0090836E-3</v>
      </c>
      <c r="AD50" s="94">
        <v>4.3391632000000002E-6</v>
      </c>
      <c r="AE50" s="37" t="s">
        <v>76</v>
      </c>
      <c r="AF50" s="13">
        <v>0</v>
      </c>
      <c r="AG50" s="37" t="s">
        <v>76</v>
      </c>
      <c r="AH50" s="13">
        <v>0</v>
      </c>
      <c r="AI50" s="93">
        <v>1.0090836E-3</v>
      </c>
      <c r="AJ50" s="94">
        <v>4.3391632000000002E-6</v>
      </c>
      <c r="AK50" s="93">
        <v>271.35539194</v>
      </c>
      <c r="AL50" s="94">
        <v>1.5936608348000001</v>
      </c>
      <c r="AM50" s="37" t="s">
        <v>76</v>
      </c>
      <c r="AN50" s="13">
        <v>0</v>
      </c>
      <c r="AO50" s="37" t="s">
        <v>76</v>
      </c>
      <c r="AP50" s="13">
        <v>0</v>
      </c>
      <c r="AQ50" s="37" t="s">
        <v>76</v>
      </c>
      <c r="AR50" s="13">
        <v>0</v>
      </c>
      <c r="AS50" s="93">
        <v>36.427473245000002</v>
      </c>
      <c r="AT50" s="94">
        <v>0.59732622130000002</v>
      </c>
      <c r="AU50" s="93">
        <v>36.367156029</v>
      </c>
      <c r="AV50" s="94">
        <v>0.2308238249</v>
      </c>
      <c r="AW50" s="93">
        <v>25.085974731</v>
      </c>
      <c r="AX50" s="94">
        <v>0.12245530709999999</v>
      </c>
      <c r="AY50" s="93">
        <v>7.0864905424</v>
      </c>
      <c r="AZ50" s="94">
        <v>3.5657522599999998E-2</v>
      </c>
      <c r="BA50" s="79">
        <v>4.1946907553999999</v>
      </c>
      <c r="BB50" s="13">
        <v>7.2710995200000003E-2</v>
      </c>
      <c r="BC50" s="93">
        <v>0</v>
      </c>
      <c r="BD50" s="86">
        <v>0</v>
      </c>
      <c r="BE50" s="93">
        <v>45.654020328000001</v>
      </c>
      <c r="BF50" s="94">
        <v>0.14657795800000001</v>
      </c>
      <c r="BG50" s="94">
        <v>7.2917622000000003E-3</v>
      </c>
      <c r="BH50" s="86">
        <v>0</v>
      </c>
      <c r="BI50" s="93">
        <v>0.72799245239999999</v>
      </c>
      <c r="BJ50" s="94">
        <v>4.3814611999999998E-3</v>
      </c>
      <c r="BK50" s="93">
        <v>7.5388265800000007E-2</v>
      </c>
      <c r="BL50" s="94">
        <v>3.1653729999999998E-4</v>
      </c>
      <c r="BM50" s="7" t="s">
        <v>76</v>
      </c>
      <c r="BN50" s="13">
        <v>0</v>
      </c>
      <c r="BO50" s="7" t="s">
        <v>76</v>
      </c>
      <c r="BP50" s="13">
        <v>0</v>
      </c>
      <c r="BQ50" s="93">
        <v>50.831578501000003</v>
      </c>
      <c r="BR50" s="94">
        <v>0.1832793318</v>
      </c>
      <c r="BS50" s="93">
        <v>0.39548111559999999</v>
      </c>
      <c r="BT50" s="94">
        <v>2.0585411000000001E-3</v>
      </c>
      <c r="BU50" s="7" t="s">
        <v>76</v>
      </c>
      <c r="BV50" s="13">
        <v>0</v>
      </c>
      <c r="BW50" s="7" t="s">
        <v>76</v>
      </c>
      <c r="BX50" s="13">
        <v>0</v>
      </c>
      <c r="BY50" s="7" t="s">
        <v>76</v>
      </c>
      <c r="BZ50" s="13">
        <v>0</v>
      </c>
      <c r="CA50" s="7" t="s">
        <v>76</v>
      </c>
      <c r="CB50" s="13">
        <v>0</v>
      </c>
      <c r="CC50" s="93">
        <v>0.37511387889999998</v>
      </c>
      <c r="CD50" s="94">
        <v>1.6454798000000001E-3</v>
      </c>
      <c r="CE50" s="93">
        <v>1.1554629E-3</v>
      </c>
      <c r="CF50" s="94">
        <v>1.19367E-5</v>
      </c>
      <c r="CG50" s="93">
        <v>3.7590308085999999</v>
      </c>
      <c r="CH50" s="94">
        <v>1.48879956E-2</v>
      </c>
      <c r="CI50" s="93">
        <v>3.3163212000000002E-3</v>
      </c>
      <c r="CJ50" s="94">
        <v>3.6022999999999997E-5</v>
      </c>
      <c r="CK50" s="6" t="s">
        <v>76</v>
      </c>
      <c r="CL50" s="13">
        <v>0</v>
      </c>
      <c r="CM50" s="7" t="s">
        <v>76</v>
      </c>
      <c r="CN50" s="15">
        <v>0</v>
      </c>
      <c r="CO50" s="93">
        <v>29.740040556</v>
      </c>
      <c r="CP50" s="94">
        <v>0.17217776830000001</v>
      </c>
      <c r="CQ50" s="93">
        <v>8.2325688499999994E-2</v>
      </c>
      <c r="CR50" s="94">
        <v>6.008109E-4</v>
      </c>
      <c r="CS50" s="93">
        <v>27.792142774999999</v>
      </c>
      <c r="CT50" s="94">
        <v>7.7022048699999998E-2</v>
      </c>
      <c r="CU50" s="93">
        <v>0.14533483650000001</v>
      </c>
      <c r="CV50" s="88">
        <v>1.2122951E-3</v>
      </c>
      <c r="CW50" s="188">
        <v>4.2577867999999998E-3</v>
      </c>
      <c r="CX50" s="189">
        <v>6.4542547999999998E-3</v>
      </c>
      <c r="CY50" s="189">
        <v>7.0200738000000002E-3</v>
      </c>
      <c r="CZ50" s="189">
        <v>7.1807523E-3</v>
      </c>
      <c r="DA50" s="189">
        <v>7.2179380000000001E-3</v>
      </c>
      <c r="DB50" s="189">
        <v>7.2418402000000003E-3</v>
      </c>
      <c r="DC50" s="189">
        <v>7.2529899000000004E-3</v>
      </c>
      <c r="DD50" s="189">
        <v>7.2614925999999998E-3</v>
      </c>
      <c r="DE50" s="189">
        <v>7.2661857999999999E-3</v>
      </c>
      <c r="DF50" s="190">
        <v>7.2688518999999997E-3</v>
      </c>
      <c r="DG50" s="112">
        <v>112.27825429000001</v>
      </c>
      <c r="DH50" s="13">
        <v>1.7808654740000001</v>
      </c>
      <c r="DI50" s="79">
        <v>78.837481542999996</v>
      </c>
      <c r="DJ50" s="13">
        <v>1.2514661145999999</v>
      </c>
      <c r="DK50" s="79">
        <v>54.625035947999997</v>
      </c>
      <c r="DL50" s="13">
        <v>0.87764013799999996</v>
      </c>
      <c r="DM50" s="79">
        <v>37.710261092000003</v>
      </c>
      <c r="DN50" s="13">
        <v>0.61913448240000002</v>
      </c>
      <c r="DO50" s="79">
        <v>26.185869709999999</v>
      </c>
      <c r="DP50" s="13">
        <v>0.44257937879999998</v>
      </c>
      <c r="DQ50" s="79">
        <v>18.355958108999999</v>
      </c>
      <c r="DR50" s="13">
        <v>0.3208699518</v>
      </c>
      <c r="DS50" s="79">
        <v>13.042666529</v>
      </c>
      <c r="DT50" s="13">
        <v>0.2362199381</v>
      </c>
      <c r="DU50" s="79">
        <v>9.4035072340999992</v>
      </c>
      <c r="DV50" s="13">
        <v>0.17653692630000001</v>
      </c>
      <c r="DW50" s="79">
        <v>6.8748401425000001</v>
      </c>
      <c r="DX50" s="13">
        <v>0.13337292240000001</v>
      </c>
      <c r="DY50" s="79">
        <v>5.1071642345999999</v>
      </c>
      <c r="DZ50" s="15">
        <v>0.10195052039999999</v>
      </c>
    </row>
    <row r="51" spans="1:130" x14ac:dyDescent="0.2">
      <c r="A51" s="8">
        <v>4600</v>
      </c>
      <c r="B51" s="82">
        <v>4181</v>
      </c>
      <c r="C51" s="83">
        <v>1681.9043638999999</v>
      </c>
      <c r="D51" s="93">
        <v>4550.4751192000003</v>
      </c>
      <c r="E51" s="93">
        <v>42.501331071000003</v>
      </c>
      <c r="F51" s="94">
        <v>7.4465067400000001E-2</v>
      </c>
      <c r="G51" s="83">
        <v>8.1615336101999993</v>
      </c>
      <c r="H51" s="94">
        <v>4.5587535999999998E-3</v>
      </c>
      <c r="I51" s="93">
        <v>214.84296570999999</v>
      </c>
      <c r="J51" s="94">
        <v>2.5080384962000002</v>
      </c>
      <c r="K51" s="93">
        <v>343.54020487999998</v>
      </c>
      <c r="L51" s="94">
        <v>2.6521769785</v>
      </c>
      <c r="M51" s="93">
        <v>1.3915871900000001</v>
      </c>
      <c r="N51" s="94">
        <v>8.8681090000000008E-3</v>
      </c>
      <c r="O51" s="37" t="s">
        <v>76</v>
      </c>
      <c r="P51" s="13">
        <v>0</v>
      </c>
      <c r="Q51" s="93">
        <v>53.922085389999999</v>
      </c>
      <c r="R51" s="94">
        <v>0.1922989236</v>
      </c>
      <c r="S51" s="37" t="s">
        <v>76</v>
      </c>
      <c r="T51" s="13">
        <v>0</v>
      </c>
      <c r="U51" s="37" t="s">
        <v>76</v>
      </c>
      <c r="V51" s="13">
        <v>0</v>
      </c>
      <c r="W51" s="93">
        <v>0.44757034890000003</v>
      </c>
      <c r="X51" s="94">
        <v>2.2810427999999999E-3</v>
      </c>
      <c r="Y51" s="93">
        <v>4.4932822187000001</v>
      </c>
      <c r="Z51" s="94">
        <v>9.5779070000000005E-4</v>
      </c>
      <c r="AA51" s="37" t="s">
        <v>76</v>
      </c>
      <c r="AB51" s="13">
        <v>0</v>
      </c>
      <c r="AC51" s="93">
        <v>1.0048850000000001E-3</v>
      </c>
      <c r="AD51" s="94">
        <v>4.3211088999999997E-6</v>
      </c>
      <c r="AE51" s="37" t="s">
        <v>76</v>
      </c>
      <c r="AF51" s="13">
        <v>0</v>
      </c>
      <c r="AG51" s="37" t="s">
        <v>76</v>
      </c>
      <c r="AH51" s="13">
        <v>0</v>
      </c>
      <c r="AI51" s="93">
        <v>1.0048850000000001E-3</v>
      </c>
      <c r="AJ51" s="94">
        <v>4.3211088999999997E-6</v>
      </c>
      <c r="AK51" s="93">
        <v>273.26171577999997</v>
      </c>
      <c r="AL51" s="94">
        <v>1.6009355037999999</v>
      </c>
      <c r="AM51" s="37" t="s">
        <v>76</v>
      </c>
      <c r="AN51" s="13">
        <v>0</v>
      </c>
      <c r="AO51" s="37" t="s">
        <v>76</v>
      </c>
      <c r="AP51" s="13">
        <v>0</v>
      </c>
      <c r="AQ51" s="37" t="s">
        <v>76</v>
      </c>
      <c r="AR51" s="13">
        <v>0</v>
      </c>
      <c r="AS51" s="93">
        <v>37.00148197</v>
      </c>
      <c r="AT51" s="94">
        <v>0.60153441330000001</v>
      </c>
      <c r="AU51" s="93">
        <v>36.801454517000003</v>
      </c>
      <c r="AV51" s="94">
        <v>0.23269632130000001</v>
      </c>
      <c r="AW51" s="93">
        <v>25.414696620000001</v>
      </c>
      <c r="AX51" s="94">
        <v>0.1235139054</v>
      </c>
      <c r="AY51" s="93">
        <v>7.1389840076000004</v>
      </c>
      <c r="AZ51" s="94">
        <v>3.5882595400000002E-2</v>
      </c>
      <c r="BA51" s="79">
        <v>4.2477738898000004</v>
      </c>
      <c r="BB51" s="13">
        <v>7.3299820500000001E-2</v>
      </c>
      <c r="BC51" s="93">
        <v>0</v>
      </c>
      <c r="BD51" s="86">
        <v>0</v>
      </c>
      <c r="BE51" s="93">
        <v>46.977159682</v>
      </c>
      <c r="BF51" s="94">
        <v>0.14928303840000001</v>
      </c>
      <c r="BG51" s="94">
        <v>7.6814889000000001E-3</v>
      </c>
      <c r="BH51" s="86">
        <v>0</v>
      </c>
      <c r="BI51" s="93">
        <v>0.74694892710000005</v>
      </c>
      <c r="BJ51" s="94">
        <v>4.4446946999999997E-3</v>
      </c>
      <c r="BK51" s="93">
        <v>8.0759896400000003E-2</v>
      </c>
      <c r="BL51" s="94">
        <v>3.3499829999999997E-4</v>
      </c>
      <c r="BM51" s="7" t="s">
        <v>76</v>
      </c>
      <c r="BN51" s="13">
        <v>0</v>
      </c>
      <c r="BO51" s="7" t="s">
        <v>76</v>
      </c>
      <c r="BP51" s="13">
        <v>0</v>
      </c>
      <c r="BQ51" s="93">
        <v>52.005307526000003</v>
      </c>
      <c r="BR51" s="94">
        <v>0.1853190968</v>
      </c>
      <c r="BS51" s="93">
        <v>0.4076746309</v>
      </c>
      <c r="BT51" s="94">
        <v>2.0922561999999999E-3</v>
      </c>
      <c r="BU51" s="7" t="s">
        <v>76</v>
      </c>
      <c r="BV51" s="13">
        <v>0</v>
      </c>
      <c r="BW51" s="7" t="s">
        <v>76</v>
      </c>
      <c r="BX51" s="13">
        <v>0</v>
      </c>
      <c r="BY51" s="7" t="s">
        <v>76</v>
      </c>
      <c r="BZ51" s="13">
        <v>0</v>
      </c>
      <c r="CA51" s="7" t="s">
        <v>76</v>
      </c>
      <c r="CB51" s="13">
        <v>0</v>
      </c>
      <c r="CC51" s="93">
        <v>0.38388186660000001</v>
      </c>
      <c r="CD51" s="94">
        <v>1.6560661999999999E-3</v>
      </c>
      <c r="CE51" s="93">
        <v>1.1509814000000001E-3</v>
      </c>
      <c r="CF51" s="94">
        <v>1.1887599999999999E-5</v>
      </c>
      <c r="CG51" s="93">
        <v>3.9304001677999998</v>
      </c>
      <c r="CH51" s="94">
        <v>1.54893254E-2</v>
      </c>
      <c r="CI51" s="93">
        <v>3.4079205999999998E-3</v>
      </c>
      <c r="CJ51" s="94">
        <v>3.65066E-5</v>
      </c>
      <c r="CK51" s="6" t="s">
        <v>76</v>
      </c>
      <c r="CL51" s="13">
        <v>0</v>
      </c>
      <c r="CM51" s="7" t="s">
        <v>76</v>
      </c>
      <c r="CN51" s="15">
        <v>0</v>
      </c>
      <c r="CO51" s="93">
        <v>30.186122743999999</v>
      </c>
      <c r="CP51" s="94">
        <v>0.17402514080000001</v>
      </c>
      <c r="CQ51" s="93">
        <v>8.3679910400000002E-2</v>
      </c>
      <c r="CR51" s="94">
        <v>6.0424719999999999E-4</v>
      </c>
      <c r="CS51" s="93">
        <v>28.490726407</v>
      </c>
      <c r="CT51" s="94">
        <v>7.8270527800000003E-2</v>
      </c>
      <c r="CU51" s="93">
        <v>0.14644167529999999</v>
      </c>
      <c r="CV51" s="88">
        <v>1.2275516000000001E-3</v>
      </c>
      <c r="CW51" s="188">
        <v>4.4550524000000003E-3</v>
      </c>
      <c r="CX51" s="189">
        <v>6.7759960000000003E-3</v>
      </c>
      <c r="CY51" s="189">
        <v>7.3855539999999999E-3</v>
      </c>
      <c r="CZ51" s="189">
        <v>7.5590331000000002E-3</v>
      </c>
      <c r="DA51" s="189">
        <v>7.6017072999999998E-3</v>
      </c>
      <c r="DB51" s="189">
        <v>7.6311542000000003E-3</v>
      </c>
      <c r="DC51" s="189">
        <v>7.6428946999999997E-3</v>
      </c>
      <c r="DD51" s="189">
        <v>7.6513615000000004E-3</v>
      </c>
      <c r="DE51" s="189">
        <v>7.6560352000000003E-3</v>
      </c>
      <c r="DF51" s="190">
        <v>7.6586896E-3</v>
      </c>
      <c r="DG51" s="112">
        <v>113.28456588</v>
      </c>
      <c r="DH51" s="13">
        <v>1.792067319</v>
      </c>
      <c r="DI51" s="79">
        <v>79.692291417999996</v>
      </c>
      <c r="DJ51" s="13">
        <v>1.2614872855000001</v>
      </c>
      <c r="DK51" s="79">
        <v>55.336207023</v>
      </c>
      <c r="DL51" s="13">
        <v>0.88630824770000005</v>
      </c>
      <c r="DM51" s="79">
        <v>38.289618703999999</v>
      </c>
      <c r="DN51" s="13">
        <v>0.62644765489999998</v>
      </c>
      <c r="DO51" s="79">
        <v>26.654796653999998</v>
      </c>
      <c r="DP51" s="13">
        <v>0.44866779680000002</v>
      </c>
      <c r="DQ51" s="79">
        <v>18.731266810000001</v>
      </c>
      <c r="DR51" s="13">
        <v>0.3258774834</v>
      </c>
      <c r="DS51" s="79">
        <v>13.340309848</v>
      </c>
      <c r="DT51" s="13">
        <v>0.24030439379999999</v>
      </c>
      <c r="DU51" s="79">
        <v>9.6403919169000005</v>
      </c>
      <c r="DV51" s="13">
        <v>0.17986658550000001</v>
      </c>
      <c r="DW51" s="79">
        <v>7.0649394641000001</v>
      </c>
      <c r="DX51" s="13">
        <v>0.13609075809999999</v>
      </c>
      <c r="DY51" s="79">
        <v>5.2605625849999997</v>
      </c>
      <c r="DZ51" s="15">
        <v>0.1041821146</v>
      </c>
    </row>
    <row r="52" spans="1:130" x14ac:dyDescent="0.2">
      <c r="A52" s="8">
        <v>4700</v>
      </c>
      <c r="B52" s="82">
        <v>4098</v>
      </c>
      <c r="C52" s="83">
        <v>1699.2405988</v>
      </c>
      <c r="D52" s="93">
        <v>4649.9226891999997</v>
      </c>
      <c r="E52" s="93">
        <v>43.86873877</v>
      </c>
      <c r="F52" s="94">
        <v>7.5689767300000002E-2</v>
      </c>
      <c r="G52" s="83">
        <v>8.6199199467999996</v>
      </c>
      <c r="H52" s="94">
        <v>4.7579577E-3</v>
      </c>
      <c r="I52" s="93">
        <v>216.45847255999999</v>
      </c>
      <c r="J52" s="94">
        <v>2.5195515390000001</v>
      </c>
      <c r="K52" s="93">
        <v>348.66716244000003</v>
      </c>
      <c r="L52" s="94">
        <v>2.6781601661000001</v>
      </c>
      <c r="M52" s="93">
        <v>1.4291215987999999</v>
      </c>
      <c r="N52" s="94">
        <v>8.9996603000000001E-3</v>
      </c>
      <c r="O52" s="37" t="s">
        <v>76</v>
      </c>
      <c r="P52" s="13">
        <v>0</v>
      </c>
      <c r="Q52" s="93">
        <v>54.985527513000001</v>
      </c>
      <c r="R52" s="94">
        <v>0.1942996682</v>
      </c>
      <c r="S52" s="37" t="s">
        <v>76</v>
      </c>
      <c r="T52" s="13">
        <v>0</v>
      </c>
      <c r="U52" s="37" t="s">
        <v>76</v>
      </c>
      <c r="V52" s="13">
        <v>0</v>
      </c>
      <c r="W52" s="93">
        <v>0.45161544749999999</v>
      </c>
      <c r="X52" s="94">
        <v>2.3045101000000001E-3</v>
      </c>
      <c r="Y52" s="93">
        <v>4.6422474843000003</v>
      </c>
      <c r="Z52" s="94">
        <v>9.7170899999999996E-4</v>
      </c>
      <c r="AA52" s="37" t="s">
        <v>76</v>
      </c>
      <c r="AB52" s="13">
        <v>0</v>
      </c>
      <c r="AC52" s="93">
        <v>1.0008571E-3</v>
      </c>
      <c r="AD52" s="94">
        <v>4.3037883999999996E-6</v>
      </c>
      <c r="AE52" s="37" t="s">
        <v>76</v>
      </c>
      <c r="AF52" s="13">
        <v>0</v>
      </c>
      <c r="AG52" s="37" t="s">
        <v>76</v>
      </c>
      <c r="AH52" s="13">
        <v>0</v>
      </c>
      <c r="AI52" s="93">
        <v>1.0008571E-3</v>
      </c>
      <c r="AJ52" s="94">
        <v>4.3037883999999996E-6</v>
      </c>
      <c r="AK52" s="93">
        <v>275.15426659000002</v>
      </c>
      <c r="AL52" s="94">
        <v>1.6079691582</v>
      </c>
      <c r="AM52" s="37" t="s">
        <v>76</v>
      </c>
      <c r="AN52" s="13">
        <v>0</v>
      </c>
      <c r="AO52" s="37" t="s">
        <v>76</v>
      </c>
      <c r="AP52" s="13">
        <v>0</v>
      </c>
      <c r="AQ52" s="37" t="s">
        <v>76</v>
      </c>
      <c r="AR52" s="13">
        <v>0</v>
      </c>
      <c r="AS52" s="93">
        <v>37.565564051999999</v>
      </c>
      <c r="AT52" s="94">
        <v>0.60541075980000003</v>
      </c>
      <c r="AU52" s="93">
        <v>37.214458530000002</v>
      </c>
      <c r="AV52" s="94">
        <v>0.23465072519999999</v>
      </c>
      <c r="AW52" s="93">
        <v>25.723824057000002</v>
      </c>
      <c r="AX52" s="94">
        <v>0.12462643549999999</v>
      </c>
      <c r="AY52" s="93">
        <v>7.1855882204999997</v>
      </c>
      <c r="AZ52" s="94">
        <v>3.6090572600000002E-2</v>
      </c>
      <c r="BA52" s="79">
        <v>4.3050462516000003</v>
      </c>
      <c r="BB52" s="13">
        <v>7.3933717100000004E-2</v>
      </c>
      <c r="BC52" s="93">
        <v>0</v>
      </c>
      <c r="BD52" s="86">
        <v>0</v>
      </c>
      <c r="BE52" s="93">
        <v>48.450324010000003</v>
      </c>
      <c r="BF52" s="94">
        <v>0.15207127509999999</v>
      </c>
      <c r="BG52" s="94">
        <v>8.0097108E-3</v>
      </c>
      <c r="BH52" s="86">
        <v>0</v>
      </c>
      <c r="BI52" s="93">
        <v>0.77459570470000005</v>
      </c>
      <c r="BJ52" s="94">
        <v>4.5449076999999997E-3</v>
      </c>
      <c r="BK52" s="93">
        <v>8.2549262900000003E-2</v>
      </c>
      <c r="BL52" s="94">
        <v>3.3913319999999999E-4</v>
      </c>
      <c r="BM52" s="7" t="s">
        <v>76</v>
      </c>
      <c r="BN52" s="13">
        <v>0</v>
      </c>
      <c r="BO52" s="7" t="s">
        <v>76</v>
      </c>
      <c r="BP52" s="13">
        <v>0</v>
      </c>
      <c r="BQ52" s="93">
        <v>53.016893711000002</v>
      </c>
      <c r="BR52" s="94">
        <v>0.18716734060000001</v>
      </c>
      <c r="BS52" s="93">
        <v>0.41365957679999998</v>
      </c>
      <c r="BT52" s="94">
        <v>2.1276272000000001E-3</v>
      </c>
      <c r="BU52" s="7" t="s">
        <v>76</v>
      </c>
      <c r="BV52" s="13">
        <v>0</v>
      </c>
      <c r="BW52" s="7" t="s">
        <v>76</v>
      </c>
      <c r="BX52" s="13">
        <v>0</v>
      </c>
      <c r="BY52" s="7" t="s">
        <v>76</v>
      </c>
      <c r="BZ52" s="13">
        <v>0</v>
      </c>
      <c r="CA52" s="7" t="s">
        <v>76</v>
      </c>
      <c r="CB52" s="13">
        <v>0</v>
      </c>
      <c r="CC52" s="93">
        <v>0.38781798119999999</v>
      </c>
      <c r="CD52" s="94">
        <v>1.6796784999999999E-3</v>
      </c>
      <c r="CE52" s="93">
        <v>1.1463954000000001E-3</v>
      </c>
      <c r="CF52" s="94">
        <v>1.1838899999999999E-5</v>
      </c>
      <c r="CG52" s="93">
        <v>4.0726345544000004</v>
      </c>
      <c r="CH52" s="94">
        <v>1.5888427399999999E-2</v>
      </c>
      <c r="CI52" s="93">
        <v>3.4548425999999998E-3</v>
      </c>
      <c r="CJ52" s="94">
        <v>3.6971400000000003E-5</v>
      </c>
      <c r="CK52" s="6" t="s">
        <v>76</v>
      </c>
      <c r="CL52" s="13">
        <v>0</v>
      </c>
      <c r="CM52" s="7" t="s">
        <v>76</v>
      </c>
      <c r="CN52" s="15">
        <v>0</v>
      </c>
      <c r="CO52" s="93">
        <v>30.633988685999999</v>
      </c>
      <c r="CP52" s="94">
        <v>0.1757116302</v>
      </c>
      <c r="CQ52" s="93">
        <v>8.3606933800000005E-2</v>
      </c>
      <c r="CR52" s="94">
        <v>6.0952130000000001E-4</v>
      </c>
      <c r="CS52" s="93">
        <v>29.326290392000001</v>
      </c>
      <c r="CT52" s="94">
        <v>7.9694465699999995E-2</v>
      </c>
      <c r="CU52" s="93">
        <v>0.14824275040000001</v>
      </c>
      <c r="CV52" s="88">
        <v>1.2453089E-3</v>
      </c>
      <c r="CW52" s="188">
        <v>4.6404753000000003E-3</v>
      </c>
      <c r="CX52" s="189">
        <v>7.0545089E-3</v>
      </c>
      <c r="CY52" s="189">
        <v>7.6937806000000001E-3</v>
      </c>
      <c r="CZ52" s="189">
        <v>7.8791742999999997E-3</v>
      </c>
      <c r="DA52" s="189">
        <v>7.9248702999999993E-3</v>
      </c>
      <c r="DB52" s="189">
        <v>7.9573907000000006E-3</v>
      </c>
      <c r="DC52" s="189">
        <v>7.9701844000000001E-3</v>
      </c>
      <c r="DD52" s="189">
        <v>7.9797168999999994E-3</v>
      </c>
      <c r="DE52" s="189">
        <v>7.9843715999999999E-3</v>
      </c>
      <c r="DF52" s="190">
        <v>7.9870150000000001E-3</v>
      </c>
      <c r="DG52" s="112">
        <v>114.31357534999999</v>
      </c>
      <c r="DH52" s="13">
        <v>1.8028247208999999</v>
      </c>
      <c r="DI52" s="79">
        <v>80.569035580999994</v>
      </c>
      <c r="DJ52" s="13">
        <v>1.2711183420000001</v>
      </c>
      <c r="DK52" s="79">
        <v>56.062432463</v>
      </c>
      <c r="DL52" s="13">
        <v>0.89461143009999999</v>
      </c>
      <c r="DM52" s="79">
        <v>38.880405224999997</v>
      </c>
      <c r="DN52" s="13">
        <v>0.63343455910000002</v>
      </c>
      <c r="DO52" s="79">
        <v>27.127719934000002</v>
      </c>
      <c r="DP52" s="13">
        <v>0.45444470529999997</v>
      </c>
      <c r="DQ52" s="79">
        <v>19.106259511000001</v>
      </c>
      <c r="DR52" s="13">
        <v>0.33061597120000003</v>
      </c>
      <c r="DS52" s="79">
        <v>13.633364879</v>
      </c>
      <c r="DT52" s="13">
        <v>0.2441462063</v>
      </c>
      <c r="DU52" s="79">
        <v>9.8703219622000002</v>
      </c>
      <c r="DV52" s="13">
        <v>0.1829720852</v>
      </c>
      <c r="DW52" s="79">
        <v>7.2447850636000002</v>
      </c>
      <c r="DX52" s="13">
        <v>0.13859624149999999</v>
      </c>
      <c r="DY52" s="79">
        <v>5.4015270996</v>
      </c>
      <c r="DZ52" s="15">
        <v>0.1061923308</v>
      </c>
    </row>
    <row r="53" spans="1:130" x14ac:dyDescent="0.2">
      <c r="A53" s="8">
        <v>4800</v>
      </c>
      <c r="B53" s="82">
        <v>3888</v>
      </c>
      <c r="C53" s="83">
        <v>1716.2593628</v>
      </c>
      <c r="D53" s="93">
        <v>4749.8954829000004</v>
      </c>
      <c r="E53" s="93">
        <v>45.094577631</v>
      </c>
      <c r="F53" s="94">
        <v>7.6799927200000007E-2</v>
      </c>
      <c r="G53" s="83">
        <v>9.0091443650999992</v>
      </c>
      <c r="H53" s="94">
        <v>4.9305946000000002E-3</v>
      </c>
      <c r="I53" s="93">
        <v>217.92211882000001</v>
      </c>
      <c r="J53" s="94">
        <v>2.5305093979</v>
      </c>
      <c r="K53" s="93">
        <v>353.85330671999998</v>
      </c>
      <c r="L53" s="94">
        <v>2.7035352459999999</v>
      </c>
      <c r="M53" s="93">
        <v>1.4454829444999999</v>
      </c>
      <c r="N53" s="94">
        <v>9.2033765000000007E-3</v>
      </c>
      <c r="O53" s="37" t="s">
        <v>76</v>
      </c>
      <c r="P53" s="13">
        <v>0</v>
      </c>
      <c r="Q53" s="93">
        <v>56.061974532999997</v>
      </c>
      <c r="R53" s="94">
        <v>0.19628045869999999</v>
      </c>
      <c r="S53" s="37" t="s">
        <v>76</v>
      </c>
      <c r="T53" s="13">
        <v>0</v>
      </c>
      <c r="U53" s="37" t="s">
        <v>76</v>
      </c>
      <c r="V53" s="13">
        <v>0</v>
      </c>
      <c r="W53" s="93">
        <v>0.46383904739999998</v>
      </c>
      <c r="X53" s="94">
        <v>2.3615812999999999E-3</v>
      </c>
      <c r="Y53" s="93">
        <v>4.7575949066999996</v>
      </c>
      <c r="Z53" s="94">
        <v>9.9400740000000001E-4</v>
      </c>
      <c r="AA53" s="37" t="s">
        <v>76</v>
      </c>
      <c r="AB53" s="13">
        <v>0</v>
      </c>
      <c r="AC53" s="93">
        <v>9.971705999999999E-4</v>
      </c>
      <c r="AD53" s="94">
        <v>4.2879361000000001E-6</v>
      </c>
      <c r="AE53" s="37" t="s">
        <v>76</v>
      </c>
      <c r="AF53" s="13">
        <v>0</v>
      </c>
      <c r="AG53" s="37" t="s">
        <v>76</v>
      </c>
      <c r="AH53" s="13">
        <v>0</v>
      </c>
      <c r="AI53" s="93">
        <v>9.971705999999999E-4</v>
      </c>
      <c r="AJ53" s="94">
        <v>4.2879361000000001E-6</v>
      </c>
      <c r="AK53" s="93">
        <v>276.93212804000001</v>
      </c>
      <c r="AL53" s="94">
        <v>1.6147213787000001</v>
      </c>
      <c r="AM53" s="37" t="s">
        <v>76</v>
      </c>
      <c r="AN53" s="13">
        <v>0</v>
      </c>
      <c r="AO53" s="37" t="s">
        <v>76</v>
      </c>
      <c r="AP53" s="13">
        <v>0</v>
      </c>
      <c r="AQ53" s="37" t="s">
        <v>76</v>
      </c>
      <c r="AR53" s="13">
        <v>0</v>
      </c>
      <c r="AS53" s="93">
        <v>38.134394964000002</v>
      </c>
      <c r="AT53" s="94">
        <v>0.6089984678</v>
      </c>
      <c r="AU53" s="93">
        <v>37.621489822000001</v>
      </c>
      <c r="AV53" s="94">
        <v>0.23629766299999999</v>
      </c>
      <c r="AW53" s="93">
        <v>26.028322001999999</v>
      </c>
      <c r="AX53" s="94">
        <v>0.12561709169999999</v>
      </c>
      <c r="AY53" s="93">
        <v>7.2399719997999998</v>
      </c>
      <c r="AZ53" s="94">
        <v>3.6290883500000003E-2</v>
      </c>
      <c r="BA53" s="79">
        <v>4.3531958207999999</v>
      </c>
      <c r="BB53" s="13">
        <v>7.4389687699999998E-2</v>
      </c>
      <c r="BC53" s="93">
        <v>0</v>
      </c>
      <c r="BD53" s="86">
        <v>0</v>
      </c>
      <c r="BE53" s="93">
        <v>49.793456122999999</v>
      </c>
      <c r="BF53" s="94">
        <v>0.15450435509999999</v>
      </c>
      <c r="BG53" s="94">
        <v>8.3375897000000001E-3</v>
      </c>
      <c r="BH53" s="86">
        <v>0</v>
      </c>
      <c r="BI53" s="93">
        <v>0.78437534490000005</v>
      </c>
      <c r="BJ53" s="94">
        <v>4.6929666E-3</v>
      </c>
      <c r="BK53" s="93">
        <v>8.2381161699999997E-2</v>
      </c>
      <c r="BL53" s="94">
        <v>3.3844559999999998E-4</v>
      </c>
      <c r="BM53" s="7" t="s">
        <v>76</v>
      </c>
      <c r="BN53" s="13">
        <v>0</v>
      </c>
      <c r="BO53" s="7" t="s">
        <v>76</v>
      </c>
      <c r="BP53" s="13">
        <v>0</v>
      </c>
      <c r="BQ53" s="93">
        <v>54.059819177000001</v>
      </c>
      <c r="BR53" s="94">
        <v>0.18903050630000001</v>
      </c>
      <c r="BS53" s="93">
        <v>0.4218399545</v>
      </c>
      <c r="BT53" s="94">
        <v>2.1572865999999998E-3</v>
      </c>
      <c r="BU53" s="7" t="s">
        <v>76</v>
      </c>
      <c r="BV53" s="13">
        <v>0</v>
      </c>
      <c r="BW53" s="7" t="s">
        <v>76</v>
      </c>
      <c r="BX53" s="13">
        <v>0</v>
      </c>
      <c r="BY53" s="7" t="s">
        <v>76</v>
      </c>
      <c r="BZ53" s="13">
        <v>0</v>
      </c>
      <c r="CA53" s="7" t="s">
        <v>76</v>
      </c>
      <c r="CB53" s="13">
        <v>0</v>
      </c>
      <c r="CC53" s="93">
        <v>0.40027485530000001</v>
      </c>
      <c r="CD53" s="94">
        <v>1.7390874E-3</v>
      </c>
      <c r="CE53" s="93">
        <v>1.1419937E-3</v>
      </c>
      <c r="CF53" s="94">
        <v>1.17922E-5</v>
      </c>
      <c r="CG53" s="93">
        <v>4.1713565088999998</v>
      </c>
      <c r="CH53" s="94">
        <v>1.62317368E-2</v>
      </c>
      <c r="CI53" s="93">
        <v>4.1144303999999998E-3</v>
      </c>
      <c r="CJ53" s="94">
        <v>3.7927199999999998E-5</v>
      </c>
      <c r="CK53" s="6" t="s">
        <v>76</v>
      </c>
      <c r="CL53" s="13">
        <v>0</v>
      </c>
      <c r="CM53" s="7" t="s">
        <v>76</v>
      </c>
      <c r="CN53" s="15">
        <v>0</v>
      </c>
      <c r="CO53" s="93">
        <v>31.082557761</v>
      </c>
      <c r="CP53" s="94">
        <v>0.1772186567</v>
      </c>
      <c r="CQ53" s="93">
        <v>8.6114253700000004E-2</v>
      </c>
      <c r="CR53" s="94">
        <v>6.1854689999999996E-4</v>
      </c>
      <c r="CS53" s="93">
        <v>30.062046705</v>
      </c>
      <c r="CT53" s="94">
        <v>8.0912994599999996E-2</v>
      </c>
      <c r="CU53" s="93">
        <v>0.1497310017</v>
      </c>
      <c r="CV53" s="88">
        <v>1.2575561E-3</v>
      </c>
      <c r="CW53" s="188">
        <v>4.8005492000000004E-3</v>
      </c>
      <c r="CX53" s="189">
        <v>7.3104909999999997E-3</v>
      </c>
      <c r="CY53" s="189">
        <v>7.9771345E-3</v>
      </c>
      <c r="CZ53" s="189">
        <v>8.1702735999999998E-3</v>
      </c>
      <c r="DA53" s="189">
        <v>8.2198604000000008E-3</v>
      </c>
      <c r="DB53" s="189">
        <v>8.2563215999999998E-3</v>
      </c>
      <c r="DC53" s="189">
        <v>8.2721989999999992E-3</v>
      </c>
      <c r="DD53" s="189">
        <v>8.2848264000000005E-3</v>
      </c>
      <c r="DE53" s="189">
        <v>8.2921274999999996E-3</v>
      </c>
      <c r="DF53" s="190">
        <v>8.2974242000000004E-3</v>
      </c>
      <c r="DG53" s="112">
        <v>115.24534859000001</v>
      </c>
      <c r="DH53" s="13">
        <v>1.8130250687</v>
      </c>
      <c r="DI53" s="79">
        <v>81.359417402999995</v>
      </c>
      <c r="DJ53" s="13">
        <v>1.2801783203999999</v>
      </c>
      <c r="DK53" s="79">
        <v>56.719162406000002</v>
      </c>
      <c r="DL53" s="13">
        <v>0.90240541409999997</v>
      </c>
      <c r="DM53" s="79">
        <v>39.417760688999998</v>
      </c>
      <c r="DN53" s="13">
        <v>0.63998856530000003</v>
      </c>
      <c r="DO53" s="79">
        <v>27.558597368000001</v>
      </c>
      <c r="DP53" s="13">
        <v>0.45983656099999998</v>
      </c>
      <c r="DQ53" s="79">
        <v>19.449352384000001</v>
      </c>
      <c r="DR53" s="13">
        <v>0.33501626449999999</v>
      </c>
      <c r="DS53" s="79">
        <v>13.906051165999999</v>
      </c>
      <c r="DT53" s="13">
        <v>0.2477032337</v>
      </c>
      <c r="DU53" s="79">
        <v>10.086307697000001</v>
      </c>
      <c r="DV53" s="13">
        <v>0.18582788729999999</v>
      </c>
      <c r="DW53" s="79">
        <v>7.4164908006000001</v>
      </c>
      <c r="DX53" s="13">
        <v>0.1409002489</v>
      </c>
      <c r="DY53" s="79">
        <v>5.5382979554</v>
      </c>
      <c r="DZ53" s="15">
        <v>0.10804539069999999</v>
      </c>
    </row>
    <row r="54" spans="1:130" x14ac:dyDescent="0.2">
      <c r="A54" s="8">
        <v>4900</v>
      </c>
      <c r="B54" s="82">
        <v>3772</v>
      </c>
      <c r="C54" s="83">
        <v>1732.9751596999999</v>
      </c>
      <c r="D54" s="93">
        <v>4850.7179858</v>
      </c>
      <c r="E54" s="93">
        <v>46.464615432000002</v>
      </c>
      <c r="F54" s="94">
        <v>7.7881660599999999E-2</v>
      </c>
      <c r="G54" s="83">
        <v>9.3858360916999999</v>
      </c>
      <c r="H54" s="94">
        <v>5.0892094999999997E-3</v>
      </c>
      <c r="I54" s="93">
        <v>219.39950909999999</v>
      </c>
      <c r="J54" s="94">
        <v>2.5413937815000001</v>
      </c>
      <c r="K54" s="93">
        <v>358.90900791000001</v>
      </c>
      <c r="L54" s="94">
        <v>2.7283414603999998</v>
      </c>
      <c r="M54" s="93">
        <v>1.5027355907</v>
      </c>
      <c r="N54" s="94">
        <v>9.4540643000000004E-3</v>
      </c>
      <c r="O54" s="37" t="s">
        <v>76</v>
      </c>
      <c r="P54" s="13">
        <v>0</v>
      </c>
      <c r="Q54" s="93">
        <v>57.291723687000001</v>
      </c>
      <c r="R54" s="94">
        <v>0.19842260610000001</v>
      </c>
      <c r="S54" s="37" t="s">
        <v>76</v>
      </c>
      <c r="T54" s="13">
        <v>0</v>
      </c>
      <c r="U54" s="37" t="s">
        <v>76</v>
      </c>
      <c r="V54" s="13">
        <v>0</v>
      </c>
      <c r="W54" s="93">
        <v>0.4807276466</v>
      </c>
      <c r="X54" s="94">
        <v>2.4805094999999998E-3</v>
      </c>
      <c r="Y54" s="93">
        <v>4.8815999949000002</v>
      </c>
      <c r="Z54" s="94">
        <v>1.0203532E-3</v>
      </c>
      <c r="AA54" s="37" t="s">
        <v>76</v>
      </c>
      <c r="AB54" s="13">
        <v>0</v>
      </c>
      <c r="AC54" s="93">
        <v>9.9367649999999993E-4</v>
      </c>
      <c r="AD54" s="94">
        <v>4.2729114000000001E-6</v>
      </c>
      <c r="AE54" s="37" t="s">
        <v>76</v>
      </c>
      <c r="AF54" s="13">
        <v>0</v>
      </c>
      <c r="AG54" s="37" t="s">
        <v>76</v>
      </c>
      <c r="AH54" s="13">
        <v>0</v>
      </c>
      <c r="AI54" s="93">
        <v>9.9367649999999993E-4</v>
      </c>
      <c r="AJ54" s="94">
        <v>4.2729114000000001E-6</v>
      </c>
      <c r="AK54" s="93">
        <v>278.62155179000001</v>
      </c>
      <c r="AL54" s="94">
        <v>1.6212459610000001</v>
      </c>
      <c r="AM54" s="37" t="s">
        <v>76</v>
      </c>
      <c r="AN54" s="13">
        <v>0</v>
      </c>
      <c r="AO54" s="37" t="s">
        <v>76</v>
      </c>
      <c r="AP54" s="13">
        <v>0</v>
      </c>
      <c r="AQ54" s="37" t="s">
        <v>76</v>
      </c>
      <c r="AR54" s="13">
        <v>0</v>
      </c>
      <c r="AS54" s="93">
        <v>38.686454812999997</v>
      </c>
      <c r="AT54" s="94">
        <v>0.61276354349999995</v>
      </c>
      <c r="AU54" s="93">
        <v>38.003359826999997</v>
      </c>
      <c r="AV54" s="94">
        <v>0.2380402734</v>
      </c>
      <c r="AW54" s="93">
        <v>26.325818079000001</v>
      </c>
      <c r="AX54" s="94">
        <v>0.1266295271</v>
      </c>
      <c r="AY54" s="93">
        <v>7.2748101800000002</v>
      </c>
      <c r="AZ54" s="94">
        <v>3.6449314199999999E-2</v>
      </c>
      <c r="BA54" s="79">
        <v>4.4027315683000001</v>
      </c>
      <c r="BB54" s="13">
        <v>7.4961432100000003E-2</v>
      </c>
      <c r="BC54" s="93">
        <v>0</v>
      </c>
      <c r="BD54" s="86">
        <v>0</v>
      </c>
      <c r="BE54" s="93">
        <v>51.123741998</v>
      </c>
      <c r="BF54" s="94">
        <v>0.15720659219999999</v>
      </c>
      <c r="BG54" s="94">
        <v>8.6163416000000007E-3</v>
      </c>
      <c r="BH54" s="86">
        <v>0</v>
      </c>
      <c r="BI54" s="93">
        <v>0.82579553230000002</v>
      </c>
      <c r="BJ54" s="94">
        <v>4.8513222999999996E-3</v>
      </c>
      <c r="BK54" s="93">
        <v>8.2817343200000004E-2</v>
      </c>
      <c r="BL54" s="94">
        <v>3.3897830000000003E-4</v>
      </c>
      <c r="BM54" s="7" t="s">
        <v>76</v>
      </c>
      <c r="BN54" s="13">
        <v>0</v>
      </c>
      <c r="BO54" s="7" t="s">
        <v>76</v>
      </c>
      <c r="BP54" s="13">
        <v>0</v>
      </c>
      <c r="BQ54" s="93">
        <v>55.233894628999998</v>
      </c>
      <c r="BR54" s="94">
        <v>0.19103058210000001</v>
      </c>
      <c r="BS54" s="93">
        <v>0.42826425940000001</v>
      </c>
      <c r="BT54" s="94">
        <v>2.1862775000000001E-3</v>
      </c>
      <c r="BU54" s="7" t="s">
        <v>76</v>
      </c>
      <c r="BV54" s="13">
        <v>0</v>
      </c>
      <c r="BW54" s="7" t="s">
        <v>76</v>
      </c>
      <c r="BX54" s="13">
        <v>0</v>
      </c>
      <c r="BY54" s="7" t="s">
        <v>76</v>
      </c>
      <c r="BZ54" s="13">
        <v>0</v>
      </c>
      <c r="CA54" s="7" t="s">
        <v>76</v>
      </c>
      <c r="CB54" s="13">
        <v>0</v>
      </c>
      <c r="CC54" s="93">
        <v>0.41627595340000001</v>
      </c>
      <c r="CD54" s="94">
        <v>1.8504868E-3</v>
      </c>
      <c r="CE54" s="93">
        <v>1.1377533999999999E-3</v>
      </c>
      <c r="CF54" s="94">
        <v>1.17478E-5</v>
      </c>
      <c r="CG54" s="93">
        <v>4.2884239731999996</v>
      </c>
      <c r="CH54" s="94">
        <v>1.6617650800000001E-2</v>
      </c>
      <c r="CI54" s="93">
        <v>4.1728221999999997E-3</v>
      </c>
      <c r="CJ54" s="94">
        <v>3.8393000000000003E-5</v>
      </c>
      <c r="CK54" s="6" t="s">
        <v>76</v>
      </c>
      <c r="CL54" s="13">
        <v>0</v>
      </c>
      <c r="CM54" s="7" t="s">
        <v>76</v>
      </c>
      <c r="CN54" s="15">
        <v>0</v>
      </c>
      <c r="CO54" s="93">
        <v>31.504240446000001</v>
      </c>
      <c r="CP54" s="94">
        <v>0.17884121359999999</v>
      </c>
      <c r="CQ54" s="93">
        <v>9.1233383000000001E-2</v>
      </c>
      <c r="CR54" s="94">
        <v>6.3519279999999997E-4</v>
      </c>
      <c r="CS54" s="93">
        <v>30.788461255000001</v>
      </c>
      <c r="CT54" s="94">
        <v>8.2207658099999997E-2</v>
      </c>
      <c r="CU54" s="93">
        <v>0.1525460371</v>
      </c>
      <c r="CV54" s="88">
        <v>1.2674638E-3</v>
      </c>
      <c r="CW54" s="188">
        <v>4.9559451000000003E-3</v>
      </c>
      <c r="CX54" s="189">
        <v>7.5574989E-3</v>
      </c>
      <c r="CY54" s="189">
        <v>8.2549955000000008E-3</v>
      </c>
      <c r="CZ54" s="189">
        <v>8.4497245999999998E-3</v>
      </c>
      <c r="DA54" s="189">
        <v>8.4991161000000006E-3</v>
      </c>
      <c r="DB54" s="189">
        <v>8.5354317999999998E-3</v>
      </c>
      <c r="DC54" s="189">
        <v>8.5512461999999994E-3</v>
      </c>
      <c r="DD54" s="189">
        <v>8.5638215000000007E-3</v>
      </c>
      <c r="DE54" s="189">
        <v>8.5710926E-3</v>
      </c>
      <c r="DF54" s="190">
        <v>8.5763660000000002E-3</v>
      </c>
      <c r="DG54" s="112">
        <v>116.18162648000001</v>
      </c>
      <c r="DH54" s="13">
        <v>1.8231751851</v>
      </c>
      <c r="DI54" s="79">
        <v>82.151852571000006</v>
      </c>
      <c r="DJ54" s="13">
        <v>1.2892315955</v>
      </c>
      <c r="DK54" s="79">
        <v>57.372591012999997</v>
      </c>
      <c r="DL54" s="13">
        <v>0.91021559259999996</v>
      </c>
      <c r="DM54" s="79">
        <v>39.950419527999998</v>
      </c>
      <c r="DN54" s="13">
        <v>0.64659013399999998</v>
      </c>
      <c r="DO54" s="79">
        <v>27.987208107000001</v>
      </c>
      <c r="DP54" s="13">
        <v>0.46532372319999998</v>
      </c>
      <c r="DQ54" s="79">
        <v>19.789522549000001</v>
      </c>
      <c r="DR54" s="13">
        <v>0.3395100788</v>
      </c>
      <c r="DS54" s="79">
        <v>14.174810243</v>
      </c>
      <c r="DT54" s="13">
        <v>0.2513755157</v>
      </c>
      <c r="DU54" s="79">
        <v>10.300576510000001</v>
      </c>
      <c r="DV54" s="13">
        <v>0.18883495810000001</v>
      </c>
      <c r="DW54" s="79">
        <v>7.5884712309999998</v>
      </c>
      <c r="DX54" s="13">
        <v>0.14337666020000001</v>
      </c>
      <c r="DY54" s="79">
        <v>5.6730759763999998</v>
      </c>
      <c r="DZ54" s="15">
        <v>0.11005940779999999</v>
      </c>
    </row>
    <row r="55" spans="1:130" x14ac:dyDescent="0.2">
      <c r="A55" s="8">
        <v>5000</v>
      </c>
      <c r="B55" s="82">
        <v>3671</v>
      </c>
      <c r="C55" s="83">
        <v>1749.3917434</v>
      </c>
      <c r="D55" s="93">
        <v>4949.4449791999996</v>
      </c>
      <c r="E55" s="93">
        <v>47.878633462000003</v>
      </c>
      <c r="F55" s="94">
        <v>7.9109593899999997E-2</v>
      </c>
      <c r="G55" s="83">
        <v>9.7938959941999997</v>
      </c>
      <c r="H55" s="94">
        <v>5.2533229000000002E-3</v>
      </c>
      <c r="I55" s="93">
        <v>220.89697287000001</v>
      </c>
      <c r="J55" s="94">
        <v>2.5519458691999999</v>
      </c>
      <c r="K55" s="93">
        <v>363.72434701999998</v>
      </c>
      <c r="L55" s="94">
        <v>2.7524613803000002</v>
      </c>
      <c r="M55" s="93">
        <v>1.5363685619</v>
      </c>
      <c r="N55" s="94">
        <v>9.6353858999999997E-3</v>
      </c>
      <c r="O55" s="37" t="s">
        <v>76</v>
      </c>
      <c r="P55" s="13">
        <v>0</v>
      </c>
      <c r="Q55" s="93">
        <v>58.408672463000002</v>
      </c>
      <c r="R55" s="94">
        <v>0.20039059670000001</v>
      </c>
      <c r="S55" s="37" t="s">
        <v>76</v>
      </c>
      <c r="T55" s="13">
        <v>0</v>
      </c>
      <c r="U55" s="37" t="s">
        <v>76</v>
      </c>
      <c r="V55" s="13">
        <v>0</v>
      </c>
      <c r="W55" s="93">
        <v>0.4864082112</v>
      </c>
      <c r="X55" s="94">
        <v>2.4946387999999998E-3</v>
      </c>
      <c r="Y55" s="93">
        <v>4.9790755305000003</v>
      </c>
      <c r="Z55" s="94">
        <v>1.0346633E-3</v>
      </c>
      <c r="AA55" s="37" t="s">
        <v>76</v>
      </c>
      <c r="AB55" s="13">
        <v>0</v>
      </c>
      <c r="AC55" s="93">
        <v>9.9005050000000008E-4</v>
      </c>
      <c r="AD55" s="94">
        <v>4.2573190000000002E-6</v>
      </c>
      <c r="AE55" s="37" t="s">
        <v>76</v>
      </c>
      <c r="AF55" s="13">
        <v>0</v>
      </c>
      <c r="AG55" s="37" t="s">
        <v>76</v>
      </c>
      <c r="AH55" s="13">
        <v>0</v>
      </c>
      <c r="AI55" s="93">
        <v>9.9005050000000008E-4</v>
      </c>
      <c r="AJ55" s="94">
        <v>4.2573190000000002E-6</v>
      </c>
      <c r="AK55" s="93">
        <v>280.22416326000001</v>
      </c>
      <c r="AL55" s="94">
        <v>1.6274929953999999</v>
      </c>
      <c r="AM55" s="37" t="s">
        <v>76</v>
      </c>
      <c r="AN55" s="13">
        <v>0</v>
      </c>
      <c r="AO55" s="37" t="s">
        <v>76</v>
      </c>
      <c r="AP55" s="13">
        <v>0</v>
      </c>
      <c r="AQ55" s="37" t="s">
        <v>76</v>
      </c>
      <c r="AR55" s="13">
        <v>0</v>
      </c>
      <c r="AS55" s="93">
        <v>39.234608102999999</v>
      </c>
      <c r="AT55" s="94">
        <v>0.61632657639999999</v>
      </c>
      <c r="AU55" s="93">
        <v>38.395688069000002</v>
      </c>
      <c r="AV55" s="94">
        <v>0.2397315146</v>
      </c>
      <c r="AW55" s="93">
        <v>26.597028451</v>
      </c>
      <c r="AX55" s="94">
        <v>0.12756253449999999</v>
      </c>
      <c r="AY55" s="93">
        <v>7.3132150417000004</v>
      </c>
      <c r="AZ55" s="94">
        <v>3.6641338699999998E-2</v>
      </c>
      <c r="BA55" s="79">
        <v>4.4854445762999999</v>
      </c>
      <c r="BB55" s="13">
        <v>7.5527641399999998E-2</v>
      </c>
      <c r="BC55" s="93">
        <v>0</v>
      </c>
      <c r="BD55" s="85">
        <v>0</v>
      </c>
      <c r="BE55" s="93">
        <v>52.541225965999999</v>
      </c>
      <c r="BF55" s="94">
        <v>0.15978994909999999</v>
      </c>
      <c r="BG55" s="94">
        <v>8.9021654999999998E-3</v>
      </c>
      <c r="BH55" s="85">
        <v>0</v>
      </c>
      <c r="BI55" s="93">
        <v>0.8544029407</v>
      </c>
      <c r="BJ55" s="94">
        <v>4.9823610999999999E-3</v>
      </c>
      <c r="BK55" s="93">
        <v>8.3821012299999997E-2</v>
      </c>
      <c r="BL55" s="94">
        <v>3.4459289999999999E-4</v>
      </c>
      <c r="BM55" s="7" t="s">
        <v>76</v>
      </c>
      <c r="BN55" s="13">
        <v>0</v>
      </c>
      <c r="BO55" s="7" t="s">
        <v>76</v>
      </c>
      <c r="BP55" s="13">
        <v>0</v>
      </c>
      <c r="BQ55" s="93">
        <v>56.286613447999997</v>
      </c>
      <c r="BR55" s="94">
        <v>0.1928505683</v>
      </c>
      <c r="BS55" s="93">
        <v>0.43454485749999999</v>
      </c>
      <c r="BT55" s="94">
        <v>2.2140104999999999E-3</v>
      </c>
      <c r="BU55" s="7" t="s">
        <v>76</v>
      </c>
      <c r="BV55" s="13">
        <v>0</v>
      </c>
      <c r="BW55" s="7" t="s">
        <v>76</v>
      </c>
      <c r="BX55" s="13">
        <v>0</v>
      </c>
      <c r="BY55" s="7" t="s">
        <v>76</v>
      </c>
      <c r="BZ55" s="13">
        <v>0</v>
      </c>
      <c r="CA55" s="7" t="s">
        <v>76</v>
      </c>
      <c r="CB55" s="13">
        <v>0</v>
      </c>
      <c r="CC55" s="93">
        <v>0.4220526195</v>
      </c>
      <c r="CD55" s="94">
        <v>1.8661870000000001E-3</v>
      </c>
      <c r="CE55" s="93">
        <v>1.1336318E-3</v>
      </c>
      <c r="CF55" s="94">
        <v>1.1704300000000001E-5</v>
      </c>
      <c r="CG55" s="93">
        <v>4.3842711230000004</v>
      </c>
      <c r="CH55" s="94">
        <v>1.6956795699999999E-2</v>
      </c>
      <c r="CI55" s="93">
        <v>4.1580202999999998E-3</v>
      </c>
      <c r="CJ55" s="94">
        <v>3.8253500000000002E-5</v>
      </c>
      <c r="CK55" s="6" t="s">
        <v>76</v>
      </c>
      <c r="CL55" s="13">
        <v>0</v>
      </c>
      <c r="CM55" s="7" t="s">
        <v>76</v>
      </c>
      <c r="CN55" s="15">
        <v>0</v>
      </c>
      <c r="CO55" s="93">
        <v>31.941690228999999</v>
      </c>
      <c r="CP55" s="94">
        <v>0.1803746712</v>
      </c>
      <c r="CQ55" s="93">
        <v>9.2204230700000001E-2</v>
      </c>
      <c r="CR55" s="94">
        <v>6.3685759999999999E-4</v>
      </c>
      <c r="CS55" s="93">
        <v>31.573032247</v>
      </c>
      <c r="CT55" s="94">
        <v>8.3482124699999993E-2</v>
      </c>
      <c r="CU55" s="93">
        <v>0.15410230380000001</v>
      </c>
      <c r="CV55" s="88">
        <v>1.2747291999999999E-3</v>
      </c>
      <c r="CW55" s="188">
        <v>5.1115224000000004E-3</v>
      </c>
      <c r="CX55" s="189">
        <v>7.7908982000000002E-3</v>
      </c>
      <c r="CY55" s="189">
        <v>8.5254179000000003E-3</v>
      </c>
      <c r="CZ55" s="189">
        <v>8.7298328000000001E-3</v>
      </c>
      <c r="DA55" s="189">
        <v>8.7822078000000005E-3</v>
      </c>
      <c r="DB55" s="189">
        <v>8.8215528999999997E-3</v>
      </c>
      <c r="DC55" s="189">
        <v>8.8373112999999993E-3</v>
      </c>
      <c r="DD55" s="189">
        <v>8.8498411000000003E-3</v>
      </c>
      <c r="DE55" s="189">
        <v>8.8570864999999999E-3</v>
      </c>
      <c r="DF55" s="190">
        <v>8.8623407000000005E-3</v>
      </c>
      <c r="DG55" s="112">
        <v>117.14867759000001</v>
      </c>
      <c r="DH55" s="13">
        <v>1.8330549585</v>
      </c>
      <c r="DI55" s="79">
        <v>82.984392225999997</v>
      </c>
      <c r="DJ55" s="13">
        <v>1.2981035669000001</v>
      </c>
      <c r="DK55" s="79">
        <v>58.072258224000002</v>
      </c>
      <c r="DL55" s="13">
        <v>0.9179450683</v>
      </c>
      <c r="DM55" s="79">
        <v>40.523794138</v>
      </c>
      <c r="DN55" s="13">
        <v>0.65313958760000002</v>
      </c>
      <c r="DO55" s="79">
        <v>28.450808595000002</v>
      </c>
      <c r="DP55" s="13">
        <v>0.47079885849999997</v>
      </c>
      <c r="DQ55" s="79">
        <v>20.164742816</v>
      </c>
      <c r="DR55" s="13">
        <v>0.34405451190000003</v>
      </c>
      <c r="DS55" s="79">
        <v>14.477291097</v>
      </c>
      <c r="DT55" s="13">
        <v>0.25511961989999998</v>
      </c>
      <c r="DU55" s="79">
        <v>10.542627212999999</v>
      </c>
      <c r="DV55" s="13">
        <v>0.1919003537</v>
      </c>
      <c r="DW55" s="79">
        <v>7.7822345037999998</v>
      </c>
      <c r="DX55" s="13">
        <v>0.14588343610000001</v>
      </c>
      <c r="DY55" s="79">
        <v>5.8298031916999999</v>
      </c>
      <c r="DZ55" s="15">
        <v>0.1121159407</v>
      </c>
    </row>
    <row r="56" spans="1:130" x14ac:dyDescent="0.2">
      <c r="A56" s="8">
        <v>5100</v>
      </c>
      <c r="B56" s="82">
        <v>3502</v>
      </c>
      <c r="C56" s="83">
        <v>1765.5227646000001</v>
      </c>
      <c r="D56" s="93">
        <v>5049.5255901999999</v>
      </c>
      <c r="E56" s="93">
        <v>49.158940485000002</v>
      </c>
      <c r="F56" s="94">
        <v>8.0161760200000001E-2</v>
      </c>
      <c r="G56" s="83">
        <v>10.162816871</v>
      </c>
      <c r="H56" s="94">
        <v>5.4032530999999998E-3</v>
      </c>
      <c r="I56" s="93">
        <v>222.29676384999999</v>
      </c>
      <c r="J56" s="94">
        <v>2.5624578466000001</v>
      </c>
      <c r="K56" s="93">
        <v>368.49534629999999</v>
      </c>
      <c r="L56" s="94">
        <v>2.7757828148999999</v>
      </c>
      <c r="M56" s="93">
        <v>1.5722922205000001</v>
      </c>
      <c r="N56" s="94">
        <v>9.8191936999999993E-3</v>
      </c>
      <c r="O56" s="37" t="s">
        <v>76</v>
      </c>
      <c r="P56" s="13">
        <v>0</v>
      </c>
      <c r="Q56" s="93">
        <v>59.456277585000002</v>
      </c>
      <c r="R56" s="94">
        <v>0.20227895330000001</v>
      </c>
      <c r="S56" s="37" t="s">
        <v>76</v>
      </c>
      <c r="T56" s="13">
        <v>0</v>
      </c>
      <c r="U56" s="37" t="s">
        <v>76</v>
      </c>
      <c r="V56" s="13">
        <v>0</v>
      </c>
      <c r="W56" s="93">
        <v>0.49525436049999999</v>
      </c>
      <c r="X56" s="94">
        <v>2.5432516E-3</v>
      </c>
      <c r="Y56" s="93">
        <v>5.1033943390000003</v>
      </c>
      <c r="Z56" s="94">
        <v>1.0437179000000001E-3</v>
      </c>
      <c r="AA56" s="37" t="s">
        <v>76</v>
      </c>
      <c r="AB56" s="13">
        <v>0</v>
      </c>
      <c r="AC56" s="93">
        <v>9.868546000000001E-4</v>
      </c>
      <c r="AD56" s="94">
        <v>4.2435766000000002E-6</v>
      </c>
      <c r="AE56" s="37" t="s">
        <v>76</v>
      </c>
      <c r="AF56" s="13">
        <v>0</v>
      </c>
      <c r="AG56" s="37" t="s">
        <v>76</v>
      </c>
      <c r="AH56" s="13">
        <v>0</v>
      </c>
      <c r="AI56" s="93">
        <v>9.868546000000001E-4</v>
      </c>
      <c r="AJ56" s="94">
        <v>4.2435766000000002E-6</v>
      </c>
      <c r="AK56" s="93">
        <v>281.86740617999999</v>
      </c>
      <c r="AL56" s="94">
        <v>1.6337965418</v>
      </c>
      <c r="AM56" s="37" t="s">
        <v>76</v>
      </c>
      <c r="AN56" s="13">
        <v>0</v>
      </c>
      <c r="AO56" s="37" t="s">
        <v>76</v>
      </c>
      <c r="AP56" s="13">
        <v>0</v>
      </c>
      <c r="AQ56" s="37" t="s">
        <v>76</v>
      </c>
      <c r="AR56" s="13">
        <v>0</v>
      </c>
      <c r="AS56" s="93">
        <v>39.780161464000003</v>
      </c>
      <c r="AT56" s="94">
        <v>0.62002025439999997</v>
      </c>
      <c r="AU56" s="93">
        <v>38.761033824999998</v>
      </c>
      <c r="AV56" s="94">
        <v>0.24136102400000001</v>
      </c>
      <c r="AW56" s="93">
        <v>26.874391032999998</v>
      </c>
      <c r="AX56" s="94">
        <v>0.1284458386</v>
      </c>
      <c r="AY56" s="93">
        <v>7.3510762542999997</v>
      </c>
      <c r="AZ56" s="94">
        <v>3.6828584499999997E-2</v>
      </c>
      <c r="BA56" s="79">
        <v>4.5355665373000003</v>
      </c>
      <c r="BB56" s="13">
        <v>7.6086600899999995E-2</v>
      </c>
      <c r="BC56" s="93">
        <v>0</v>
      </c>
      <c r="BD56" s="85">
        <v>0</v>
      </c>
      <c r="BE56" s="93">
        <v>53.956610920999999</v>
      </c>
      <c r="BF56" s="94">
        <v>0.1624420137</v>
      </c>
      <c r="BG56" s="94">
        <v>9.1753032999999998E-3</v>
      </c>
      <c r="BH56" s="85">
        <v>0</v>
      </c>
      <c r="BI56" s="93">
        <v>0.87988600459999999</v>
      </c>
      <c r="BJ56" s="94">
        <v>5.0869364000000004E-3</v>
      </c>
      <c r="BK56" s="93">
        <v>8.3663617699999998E-2</v>
      </c>
      <c r="BL56" s="94">
        <v>3.4547160000000001E-4</v>
      </c>
      <c r="BM56" s="7" t="s">
        <v>76</v>
      </c>
      <c r="BN56" s="13">
        <v>0</v>
      </c>
      <c r="BO56" s="7" t="s">
        <v>76</v>
      </c>
      <c r="BP56" s="13">
        <v>0</v>
      </c>
      <c r="BQ56" s="93">
        <v>57.300451455999998</v>
      </c>
      <c r="BR56" s="94">
        <v>0.19463865990000001</v>
      </c>
      <c r="BS56" s="93">
        <v>0.44107554259999998</v>
      </c>
      <c r="BT56" s="94">
        <v>2.2481917999999999E-3</v>
      </c>
      <c r="BU56" s="7" t="s">
        <v>76</v>
      </c>
      <c r="BV56" s="13">
        <v>0</v>
      </c>
      <c r="BW56" s="7" t="s">
        <v>76</v>
      </c>
      <c r="BX56" s="13">
        <v>0</v>
      </c>
      <c r="BY56" s="7" t="s">
        <v>76</v>
      </c>
      <c r="BZ56" s="13">
        <v>0</v>
      </c>
      <c r="CA56" s="7" t="s">
        <v>76</v>
      </c>
      <c r="CB56" s="13">
        <v>0</v>
      </c>
      <c r="CC56" s="93">
        <v>0.42814272110000001</v>
      </c>
      <c r="CD56" s="94">
        <v>1.8880012999999999E-3</v>
      </c>
      <c r="CE56" s="93">
        <v>1.129824E-3</v>
      </c>
      <c r="CF56" s="94">
        <v>1.1663399999999999E-5</v>
      </c>
      <c r="CG56" s="93">
        <v>4.4937366015000002</v>
      </c>
      <c r="CH56" s="94">
        <v>1.74085504E-2</v>
      </c>
      <c r="CI56" s="93">
        <v>4.4951879999999998E-3</v>
      </c>
      <c r="CJ56" s="94">
        <v>4.0564300000000001E-5</v>
      </c>
      <c r="CK56" s="6" t="s">
        <v>76</v>
      </c>
      <c r="CL56" s="13">
        <v>0</v>
      </c>
      <c r="CM56" s="7" t="s">
        <v>76</v>
      </c>
      <c r="CN56" s="15">
        <v>0</v>
      </c>
      <c r="CO56" s="93">
        <v>32.395630384999997</v>
      </c>
      <c r="CP56" s="94">
        <v>0.18203448899999999</v>
      </c>
      <c r="CQ56" s="93">
        <v>9.3049810900000002E-2</v>
      </c>
      <c r="CR56" s="94">
        <v>6.4258540000000002E-4</v>
      </c>
      <c r="CS56" s="93">
        <v>32.337604157999998</v>
      </c>
      <c r="CT56" s="94">
        <v>8.47663736E-2</v>
      </c>
      <c r="CU56" s="93">
        <v>0.1564216101</v>
      </c>
      <c r="CV56" s="88">
        <v>1.3044872999999999E-3</v>
      </c>
      <c r="CW56" s="188">
        <v>5.2562764999999996E-3</v>
      </c>
      <c r="CX56" s="189">
        <v>8.0133704000000007E-3</v>
      </c>
      <c r="CY56" s="189">
        <v>8.7809245000000005E-3</v>
      </c>
      <c r="CZ56" s="189">
        <v>8.9941893999999998E-3</v>
      </c>
      <c r="DA56" s="189">
        <v>9.0492495999999999E-3</v>
      </c>
      <c r="DB56" s="189">
        <v>9.0913250000000008E-3</v>
      </c>
      <c r="DC56" s="189">
        <v>9.1088638999999999E-3</v>
      </c>
      <c r="DD56" s="189">
        <v>9.1231847999999997E-3</v>
      </c>
      <c r="DE56" s="189">
        <v>9.1304031999999997E-3</v>
      </c>
      <c r="DF56" s="190">
        <v>9.1356373000000008E-3</v>
      </c>
      <c r="DG56" s="112">
        <v>118.05342855000001</v>
      </c>
      <c r="DH56" s="13">
        <v>1.8428982040999999</v>
      </c>
      <c r="DI56" s="79">
        <v>83.762947939</v>
      </c>
      <c r="DJ56" s="13">
        <v>1.3069599159</v>
      </c>
      <c r="DK56" s="79">
        <v>58.723082830000003</v>
      </c>
      <c r="DL56" s="13">
        <v>0.92563488599999999</v>
      </c>
      <c r="DM56" s="79">
        <v>41.056876223000003</v>
      </c>
      <c r="DN56" s="13">
        <v>0.65964739260000005</v>
      </c>
      <c r="DO56" s="79">
        <v>28.882636311999999</v>
      </c>
      <c r="DP56" s="13">
        <v>0.4762105499</v>
      </c>
      <c r="DQ56" s="79">
        <v>20.511868920000001</v>
      </c>
      <c r="DR56" s="13">
        <v>0.34849542350000001</v>
      </c>
      <c r="DS56" s="79">
        <v>14.753939389999999</v>
      </c>
      <c r="DT56" s="13">
        <v>0.25874317359999999</v>
      </c>
      <c r="DU56" s="79">
        <v>10.764792461000001</v>
      </c>
      <c r="DV56" s="13">
        <v>0.19488339399999999</v>
      </c>
      <c r="DW56" s="79">
        <v>7.9599222483999998</v>
      </c>
      <c r="DX56" s="13">
        <v>0.14833375600000001</v>
      </c>
      <c r="DY56" s="79">
        <v>5.9726739773000004</v>
      </c>
      <c r="DZ56" s="15">
        <v>0.11412765699999999</v>
      </c>
    </row>
    <row r="57" spans="1:130" x14ac:dyDescent="0.2">
      <c r="A57" s="8">
        <v>5200</v>
      </c>
      <c r="B57" s="82">
        <v>3425</v>
      </c>
      <c r="C57" s="83">
        <v>1781.3800776</v>
      </c>
      <c r="D57" s="93">
        <v>5149.7208315999997</v>
      </c>
      <c r="E57" s="93">
        <v>50.403477830999996</v>
      </c>
      <c r="F57" s="94">
        <v>8.1195560400000005E-2</v>
      </c>
      <c r="G57" s="83">
        <v>10.703262174000001</v>
      </c>
      <c r="H57" s="94">
        <v>5.6169606E-3</v>
      </c>
      <c r="I57" s="93">
        <v>223.61668162000001</v>
      </c>
      <c r="J57" s="94">
        <v>2.5728123734000001</v>
      </c>
      <c r="K57" s="93">
        <v>373.15668621999998</v>
      </c>
      <c r="L57" s="94">
        <v>2.7979909362000002</v>
      </c>
      <c r="M57" s="93">
        <v>1.606039953</v>
      </c>
      <c r="N57" s="94">
        <v>9.9649682999999999E-3</v>
      </c>
      <c r="O57" s="37" t="s">
        <v>76</v>
      </c>
      <c r="P57" s="13">
        <v>0</v>
      </c>
      <c r="Q57" s="93">
        <v>60.634387887999999</v>
      </c>
      <c r="R57" s="94">
        <v>0.2041866987</v>
      </c>
      <c r="S57" s="37" t="s">
        <v>76</v>
      </c>
      <c r="T57" s="13">
        <v>0</v>
      </c>
      <c r="U57" s="37" t="s">
        <v>76</v>
      </c>
      <c r="V57" s="13">
        <v>0</v>
      </c>
      <c r="W57" s="93">
        <v>0.50787684690000001</v>
      </c>
      <c r="X57" s="94">
        <v>2.6073927999999999E-3</v>
      </c>
      <c r="Y57" s="93">
        <v>5.2103937035000003</v>
      </c>
      <c r="Z57" s="94">
        <v>1.0725181E-3</v>
      </c>
      <c r="AA57" s="37" t="s">
        <v>76</v>
      </c>
      <c r="AB57" s="13">
        <v>0</v>
      </c>
      <c r="AC57" s="93">
        <v>9.8359449999999992E-4</v>
      </c>
      <c r="AD57" s="94">
        <v>4.2295574999999997E-6</v>
      </c>
      <c r="AE57" s="37" t="s">
        <v>76</v>
      </c>
      <c r="AF57" s="13">
        <v>0</v>
      </c>
      <c r="AG57" s="37" t="s">
        <v>76</v>
      </c>
      <c r="AH57" s="13">
        <v>0</v>
      </c>
      <c r="AI57" s="93">
        <v>9.8359449999999992E-4</v>
      </c>
      <c r="AJ57" s="94">
        <v>4.2295574999999997E-6</v>
      </c>
      <c r="AK57" s="93">
        <v>283.46439106000003</v>
      </c>
      <c r="AL57" s="94">
        <v>1.6401054388</v>
      </c>
      <c r="AM57" s="37" t="s">
        <v>76</v>
      </c>
      <c r="AN57" s="13">
        <v>0</v>
      </c>
      <c r="AO57" s="37" t="s">
        <v>76</v>
      </c>
      <c r="AP57" s="13">
        <v>0</v>
      </c>
      <c r="AQ57" s="37" t="s">
        <v>76</v>
      </c>
      <c r="AR57" s="13">
        <v>0</v>
      </c>
      <c r="AS57" s="93">
        <v>40.388540554000002</v>
      </c>
      <c r="AT57" s="94">
        <v>0.62351478810000005</v>
      </c>
      <c r="AU57" s="93">
        <v>39.160416591999997</v>
      </c>
      <c r="AV57" s="94">
        <v>0.2429460215</v>
      </c>
      <c r="AW57" s="93">
        <v>27.162175791999999</v>
      </c>
      <c r="AX57" s="94">
        <v>0.12933487499999999</v>
      </c>
      <c r="AY57" s="93">
        <v>7.4037099762</v>
      </c>
      <c r="AZ57" s="94">
        <v>3.7038236199999998E-2</v>
      </c>
      <c r="BA57" s="79">
        <v>4.5945308241999996</v>
      </c>
      <c r="BB57" s="13">
        <v>7.6572910399999999E-2</v>
      </c>
      <c r="BC57" s="93">
        <v>0</v>
      </c>
      <c r="BD57" s="85">
        <v>0</v>
      </c>
      <c r="BE57" s="93">
        <v>55.337943676000002</v>
      </c>
      <c r="BF57" s="94">
        <v>0.16504624940000001</v>
      </c>
      <c r="BG57" s="94">
        <v>9.5616455999999999E-3</v>
      </c>
      <c r="BH57" s="85">
        <v>0</v>
      </c>
      <c r="BI57" s="93">
        <v>0.89926578879999997</v>
      </c>
      <c r="BJ57" s="94">
        <v>5.1663745000000002E-3</v>
      </c>
      <c r="BK57" s="93">
        <v>8.3810067299999999E-2</v>
      </c>
      <c r="BL57" s="94">
        <v>3.4549899999999998E-4</v>
      </c>
      <c r="BM57" s="7" t="s">
        <v>76</v>
      </c>
      <c r="BN57" s="13">
        <v>0</v>
      </c>
      <c r="BO57" s="7" t="s">
        <v>76</v>
      </c>
      <c r="BP57" s="13">
        <v>0</v>
      </c>
      <c r="BQ57" s="93">
        <v>58.439264623</v>
      </c>
      <c r="BR57" s="94">
        <v>0.196422662</v>
      </c>
      <c r="BS57" s="93">
        <v>0.4520945804</v>
      </c>
      <c r="BT57" s="94">
        <v>2.2858507000000001E-3</v>
      </c>
      <c r="BU57" s="7" t="s">
        <v>76</v>
      </c>
      <c r="BV57" s="13">
        <v>0</v>
      </c>
      <c r="BW57" s="7" t="s">
        <v>76</v>
      </c>
      <c r="BX57" s="13">
        <v>0</v>
      </c>
      <c r="BY57" s="7" t="s">
        <v>76</v>
      </c>
      <c r="BZ57" s="13">
        <v>0</v>
      </c>
      <c r="CA57" s="7" t="s">
        <v>76</v>
      </c>
      <c r="CB57" s="13">
        <v>0</v>
      </c>
      <c r="CC57" s="93">
        <v>0.44091887070000002</v>
      </c>
      <c r="CD57" s="94">
        <v>1.9543359000000001E-3</v>
      </c>
      <c r="CE57" s="93">
        <v>1.1918237999999999E-3</v>
      </c>
      <c r="CF57" s="94">
        <v>1.22472E-5</v>
      </c>
      <c r="CG57" s="93">
        <v>4.5951123814999999</v>
      </c>
      <c r="CH57" s="94">
        <v>1.78044607E-2</v>
      </c>
      <c r="CI57" s="93">
        <v>4.5495301E-3</v>
      </c>
      <c r="CJ57" s="94">
        <v>4.3978299999999999E-5</v>
      </c>
      <c r="CK57" s="6" t="s">
        <v>76</v>
      </c>
      <c r="CL57" s="13">
        <v>0</v>
      </c>
      <c r="CM57" s="7" t="s">
        <v>76</v>
      </c>
      <c r="CN57" s="15">
        <v>0</v>
      </c>
      <c r="CO57" s="93">
        <v>32.888269403999999</v>
      </c>
      <c r="CP57" s="94">
        <v>0.1836512092</v>
      </c>
      <c r="CQ57" s="93">
        <v>9.2941495999999998E-2</v>
      </c>
      <c r="CR57" s="94">
        <v>6.50594E-4</v>
      </c>
      <c r="CS57" s="93">
        <v>33.132668649000003</v>
      </c>
      <c r="CT57" s="94">
        <v>8.60494807E-2</v>
      </c>
      <c r="CU57" s="93">
        <v>0.160783916</v>
      </c>
      <c r="CV57" s="88">
        <v>1.3253182000000001E-3</v>
      </c>
      <c r="CW57" s="188">
        <v>5.4620386E-3</v>
      </c>
      <c r="CX57" s="189">
        <v>8.3355032000000003E-3</v>
      </c>
      <c r="CY57" s="189">
        <v>9.1442542999999998E-3</v>
      </c>
      <c r="CZ57" s="189">
        <v>9.3735525999999996E-3</v>
      </c>
      <c r="DA57" s="189">
        <v>9.4313016000000006E-3</v>
      </c>
      <c r="DB57" s="189">
        <v>9.475186E-3</v>
      </c>
      <c r="DC57" s="189">
        <v>9.4931287000000007E-3</v>
      </c>
      <c r="DD57" s="189">
        <v>9.5078631999999993E-3</v>
      </c>
      <c r="DE57" s="189">
        <v>9.5155190999999997E-3</v>
      </c>
      <c r="DF57" s="190">
        <v>9.5211966999999998E-3</v>
      </c>
      <c r="DG57" s="112">
        <v>118.90533511</v>
      </c>
      <c r="DH57" s="13">
        <v>1.8526155287999999</v>
      </c>
      <c r="DI57" s="79">
        <v>84.494740501999999</v>
      </c>
      <c r="DJ57" s="13">
        <v>1.315717553</v>
      </c>
      <c r="DK57" s="79">
        <v>59.334880005999999</v>
      </c>
      <c r="DL57" s="13">
        <v>0.93326965340000001</v>
      </c>
      <c r="DM57" s="79">
        <v>41.561391311999998</v>
      </c>
      <c r="DN57" s="13">
        <v>0.66615657090000002</v>
      </c>
      <c r="DO57" s="79">
        <v>29.292122589000002</v>
      </c>
      <c r="DP57" s="13">
        <v>0.48167512509999999</v>
      </c>
      <c r="DQ57" s="79">
        <v>20.843362572</v>
      </c>
      <c r="DR57" s="13">
        <v>0.35303655550000002</v>
      </c>
      <c r="DS57" s="79">
        <v>15.020697200000001</v>
      </c>
      <c r="DT57" s="13">
        <v>0.26249830270000002</v>
      </c>
      <c r="DU57" s="79">
        <v>10.981120777999999</v>
      </c>
      <c r="DV57" s="13">
        <v>0.19799499230000001</v>
      </c>
      <c r="DW57" s="79">
        <v>8.1355987915999997</v>
      </c>
      <c r="DX57" s="13">
        <v>0.1509220144</v>
      </c>
      <c r="DY57" s="79">
        <v>6.1167179281999999</v>
      </c>
      <c r="DZ57" s="15">
        <v>0.116287271</v>
      </c>
    </row>
    <row r="58" spans="1:130" x14ac:dyDescent="0.2">
      <c r="A58" s="8">
        <v>5300</v>
      </c>
      <c r="B58" s="82">
        <v>3266</v>
      </c>
      <c r="C58" s="83">
        <v>1796.9661779</v>
      </c>
      <c r="D58" s="93">
        <v>5249.3570281000002</v>
      </c>
      <c r="E58" s="93">
        <v>51.762151586999998</v>
      </c>
      <c r="F58" s="94">
        <v>8.2236187299999999E-2</v>
      </c>
      <c r="G58" s="83">
        <v>11.203343876</v>
      </c>
      <c r="H58" s="94">
        <v>5.8103490000000002E-3</v>
      </c>
      <c r="I58" s="93">
        <v>224.90129053000001</v>
      </c>
      <c r="J58" s="94">
        <v>2.5823366352999999</v>
      </c>
      <c r="K58" s="93">
        <v>377.77986525</v>
      </c>
      <c r="L58" s="94">
        <v>2.8205300000000002</v>
      </c>
      <c r="M58" s="93">
        <v>1.6507754733</v>
      </c>
      <c r="N58" s="94">
        <v>1.01836554E-2</v>
      </c>
      <c r="O58" s="37" t="s">
        <v>76</v>
      </c>
      <c r="P58" s="13">
        <v>0</v>
      </c>
      <c r="Q58" s="93">
        <v>61.782771027000003</v>
      </c>
      <c r="R58" s="94">
        <v>0.20595537</v>
      </c>
      <c r="S58" s="37" t="s">
        <v>76</v>
      </c>
      <c r="T58" s="13">
        <v>0</v>
      </c>
      <c r="U58" s="37" t="s">
        <v>76</v>
      </c>
      <c r="V58" s="13">
        <v>0</v>
      </c>
      <c r="W58" s="93">
        <v>0.52058573029999999</v>
      </c>
      <c r="X58" s="94">
        <v>2.6407161E-3</v>
      </c>
      <c r="Y58" s="93">
        <v>5.3064979268999997</v>
      </c>
      <c r="Z58" s="94">
        <v>1.0773177E-3</v>
      </c>
      <c r="AA58" s="37" t="s">
        <v>76</v>
      </c>
      <c r="AB58" s="13">
        <v>0</v>
      </c>
      <c r="AC58" s="93">
        <v>9.8056279999999998E-4</v>
      </c>
      <c r="AD58" s="94">
        <v>4.2165211000000001E-6</v>
      </c>
      <c r="AE58" s="37" t="s">
        <v>76</v>
      </c>
      <c r="AF58" s="13">
        <v>0</v>
      </c>
      <c r="AG58" s="37" t="s">
        <v>76</v>
      </c>
      <c r="AH58" s="13">
        <v>0</v>
      </c>
      <c r="AI58" s="93">
        <v>9.8056279999999998E-4</v>
      </c>
      <c r="AJ58" s="94">
        <v>4.2165211000000001E-6</v>
      </c>
      <c r="AK58" s="93">
        <v>284.98436593999998</v>
      </c>
      <c r="AL58" s="94">
        <v>1.6459355843000001</v>
      </c>
      <c r="AM58" s="37" t="s">
        <v>76</v>
      </c>
      <c r="AN58" s="13">
        <v>0</v>
      </c>
      <c r="AO58" s="37" t="s">
        <v>76</v>
      </c>
      <c r="AP58" s="13">
        <v>0</v>
      </c>
      <c r="AQ58" s="37" t="s">
        <v>76</v>
      </c>
      <c r="AR58" s="13">
        <v>0</v>
      </c>
      <c r="AS58" s="93">
        <v>40.977561778999998</v>
      </c>
      <c r="AT58" s="94">
        <v>0.62699143869999996</v>
      </c>
      <c r="AU58" s="93">
        <v>39.528813497999998</v>
      </c>
      <c r="AV58" s="94">
        <v>0.24454570580000001</v>
      </c>
      <c r="AW58" s="93">
        <v>27.437322694999999</v>
      </c>
      <c r="AX58" s="94">
        <v>0.13022950320000001</v>
      </c>
      <c r="AY58" s="93">
        <v>7.4418172671000002</v>
      </c>
      <c r="AZ58" s="94">
        <v>3.7203713300000003E-2</v>
      </c>
      <c r="BA58" s="79">
        <v>4.6496735358999999</v>
      </c>
      <c r="BB58" s="13">
        <v>7.7112489199999995E-2</v>
      </c>
      <c r="BC58" s="93">
        <v>0</v>
      </c>
      <c r="BD58" s="85">
        <v>0</v>
      </c>
      <c r="BE58" s="93">
        <v>56.706444339000001</v>
      </c>
      <c r="BF58" s="94">
        <v>0.16743454260000001</v>
      </c>
      <c r="BG58" s="94">
        <v>9.9068049999999994E-3</v>
      </c>
      <c r="BH58" s="85">
        <v>0</v>
      </c>
      <c r="BI58" s="93">
        <v>0.92398148059999996</v>
      </c>
      <c r="BJ58" s="94">
        <v>5.2765260999999997E-3</v>
      </c>
      <c r="BK58" s="93">
        <v>8.4794112199999994E-2</v>
      </c>
      <c r="BL58" s="94">
        <v>3.4919889999999998E-4</v>
      </c>
      <c r="BM58" s="7" t="s">
        <v>76</v>
      </c>
      <c r="BN58" s="13">
        <v>0</v>
      </c>
      <c r="BO58" s="7" t="s">
        <v>76</v>
      </c>
      <c r="BP58" s="13">
        <v>0</v>
      </c>
      <c r="BQ58" s="93">
        <v>59.537623134</v>
      </c>
      <c r="BR58" s="94">
        <v>0.19803942399999999</v>
      </c>
      <c r="BS58" s="93">
        <v>0.45684065800000001</v>
      </c>
      <c r="BT58" s="94">
        <v>2.3054843000000001E-3</v>
      </c>
      <c r="BU58" s="7" t="s">
        <v>76</v>
      </c>
      <c r="BV58" s="13">
        <v>0</v>
      </c>
      <c r="BW58" s="7" t="s">
        <v>76</v>
      </c>
      <c r="BX58" s="13">
        <v>0</v>
      </c>
      <c r="BY58" s="7" t="s">
        <v>76</v>
      </c>
      <c r="BZ58" s="13">
        <v>0</v>
      </c>
      <c r="CA58" s="7" t="s">
        <v>76</v>
      </c>
      <c r="CB58" s="13">
        <v>0</v>
      </c>
      <c r="CC58" s="93">
        <v>0.4538398354</v>
      </c>
      <c r="CD58" s="94">
        <v>1.9897545E-3</v>
      </c>
      <c r="CE58" s="93">
        <v>1.1876427000000001E-3</v>
      </c>
      <c r="CF58" s="94">
        <v>1.22046E-5</v>
      </c>
      <c r="CG58" s="93">
        <v>4.6831162000999997</v>
      </c>
      <c r="CH58" s="94">
        <v>1.8105690300000001E-2</v>
      </c>
      <c r="CI58" s="93">
        <v>4.5354297000000003E-3</v>
      </c>
      <c r="CJ58" s="94">
        <v>4.3835899999999998E-5</v>
      </c>
      <c r="CK58" s="6" t="s">
        <v>76</v>
      </c>
      <c r="CL58" s="13">
        <v>0</v>
      </c>
      <c r="CM58" s="7" t="s">
        <v>76</v>
      </c>
      <c r="CN58" s="15">
        <v>0</v>
      </c>
      <c r="CO58" s="93">
        <v>33.370965503000001</v>
      </c>
      <c r="CP58" s="94">
        <v>0.18526946029999999</v>
      </c>
      <c r="CQ58" s="93">
        <v>9.2628410499999994E-2</v>
      </c>
      <c r="CR58" s="94">
        <v>6.5415600000000003E-4</v>
      </c>
      <c r="CS58" s="93">
        <v>33.883987509000001</v>
      </c>
      <c r="CT58" s="94">
        <v>8.7246743099999996E-2</v>
      </c>
      <c r="CU58" s="93">
        <v>0.16400055899999999</v>
      </c>
      <c r="CV58" s="88">
        <v>1.3454622E-3</v>
      </c>
      <c r="CW58" s="188">
        <v>5.6388931000000003E-3</v>
      </c>
      <c r="CX58" s="189">
        <v>8.6094519000000005E-3</v>
      </c>
      <c r="CY58" s="189">
        <v>9.4537217000000007E-3</v>
      </c>
      <c r="CZ58" s="189">
        <v>9.7014900999999997E-3</v>
      </c>
      <c r="DA58" s="189">
        <v>9.7627384000000001E-3</v>
      </c>
      <c r="DB58" s="189">
        <v>9.8101679999999993E-3</v>
      </c>
      <c r="DC58" s="189">
        <v>9.8297971000000008E-3</v>
      </c>
      <c r="DD58" s="189">
        <v>9.8462271000000004E-3</v>
      </c>
      <c r="DE58" s="189">
        <v>9.8556019000000002E-3</v>
      </c>
      <c r="DF58" s="190">
        <v>9.8630040999999995E-3</v>
      </c>
      <c r="DG58" s="112">
        <v>119.72693503000001</v>
      </c>
      <c r="DH58" s="13">
        <v>1.8614936422999999</v>
      </c>
      <c r="DI58" s="79">
        <v>85.196002256</v>
      </c>
      <c r="DJ58" s="13">
        <v>1.3236752409000001</v>
      </c>
      <c r="DK58" s="79">
        <v>59.919127752999998</v>
      </c>
      <c r="DL58" s="13">
        <v>0.94018066680000001</v>
      </c>
      <c r="DM58" s="79">
        <v>42.036364229999997</v>
      </c>
      <c r="DN58" s="13">
        <v>0.672006251</v>
      </c>
      <c r="DO58" s="79">
        <v>29.675833918999999</v>
      </c>
      <c r="DP58" s="13">
        <v>0.48657399690000003</v>
      </c>
      <c r="DQ58" s="79">
        <v>21.153544425</v>
      </c>
      <c r="DR58" s="13">
        <v>0.35711682480000001</v>
      </c>
      <c r="DS58" s="79">
        <v>15.271561617</v>
      </c>
      <c r="DT58" s="13">
        <v>0.26588889739999999</v>
      </c>
      <c r="DU58" s="79">
        <v>11.184143733000001</v>
      </c>
      <c r="DV58" s="13">
        <v>0.20080643479999999</v>
      </c>
      <c r="DW58" s="79">
        <v>8.3021607991999993</v>
      </c>
      <c r="DX58" s="13">
        <v>0.1532721883</v>
      </c>
      <c r="DY58" s="79">
        <v>6.2534165990000004</v>
      </c>
      <c r="DZ58" s="15">
        <v>0.1182461799</v>
      </c>
    </row>
    <row r="59" spans="1:130" x14ac:dyDescent="0.2">
      <c r="A59" s="8">
        <v>5400</v>
      </c>
      <c r="B59" s="82">
        <v>3159</v>
      </c>
      <c r="C59" s="83">
        <v>1812.2949719999999</v>
      </c>
      <c r="D59" s="93">
        <v>5349.5430497999996</v>
      </c>
      <c r="E59" s="93">
        <v>53.053425599000001</v>
      </c>
      <c r="F59" s="94">
        <v>8.3205629899999994E-2</v>
      </c>
      <c r="G59" s="83">
        <v>11.635474707</v>
      </c>
      <c r="H59" s="94">
        <v>5.9712165999999999E-3</v>
      </c>
      <c r="I59" s="93">
        <v>226.09018026000001</v>
      </c>
      <c r="J59" s="94">
        <v>2.5911752626000002</v>
      </c>
      <c r="K59" s="93">
        <v>382.35172322</v>
      </c>
      <c r="L59" s="94">
        <v>2.8426072761999999</v>
      </c>
      <c r="M59" s="93">
        <v>1.6916057465000001</v>
      </c>
      <c r="N59" s="94">
        <v>1.03646602E-2</v>
      </c>
      <c r="O59" s="37" t="s">
        <v>76</v>
      </c>
      <c r="P59" s="13">
        <v>0</v>
      </c>
      <c r="Q59" s="93">
        <v>62.815743908999998</v>
      </c>
      <c r="R59" s="94">
        <v>0.2076553458</v>
      </c>
      <c r="S59" s="37" t="s">
        <v>76</v>
      </c>
      <c r="T59" s="13">
        <v>0</v>
      </c>
      <c r="U59" s="37" t="s">
        <v>76</v>
      </c>
      <c r="V59" s="13">
        <v>0</v>
      </c>
      <c r="W59" s="93">
        <v>0.52538339700000003</v>
      </c>
      <c r="X59" s="94">
        <v>2.6704082000000001E-3</v>
      </c>
      <c r="Y59" s="93">
        <v>5.4185163771999996</v>
      </c>
      <c r="Z59" s="94">
        <v>1.0898549E-3</v>
      </c>
      <c r="AA59" s="37" t="s">
        <v>76</v>
      </c>
      <c r="AB59" s="13">
        <v>0</v>
      </c>
      <c r="AC59" s="93">
        <v>9.7758409999999991E-4</v>
      </c>
      <c r="AD59" s="94">
        <v>4.2037124000000002E-6</v>
      </c>
      <c r="AE59" s="37" t="s">
        <v>76</v>
      </c>
      <c r="AF59" s="13">
        <v>0</v>
      </c>
      <c r="AG59" s="37" t="s">
        <v>76</v>
      </c>
      <c r="AH59" s="13">
        <v>0</v>
      </c>
      <c r="AI59" s="93">
        <v>9.7758409999999991E-4</v>
      </c>
      <c r="AJ59" s="94">
        <v>4.2037124000000002E-6</v>
      </c>
      <c r="AK59" s="93">
        <v>286.45957046000001</v>
      </c>
      <c r="AL59" s="94">
        <v>1.6517441443000001</v>
      </c>
      <c r="AM59" s="37" t="s">
        <v>76</v>
      </c>
      <c r="AN59" s="13">
        <v>0</v>
      </c>
      <c r="AO59" s="37" t="s">
        <v>76</v>
      </c>
      <c r="AP59" s="13">
        <v>0</v>
      </c>
      <c r="AQ59" s="37" t="s">
        <v>76</v>
      </c>
      <c r="AR59" s="13">
        <v>0</v>
      </c>
      <c r="AS59" s="93">
        <v>41.483018397000002</v>
      </c>
      <c r="AT59" s="94">
        <v>0.63029678440000003</v>
      </c>
      <c r="AU59" s="93">
        <v>39.852766764000002</v>
      </c>
      <c r="AV59" s="94">
        <v>0.24596804329999999</v>
      </c>
      <c r="AW59" s="93">
        <v>27.688537720999999</v>
      </c>
      <c r="AX59" s="94">
        <v>0.1311091103</v>
      </c>
      <c r="AY59" s="93">
        <v>7.4762463948000004</v>
      </c>
      <c r="AZ59" s="94">
        <v>3.7337012900000001E-2</v>
      </c>
      <c r="BA59" s="79">
        <v>4.6879826475000002</v>
      </c>
      <c r="BB59" s="13">
        <v>7.7521920199999997E-2</v>
      </c>
      <c r="BC59" s="93">
        <v>0</v>
      </c>
      <c r="BD59" s="85">
        <v>0</v>
      </c>
      <c r="BE59" s="93">
        <v>58.151344838</v>
      </c>
      <c r="BF59" s="94">
        <v>0.1697873339</v>
      </c>
      <c r="BG59" s="94">
        <v>1.0206891399999999E-2</v>
      </c>
      <c r="BH59" s="85">
        <v>0</v>
      </c>
      <c r="BI59" s="93">
        <v>0.94555878810000005</v>
      </c>
      <c r="BJ59" s="94">
        <v>5.3642521000000004E-3</v>
      </c>
      <c r="BK59" s="93">
        <v>8.8031526499999999E-2</v>
      </c>
      <c r="BL59" s="94">
        <v>3.5950629999999999E-4</v>
      </c>
      <c r="BM59" s="7" t="s">
        <v>76</v>
      </c>
      <c r="BN59" s="13">
        <v>0</v>
      </c>
      <c r="BO59" s="7" t="s">
        <v>76</v>
      </c>
      <c r="BP59" s="13">
        <v>0</v>
      </c>
      <c r="BQ59" s="93">
        <v>60.514407886000001</v>
      </c>
      <c r="BR59" s="94">
        <v>0.19960251649999999</v>
      </c>
      <c r="BS59" s="93">
        <v>0.4618632104</v>
      </c>
      <c r="BT59" s="94">
        <v>2.3222923999999998E-3</v>
      </c>
      <c r="BU59" s="7" t="s">
        <v>76</v>
      </c>
      <c r="BV59" s="13">
        <v>0</v>
      </c>
      <c r="BW59" s="7" t="s">
        <v>76</v>
      </c>
      <c r="BX59" s="13">
        <v>0</v>
      </c>
      <c r="BY59" s="7" t="s">
        <v>76</v>
      </c>
      <c r="BZ59" s="13">
        <v>0</v>
      </c>
      <c r="CA59" s="7" t="s">
        <v>76</v>
      </c>
      <c r="CB59" s="13">
        <v>0</v>
      </c>
      <c r="CC59" s="93">
        <v>0.4553566684</v>
      </c>
      <c r="CD59" s="94">
        <v>1.9972487999999999E-3</v>
      </c>
      <c r="CE59" s="93">
        <v>1.1842299000000001E-3</v>
      </c>
      <c r="CF59" s="94">
        <v>1.2167100000000001E-5</v>
      </c>
      <c r="CG59" s="93">
        <v>4.7842904808000002</v>
      </c>
      <c r="CH59" s="94">
        <v>1.8528238799999999E-2</v>
      </c>
      <c r="CI59" s="93">
        <v>5.5710608999999999E-3</v>
      </c>
      <c r="CJ59" s="94">
        <v>4.5393899999999999E-5</v>
      </c>
      <c r="CK59" s="6" t="s">
        <v>76</v>
      </c>
      <c r="CL59" s="13">
        <v>0</v>
      </c>
      <c r="CM59" s="7" t="s">
        <v>76</v>
      </c>
      <c r="CN59" s="15">
        <v>0</v>
      </c>
      <c r="CO59" s="93">
        <v>33.754629602000001</v>
      </c>
      <c r="CP59" s="94">
        <v>0.18659856950000001</v>
      </c>
      <c r="CQ59" s="93">
        <v>9.3863359100000002E-2</v>
      </c>
      <c r="CR59" s="94">
        <v>6.5875269999999999E-4</v>
      </c>
      <c r="CS59" s="93">
        <v>34.664482792999998</v>
      </c>
      <c r="CT59" s="94">
        <v>8.8441011900000005E-2</v>
      </c>
      <c r="CU59" s="93">
        <v>0.16848654299999999</v>
      </c>
      <c r="CV59" s="88">
        <v>1.3564035999999999E-3</v>
      </c>
      <c r="CW59" s="188">
        <v>5.7935225999999999E-3</v>
      </c>
      <c r="CX59" s="189">
        <v>8.8487310999999999E-3</v>
      </c>
      <c r="CY59" s="189">
        <v>9.7376262000000002E-3</v>
      </c>
      <c r="CZ59" s="189">
        <v>9.9968890999999997E-3</v>
      </c>
      <c r="DA59" s="189">
        <v>1.0059931500000001E-2</v>
      </c>
      <c r="DB59" s="189">
        <v>1.01091975E-2</v>
      </c>
      <c r="DC59" s="189">
        <v>1.01292234E-2</v>
      </c>
      <c r="DD59" s="189">
        <v>1.01460597E-2</v>
      </c>
      <c r="DE59" s="189">
        <v>1.01558629E-2</v>
      </c>
      <c r="DF59" s="190">
        <v>1.01632414E-2</v>
      </c>
      <c r="DG59" s="112">
        <v>120.49651985</v>
      </c>
      <c r="DH59" s="13">
        <v>1.8697648046999999</v>
      </c>
      <c r="DI59" s="79">
        <v>85.857227656000006</v>
      </c>
      <c r="DJ59" s="13">
        <v>1.3311061515</v>
      </c>
      <c r="DK59" s="79">
        <v>60.472411764</v>
      </c>
      <c r="DL59" s="13">
        <v>0.94662695509999994</v>
      </c>
      <c r="DM59" s="79">
        <v>42.490951531</v>
      </c>
      <c r="DN59" s="13">
        <v>0.67748586030000002</v>
      </c>
      <c r="DO59" s="79">
        <v>30.043333228000002</v>
      </c>
      <c r="DP59" s="13">
        <v>0.49114748390000001</v>
      </c>
      <c r="DQ59" s="79">
        <v>21.451613535</v>
      </c>
      <c r="DR59" s="13">
        <v>0.36091943139999999</v>
      </c>
      <c r="DS59" s="79">
        <v>15.509019451</v>
      </c>
      <c r="DT59" s="13">
        <v>0.26901159730000002</v>
      </c>
      <c r="DU59" s="79">
        <v>11.375172815000001</v>
      </c>
      <c r="DV59" s="13">
        <v>0.20336539470000001</v>
      </c>
      <c r="DW59" s="79">
        <v>8.4568119228</v>
      </c>
      <c r="DX59" s="13">
        <v>0.15536533459999999</v>
      </c>
      <c r="DY59" s="79">
        <v>6.3779763586999998</v>
      </c>
      <c r="DZ59" s="15">
        <v>0.1199442949</v>
      </c>
    </row>
    <row r="60" spans="1:130" x14ac:dyDescent="0.2">
      <c r="A60" s="8">
        <v>5500</v>
      </c>
      <c r="B60" s="82">
        <v>3124</v>
      </c>
      <c r="C60" s="83">
        <v>1827.370028</v>
      </c>
      <c r="D60" s="93">
        <v>5450.0468953999998</v>
      </c>
      <c r="E60" s="93">
        <v>54.436924826999999</v>
      </c>
      <c r="F60" s="94">
        <v>8.4208572499999995E-2</v>
      </c>
      <c r="G60" s="83">
        <v>11.984096538999999</v>
      </c>
      <c r="H60" s="94">
        <v>6.1036672000000002E-3</v>
      </c>
      <c r="I60" s="93">
        <v>227.54744706</v>
      </c>
      <c r="J60" s="94">
        <v>2.6012672223000002</v>
      </c>
      <c r="K60" s="93">
        <v>386.96161131000002</v>
      </c>
      <c r="L60" s="94">
        <v>2.8643419186000001</v>
      </c>
      <c r="M60" s="93">
        <v>1.7316313192999999</v>
      </c>
      <c r="N60" s="94">
        <v>1.05736445E-2</v>
      </c>
      <c r="O60" s="37" t="s">
        <v>76</v>
      </c>
      <c r="P60" s="13">
        <v>0</v>
      </c>
      <c r="Q60" s="93">
        <v>63.929684311000003</v>
      </c>
      <c r="R60" s="94">
        <v>0.2095377739</v>
      </c>
      <c r="S60" s="37" t="s">
        <v>76</v>
      </c>
      <c r="T60" s="13">
        <v>0</v>
      </c>
      <c r="U60" s="37" t="s">
        <v>76</v>
      </c>
      <c r="V60" s="13">
        <v>0</v>
      </c>
      <c r="W60" s="93">
        <v>0.52755325980000001</v>
      </c>
      <c r="X60" s="94">
        <v>2.6720932E-3</v>
      </c>
      <c r="Y60" s="93">
        <v>5.5542121910000004</v>
      </c>
      <c r="Z60" s="94">
        <v>1.0984362E-3</v>
      </c>
      <c r="AA60" s="37" t="s">
        <v>76</v>
      </c>
      <c r="AB60" s="13">
        <v>0</v>
      </c>
      <c r="AC60" s="93">
        <v>1.3883213E-3</v>
      </c>
      <c r="AD60" s="94">
        <v>5.2112791000000004E-6</v>
      </c>
      <c r="AE60" s="37" t="s">
        <v>76</v>
      </c>
      <c r="AF60" s="13">
        <v>0</v>
      </c>
      <c r="AG60" s="37" t="s">
        <v>76</v>
      </c>
      <c r="AH60" s="13">
        <v>0</v>
      </c>
      <c r="AI60" s="93">
        <v>1.3883213E-3</v>
      </c>
      <c r="AJ60" s="94">
        <v>5.2112791000000004E-6</v>
      </c>
      <c r="AK60" s="93">
        <v>287.95087286</v>
      </c>
      <c r="AL60" s="94">
        <v>1.6577442223000001</v>
      </c>
      <c r="AM60" s="37" t="s">
        <v>76</v>
      </c>
      <c r="AN60" s="13">
        <v>0</v>
      </c>
      <c r="AO60" s="37" t="s">
        <v>76</v>
      </c>
      <c r="AP60" s="13">
        <v>0</v>
      </c>
      <c r="AQ60" s="37" t="s">
        <v>76</v>
      </c>
      <c r="AR60" s="13">
        <v>0</v>
      </c>
      <c r="AS60" s="93">
        <v>42.096755680999998</v>
      </c>
      <c r="AT60" s="94">
        <v>0.63409852010000001</v>
      </c>
      <c r="AU60" s="93">
        <v>40.259774458999999</v>
      </c>
      <c r="AV60" s="94">
        <v>0.24768563160000001</v>
      </c>
      <c r="AW60" s="93">
        <v>27.981820465999999</v>
      </c>
      <c r="AX60" s="94">
        <v>0.1320602722</v>
      </c>
      <c r="AY60" s="93">
        <v>7.5238881676</v>
      </c>
      <c r="AZ60" s="94">
        <v>3.7519038300000002E-2</v>
      </c>
      <c r="BA60" s="79">
        <v>4.7540658254999997</v>
      </c>
      <c r="BB60" s="13">
        <v>7.8106321100000001E-2</v>
      </c>
      <c r="BC60" s="93">
        <v>0</v>
      </c>
      <c r="BD60" s="85">
        <v>0</v>
      </c>
      <c r="BE60" s="93">
        <v>59.527578665999997</v>
      </c>
      <c r="BF60" s="94">
        <v>0.17242637450000001</v>
      </c>
      <c r="BG60" s="94">
        <v>1.04803129E-2</v>
      </c>
      <c r="BH60" s="85">
        <v>0</v>
      </c>
      <c r="BI60" s="93">
        <v>0.97027294610000003</v>
      </c>
      <c r="BJ60" s="94">
        <v>5.4919423000000002E-3</v>
      </c>
      <c r="BK60" s="93">
        <v>8.7768656400000006E-2</v>
      </c>
      <c r="BL60" s="94">
        <v>3.5841650000000003E-4</v>
      </c>
      <c r="BM60" s="7" t="s">
        <v>76</v>
      </c>
      <c r="BN60" s="13">
        <v>0</v>
      </c>
      <c r="BO60" s="7" t="s">
        <v>76</v>
      </c>
      <c r="BP60" s="13">
        <v>0</v>
      </c>
      <c r="BQ60" s="93">
        <v>61.590662322999997</v>
      </c>
      <c r="BR60" s="94">
        <v>0.2013604323</v>
      </c>
      <c r="BS60" s="93">
        <v>0.46745052929999997</v>
      </c>
      <c r="BT60" s="94">
        <v>2.3476780000000002E-3</v>
      </c>
      <c r="BU60" s="7" t="s">
        <v>76</v>
      </c>
      <c r="BV60" s="13">
        <v>0</v>
      </c>
      <c r="BW60" s="7" t="s">
        <v>76</v>
      </c>
      <c r="BX60" s="13">
        <v>0</v>
      </c>
      <c r="BY60" s="7" t="s">
        <v>76</v>
      </c>
      <c r="BZ60" s="13">
        <v>0</v>
      </c>
      <c r="CA60" s="7" t="s">
        <v>76</v>
      </c>
      <c r="CB60" s="13">
        <v>0</v>
      </c>
      <c r="CC60" s="93">
        <v>0.45774280540000001</v>
      </c>
      <c r="CD60" s="94">
        <v>2.0010421999999998E-3</v>
      </c>
      <c r="CE60" s="93">
        <v>1.1804822999999999E-3</v>
      </c>
      <c r="CF60" s="94">
        <v>1.2128400000000001E-5</v>
      </c>
      <c r="CG60" s="93">
        <v>4.9108466489999998</v>
      </c>
      <c r="CH60" s="94">
        <v>1.8880247999999999E-2</v>
      </c>
      <c r="CI60" s="93">
        <v>5.5546522999999999E-3</v>
      </c>
      <c r="CJ60" s="94">
        <v>4.6453699999999999E-5</v>
      </c>
      <c r="CK60" s="6" t="s">
        <v>76</v>
      </c>
      <c r="CL60" s="13">
        <v>0</v>
      </c>
      <c r="CM60" s="7" t="s">
        <v>76</v>
      </c>
      <c r="CN60" s="15">
        <v>0</v>
      </c>
      <c r="CO60" s="93">
        <v>34.228630191999997</v>
      </c>
      <c r="CP60" s="94">
        <v>0.1881990238</v>
      </c>
      <c r="CQ60" s="93">
        <v>9.39548209E-2</v>
      </c>
      <c r="CR60" s="94">
        <v>6.5959479999999995E-4</v>
      </c>
      <c r="CS60" s="93">
        <v>35.454441105999997</v>
      </c>
      <c r="CT60" s="94">
        <v>8.9750930199999995E-2</v>
      </c>
      <c r="CU60" s="93">
        <v>0.16929137550000001</v>
      </c>
      <c r="CV60" s="88">
        <v>1.3729947E-3</v>
      </c>
      <c r="CW60" s="188">
        <v>5.9209359999999999E-3</v>
      </c>
      <c r="CX60" s="189">
        <v>9.0539166999999993E-3</v>
      </c>
      <c r="CY60" s="189">
        <v>9.9795697999999992E-3</v>
      </c>
      <c r="CZ60" s="189">
        <v>1.02485135E-2</v>
      </c>
      <c r="DA60" s="189">
        <v>1.03139422E-2</v>
      </c>
      <c r="DB60" s="189">
        <v>1.03656371E-2</v>
      </c>
      <c r="DC60" s="189">
        <v>1.03877256E-2</v>
      </c>
      <c r="DD60" s="189">
        <v>1.04066336E-2</v>
      </c>
      <c r="DE60" s="189">
        <v>1.04170275E-2</v>
      </c>
      <c r="DF60" s="190">
        <v>1.04250039E-2</v>
      </c>
      <c r="DG60" s="112">
        <v>121.44351869</v>
      </c>
      <c r="DH60" s="13">
        <v>1.8792466342</v>
      </c>
      <c r="DI60" s="79">
        <v>86.676342798999997</v>
      </c>
      <c r="DJ60" s="13">
        <v>1.3396769035</v>
      </c>
      <c r="DK60" s="79">
        <v>61.160636017999998</v>
      </c>
      <c r="DL60" s="13">
        <v>0.95412281809999999</v>
      </c>
      <c r="DM60" s="79">
        <v>43.059467599999998</v>
      </c>
      <c r="DN60" s="13">
        <v>0.6839010136</v>
      </c>
      <c r="DO60" s="79">
        <v>30.506642262</v>
      </c>
      <c r="DP60" s="13">
        <v>0.49655891460000001</v>
      </c>
      <c r="DQ60" s="79">
        <v>21.833845587999999</v>
      </c>
      <c r="DR60" s="13">
        <v>0.36550814619999999</v>
      </c>
      <c r="DS60" s="79">
        <v>15.822504372999999</v>
      </c>
      <c r="DT60" s="13">
        <v>0.27288911100000002</v>
      </c>
      <c r="DU60" s="79">
        <v>11.634414649</v>
      </c>
      <c r="DV60" s="13">
        <v>0.20664474029999999</v>
      </c>
      <c r="DW60" s="79">
        <v>8.6720937528000004</v>
      </c>
      <c r="DX60" s="13">
        <v>0.1581468281</v>
      </c>
      <c r="DY60" s="79">
        <v>6.5578180912999997</v>
      </c>
      <c r="DZ60" s="15">
        <v>0.1223082405</v>
      </c>
    </row>
    <row r="61" spans="1:130" x14ac:dyDescent="0.2">
      <c r="A61" s="8">
        <v>5600</v>
      </c>
      <c r="B61" s="82">
        <v>3073</v>
      </c>
      <c r="C61" s="83">
        <v>1842.1950797</v>
      </c>
      <c r="D61" s="93">
        <v>5549.9357505999997</v>
      </c>
      <c r="E61" s="93">
        <v>55.857853022</v>
      </c>
      <c r="F61" s="94">
        <v>8.5209612200000007E-2</v>
      </c>
      <c r="G61" s="83">
        <v>12.463110551</v>
      </c>
      <c r="H61" s="94">
        <v>6.2669396999999998E-3</v>
      </c>
      <c r="I61" s="93">
        <v>228.86925392000001</v>
      </c>
      <c r="J61" s="94">
        <v>2.610237079</v>
      </c>
      <c r="K61" s="93">
        <v>391.36416508000002</v>
      </c>
      <c r="L61" s="94">
        <v>2.8850697316999998</v>
      </c>
      <c r="M61" s="93">
        <v>1.7536053952999999</v>
      </c>
      <c r="N61" s="94">
        <v>1.07386553E-2</v>
      </c>
      <c r="O61" s="37" t="s">
        <v>76</v>
      </c>
      <c r="P61" s="13">
        <v>0</v>
      </c>
      <c r="Q61" s="93">
        <v>64.995284104000007</v>
      </c>
      <c r="R61" s="94">
        <v>0.21121691179999999</v>
      </c>
      <c r="S61" s="37" t="s">
        <v>76</v>
      </c>
      <c r="T61" s="13">
        <v>0</v>
      </c>
      <c r="U61" s="37" t="s">
        <v>76</v>
      </c>
      <c r="V61" s="13">
        <v>0</v>
      </c>
      <c r="W61" s="93">
        <v>0.53389741560000004</v>
      </c>
      <c r="X61" s="94">
        <v>2.6987367E-3</v>
      </c>
      <c r="Y61" s="93">
        <v>5.6809887998999997</v>
      </c>
      <c r="Z61" s="94">
        <v>1.1245433999999999E-3</v>
      </c>
      <c r="AA61" s="37" t="s">
        <v>76</v>
      </c>
      <c r="AB61" s="13">
        <v>0</v>
      </c>
      <c r="AC61" s="93">
        <v>1.383979E-3</v>
      </c>
      <c r="AD61" s="94">
        <v>5.1950340999999998E-6</v>
      </c>
      <c r="AE61" s="37" t="s">
        <v>76</v>
      </c>
      <c r="AF61" s="13">
        <v>0</v>
      </c>
      <c r="AG61" s="37" t="s">
        <v>76</v>
      </c>
      <c r="AH61" s="13">
        <v>0</v>
      </c>
      <c r="AI61" s="93">
        <v>1.383979E-3</v>
      </c>
      <c r="AJ61" s="94">
        <v>5.1950340999999998E-6</v>
      </c>
      <c r="AK61" s="93">
        <v>289.39608484000001</v>
      </c>
      <c r="AL61" s="94">
        <v>1.6633239256000001</v>
      </c>
      <c r="AM61" s="37" t="s">
        <v>76</v>
      </c>
      <c r="AN61" s="13">
        <v>0</v>
      </c>
      <c r="AO61" s="37" t="s">
        <v>76</v>
      </c>
      <c r="AP61" s="13">
        <v>0</v>
      </c>
      <c r="AQ61" s="37" t="s">
        <v>76</v>
      </c>
      <c r="AR61" s="13">
        <v>0</v>
      </c>
      <c r="AS61" s="93">
        <v>42.602887054</v>
      </c>
      <c r="AT61" s="94">
        <v>0.63763620389999998</v>
      </c>
      <c r="AU61" s="93">
        <v>40.610324665999997</v>
      </c>
      <c r="AV61" s="94">
        <v>0.24917149550000001</v>
      </c>
      <c r="AW61" s="93">
        <v>28.250425979999999</v>
      </c>
      <c r="AX61" s="94">
        <v>0.13294796110000001</v>
      </c>
      <c r="AY61" s="93">
        <v>7.5632373907000003</v>
      </c>
      <c r="AZ61" s="94">
        <v>3.7706889700000003E-2</v>
      </c>
      <c r="BA61" s="79">
        <v>4.7966612956999999</v>
      </c>
      <c r="BB61" s="13">
        <v>7.8516644699999999E-2</v>
      </c>
      <c r="BC61" s="93">
        <v>0</v>
      </c>
      <c r="BD61" s="85">
        <v>0</v>
      </c>
      <c r="BE61" s="93">
        <v>60.837046319000002</v>
      </c>
      <c r="BF61" s="94">
        <v>0.1747347256</v>
      </c>
      <c r="BG61" s="94">
        <v>1.0785305699999999E-2</v>
      </c>
      <c r="BH61" s="85">
        <v>0</v>
      </c>
      <c r="BI61" s="93">
        <v>0.98277930550000003</v>
      </c>
      <c r="BJ61" s="94">
        <v>5.6007074E-3</v>
      </c>
      <c r="BK61" s="93">
        <v>8.7773492499999994E-2</v>
      </c>
      <c r="BL61" s="94">
        <v>3.5846499999999998E-4</v>
      </c>
      <c r="BM61" s="7" t="s">
        <v>76</v>
      </c>
      <c r="BN61" s="13">
        <v>0</v>
      </c>
      <c r="BO61" s="7" t="s">
        <v>76</v>
      </c>
      <c r="BP61" s="13">
        <v>0</v>
      </c>
      <c r="BQ61" s="93">
        <v>62.608378829999999</v>
      </c>
      <c r="BR61" s="94">
        <v>0.20293434120000001</v>
      </c>
      <c r="BS61" s="93">
        <v>0.47320280689999999</v>
      </c>
      <c r="BT61" s="94">
        <v>2.3751511999999999E-3</v>
      </c>
      <c r="BU61" s="7" t="s">
        <v>76</v>
      </c>
      <c r="BV61" s="13">
        <v>0</v>
      </c>
      <c r="BW61" s="7" t="s">
        <v>76</v>
      </c>
      <c r="BX61" s="13">
        <v>0</v>
      </c>
      <c r="BY61" s="7" t="s">
        <v>76</v>
      </c>
      <c r="BZ61" s="13">
        <v>0</v>
      </c>
      <c r="CA61" s="7" t="s">
        <v>76</v>
      </c>
      <c r="CB61" s="13">
        <v>0</v>
      </c>
      <c r="CC61" s="93">
        <v>0.46428519950000002</v>
      </c>
      <c r="CD61" s="94">
        <v>2.0296378000000002E-3</v>
      </c>
      <c r="CE61" s="93">
        <v>1.1770222000000001E-3</v>
      </c>
      <c r="CF61" s="94">
        <v>1.20912E-5</v>
      </c>
      <c r="CG61" s="93">
        <v>5.0296234841</v>
      </c>
      <c r="CH61" s="94">
        <v>1.9323112999999999E-2</v>
      </c>
      <c r="CI61" s="93">
        <v>5.9816310999999999E-3</v>
      </c>
      <c r="CJ61" s="94">
        <v>4.8038299999999997E-5</v>
      </c>
      <c r="CK61" s="6" t="s">
        <v>76</v>
      </c>
      <c r="CL61" s="13">
        <v>0</v>
      </c>
      <c r="CM61" s="7" t="s">
        <v>76</v>
      </c>
      <c r="CN61" s="15">
        <v>0</v>
      </c>
      <c r="CO61" s="93">
        <v>34.626985316000003</v>
      </c>
      <c r="CP61" s="94">
        <v>0.18972140260000001</v>
      </c>
      <c r="CQ61" s="93">
        <v>9.4013849600000005E-2</v>
      </c>
      <c r="CR61" s="94">
        <v>6.5910820000000001E-4</v>
      </c>
      <c r="CS61" s="93">
        <v>36.174906667999998</v>
      </c>
      <c r="CT61" s="94">
        <v>9.0893255800000003E-2</v>
      </c>
      <c r="CU61" s="93">
        <v>0.16971537510000001</v>
      </c>
      <c r="CV61" s="88">
        <v>1.3782524999999999E-3</v>
      </c>
      <c r="CW61" s="188">
        <v>6.0801698999999997E-3</v>
      </c>
      <c r="CX61" s="189">
        <v>9.3011156999999994E-3</v>
      </c>
      <c r="CY61" s="189">
        <v>1.02654088E-2</v>
      </c>
      <c r="CZ61" s="189">
        <v>1.0545966699999999E-2</v>
      </c>
      <c r="DA61" s="189">
        <v>1.0615324000000001E-2</v>
      </c>
      <c r="DB61" s="189">
        <v>1.06709878E-2</v>
      </c>
      <c r="DC61" s="189">
        <v>1.06930116E-2</v>
      </c>
      <c r="DD61" s="189">
        <v>1.0711863199999999E-2</v>
      </c>
      <c r="DE61" s="189">
        <v>1.0722225700000001E-2</v>
      </c>
      <c r="DF61" s="190">
        <v>1.07301771E-2</v>
      </c>
      <c r="DG61" s="112">
        <v>122.28834118</v>
      </c>
      <c r="DH61" s="13">
        <v>1.8876475427999999</v>
      </c>
      <c r="DI61" s="79">
        <v>87.395312161000007</v>
      </c>
      <c r="DJ61" s="13">
        <v>1.3472211834000001</v>
      </c>
      <c r="DK61" s="79">
        <v>61.759411557</v>
      </c>
      <c r="DL61" s="13">
        <v>0.9607025146</v>
      </c>
      <c r="DM61" s="79">
        <v>43.553159137999998</v>
      </c>
      <c r="DN61" s="13">
        <v>0.68950095140000001</v>
      </c>
      <c r="DO61" s="79">
        <v>30.907185276</v>
      </c>
      <c r="DP61" s="13">
        <v>0.50125459750000001</v>
      </c>
      <c r="DQ61" s="79">
        <v>22.155837518999999</v>
      </c>
      <c r="DR61" s="13">
        <v>0.36939788109999999</v>
      </c>
      <c r="DS61" s="79">
        <v>16.082209080999998</v>
      </c>
      <c r="DT61" s="13">
        <v>0.27609641509999999</v>
      </c>
      <c r="DU61" s="79">
        <v>11.843728639</v>
      </c>
      <c r="DV61" s="13">
        <v>0.20927717779999999</v>
      </c>
      <c r="DW61" s="79">
        <v>8.8386699768000003</v>
      </c>
      <c r="DX61" s="13">
        <v>0.16028089770000001</v>
      </c>
      <c r="DY61" s="79">
        <v>6.6924890030000004</v>
      </c>
      <c r="DZ61" s="15">
        <v>0.12405260479999999</v>
      </c>
    </row>
    <row r="62" spans="1:130" x14ac:dyDescent="0.2">
      <c r="A62" s="8">
        <v>5700</v>
      </c>
      <c r="B62" s="82">
        <v>2952</v>
      </c>
      <c r="C62" s="83">
        <v>1856.7834553</v>
      </c>
      <c r="D62" s="93">
        <v>5650.3116178</v>
      </c>
      <c r="E62" s="93">
        <v>57.294182675000002</v>
      </c>
      <c r="F62" s="94">
        <v>8.6206154500000007E-2</v>
      </c>
      <c r="G62" s="83">
        <v>12.846660926</v>
      </c>
      <c r="H62" s="94">
        <v>6.4016105E-3</v>
      </c>
      <c r="I62" s="93">
        <v>230.16528195000001</v>
      </c>
      <c r="J62" s="94">
        <v>2.6188053340000002</v>
      </c>
      <c r="K62" s="93">
        <v>395.53888287000001</v>
      </c>
      <c r="L62" s="94">
        <v>2.9039215639</v>
      </c>
      <c r="M62" s="93">
        <v>1.7810637651000001</v>
      </c>
      <c r="N62" s="94">
        <v>1.08398778E-2</v>
      </c>
      <c r="O62" s="37" t="s">
        <v>76</v>
      </c>
      <c r="P62" s="13">
        <v>0</v>
      </c>
      <c r="Q62" s="93">
        <v>66.035184373000007</v>
      </c>
      <c r="R62" s="94">
        <v>0.21296183599999999</v>
      </c>
      <c r="S62" s="37" t="s">
        <v>76</v>
      </c>
      <c r="T62" s="13">
        <v>0</v>
      </c>
      <c r="U62" s="37" t="s">
        <v>76</v>
      </c>
      <c r="V62" s="13">
        <v>0</v>
      </c>
      <c r="W62" s="93">
        <v>0.54254567629999995</v>
      </c>
      <c r="X62" s="94">
        <v>2.7266172999999999E-3</v>
      </c>
      <c r="Y62" s="93">
        <v>5.8051948026</v>
      </c>
      <c r="Z62" s="94">
        <v>1.1436897000000001E-3</v>
      </c>
      <c r="AA62" s="37" t="s">
        <v>76</v>
      </c>
      <c r="AB62" s="13">
        <v>0</v>
      </c>
      <c r="AC62" s="93">
        <v>1.3800272999999999E-3</v>
      </c>
      <c r="AD62" s="94">
        <v>5.1802808999999999E-6</v>
      </c>
      <c r="AE62" s="37" t="s">
        <v>76</v>
      </c>
      <c r="AF62" s="13">
        <v>0</v>
      </c>
      <c r="AG62" s="37" t="s">
        <v>76</v>
      </c>
      <c r="AH62" s="13">
        <v>0</v>
      </c>
      <c r="AI62" s="93">
        <v>1.3800272999999999E-3</v>
      </c>
      <c r="AJ62" s="94">
        <v>5.1802808999999999E-6</v>
      </c>
      <c r="AK62" s="93">
        <v>290.67369961999998</v>
      </c>
      <c r="AL62" s="94">
        <v>1.6682739575000001</v>
      </c>
      <c r="AM62" s="37" t="s">
        <v>76</v>
      </c>
      <c r="AN62" s="13">
        <v>0</v>
      </c>
      <c r="AO62" s="37" t="s">
        <v>76</v>
      </c>
      <c r="AP62" s="13">
        <v>0</v>
      </c>
      <c r="AQ62" s="37" t="s">
        <v>76</v>
      </c>
      <c r="AR62" s="13">
        <v>0</v>
      </c>
      <c r="AS62" s="93">
        <v>43.155455431999997</v>
      </c>
      <c r="AT62" s="94">
        <v>0.64078235480000001</v>
      </c>
      <c r="AU62" s="93">
        <v>40.980571486999999</v>
      </c>
      <c r="AV62" s="94">
        <v>0.25061466049999997</v>
      </c>
      <c r="AW62" s="93">
        <v>28.540449296999999</v>
      </c>
      <c r="AX62" s="94">
        <v>0.1337936133</v>
      </c>
      <c r="AY62" s="93">
        <v>7.6011043801999998</v>
      </c>
      <c r="AZ62" s="94">
        <v>3.7864788599999998E-2</v>
      </c>
      <c r="BA62" s="79">
        <v>4.8390178091999996</v>
      </c>
      <c r="BB62" s="13">
        <v>7.8956258599999996E-2</v>
      </c>
      <c r="BC62" s="93">
        <v>0</v>
      </c>
      <c r="BD62" s="85">
        <v>0</v>
      </c>
      <c r="BE62" s="93">
        <v>62.218462639999998</v>
      </c>
      <c r="BF62" s="94">
        <v>0.17701546230000001</v>
      </c>
      <c r="BG62" s="94">
        <v>1.10538202E-2</v>
      </c>
      <c r="BH62" s="85">
        <v>0</v>
      </c>
      <c r="BI62" s="93">
        <v>1.0035521675000001</v>
      </c>
      <c r="BJ62" s="94">
        <v>5.6660816000000001E-3</v>
      </c>
      <c r="BK62" s="93">
        <v>8.7844562299999998E-2</v>
      </c>
      <c r="BL62" s="94">
        <v>3.5801319999999998E-4</v>
      </c>
      <c r="BM62" s="7" t="s">
        <v>76</v>
      </c>
      <c r="BN62" s="13">
        <v>0</v>
      </c>
      <c r="BO62" s="7" t="s">
        <v>76</v>
      </c>
      <c r="BP62" s="13">
        <v>0</v>
      </c>
      <c r="BQ62" s="93">
        <v>63.605557007000002</v>
      </c>
      <c r="BR62" s="94">
        <v>0.2045535906</v>
      </c>
      <c r="BS62" s="93">
        <v>0.4749662006</v>
      </c>
      <c r="BT62" s="94">
        <v>2.3956679000000001E-3</v>
      </c>
      <c r="BU62" s="7" t="s">
        <v>76</v>
      </c>
      <c r="BV62" s="13">
        <v>0</v>
      </c>
      <c r="BW62" s="7" t="s">
        <v>76</v>
      </c>
      <c r="BX62" s="13">
        <v>0</v>
      </c>
      <c r="BY62" s="7" t="s">
        <v>76</v>
      </c>
      <c r="BZ62" s="13">
        <v>0</v>
      </c>
      <c r="CA62" s="7" t="s">
        <v>76</v>
      </c>
      <c r="CB62" s="13">
        <v>0</v>
      </c>
      <c r="CC62" s="93">
        <v>0.47312642100000002</v>
      </c>
      <c r="CD62" s="94">
        <v>2.0593656999999999E-3</v>
      </c>
      <c r="CE62" s="93">
        <v>1.1735777000000001E-3</v>
      </c>
      <c r="CF62" s="94">
        <v>1.2055899999999999E-5</v>
      </c>
      <c r="CG62" s="93">
        <v>5.1409873189999997</v>
      </c>
      <c r="CH62" s="94">
        <v>1.9675680500000001E-2</v>
      </c>
      <c r="CI62" s="93">
        <v>6.0742840000000001E-3</v>
      </c>
      <c r="CJ62" s="94">
        <v>4.9113500000000003E-5</v>
      </c>
      <c r="CK62" s="6" t="s">
        <v>76</v>
      </c>
      <c r="CL62" s="13">
        <v>0</v>
      </c>
      <c r="CM62" s="7" t="s">
        <v>76</v>
      </c>
      <c r="CN62" s="15">
        <v>0</v>
      </c>
      <c r="CO62" s="93">
        <v>35.050685610000002</v>
      </c>
      <c r="CP62" s="94">
        <v>0.19121561519999999</v>
      </c>
      <c r="CQ62" s="93">
        <v>9.4757594000000001E-2</v>
      </c>
      <c r="CR62" s="94">
        <v>6.6728709999999995E-4</v>
      </c>
      <c r="CS62" s="93">
        <v>36.945922109000001</v>
      </c>
      <c r="CT62" s="94">
        <v>9.2071383199999995E-2</v>
      </c>
      <c r="CU62" s="93">
        <v>0.1704892506</v>
      </c>
      <c r="CV62" s="88">
        <v>1.3888519000000001E-3</v>
      </c>
      <c r="CW62" s="188">
        <v>6.2020696000000004E-3</v>
      </c>
      <c r="CX62" s="189">
        <v>9.4944003000000006E-3</v>
      </c>
      <c r="CY62" s="189">
        <v>1.04913833E-2</v>
      </c>
      <c r="CZ62" s="189">
        <v>1.07894737E-2</v>
      </c>
      <c r="DA62" s="189">
        <v>1.0861111200000001E-2</v>
      </c>
      <c r="DB62" s="189">
        <v>1.0919093E-2</v>
      </c>
      <c r="DC62" s="189">
        <v>1.0943534899999999E-2</v>
      </c>
      <c r="DD62" s="189">
        <v>1.09648131E-2</v>
      </c>
      <c r="DE62" s="189">
        <v>1.0976611900000001E-2</v>
      </c>
      <c r="DF62" s="190">
        <v>1.09860063E-2</v>
      </c>
      <c r="DG62" s="112">
        <v>123.11853991</v>
      </c>
      <c r="DH62" s="13">
        <v>1.8956971864000001</v>
      </c>
      <c r="DI62" s="79">
        <v>88.108343144000003</v>
      </c>
      <c r="DJ62" s="13">
        <v>1.3544953242</v>
      </c>
      <c r="DK62" s="79">
        <v>62.360947324000001</v>
      </c>
      <c r="DL62" s="13">
        <v>0.96711710289999997</v>
      </c>
      <c r="DM62" s="79">
        <v>44.051417639</v>
      </c>
      <c r="DN62" s="13">
        <v>0.6950334064</v>
      </c>
      <c r="DO62" s="79">
        <v>31.315426890000001</v>
      </c>
      <c r="DP62" s="13">
        <v>0.50593252160000002</v>
      </c>
      <c r="DQ62" s="79">
        <v>22.485977040000002</v>
      </c>
      <c r="DR62" s="13">
        <v>0.37331441100000001</v>
      </c>
      <c r="DS62" s="79">
        <v>16.351337792999999</v>
      </c>
      <c r="DT62" s="13">
        <v>0.27937817949999999</v>
      </c>
      <c r="DU62" s="79">
        <v>12.065627062000001</v>
      </c>
      <c r="DV62" s="13">
        <v>0.2120404588</v>
      </c>
      <c r="DW62" s="79">
        <v>9.0239960057000008</v>
      </c>
      <c r="DX62" s="13">
        <v>0.16262761079999999</v>
      </c>
      <c r="DY62" s="79">
        <v>6.8477029281000004</v>
      </c>
      <c r="DZ62" s="15">
        <v>0.12605640060000001</v>
      </c>
    </row>
    <row r="63" spans="1:130" x14ac:dyDescent="0.2">
      <c r="A63" s="8">
        <v>5800</v>
      </c>
      <c r="B63" s="82">
        <v>2816</v>
      </c>
      <c r="C63" s="83">
        <v>1871.1442069</v>
      </c>
      <c r="D63" s="93">
        <v>5749.8082900999998</v>
      </c>
      <c r="E63" s="93">
        <v>58.635542485999999</v>
      </c>
      <c r="F63" s="94">
        <v>8.71615268E-2</v>
      </c>
      <c r="G63" s="83">
        <v>13.246135500999999</v>
      </c>
      <c r="H63" s="94">
        <v>6.5451733999999998E-3</v>
      </c>
      <c r="I63" s="93">
        <v>231.42390782000001</v>
      </c>
      <c r="J63" s="94">
        <v>2.6275737896</v>
      </c>
      <c r="K63" s="93">
        <v>399.68482340999998</v>
      </c>
      <c r="L63" s="94">
        <v>2.9235023665000002</v>
      </c>
      <c r="M63" s="93">
        <v>1.8129222404000001</v>
      </c>
      <c r="N63" s="94">
        <v>1.0980861200000001E-2</v>
      </c>
      <c r="O63" s="37" t="s">
        <v>76</v>
      </c>
      <c r="P63" s="13">
        <v>0</v>
      </c>
      <c r="Q63" s="93">
        <v>67.050920177999998</v>
      </c>
      <c r="R63" s="94">
        <v>0.21454841390000001</v>
      </c>
      <c r="S63" s="37" t="s">
        <v>76</v>
      </c>
      <c r="T63" s="13">
        <v>0</v>
      </c>
      <c r="U63" s="37" t="s">
        <v>76</v>
      </c>
      <c r="V63" s="13">
        <v>0</v>
      </c>
      <c r="W63" s="93">
        <v>0.54677215050000005</v>
      </c>
      <c r="X63" s="94">
        <v>2.7334257000000001E-3</v>
      </c>
      <c r="Y63" s="93">
        <v>5.9113412344</v>
      </c>
      <c r="Z63" s="94">
        <v>1.2003394000000001E-3</v>
      </c>
      <c r="AA63" s="37" t="s">
        <v>76</v>
      </c>
      <c r="AB63" s="13">
        <v>0</v>
      </c>
      <c r="AC63" s="93">
        <v>1.3761075000000001E-3</v>
      </c>
      <c r="AD63" s="94">
        <v>5.1655182999999998E-6</v>
      </c>
      <c r="AE63" s="37" t="s">
        <v>76</v>
      </c>
      <c r="AF63" s="13">
        <v>0</v>
      </c>
      <c r="AG63" s="37" t="s">
        <v>76</v>
      </c>
      <c r="AH63" s="13">
        <v>0</v>
      </c>
      <c r="AI63" s="93">
        <v>1.3761075000000001E-3</v>
      </c>
      <c r="AJ63" s="94">
        <v>5.1655182999999998E-6</v>
      </c>
      <c r="AK63" s="93">
        <v>291.98999957000001</v>
      </c>
      <c r="AL63" s="94">
        <v>1.6733208065</v>
      </c>
      <c r="AM63" s="37" t="s">
        <v>76</v>
      </c>
      <c r="AN63" s="13">
        <v>0</v>
      </c>
      <c r="AO63" s="37" t="s">
        <v>76</v>
      </c>
      <c r="AP63" s="13">
        <v>0</v>
      </c>
      <c r="AQ63" s="37" t="s">
        <v>76</v>
      </c>
      <c r="AR63" s="13">
        <v>0</v>
      </c>
      <c r="AS63" s="93">
        <v>43.653263877000001</v>
      </c>
      <c r="AT63" s="94">
        <v>0.64373252010000004</v>
      </c>
      <c r="AU63" s="93">
        <v>41.330644755000002</v>
      </c>
      <c r="AV63" s="94">
        <v>0.25211766219999998</v>
      </c>
      <c r="AW63" s="93">
        <v>28.795409003</v>
      </c>
      <c r="AX63" s="94">
        <v>0.13458215069999999</v>
      </c>
      <c r="AY63" s="93">
        <v>7.6395586570000003</v>
      </c>
      <c r="AZ63" s="94">
        <v>3.8025434499999997E-2</v>
      </c>
      <c r="BA63" s="79">
        <v>4.8956770945999999</v>
      </c>
      <c r="BB63" s="13">
        <v>7.9510076900000004E-2</v>
      </c>
      <c r="BC63" s="93">
        <v>0</v>
      </c>
      <c r="BD63" s="85">
        <v>0</v>
      </c>
      <c r="BE63" s="93">
        <v>63.508462223999999</v>
      </c>
      <c r="BF63" s="94">
        <v>0.17915856469999999</v>
      </c>
      <c r="BG63" s="94">
        <v>1.13193137E-2</v>
      </c>
      <c r="BH63" s="85">
        <v>0</v>
      </c>
      <c r="BI63" s="93">
        <v>1.0232556028999999</v>
      </c>
      <c r="BJ63" s="94">
        <v>5.7266328E-3</v>
      </c>
      <c r="BK63" s="93">
        <v>8.7872671200000002E-2</v>
      </c>
      <c r="BL63" s="94">
        <v>3.5816590000000001E-4</v>
      </c>
      <c r="BM63" s="7" t="s">
        <v>76</v>
      </c>
      <c r="BN63" s="13">
        <v>0</v>
      </c>
      <c r="BO63" s="7" t="s">
        <v>76</v>
      </c>
      <c r="BP63" s="13">
        <v>0</v>
      </c>
      <c r="BQ63" s="93">
        <v>64.581954585999995</v>
      </c>
      <c r="BR63" s="94">
        <v>0.2060244655</v>
      </c>
      <c r="BS63" s="93">
        <v>0.48242735609999998</v>
      </c>
      <c r="BT63" s="94">
        <v>2.4260334999999999E-3</v>
      </c>
      <c r="BU63" s="7" t="s">
        <v>76</v>
      </c>
      <c r="BV63" s="13">
        <v>0</v>
      </c>
      <c r="BW63" s="7" t="s">
        <v>76</v>
      </c>
      <c r="BX63" s="13">
        <v>0</v>
      </c>
      <c r="BY63" s="7" t="s">
        <v>76</v>
      </c>
      <c r="BZ63" s="13">
        <v>0</v>
      </c>
      <c r="CA63" s="7" t="s">
        <v>76</v>
      </c>
      <c r="CB63" s="13">
        <v>0</v>
      </c>
      <c r="CC63" s="93">
        <v>0.4771258102</v>
      </c>
      <c r="CD63" s="94">
        <v>2.0648835000000002E-3</v>
      </c>
      <c r="CE63" s="93">
        <v>1.1706551999999999E-3</v>
      </c>
      <c r="CF63" s="94">
        <v>1.20238E-5</v>
      </c>
      <c r="CG63" s="93">
        <v>5.2334259178</v>
      </c>
      <c r="CH63" s="94">
        <v>1.9980317399999999E-2</v>
      </c>
      <c r="CI63" s="93">
        <v>6.1140874E-3</v>
      </c>
      <c r="CJ63" s="94">
        <v>4.9431200000000002E-5</v>
      </c>
      <c r="CK63" s="6" t="s">
        <v>76</v>
      </c>
      <c r="CL63" s="13">
        <v>0</v>
      </c>
      <c r="CM63" s="7" t="s">
        <v>76</v>
      </c>
      <c r="CN63" s="15">
        <v>0</v>
      </c>
      <c r="CO63" s="93">
        <v>35.458923667999997</v>
      </c>
      <c r="CP63" s="94">
        <v>0.1925605521</v>
      </c>
      <c r="CQ63" s="93">
        <v>9.4674263100000003E-2</v>
      </c>
      <c r="CR63" s="94">
        <v>6.6995019999999995E-4</v>
      </c>
      <c r="CS63" s="93">
        <v>37.704563454999999</v>
      </c>
      <c r="CT63" s="94">
        <v>9.3302640199999995E-2</v>
      </c>
      <c r="CU63" s="93">
        <v>0.17358961519999999</v>
      </c>
      <c r="CV63" s="88">
        <v>1.4030612E-3</v>
      </c>
      <c r="CW63" s="188">
        <v>6.3342629000000001E-3</v>
      </c>
      <c r="CX63" s="189">
        <v>9.6992568000000001E-3</v>
      </c>
      <c r="CY63" s="189">
        <v>1.0732462999999999E-2</v>
      </c>
      <c r="CZ63" s="189">
        <v>1.1043540899999999E-2</v>
      </c>
      <c r="DA63" s="189">
        <v>1.11193375E-2</v>
      </c>
      <c r="DB63" s="189">
        <v>1.11800215E-2</v>
      </c>
      <c r="DC63" s="189">
        <v>1.12056333E-2</v>
      </c>
      <c r="DD63" s="189">
        <v>1.1228089E-2</v>
      </c>
      <c r="DE63" s="189">
        <v>1.12410905E-2</v>
      </c>
      <c r="DF63" s="190">
        <v>1.1251076400000001E-2</v>
      </c>
      <c r="DG63" s="112">
        <v>123.93494440000001</v>
      </c>
      <c r="DH63" s="13">
        <v>1.9039517094</v>
      </c>
      <c r="DI63" s="79">
        <v>88.818752966999995</v>
      </c>
      <c r="DJ63" s="13">
        <v>1.3619820567000001</v>
      </c>
      <c r="DK63" s="79">
        <v>62.964902094999999</v>
      </c>
      <c r="DL63" s="13">
        <v>0.97371787990000003</v>
      </c>
      <c r="DM63" s="79">
        <v>44.558265657</v>
      </c>
      <c r="DN63" s="13">
        <v>0.70074410990000002</v>
      </c>
      <c r="DO63" s="79">
        <v>31.734167043999999</v>
      </c>
      <c r="DP63" s="13">
        <v>0.51079697120000001</v>
      </c>
      <c r="DQ63" s="79">
        <v>22.830792254999999</v>
      </c>
      <c r="DR63" s="13">
        <v>0.37742321509999999</v>
      </c>
      <c r="DS63" s="79">
        <v>16.635088603</v>
      </c>
      <c r="DT63" s="13">
        <v>0.28283109909999998</v>
      </c>
      <c r="DU63" s="79">
        <v>12.298265922000001</v>
      </c>
      <c r="DV63" s="13">
        <v>0.21493377529999999</v>
      </c>
      <c r="DW63" s="79">
        <v>9.2162095213999997</v>
      </c>
      <c r="DX63" s="13">
        <v>0.1650702074</v>
      </c>
      <c r="DY63" s="79">
        <v>7.0057756105999998</v>
      </c>
      <c r="DZ63" s="15">
        <v>0.12810812420000001</v>
      </c>
    </row>
    <row r="64" spans="1:130" x14ac:dyDescent="0.2">
      <c r="A64" s="8">
        <v>5900</v>
      </c>
      <c r="B64" s="82">
        <v>2874</v>
      </c>
      <c r="C64" s="83">
        <v>1885.2799500000001</v>
      </c>
      <c r="D64" s="93">
        <v>5849.6446635000002</v>
      </c>
      <c r="E64" s="93">
        <v>59.967173172999999</v>
      </c>
      <c r="F64" s="94">
        <v>8.8126523999999998E-2</v>
      </c>
      <c r="G64" s="83">
        <v>13.61570556</v>
      </c>
      <c r="H64" s="94">
        <v>6.6662741000000003E-3</v>
      </c>
      <c r="I64" s="93">
        <v>232.65629439</v>
      </c>
      <c r="J64" s="94">
        <v>2.6360785223000001</v>
      </c>
      <c r="K64" s="93">
        <v>404.15079746999999</v>
      </c>
      <c r="L64" s="94">
        <v>2.9438180649999999</v>
      </c>
      <c r="M64" s="93">
        <v>1.8466899851</v>
      </c>
      <c r="N64" s="94">
        <v>1.11248667E-2</v>
      </c>
      <c r="O64" s="37" t="s">
        <v>76</v>
      </c>
      <c r="P64" s="13">
        <v>0</v>
      </c>
      <c r="Q64" s="93">
        <v>68.100964828000002</v>
      </c>
      <c r="R64" s="94">
        <v>0.21630580429999999</v>
      </c>
      <c r="S64" s="37" t="s">
        <v>76</v>
      </c>
      <c r="T64" s="13">
        <v>0</v>
      </c>
      <c r="U64" s="37" t="s">
        <v>76</v>
      </c>
      <c r="V64" s="13">
        <v>0</v>
      </c>
      <c r="W64" s="93">
        <v>0.56764409490000001</v>
      </c>
      <c r="X64" s="94">
        <v>2.8243740000000002E-3</v>
      </c>
      <c r="Y64" s="93">
        <v>6.0604873986000003</v>
      </c>
      <c r="Z64" s="94">
        <v>1.2484899000000001E-3</v>
      </c>
      <c r="AA64" s="37" t="s">
        <v>76</v>
      </c>
      <c r="AB64" s="13">
        <v>0</v>
      </c>
      <c r="AC64" s="93">
        <v>1.3723385E-3</v>
      </c>
      <c r="AD64" s="94">
        <v>5.1513470000000004E-6</v>
      </c>
      <c r="AE64" s="37" t="s">
        <v>76</v>
      </c>
      <c r="AF64" s="13">
        <v>0</v>
      </c>
      <c r="AG64" s="37" t="s">
        <v>76</v>
      </c>
      <c r="AH64" s="13">
        <v>0</v>
      </c>
      <c r="AI64" s="93">
        <v>1.3723385E-3</v>
      </c>
      <c r="AJ64" s="94">
        <v>5.1513470000000004E-6</v>
      </c>
      <c r="AK64" s="93">
        <v>293.25096213</v>
      </c>
      <c r="AL64" s="94">
        <v>1.6781671347</v>
      </c>
      <c r="AM64" s="37" t="s">
        <v>76</v>
      </c>
      <c r="AN64" s="13">
        <v>0</v>
      </c>
      <c r="AO64" s="37" t="s">
        <v>76</v>
      </c>
      <c r="AP64" s="13">
        <v>0</v>
      </c>
      <c r="AQ64" s="37" t="s">
        <v>76</v>
      </c>
      <c r="AR64" s="13">
        <v>0</v>
      </c>
      <c r="AS64" s="93">
        <v>44.173668479</v>
      </c>
      <c r="AT64" s="94">
        <v>0.6467415326</v>
      </c>
      <c r="AU64" s="93">
        <v>41.716514992</v>
      </c>
      <c r="AV64" s="94">
        <v>0.25356582230000002</v>
      </c>
      <c r="AW64" s="93">
        <v>29.070076239999999</v>
      </c>
      <c r="AX64" s="94">
        <v>0.1354053935</v>
      </c>
      <c r="AY64" s="93">
        <v>7.6823734016999996</v>
      </c>
      <c r="AZ64" s="94">
        <v>3.8198798899999997E-2</v>
      </c>
      <c r="BA64" s="79">
        <v>4.9640653495000002</v>
      </c>
      <c r="BB64" s="13">
        <v>7.9961629899999997E-2</v>
      </c>
      <c r="BC64" s="93">
        <v>0</v>
      </c>
      <c r="BD64" s="85">
        <v>0</v>
      </c>
      <c r="BE64" s="93">
        <v>65.046967565000003</v>
      </c>
      <c r="BF64" s="94">
        <v>0.18166428239999999</v>
      </c>
      <c r="BG64" s="94">
        <v>1.15501701E-2</v>
      </c>
      <c r="BH64" s="85">
        <v>0</v>
      </c>
      <c r="BI64" s="93">
        <v>1.0423969232000001</v>
      </c>
      <c r="BJ64" s="94">
        <v>5.8189714000000002E-3</v>
      </c>
      <c r="BK64" s="93">
        <v>8.9036449200000006E-2</v>
      </c>
      <c r="BL64" s="94">
        <v>3.6360800000000002E-4</v>
      </c>
      <c r="BM64" s="7" t="s">
        <v>76</v>
      </c>
      <c r="BN64" s="13">
        <v>0</v>
      </c>
      <c r="BO64" s="7" t="s">
        <v>76</v>
      </c>
      <c r="BP64" s="13">
        <v>0</v>
      </c>
      <c r="BQ64" s="93">
        <v>65.592787028000004</v>
      </c>
      <c r="BR64" s="94">
        <v>0.20765374110000001</v>
      </c>
      <c r="BS64" s="93">
        <v>0.48661113389999999</v>
      </c>
      <c r="BT64" s="94">
        <v>2.4488311999999999E-3</v>
      </c>
      <c r="BU64" s="7" t="s">
        <v>76</v>
      </c>
      <c r="BV64" s="13">
        <v>0</v>
      </c>
      <c r="BW64" s="7" t="s">
        <v>76</v>
      </c>
      <c r="BX64" s="13">
        <v>0</v>
      </c>
      <c r="BY64" s="7" t="s">
        <v>76</v>
      </c>
      <c r="BZ64" s="13">
        <v>0</v>
      </c>
      <c r="CA64" s="7" t="s">
        <v>76</v>
      </c>
      <c r="CB64" s="13">
        <v>0</v>
      </c>
      <c r="CC64" s="93">
        <v>0.49500622579999998</v>
      </c>
      <c r="CD64" s="94">
        <v>2.1133219999999999E-3</v>
      </c>
      <c r="CE64" s="93">
        <v>1.1675771E-3</v>
      </c>
      <c r="CF64" s="94">
        <v>1.1991700000000001E-5</v>
      </c>
      <c r="CG64" s="93">
        <v>5.3731388364999999</v>
      </c>
      <c r="CH64" s="94">
        <v>2.0454235500000001E-2</v>
      </c>
      <c r="CI64" s="93">
        <v>6.0967529000000003E-3</v>
      </c>
      <c r="CJ64" s="94">
        <v>4.9294700000000001E-5</v>
      </c>
      <c r="CK64" s="6" t="s">
        <v>76</v>
      </c>
      <c r="CL64" s="13">
        <v>0</v>
      </c>
      <c r="CM64" s="7" t="s">
        <v>76</v>
      </c>
      <c r="CN64" s="15">
        <v>0</v>
      </c>
      <c r="CO64" s="93">
        <v>35.868411625</v>
      </c>
      <c r="CP64" s="94">
        <v>0.19397117589999999</v>
      </c>
      <c r="CQ64" s="93">
        <v>9.6461654300000005E-2</v>
      </c>
      <c r="CR64" s="94">
        <v>6.7822260000000001E-4</v>
      </c>
      <c r="CS64" s="93">
        <v>38.582623147</v>
      </c>
      <c r="CT64" s="94">
        <v>9.4638660499999999E-2</v>
      </c>
      <c r="CU64" s="93">
        <v>0.17706354990000001</v>
      </c>
      <c r="CV64" s="88">
        <v>1.4240976E-3</v>
      </c>
      <c r="CW64" s="188">
        <v>6.4513742999999998E-3</v>
      </c>
      <c r="CX64" s="189">
        <v>9.8793348999999999E-3</v>
      </c>
      <c r="CY64" s="189">
        <v>1.0941330399999999E-2</v>
      </c>
      <c r="CZ64" s="189">
        <v>1.12641919E-2</v>
      </c>
      <c r="DA64" s="189">
        <v>1.1346582799999999E-2</v>
      </c>
      <c r="DB64" s="189">
        <v>1.14091608E-2</v>
      </c>
      <c r="DC64" s="189">
        <v>1.14357564E-2</v>
      </c>
      <c r="DD64" s="189">
        <v>1.14592038E-2</v>
      </c>
      <c r="DE64" s="189">
        <v>1.1472169900000001E-2</v>
      </c>
      <c r="DF64" s="190">
        <v>1.1482127999999999E-2</v>
      </c>
      <c r="DG64" s="112">
        <v>124.73480159</v>
      </c>
      <c r="DH64" s="13">
        <v>1.9119049189999999</v>
      </c>
      <c r="DI64" s="79">
        <v>89.512204066999999</v>
      </c>
      <c r="DJ64" s="13">
        <v>1.3691110989999999</v>
      </c>
      <c r="DK64" s="79">
        <v>63.552453653999997</v>
      </c>
      <c r="DL64" s="13">
        <v>0.97992560159999997</v>
      </c>
      <c r="DM64" s="79">
        <v>45.043463611999996</v>
      </c>
      <c r="DN64" s="13">
        <v>0.70599881460000002</v>
      </c>
      <c r="DO64" s="79">
        <v>32.128881038999999</v>
      </c>
      <c r="DP64" s="13">
        <v>0.51515388630000003</v>
      </c>
      <c r="DQ64" s="79">
        <v>23.149428052000001</v>
      </c>
      <c r="DR64" s="13">
        <v>0.3810190718</v>
      </c>
      <c r="DS64" s="79">
        <v>16.889320116</v>
      </c>
      <c r="DT64" s="13">
        <v>0.28577881040000003</v>
      </c>
      <c r="DU64" s="79">
        <v>12.503219687</v>
      </c>
      <c r="DV64" s="13">
        <v>0.21736310210000001</v>
      </c>
      <c r="DW64" s="79">
        <v>9.3844714395000004</v>
      </c>
      <c r="DX64" s="13">
        <v>0.16708874909999999</v>
      </c>
      <c r="DY64" s="79">
        <v>7.1429082891000002</v>
      </c>
      <c r="DZ64" s="15">
        <v>0.12976740240000001</v>
      </c>
    </row>
    <row r="65" spans="1:130" x14ac:dyDescent="0.2">
      <c r="A65" s="8">
        <v>6000</v>
      </c>
      <c r="B65" s="82">
        <v>2625</v>
      </c>
      <c r="C65" s="83">
        <v>1899.1971762000001</v>
      </c>
      <c r="D65" s="93">
        <v>5949.9958202999997</v>
      </c>
      <c r="E65" s="93">
        <v>61.334984214000002</v>
      </c>
      <c r="F65" s="94">
        <v>8.9078046399999999E-2</v>
      </c>
      <c r="G65" s="83">
        <v>13.944597819</v>
      </c>
      <c r="H65" s="94">
        <v>6.7854109999999999E-3</v>
      </c>
      <c r="I65" s="93">
        <v>233.78434546</v>
      </c>
      <c r="J65" s="94">
        <v>2.6437640912</v>
      </c>
      <c r="K65" s="93">
        <v>408.22996877000003</v>
      </c>
      <c r="L65" s="94">
        <v>2.9626771033999999</v>
      </c>
      <c r="M65" s="93">
        <v>1.8635973203</v>
      </c>
      <c r="N65" s="94">
        <v>1.1201633399999999E-2</v>
      </c>
      <c r="O65" s="37" t="s">
        <v>76</v>
      </c>
      <c r="P65" s="13">
        <v>0</v>
      </c>
      <c r="Q65" s="93">
        <v>69.178697620999998</v>
      </c>
      <c r="R65" s="94">
        <v>0.21787509020000001</v>
      </c>
      <c r="S65" s="37" t="s">
        <v>76</v>
      </c>
      <c r="T65" s="13">
        <v>0</v>
      </c>
      <c r="U65" s="37" t="s">
        <v>76</v>
      </c>
      <c r="V65" s="13">
        <v>0</v>
      </c>
      <c r="W65" s="93">
        <v>0.56829827659999999</v>
      </c>
      <c r="X65" s="94">
        <v>2.8225070000000001E-3</v>
      </c>
      <c r="Y65" s="93">
        <v>6.1703283492000001</v>
      </c>
      <c r="Z65" s="94">
        <v>1.2885937E-3</v>
      </c>
      <c r="AA65" s="37" t="s">
        <v>76</v>
      </c>
      <c r="AB65" s="13">
        <v>0</v>
      </c>
      <c r="AC65" s="93">
        <v>1.3687972E-3</v>
      </c>
      <c r="AD65" s="94">
        <v>5.1380613999999997E-6</v>
      </c>
      <c r="AE65" s="37" t="s">
        <v>76</v>
      </c>
      <c r="AF65" s="13">
        <v>0</v>
      </c>
      <c r="AG65" s="37" t="s">
        <v>76</v>
      </c>
      <c r="AH65" s="13">
        <v>0</v>
      </c>
      <c r="AI65" s="93">
        <v>1.3687972E-3</v>
      </c>
      <c r="AJ65" s="94">
        <v>5.1380613999999997E-6</v>
      </c>
      <c r="AK65" s="93">
        <v>294.46623434999998</v>
      </c>
      <c r="AL65" s="94">
        <v>1.6827263539999999</v>
      </c>
      <c r="AM65" s="37" t="s">
        <v>76</v>
      </c>
      <c r="AN65" s="13">
        <v>0</v>
      </c>
      <c r="AO65" s="37" t="s">
        <v>76</v>
      </c>
      <c r="AP65" s="13">
        <v>0</v>
      </c>
      <c r="AQ65" s="37" t="s">
        <v>76</v>
      </c>
      <c r="AR65" s="13">
        <v>0</v>
      </c>
      <c r="AS65" s="93">
        <v>44.664186166</v>
      </c>
      <c r="AT65" s="94">
        <v>0.64953362749999999</v>
      </c>
      <c r="AU65" s="93">
        <v>42.081352938000002</v>
      </c>
      <c r="AV65" s="94">
        <v>0.25500726060000001</v>
      </c>
      <c r="AW65" s="93">
        <v>29.34478125</v>
      </c>
      <c r="AX65" s="94">
        <v>0.13626464369999999</v>
      </c>
      <c r="AY65" s="93">
        <v>7.7125617052999997</v>
      </c>
      <c r="AZ65" s="94">
        <v>3.8320541299999997E-2</v>
      </c>
      <c r="BA65" s="79">
        <v>5.0240099826</v>
      </c>
      <c r="BB65" s="13">
        <v>8.0422075600000004E-2</v>
      </c>
      <c r="BC65" s="93">
        <v>0</v>
      </c>
      <c r="BD65" s="85">
        <v>0</v>
      </c>
      <c r="BE65" s="93">
        <v>66.379104756999993</v>
      </c>
      <c r="BF65" s="94">
        <v>0.18387303290000001</v>
      </c>
      <c r="BG65" s="94">
        <v>1.17829006E-2</v>
      </c>
      <c r="BH65" s="85">
        <v>0</v>
      </c>
      <c r="BI65" s="93">
        <v>1.0531430569</v>
      </c>
      <c r="BJ65" s="94">
        <v>5.8602875000000002E-3</v>
      </c>
      <c r="BK65" s="93">
        <v>9.0087930499999996E-2</v>
      </c>
      <c r="BL65" s="94">
        <v>3.6966879999999997E-4</v>
      </c>
      <c r="BM65" s="7" t="s">
        <v>76</v>
      </c>
      <c r="BN65" s="13">
        <v>0</v>
      </c>
      <c r="BO65" s="7" t="s">
        <v>76</v>
      </c>
      <c r="BP65" s="13">
        <v>0</v>
      </c>
      <c r="BQ65" s="93">
        <v>66.625728895999998</v>
      </c>
      <c r="BR65" s="94">
        <v>0.2091267758</v>
      </c>
      <c r="BS65" s="93">
        <v>0.49586394680000001</v>
      </c>
      <c r="BT65" s="94">
        <v>2.4785508000000002E-3</v>
      </c>
      <c r="BU65" s="7" t="s">
        <v>76</v>
      </c>
      <c r="BV65" s="13">
        <v>0</v>
      </c>
      <c r="BW65" s="7" t="s">
        <v>76</v>
      </c>
      <c r="BX65" s="13">
        <v>0</v>
      </c>
      <c r="BY65" s="7" t="s">
        <v>76</v>
      </c>
      <c r="BZ65" s="13">
        <v>0</v>
      </c>
      <c r="CA65" s="7" t="s">
        <v>76</v>
      </c>
      <c r="CB65" s="13">
        <v>0</v>
      </c>
      <c r="CC65" s="93">
        <v>0.49560507720000002</v>
      </c>
      <c r="CD65" s="94">
        <v>2.1113667000000002E-3</v>
      </c>
      <c r="CE65" s="93">
        <v>1.1647535999999999E-3</v>
      </c>
      <c r="CF65" s="94">
        <v>1.1961699999999999E-5</v>
      </c>
      <c r="CG65" s="93">
        <v>5.4706185471</v>
      </c>
      <c r="CH65" s="94">
        <v>2.0779127299999998E-2</v>
      </c>
      <c r="CI65" s="93">
        <v>6.0808384999999996E-3</v>
      </c>
      <c r="CJ65" s="94">
        <v>4.91677E-5</v>
      </c>
      <c r="CK65" s="6" t="s">
        <v>76</v>
      </c>
      <c r="CL65" s="13">
        <v>0</v>
      </c>
      <c r="CM65" s="7" t="s">
        <v>76</v>
      </c>
      <c r="CN65" s="15">
        <v>0</v>
      </c>
      <c r="CO65" s="93">
        <v>36.277562076999999</v>
      </c>
      <c r="CP65" s="94">
        <v>0.1952749885</v>
      </c>
      <c r="CQ65" s="93">
        <v>9.6186530300000003E-2</v>
      </c>
      <c r="CR65" s="94">
        <v>6.7877050000000004E-4</v>
      </c>
      <c r="CS65" s="93">
        <v>39.324800535000001</v>
      </c>
      <c r="CT65" s="94">
        <v>9.5814204400000005E-2</v>
      </c>
      <c r="CU65" s="93">
        <v>0.17891787079999999</v>
      </c>
      <c r="CV65" s="88">
        <v>1.4469496999999999E-3</v>
      </c>
      <c r="CW65" s="188">
        <v>6.5646615999999996E-3</v>
      </c>
      <c r="CX65" s="189">
        <v>1.00550889E-2</v>
      </c>
      <c r="CY65" s="189">
        <v>1.11443467E-2</v>
      </c>
      <c r="CZ65" s="189">
        <v>1.1477778399999999E-2</v>
      </c>
      <c r="DA65" s="189">
        <v>1.15656354E-2</v>
      </c>
      <c r="DB65" s="189">
        <v>1.16337322E-2</v>
      </c>
      <c r="DC65" s="189">
        <v>1.1663100900000001E-2</v>
      </c>
      <c r="DD65" s="189">
        <v>1.16893287E-2</v>
      </c>
      <c r="DE65" s="189">
        <v>1.1705103E-2</v>
      </c>
      <c r="DF65" s="190">
        <v>1.1715036E-2</v>
      </c>
      <c r="DG65" s="112">
        <v>125.46483107</v>
      </c>
      <c r="DH65" s="13">
        <v>1.9191217474</v>
      </c>
      <c r="DI65" s="79">
        <v>90.141111119000001</v>
      </c>
      <c r="DJ65" s="13">
        <v>1.3756332491000001</v>
      </c>
      <c r="DK65" s="79">
        <v>64.080756776000001</v>
      </c>
      <c r="DL65" s="13">
        <v>0.9856346681</v>
      </c>
      <c r="DM65" s="79">
        <v>45.480620287000001</v>
      </c>
      <c r="DN65" s="13">
        <v>0.71088271319999996</v>
      </c>
      <c r="DO65" s="79">
        <v>32.490600960999998</v>
      </c>
      <c r="DP65" s="13">
        <v>0.51929392480000003</v>
      </c>
      <c r="DQ65" s="79">
        <v>23.447084184000001</v>
      </c>
      <c r="DR65" s="13">
        <v>0.38450875690000003</v>
      </c>
      <c r="DS65" s="79">
        <v>17.134598603000001</v>
      </c>
      <c r="DT65" s="13">
        <v>0.28871945129999999</v>
      </c>
      <c r="DU65" s="79">
        <v>12.705343832000001</v>
      </c>
      <c r="DV65" s="13">
        <v>0.21984204469999999</v>
      </c>
      <c r="DW65" s="79">
        <v>9.5506758868000006</v>
      </c>
      <c r="DX65" s="13">
        <v>0.16916953400000001</v>
      </c>
      <c r="DY65" s="79">
        <v>7.2794004881000003</v>
      </c>
      <c r="DZ65" s="15">
        <v>0.13151248770000001</v>
      </c>
    </row>
    <row r="66" spans="1:130" x14ac:dyDescent="0.2">
      <c r="A66" s="8">
        <v>6100</v>
      </c>
      <c r="B66" s="82">
        <v>2527</v>
      </c>
      <c r="C66" s="83">
        <v>1912.9101006000001</v>
      </c>
      <c r="D66" s="93">
        <v>6050.5307446999996</v>
      </c>
      <c r="E66" s="93">
        <v>62.636524938999997</v>
      </c>
      <c r="F66" s="94">
        <v>8.9985713999999994E-2</v>
      </c>
      <c r="G66" s="83">
        <v>14.2911085</v>
      </c>
      <c r="H66" s="94">
        <v>6.8980960000000003E-3</v>
      </c>
      <c r="I66" s="93">
        <v>234.81033506</v>
      </c>
      <c r="J66" s="94">
        <v>2.6511268539000001</v>
      </c>
      <c r="K66" s="93">
        <v>412.17830484000001</v>
      </c>
      <c r="L66" s="94">
        <v>2.9811831894999998</v>
      </c>
      <c r="M66" s="93">
        <v>1.8742919308999999</v>
      </c>
      <c r="N66" s="94">
        <v>1.1241058700000001E-2</v>
      </c>
      <c r="O66" s="37" t="s">
        <v>76</v>
      </c>
      <c r="P66" s="13">
        <v>0</v>
      </c>
      <c r="Q66" s="93">
        <v>70.140536471999994</v>
      </c>
      <c r="R66" s="94">
        <v>0.2193708845</v>
      </c>
      <c r="S66" s="37" t="s">
        <v>76</v>
      </c>
      <c r="T66" s="13">
        <v>0</v>
      </c>
      <c r="U66" s="37" t="s">
        <v>76</v>
      </c>
      <c r="V66" s="13">
        <v>0</v>
      </c>
      <c r="W66" s="93">
        <v>0.57550793209999995</v>
      </c>
      <c r="X66" s="94">
        <v>2.8317991999999999E-3</v>
      </c>
      <c r="Y66" s="93">
        <v>6.3122887822999996</v>
      </c>
      <c r="Z66" s="94">
        <v>1.3221973000000001E-3</v>
      </c>
      <c r="AA66" s="37" t="s">
        <v>76</v>
      </c>
      <c r="AB66" s="13">
        <v>0</v>
      </c>
      <c r="AC66" s="93">
        <v>1.365504E-3</v>
      </c>
      <c r="AD66" s="94">
        <v>5.1256594E-6</v>
      </c>
      <c r="AE66" s="37" t="s">
        <v>76</v>
      </c>
      <c r="AF66" s="13">
        <v>0</v>
      </c>
      <c r="AG66" s="37" t="s">
        <v>76</v>
      </c>
      <c r="AH66" s="13">
        <v>0</v>
      </c>
      <c r="AI66" s="93">
        <v>1.365504E-3</v>
      </c>
      <c r="AJ66" s="94">
        <v>5.1256594E-6</v>
      </c>
      <c r="AK66" s="93">
        <v>295.57859703999998</v>
      </c>
      <c r="AL66" s="94">
        <v>1.6871165911999999</v>
      </c>
      <c r="AM66" s="37" t="s">
        <v>76</v>
      </c>
      <c r="AN66" s="13">
        <v>0</v>
      </c>
      <c r="AO66" s="37" t="s">
        <v>76</v>
      </c>
      <c r="AP66" s="13">
        <v>0</v>
      </c>
      <c r="AQ66" s="37" t="s">
        <v>76</v>
      </c>
      <c r="AR66" s="13">
        <v>0</v>
      </c>
      <c r="AS66" s="93">
        <v>45.161144929000002</v>
      </c>
      <c r="AT66" s="94">
        <v>0.65228648509999998</v>
      </c>
      <c r="AU66" s="93">
        <v>42.418215734999997</v>
      </c>
      <c r="AV66" s="94">
        <v>0.25640720169999998</v>
      </c>
      <c r="AW66" s="93">
        <v>29.605342449999998</v>
      </c>
      <c r="AX66" s="94">
        <v>0.13704397609999999</v>
      </c>
      <c r="AY66" s="93">
        <v>7.7481460297</v>
      </c>
      <c r="AZ66" s="94">
        <v>3.8464762E-2</v>
      </c>
      <c r="BA66" s="79">
        <v>5.0647272556000003</v>
      </c>
      <c r="BB66" s="13">
        <v>8.0898463599999998E-2</v>
      </c>
      <c r="BC66" s="93">
        <v>0</v>
      </c>
      <c r="BD66" s="85">
        <v>0</v>
      </c>
      <c r="BE66" s="93">
        <v>67.780062452999999</v>
      </c>
      <c r="BF66" s="94">
        <v>0.18628376660000001</v>
      </c>
      <c r="BG66" s="94">
        <v>1.1977085E-2</v>
      </c>
      <c r="BH66" s="85">
        <v>0</v>
      </c>
      <c r="BI66" s="93">
        <v>1.0571388172</v>
      </c>
      <c r="BJ66" s="94">
        <v>5.8593977000000004E-3</v>
      </c>
      <c r="BK66" s="93">
        <v>9.1252060199999999E-2</v>
      </c>
      <c r="BL66" s="94">
        <v>3.7155020000000002E-4</v>
      </c>
      <c r="BM66" s="7" t="s">
        <v>76</v>
      </c>
      <c r="BN66" s="13">
        <v>0</v>
      </c>
      <c r="BO66" s="7" t="s">
        <v>76</v>
      </c>
      <c r="BP66" s="13">
        <v>0</v>
      </c>
      <c r="BQ66" s="93">
        <v>67.550897022000001</v>
      </c>
      <c r="BR66" s="94">
        <v>0.21052334149999999</v>
      </c>
      <c r="BS66" s="93">
        <v>0.50168987350000005</v>
      </c>
      <c r="BT66" s="94">
        <v>2.5012383999999999E-3</v>
      </c>
      <c r="BU66" s="7" t="s">
        <v>76</v>
      </c>
      <c r="BV66" s="13">
        <v>0</v>
      </c>
      <c r="BW66" s="7" t="s">
        <v>76</v>
      </c>
      <c r="BX66" s="13">
        <v>0</v>
      </c>
      <c r="BY66" s="7" t="s">
        <v>76</v>
      </c>
      <c r="BZ66" s="13">
        <v>0</v>
      </c>
      <c r="CA66" s="7" t="s">
        <v>76</v>
      </c>
      <c r="CB66" s="13">
        <v>0</v>
      </c>
      <c r="CC66" s="93">
        <v>0.5029828059</v>
      </c>
      <c r="CD66" s="94">
        <v>2.1223103000000002E-3</v>
      </c>
      <c r="CE66" s="93">
        <v>1.1621195E-3</v>
      </c>
      <c r="CF66" s="94">
        <v>1.1934E-5</v>
      </c>
      <c r="CG66" s="93">
        <v>5.6048562205000003</v>
      </c>
      <c r="CH66" s="94">
        <v>2.12390501E-2</v>
      </c>
      <c r="CI66" s="93">
        <v>6.0660623999999998E-3</v>
      </c>
      <c r="CJ66" s="94">
        <v>4.9050400000000001E-5</v>
      </c>
      <c r="CK66" s="6" t="s">
        <v>76</v>
      </c>
      <c r="CL66" s="13">
        <v>0</v>
      </c>
      <c r="CM66" s="7" t="s">
        <v>76</v>
      </c>
      <c r="CN66" s="15">
        <v>0</v>
      </c>
      <c r="CO66" s="93">
        <v>36.667301061000003</v>
      </c>
      <c r="CP66" s="94">
        <v>0.19650757299999999</v>
      </c>
      <c r="CQ66" s="93">
        <v>9.5947492999999995E-2</v>
      </c>
      <c r="CR66" s="94">
        <v>6.7912370000000003E-4</v>
      </c>
      <c r="CS66" s="93">
        <v>40.047526519000002</v>
      </c>
      <c r="CT66" s="94">
        <v>9.7027498099999998E-2</v>
      </c>
      <c r="CU66" s="93">
        <v>0.17945969719999999</v>
      </c>
      <c r="CV66" s="88">
        <v>1.4586986E-3</v>
      </c>
      <c r="CW66" s="188">
        <v>6.6708308000000003E-3</v>
      </c>
      <c r="CX66" s="189">
        <v>1.02212949E-2</v>
      </c>
      <c r="CY66" s="189">
        <v>1.13298354E-2</v>
      </c>
      <c r="CZ66" s="189">
        <v>1.16713631E-2</v>
      </c>
      <c r="DA66" s="189">
        <v>1.17594577E-2</v>
      </c>
      <c r="DB66" s="189">
        <v>1.1827837399999999E-2</v>
      </c>
      <c r="DC66" s="189">
        <v>1.1857584799999999E-2</v>
      </c>
      <c r="DD66" s="189">
        <v>1.18837492E-2</v>
      </c>
      <c r="DE66" s="189">
        <v>1.1899485499999999E-2</v>
      </c>
      <c r="DF66" s="190">
        <v>1.1909393799999999E-2</v>
      </c>
      <c r="DG66" s="112">
        <v>126.12768622</v>
      </c>
      <c r="DH66" s="13">
        <v>1.9260375407000001</v>
      </c>
      <c r="DI66" s="79">
        <v>90.712627451000003</v>
      </c>
      <c r="DJ66" s="13">
        <v>1.3818823937</v>
      </c>
      <c r="DK66" s="79">
        <v>64.565460485000003</v>
      </c>
      <c r="DL66" s="13">
        <v>0.99111184770000005</v>
      </c>
      <c r="DM66" s="79">
        <v>45.885028335000001</v>
      </c>
      <c r="DN66" s="13">
        <v>0.71559992110000004</v>
      </c>
      <c r="DO66" s="79">
        <v>32.827159211999998</v>
      </c>
      <c r="DP66" s="13">
        <v>0.52330054469999998</v>
      </c>
      <c r="DQ66" s="79">
        <v>23.724032010999998</v>
      </c>
      <c r="DR66" s="13">
        <v>0.38788051779999999</v>
      </c>
      <c r="DS66" s="79">
        <v>17.363029437000002</v>
      </c>
      <c r="DT66" s="13">
        <v>0.29155987370000003</v>
      </c>
      <c r="DU66" s="79">
        <v>12.895752501</v>
      </c>
      <c r="DV66" s="13">
        <v>0.22224715289999999</v>
      </c>
      <c r="DW66" s="79">
        <v>9.7088666371999999</v>
      </c>
      <c r="DX66" s="13">
        <v>0.17120679129999999</v>
      </c>
      <c r="DY66" s="79">
        <v>7.4112683436999998</v>
      </c>
      <c r="DZ66" s="15">
        <v>0.1332377481</v>
      </c>
    </row>
    <row r="67" spans="1:130" x14ac:dyDescent="0.2">
      <c r="A67" s="8">
        <v>6200</v>
      </c>
      <c r="B67" s="82">
        <v>2555</v>
      </c>
      <c r="C67" s="83">
        <v>1926.4208282</v>
      </c>
      <c r="D67" s="93">
        <v>6149.4568388999996</v>
      </c>
      <c r="E67" s="93">
        <v>64.081498593999996</v>
      </c>
      <c r="F67" s="94">
        <v>9.0882892899999998E-2</v>
      </c>
      <c r="G67" s="83">
        <v>14.699981228</v>
      </c>
      <c r="H67" s="94">
        <v>7.0184562999999998E-3</v>
      </c>
      <c r="I67" s="93">
        <v>235.93157116</v>
      </c>
      <c r="J67" s="94">
        <v>2.6587410243999998</v>
      </c>
      <c r="K67" s="93">
        <v>416.13919332</v>
      </c>
      <c r="L67" s="94">
        <v>2.9992564264000001</v>
      </c>
      <c r="M67" s="93">
        <v>1.9047145071</v>
      </c>
      <c r="N67" s="94">
        <v>1.13433327E-2</v>
      </c>
      <c r="O67" s="37" t="s">
        <v>76</v>
      </c>
      <c r="P67" s="13">
        <v>0</v>
      </c>
      <c r="Q67" s="93">
        <v>71.216140808999995</v>
      </c>
      <c r="R67" s="94">
        <v>0.22097489310000001</v>
      </c>
      <c r="S67" s="37" t="s">
        <v>76</v>
      </c>
      <c r="T67" s="13">
        <v>0</v>
      </c>
      <c r="U67" s="37" t="s">
        <v>76</v>
      </c>
      <c r="V67" s="13">
        <v>0</v>
      </c>
      <c r="W67" s="93">
        <v>0.5918388537</v>
      </c>
      <c r="X67" s="94">
        <v>2.9439367000000001E-3</v>
      </c>
      <c r="Y67" s="93">
        <v>6.4100447786999997</v>
      </c>
      <c r="Z67" s="94">
        <v>1.326142E-3</v>
      </c>
      <c r="AA67" s="37" t="s">
        <v>76</v>
      </c>
      <c r="AB67" s="13">
        <v>0</v>
      </c>
      <c r="AC67" s="93">
        <v>1.3621327000000001E-3</v>
      </c>
      <c r="AD67" s="94">
        <v>5.1131059E-6</v>
      </c>
      <c r="AE67" s="37" t="s">
        <v>76</v>
      </c>
      <c r="AF67" s="13">
        <v>0</v>
      </c>
      <c r="AG67" s="37" t="s">
        <v>76</v>
      </c>
      <c r="AH67" s="13">
        <v>0</v>
      </c>
      <c r="AI67" s="93">
        <v>1.3621327000000001E-3</v>
      </c>
      <c r="AJ67" s="94">
        <v>5.1131059E-6</v>
      </c>
      <c r="AK67" s="93">
        <v>296.75470107000001</v>
      </c>
      <c r="AL67" s="94">
        <v>1.6916131799</v>
      </c>
      <c r="AM67" s="37" t="s">
        <v>76</v>
      </c>
      <c r="AN67" s="13">
        <v>0</v>
      </c>
      <c r="AO67" s="37" t="s">
        <v>76</v>
      </c>
      <c r="AP67" s="13">
        <v>0</v>
      </c>
      <c r="AQ67" s="37" t="s">
        <v>76</v>
      </c>
      <c r="AR67" s="13">
        <v>0</v>
      </c>
      <c r="AS67" s="93">
        <v>45.658340561000003</v>
      </c>
      <c r="AT67" s="94">
        <v>0.65517827870000001</v>
      </c>
      <c r="AU67" s="93">
        <v>42.748865320999997</v>
      </c>
      <c r="AV67" s="94">
        <v>0.25774507209999997</v>
      </c>
      <c r="AW67" s="93">
        <v>29.847332586</v>
      </c>
      <c r="AX67" s="94">
        <v>0.13778676879999999</v>
      </c>
      <c r="AY67" s="93">
        <v>7.7850120328000001</v>
      </c>
      <c r="AZ67" s="94">
        <v>3.8599370299999998E-2</v>
      </c>
      <c r="BA67" s="79">
        <v>5.1165207027999999</v>
      </c>
      <c r="BB67" s="13">
        <v>8.1358932999999994E-2</v>
      </c>
      <c r="BC67" s="93">
        <v>0</v>
      </c>
      <c r="BD67" s="85">
        <v>0</v>
      </c>
      <c r="BE67" s="93">
        <v>69.094668448999997</v>
      </c>
      <c r="BF67" s="94">
        <v>0.18852738920000001</v>
      </c>
      <c r="BG67" s="94">
        <v>1.2200508800000001E-2</v>
      </c>
      <c r="BH67" s="85">
        <v>0</v>
      </c>
      <c r="BI67" s="93">
        <v>1.0730088603000001</v>
      </c>
      <c r="BJ67" s="94">
        <v>5.9066813000000001E-3</v>
      </c>
      <c r="BK67" s="93">
        <v>9.1027386900000007E-2</v>
      </c>
      <c r="BL67" s="94">
        <v>3.7062660000000003E-4</v>
      </c>
      <c r="BM67" s="7" t="s">
        <v>76</v>
      </c>
      <c r="BN67" s="13">
        <v>0</v>
      </c>
      <c r="BO67" s="7" t="s">
        <v>76</v>
      </c>
      <c r="BP67" s="13">
        <v>0</v>
      </c>
      <c r="BQ67" s="93">
        <v>68.582156409999996</v>
      </c>
      <c r="BR67" s="94">
        <v>0.2120263838</v>
      </c>
      <c r="BS67" s="93">
        <v>0.5093074876</v>
      </c>
      <c r="BT67" s="94">
        <v>2.5399442999999998E-3</v>
      </c>
      <c r="BU67" s="7" t="s">
        <v>76</v>
      </c>
      <c r="BV67" s="13">
        <v>0</v>
      </c>
      <c r="BW67" s="7" t="s">
        <v>76</v>
      </c>
      <c r="BX67" s="13">
        <v>0</v>
      </c>
      <c r="BY67" s="7" t="s">
        <v>76</v>
      </c>
      <c r="BZ67" s="13">
        <v>0</v>
      </c>
      <c r="CA67" s="7" t="s">
        <v>76</v>
      </c>
      <c r="CB67" s="13">
        <v>0</v>
      </c>
      <c r="CC67" s="93">
        <v>0.51947949319999998</v>
      </c>
      <c r="CD67" s="94">
        <v>2.2361145000000002E-3</v>
      </c>
      <c r="CE67" s="93">
        <v>1.1593218000000001E-3</v>
      </c>
      <c r="CF67" s="94">
        <v>1.19041E-5</v>
      </c>
      <c r="CG67" s="93">
        <v>5.6938424557999996</v>
      </c>
      <c r="CH67" s="94">
        <v>2.1499661400000002E-2</v>
      </c>
      <c r="CI67" s="93">
        <v>6.0512776000000001E-3</v>
      </c>
      <c r="CJ67" s="94">
        <v>4.89296E-5</v>
      </c>
      <c r="CK67" s="6" t="s">
        <v>76</v>
      </c>
      <c r="CL67" s="13">
        <v>0</v>
      </c>
      <c r="CM67" s="7" t="s">
        <v>76</v>
      </c>
      <c r="CN67" s="15">
        <v>0</v>
      </c>
      <c r="CO67" s="93">
        <v>37.065673650000001</v>
      </c>
      <c r="CP67" s="94">
        <v>0.19787957319999999</v>
      </c>
      <c r="CQ67" s="93">
        <v>9.6543692200000003E-2</v>
      </c>
      <c r="CR67" s="94">
        <v>6.8540219999999995E-4</v>
      </c>
      <c r="CS67" s="93">
        <v>40.751015287000001</v>
      </c>
      <c r="CT67" s="94">
        <v>9.8139388899999999E-2</v>
      </c>
      <c r="CU67" s="93">
        <v>0.1799718169</v>
      </c>
      <c r="CV67" s="88">
        <v>1.4678553E-3</v>
      </c>
      <c r="CW67" s="188">
        <v>6.7867316999999996E-3</v>
      </c>
      <c r="CX67" s="189">
        <v>1.0396584699999999E-2</v>
      </c>
      <c r="CY67" s="189">
        <v>1.15252814E-2</v>
      </c>
      <c r="CZ67" s="189">
        <v>1.1878066200000001E-2</v>
      </c>
      <c r="DA67" s="189">
        <v>1.1968634400000001E-2</v>
      </c>
      <c r="DB67" s="189">
        <v>1.2039088599999999E-2</v>
      </c>
      <c r="DC67" s="189">
        <v>1.20698093E-2</v>
      </c>
      <c r="DD67" s="189">
        <v>1.2096955E-2</v>
      </c>
      <c r="DE67" s="189">
        <v>1.21136983E-2</v>
      </c>
      <c r="DF67" s="190">
        <v>1.2124627400000001E-2</v>
      </c>
      <c r="DG67" s="112">
        <v>126.8544289</v>
      </c>
      <c r="DH67" s="13">
        <v>1.9331759112</v>
      </c>
      <c r="DI67" s="79">
        <v>91.341461136999996</v>
      </c>
      <c r="DJ67" s="13">
        <v>1.3883076859000001</v>
      </c>
      <c r="DK67" s="79">
        <v>65.094841603999996</v>
      </c>
      <c r="DL67" s="13">
        <v>0.99671092579999998</v>
      </c>
      <c r="DM67" s="79">
        <v>46.321995401000002</v>
      </c>
      <c r="DN67" s="13">
        <v>0.72035943810000003</v>
      </c>
      <c r="DO67" s="79">
        <v>33.18527546</v>
      </c>
      <c r="DP67" s="13">
        <v>0.5272918741</v>
      </c>
      <c r="DQ67" s="79">
        <v>24.012947891</v>
      </c>
      <c r="DR67" s="13">
        <v>0.39117328200000001</v>
      </c>
      <c r="DS67" s="79">
        <v>17.595525198000001</v>
      </c>
      <c r="DT67" s="13">
        <v>0.29428976750000002</v>
      </c>
      <c r="DU67" s="79">
        <v>13.08135513</v>
      </c>
      <c r="DV67" s="13">
        <v>0.2244947451</v>
      </c>
      <c r="DW67" s="79">
        <v>9.8576607552999995</v>
      </c>
      <c r="DX67" s="13">
        <v>0.17305818940000001</v>
      </c>
      <c r="DY67" s="79">
        <v>7.5326275041999997</v>
      </c>
      <c r="DZ67" s="15">
        <v>0.13477422999999999</v>
      </c>
    </row>
    <row r="68" spans="1:130" x14ac:dyDescent="0.2">
      <c r="A68" s="8">
        <v>6300</v>
      </c>
      <c r="B68" s="82">
        <v>2472</v>
      </c>
      <c r="C68" s="83">
        <v>1939.7324275999999</v>
      </c>
      <c r="D68" s="93">
        <v>6248.9067281999996</v>
      </c>
      <c r="E68" s="93">
        <v>65.361737601000002</v>
      </c>
      <c r="F68" s="94">
        <v>9.1695816200000002E-2</v>
      </c>
      <c r="G68" s="83">
        <v>15.066125912</v>
      </c>
      <c r="H68" s="94">
        <v>7.1349048999999999E-3</v>
      </c>
      <c r="I68" s="93">
        <v>237.05122797000001</v>
      </c>
      <c r="J68" s="94">
        <v>2.6658968563999998</v>
      </c>
      <c r="K68" s="93">
        <v>419.98946187000001</v>
      </c>
      <c r="L68" s="94">
        <v>3.0165578542000002</v>
      </c>
      <c r="M68" s="93">
        <v>1.9448053126</v>
      </c>
      <c r="N68" s="94">
        <v>1.15485706E-2</v>
      </c>
      <c r="O68" s="37" t="s">
        <v>76</v>
      </c>
      <c r="P68" s="13">
        <v>0</v>
      </c>
      <c r="Q68" s="93">
        <v>72.178901503000006</v>
      </c>
      <c r="R68" s="94">
        <v>0.2224122459</v>
      </c>
      <c r="S68" s="37" t="s">
        <v>76</v>
      </c>
      <c r="T68" s="13">
        <v>0</v>
      </c>
      <c r="U68" s="37" t="s">
        <v>76</v>
      </c>
      <c r="V68" s="13">
        <v>0</v>
      </c>
      <c r="W68" s="93">
        <v>0.59960374370000002</v>
      </c>
      <c r="X68" s="94">
        <v>3.0147338000000002E-3</v>
      </c>
      <c r="Y68" s="93">
        <v>6.5637787423000002</v>
      </c>
      <c r="Z68" s="94">
        <v>1.3369988999999999E-3</v>
      </c>
      <c r="AA68" s="37" t="s">
        <v>76</v>
      </c>
      <c r="AB68" s="13">
        <v>0</v>
      </c>
      <c r="AC68" s="93">
        <v>1.3589014E-3</v>
      </c>
      <c r="AD68" s="94">
        <v>5.1010713999999998E-6</v>
      </c>
      <c r="AE68" s="37" t="s">
        <v>76</v>
      </c>
      <c r="AF68" s="13">
        <v>0</v>
      </c>
      <c r="AG68" s="37" t="s">
        <v>76</v>
      </c>
      <c r="AH68" s="13">
        <v>0</v>
      </c>
      <c r="AI68" s="93">
        <v>1.3589014E-3</v>
      </c>
      <c r="AJ68" s="94">
        <v>5.1010713999999998E-6</v>
      </c>
      <c r="AK68" s="93">
        <v>297.86937637</v>
      </c>
      <c r="AL68" s="94">
        <v>1.6958517473000001</v>
      </c>
      <c r="AM68" s="37" t="s">
        <v>76</v>
      </c>
      <c r="AN68" s="13">
        <v>0</v>
      </c>
      <c r="AO68" s="37" t="s">
        <v>76</v>
      </c>
      <c r="AP68" s="13">
        <v>0</v>
      </c>
      <c r="AQ68" s="37" t="s">
        <v>76</v>
      </c>
      <c r="AR68" s="13">
        <v>0</v>
      </c>
      <c r="AS68" s="93">
        <v>46.143119990000002</v>
      </c>
      <c r="AT68" s="94">
        <v>0.65796541389999996</v>
      </c>
      <c r="AU68" s="93">
        <v>43.042288589000002</v>
      </c>
      <c r="AV68" s="94">
        <v>0.25898539349999999</v>
      </c>
      <c r="AW68" s="93">
        <v>30.055574228000001</v>
      </c>
      <c r="AX68" s="94">
        <v>0.1384869218</v>
      </c>
      <c r="AY68" s="93">
        <v>7.8243787986999997</v>
      </c>
      <c r="AZ68" s="94">
        <v>3.8726792400000001E-2</v>
      </c>
      <c r="BA68" s="79">
        <v>5.1623355622</v>
      </c>
      <c r="BB68" s="13">
        <v>8.1771679299999997E-2</v>
      </c>
      <c r="BC68" s="93">
        <v>0</v>
      </c>
      <c r="BD68" s="85">
        <v>0</v>
      </c>
      <c r="BE68" s="93">
        <v>70.462506093000002</v>
      </c>
      <c r="BF68" s="94">
        <v>0.1908452303</v>
      </c>
      <c r="BG68" s="94">
        <v>1.24193359E-2</v>
      </c>
      <c r="BH68" s="85">
        <v>0</v>
      </c>
      <c r="BI68" s="93">
        <v>1.0920771422</v>
      </c>
      <c r="BJ68" s="94">
        <v>5.9785560000000003E-3</v>
      </c>
      <c r="BK68" s="93">
        <v>9.2681250699999995E-2</v>
      </c>
      <c r="BL68" s="94">
        <v>3.7870779999999999E-4</v>
      </c>
      <c r="BM68" s="7" t="s">
        <v>76</v>
      </c>
      <c r="BN68" s="13">
        <v>0</v>
      </c>
      <c r="BO68" s="7" t="s">
        <v>76</v>
      </c>
      <c r="BP68" s="13">
        <v>0</v>
      </c>
      <c r="BQ68" s="93">
        <v>69.496556545000004</v>
      </c>
      <c r="BR68" s="94">
        <v>0.21333854599999999</v>
      </c>
      <c r="BS68" s="93">
        <v>0.51658590609999999</v>
      </c>
      <c r="BT68" s="94">
        <v>2.5698989E-3</v>
      </c>
      <c r="BU68" s="7" t="s">
        <v>76</v>
      </c>
      <c r="BV68" s="13">
        <v>0</v>
      </c>
      <c r="BW68" s="7" t="s">
        <v>76</v>
      </c>
      <c r="BX68" s="13">
        <v>0</v>
      </c>
      <c r="BY68" s="7" t="s">
        <v>76</v>
      </c>
      <c r="BZ68" s="13">
        <v>0</v>
      </c>
      <c r="CA68" s="7" t="s">
        <v>76</v>
      </c>
      <c r="CB68" s="13">
        <v>0</v>
      </c>
      <c r="CC68" s="93">
        <v>0.52740775230000003</v>
      </c>
      <c r="CD68" s="94">
        <v>2.3085364000000001E-3</v>
      </c>
      <c r="CE68" s="93">
        <v>1.1567204999999999E-3</v>
      </c>
      <c r="CF68" s="94">
        <v>1.1875800000000001E-5</v>
      </c>
      <c r="CG68" s="93">
        <v>5.8258374393999999</v>
      </c>
      <c r="CH68" s="94">
        <v>2.1899245500000001E-2</v>
      </c>
      <c r="CI68" s="93">
        <v>6.0372947999999997E-3</v>
      </c>
      <c r="CJ68" s="94">
        <v>4.8815600000000001E-5</v>
      </c>
      <c r="CK68" s="6" t="s">
        <v>76</v>
      </c>
      <c r="CL68" s="13">
        <v>0</v>
      </c>
      <c r="CM68" s="7" t="s">
        <v>76</v>
      </c>
      <c r="CN68" s="15">
        <v>0</v>
      </c>
      <c r="CO68" s="93">
        <v>37.446006177999998</v>
      </c>
      <c r="CP68" s="94">
        <v>0.19915018600000001</v>
      </c>
      <c r="CQ68" s="93">
        <v>0.10009647469999999</v>
      </c>
      <c r="CR68" s="94">
        <v>6.9340069999999996E-4</v>
      </c>
      <c r="CS68" s="93">
        <v>41.502545558000001</v>
      </c>
      <c r="CT68" s="94">
        <v>9.9265521900000001E-2</v>
      </c>
      <c r="CU68" s="93">
        <v>0.18271634880000001</v>
      </c>
      <c r="CV68" s="88">
        <v>1.4845633E-3</v>
      </c>
      <c r="CW68" s="188">
        <v>6.8995217999999999E-3</v>
      </c>
      <c r="CX68" s="189">
        <v>1.05709297E-2</v>
      </c>
      <c r="CY68" s="189">
        <v>1.17296269E-2</v>
      </c>
      <c r="CZ68" s="189">
        <v>1.2090677100000001E-2</v>
      </c>
      <c r="DA68" s="189">
        <v>1.2183027900000001E-2</v>
      </c>
      <c r="DB68" s="189">
        <v>1.2254311699999999E-2</v>
      </c>
      <c r="DC68" s="189">
        <v>1.22859588E-2</v>
      </c>
      <c r="DD68" s="189">
        <v>1.2314039000000001E-2</v>
      </c>
      <c r="DE68" s="189">
        <v>1.2331740799999999E-2</v>
      </c>
      <c r="DF68" s="190">
        <v>1.2343641299999999E-2</v>
      </c>
      <c r="DG68" s="112">
        <v>127.56855066999999</v>
      </c>
      <c r="DH68" s="13">
        <v>1.9398906721</v>
      </c>
      <c r="DI68" s="79">
        <v>91.956480306000003</v>
      </c>
      <c r="DJ68" s="13">
        <v>1.3943892096999999</v>
      </c>
      <c r="DK68" s="79">
        <v>65.615569166</v>
      </c>
      <c r="DL68" s="13">
        <v>1.0020674076</v>
      </c>
      <c r="DM68" s="79">
        <v>46.751951108999997</v>
      </c>
      <c r="DN68" s="13">
        <v>0.72495962459999996</v>
      </c>
      <c r="DO68" s="79">
        <v>33.538918078999998</v>
      </c>
      <c r="DP68" s="13">
        <v>0.53120644360000002</v>
      </c>
      <c r="DQ68" s="79">
        <v>24.304308548000002</v>
      </c>
      <c r="DR68" s="13">
        <v>0.39447500320000001</v>
      </c>
      <c r="DS68" s="79">
        <v>17.834335323000001</v>
      </c>
      <c r="DT68" s="13">
        <v>0.29705526929999998</v>
      </c>
      <c r="DU68" s="79">
        <v>13.277166242</v>
      </c>
      <c r="DV68" s="13">
        <v>0.22680494670000001</v>
      </c>
      <c r="DW68" s="79">
        <v>10.019464594</v>
      </c>
      <c r="DX68" s="13">
        <v>0.17499238750000001</v>
      </c>
      <c r="DY68" s="79">
        <v>7.6666658100999996</v>
      </c>
      <c r="DZ68" s="15">
        <v>0.13639475340000001</v>
      </c>
    </row>
    <row r="69" spans="1:130" x14ac:dyDescent="0.2">
      <c r="A69" s="8">
        <v>6400</v>
      </c>
      <c r="B69" s="82">
        <v>2434</v>
      </c>
      <c r="C69" s="83">
        <v>1952.8538606</v>
      </c>
      <c r="D69" s="93">
        <v>6349.9870604999996</v>
      </c>
      <c r="E69" s="93">
        <v>66.813471176999997</v>
      </c>
      <c r="F69" s="94">
        <v>9.2654514699999996E-2</v>
      </c>
      <c r="G69" s="83">
        <v>15.498173018999999</v>
      </c>
      <c r="H69" s="94">
        <v>7.2623141000000002E-3</v>
      </c>
      <c r="I69" s="93">
        <v>238.09331940999999</v>
      </c>
      <c r="J69" s="94">
        <v>2.6732387352</v>
      </c>
      <c r="K69" s="93">
        <v>423.98693063000002</v>
      </c>
      <c r="L69" s="94">
        <v>3.0342023486</v>
      </c>
      <c r="M69" s="93">
        <v>1.9775854468</v>
      </c>
      <c r="N69" s="94">
        <v>1.1691905900000001E-2</v>
      </c>
      <c r="O69" s="37" t="s">
        <v>76</v>
      </c>
      <c r="P69" s="13">
        <v>0</v>
      </c>
      <c r="Q69" s="93">
        <v>73.161549757000003</v>
      </c>
      <c r="R69" s="94">
        <v>0.22391988400000001</v>
      </c>
      <c r="S69" s="37" t="s">
        <v>76</v>
      </c>
      <c r="T69" s="13">
        <v>0</v>
      </c>
      <c r="U69" s="37" t="s">
        <v>76</v>
      </c>
      <c r="V69" s="13">
        <v>0</v>
      </c>
      <c r="W69" s="93">
        <v>0.60200719199999997</v>
      </c>
      <c r="X69" s="94">
        <v>3.0246258999999998E-3</v>
      </c>
      <c r="Y69" s="93">
        <v>6.6442686285999999</v>
      </c>
      <c r="Z69" s="94">
        <v>1.3388981000000001E-3</v>
      </c>
      <c r="AA69" s="37" t="s">
        <v>76</v>
      </c>
      <c r="AB69" s="13">
        <v>0</v>
      </c>
      <c r="AC69" s="93">
        <v>1.3557516999999999E-3</v>
      </c>
      <c r="AD69" s="94">
        <v>5.0892566999999998E-6</v>
      </c>
      <c r="AE69" s="37" t="s">
        <v>76</v>
      </c>
      <c r="AF69" s="13">
        <v>0</v>
      </c>
      <c r="AG69" s="37" t="s">
        <v>76</v>
      </c>
      <c r="AH69" s="13">
        <v>0</v>
      </c>
      <c r="AI69" s="93">
        <v>1.3557516999999999E-3</v>
      </c>
      <c r="AJ69" s="94">
        <v>5.0892566999999998E-6</v>
      </c>
      <c r="AK69" s="93">
        <v>298.97909614000002</v>
      </c>
      <c r="AL69" s="94">
        <v>1.7002071382999999</v>
      </c>
      <c r="AM69" s="37" t="s">
        <v>76</v>
      </c>
      <c r="AN69" s="13">
        <v>0</v>
      </c>
      <c r="AO69" s="37" t="s">
        <v>76</v>
      </c>
      <c r="AP69" s="13">
        <v>0</v>
      </c>
      <c r="AQ69" s="37" t="s">
        <v>76</v>
      </c>
      <c r="AR69" s="13">
        <v>0</v>
      </c>
      <c r="AS69" s="93">
        <v>46.624171896</v>
      </c>
      <c r="AT69" s="94">
        <v>0.66060348999999996</v>
      </c>
      <c r="AU69" s="93">
        <v>43.36400399</v>
      </c>
      <c r="AV69" s="94">
        <v>0.26031721679999997</v>
      </c>
      <c r="AW69" s="93">
        <v>30.300585386000002</v>
      </c>
      <c r="AX69" s="94">
        <v>0.13926035710000001</v>
      </c>
      <c r="AY69" s="93">
        <v>7.8551447966000003</v>
      </c>
      <c r="AZ69" s="94">
        <v>3.8839673900000003E-2</v>
      </c>
      <c r="BA69" s="79">
        <v>5.2082738078000004</v>
      </c>
      <c r="BB69" s="13">
        <v>8.2217185799999995E-2</v>
      </c>
      <c r="BC69" s="93">
        <v>0</v>
      </c>
      <c r="BD69" s="85">
        <v>0</v>
      </c>
      <c r="BE69" s="93">
        <v>71.815366186000006</v>
      </c>
      <c r="BF69" s="94">
        <v>0.19301321369999999</v>
      </c>
      <c r="BG69" s="94">
        <v>1.26642057E-2</v>
      </c>
      <c r="BH69" s="85">
        <v>0</v>
      </c>
      <c r="BI69" s="93">
        <v>1.1179710317</v>
      </c>
      <c r="BJ69" s="94">
        <v>6.0815150999999996E-3</v>
      </c>
      <c r="BK69" s="93">
        <v>9.2845270800000004E-2</v>
      </c>
      <c r="BL69" s="94">
        <v>3.795553E-4</v>
      </c>
      <c r="BM69" s="7" t="s">
        <v>76</v>
      </c>
      <c r="BN69" s="13">
        <v>0</v>
      </c>
      <c r="BO69" s="7" t="s">
        <v>76</v>
      </c>
      <c r="BP69" s="13">
        <v>0</v>
      </c>
      <c r="BQ69" s="93">
        <v>70.438637916000005</v>
      </c>
      <c r="BR69" s="94">
        <v>0.21474194639999999</v>
      </c>
      <c r="BS69" s="93">
        <v>0.52239537670000002</v>
      </c>
      <c r="BT69" s="94">
        <v>2.5908812999999998E-3</v>
      </c>
      <c r="BU69" s="7" t="s">
        <v>76</v>
      </c>
      <c r="BV69" s="13">
        <v>0</v>
      </c>
      <c r="BW69" s="7" t="s">
        <v>76</v>
      </c>
      <c r="BX69" s="13">
        <v>0</v>
      </c>
      <c r="BY69" s="7" t="s">
        <v>76</v>
      </c>
      <c r="BZ69" s="13">
        <v>0</v>
      </c>
      <c r="CA69" s="7" t="s">
        <v>76</v>
      </c>
      <c r="CB69" s="13">
        <v>0</v>
      </c>
      <c r="CC69" s="93">
        <v>0.52997675399999999</v>
      </c>
      <c r="CD69" s="94">
        <v>2.3200274999999999E-3</v>
      </c>
      <c r="CE69" s="93">
        <v>1.1540891999999999E-3</v>
      </c>
      <c r="CF69" s="94">
        <v>1.18485E-5</v>
      </c>
      <c r="CG69" s="93">
        <v>5.8980210146000003</v>
      </c>
      <c r="CH69" s="94">
        <v>2.2084489400000001E-2</v>
      </c>
      <c r="CI69" s="93">
        <v>6.1021074E-3</v>
      </c>
      <c r="CJ69" s="94">
        <v>5.0282899999999999E-5</v>
      </c>
      <c r="CK69" s="6" t="s">
        <v>76</v>
      </c>
      <c r="CL69" s="13">
        <v>0</v>
      </c>
      <c r="CM69" s="7" t="s">
        <v>76</v>
      </c>
      <c r="CN69" s="15">
        <v>0</v>
      </c>
      <c r="CO69" s="93">
        <v>37.853231418</v>
      </c>
      <c r="CP69" s="94">
        <v>0.2003897161</v>
      </c>
      <c r="CQ69" s="93">
        <v>0.1005993426</v>
      </c>
      <c r="CR69" s="94">
        <v>6.937658E-4</v>
      </c>
      <c r="CS69" s="93">
        <v>42.289497025999999</v>
      </c>
      <c r="CT69" s="94">
        <v>0.10042188790000001</v>
      </c>
      <c r="CU69" s="93">
        <v>0.18420377960000001</v>
      </c>
      <c r="CV69" s="88">
        <v>1.4954752999999999E-3</v>
      </c>
      <c r="CW69" s="188">
        <v>7.0187479000000004E-3</v>
      </c>
      <c r="CX69" s="189">
        <v>1.0759086399999999E-2</v>
      </c>
      <c r="CY69" s="189">
        <v>1.1959363299999999E-2</v>
      </c>
      <c r="CZ69" s="189">
        <v>1.2332126000000001E-2</v>
      </c>
      <c r="DA69" s="189">
        <v>1.2425760399999999E-2</v>
      </c>
      <c r="DB69" s="189">
        <v>1.24983748E-2</v>
      </c>
      <c r="DC69" s="189">
        <v>1.2530555299999999E-2</v>
      </c>
      <c r="DD69" s="189">
        <v>1.25591773E-2</v>
      </c>
      <c r="DE69" s="189">
        <v>1.2576835499999999E-2</v>
      </c>
      <c r="DF69" s="190">
        <v>1.2588706200000001E-2</v>
      </c>
      <c r="DG69" s="112">
        <v>128.24716541000001</v>
      </c>
      <c r="DH69" s="13">
        <v>1.9467764595999999</v>
      </c>
      <c r="DI69" s="79">
        <v>92.543845239999996</v>
      </c>
      <c r="DJ69" s="13">
        <v>1.4005838858999999</v>
      </c>
      <c r="DK69" s="79">
        <v>66.112130410000006</v>
      </c>
      <c r="DL69" s="13">
        <v>1.0074705197</v>
      </c>
      <c r="DM69" s="79">
        <v>47.161294646999998</v>
      </c>
      <c r="DN69" s="13">
        <v>0.72954524570000001</v>
      </c>
      <c r="DO69" s="79">
        <v>33.873343429000002</v>
      </c>
      <c r="DP69" s="13">
        <v>0.53503784040000002</v>
      </c>
      <c r="DQ69" s="79">
        <v>24.57624994</v>
      </c>
      <c r="DR69" s="13">
        <v>0.39765435719999997</v>
      </c>
      <c r="DS69" s="79">
        <v>18.055412201999999</v>
      </c>
      <c r="DT69" s="13">
        <v>0.29968553380000001</v>
      </c>
      <c r="DU69" s="79">
        <v>13.457317914000001</v>
      </c>
      <c r="DV69" s="13">
        <v>0.22898216269999999</v>
      </c>
      <c r="DW69" s="79">
        <v>10.166093824000001</v>
      </c>
      <c r="DX69" s="13">
        <v>0.17679534329999999</v>
      </c>
      <c r="DY69" s="79">
        <v>7.7869854590000003</v>
      </c>
      <c r="DZ69" s="15">
        <v>0.13790008340000001</v>
      </c>
    </row>
    <row r="70" spans="1:130" x14ac:dyDescent="0.2">
      <c r="A70" s="8">
        <v>6500</v>
      </c>
      <c r="B70" s="82">
        <v>2326</v>
      </c>
      <c r="C70" s="83">
        <v>1965.78747</v>
      </c>
      <c r="D70" s="93">
        <v>6450.7632578000002</v>
      </c>
      <c r="E70" s="93">
        <v>68.105790313</v>
      </c>
      <c r="F70" s="94">
        <v>9.3468959300000001E-2</v>
      </c>
      <c r="G70" s="83">
        <v>15.835168550000001</v>
      </c>
      <c r="H70" s="94">
        <v>7.3716175000000002E-3</v>
      </c>
      <c r="I70" s="93">
        <v>239.19694264</v>
      </c>
      <c r="J70" s="94">
        <v>2.6806264510000002</v>
      </c>
      <c r="K70" s="93">
        <v>427.98348577000002</v>
      </c>
      <c r="L70" s="94">
        <v>3.0515536609999998</v>
      </c>
      <c r="M70" s="93">
        <v>1.9953390781</v>
      </c>
      <c r="N70" s="94">
        <v>1.1755829799999999E-2</v>
      </c>
      <c r="O70" s="37" t="s">
        <v>76</v>
      </c>
      <c r="P70" s="13">
        <v>0</v>
      </c>
      <c r="Q70" s="93">
        <v>74.240857328999994</v>
      </c>
      <c r="R70" s="94">
        <v>0.22552330179999999</v>
      </c>
      <c r="S70" s="37" t="s">
        <v>76</v>
      </c>
      <c r="T70" s="13">
        <v>0</v>
      </c>
      <c r="U70" s="37" t="s">
        <v>76</v>
      </c>
      <c r="V70" s="13">
        <v>0</v>
      </c>
      <c r="W70" s="93">
        <v>0.6060147575</v>
      </c>
      <c r="X70" s="94">
        <v>3.0747707999999999E-3</v>
      </c>
      <c r="Y70" s="93">
        <v>6.7682104272999997</v>
      </c>
      <c r="Z70" s="94">
        <v>1.3750392000000001E-3</v>
      </c>
      <c r="AA70" s="37" t="s">
        <v>76</v>
      </c>
      <c r="AB70" s="13">
        <v>0</v>
      </c>
      <c r="AC70" s="93">
        <v>1.3527648000000001E-3</v>
      </c>
      <c r="AD70" s="94">
        <v>5.0780732999999998E-6</v>
      </c>
      <c r="AE70" s="37" t="s">
        <v>76</v>
      </c>
      <c r="AF70" s="13">
        <v>0</v>
      </c>
      <c r="AG70" s="37" t="s">
        <v>76</v>
      </c>
      <c r="AH70" s="13">
        <v>0</v>
      </c>
      <c r="AI70" s="93">
        <v>1.3527648000000001E-3</v>
      </c>
      <c r="AJ70" s="94">
        <v>5.0780732999999998E-6</v>
      </c>
      <c r="AK70" s="93">
        <v>300.05431578000002</v>
      </c>
      <c r="AL70" s="94">
        <v>1.7044753627</v>
      </c>
      <c r="AM70" s="37" t="s">
        <v>76</v>
      </c>
      <c r="AN70" s="13">
        <v>0</v>
      </c>
      <c r="AO70" s="37" t="s">
        <v>76</v>
      </c>
      <c r="AP70" s="13">
        <v>0</v>
      </c>
      <c r="AQ70" s="37" t="s">
        <v>76</v>
      </c>
      <c r="AR70" s="13">
        <v>0</v>
      </c>
      <c r="AS70" s="93">
        <v>47.075734640999997</v>
      </c>
      <c r="AT70" s="94">
        <v>0.66322732949999996</v>
      </c>
      <c r="AU70" s="93">
        <v>43.653547250000003</v>
      </c>
      <c r="AV70" s="94">
        <v>0.26161704359999999</v>
      </c>
      <c r="AW70" s="93">
        <v>30.535665751</v>
      </c>
      <c r="AX70" s="94">
        <v>0.14005083030000001</v>
      </c>
      <c r="AY70" s="93">
        <v>7.8805650490000003</v>
      </c>
      <c r="AZ70" s="94">
        <v>3.8953708400000002E-2</v>
      </c>
      <c r="BA70" s="79">
        <v>5.2373164497999998</v>
      </c>
      <c r="BB70" s="13">
        <v>8.26125048E-2</v>
      </c>
      <c r="BC70" s="93">
        <v>0</v>
      </c>
      <c r="BD70" s="85">
        <v>0</v>
      </c>
      <c r="BE70" s="93">
        <v>73.061203918000004</v>
      </c>
      <c r="BF70" s="94">
        <v>0.195110586</v>
      </c>
      <c r="BG70" s="94">
        <v>1.29126567E-2</v>
      </c>
      <c r="BH70" s="85">
        <v>0</v>
      </c>
      <c r="BI70" s="93">
        <v>1.1253843027999999</v>
      </c>
      <c r="BJ70" s="94">
        <v>6.0973675999999996E-3</v>
      </c>
      <c r="BK70" s="93">
        <v>9.32909507E-2</v>
      </c>
      <c r="BL70" s="94">
        <v>3.844497E-4</v>
      </c>
      <c r="BM70" s="7" t="s">
        <v>76</v>
      </c>
      <c r="BN70" s="13">
        <v>0</v>
      </c>
      <c r="BO70" s="7" t="s">
        <v>76</v>
      </c>
      <c r="BP70" s="13">
        <v>0</v>
      </c>
      <c r="BQ70" s="93">
        <v>71.480804277999994</v>
      </c>
      <c r="BR70" s="94">
        <v>0.21625970019999999</v>
      </c>
      <c r="BS70" s="93">
        <v>0.52872107700000004</v>
      </c>
      <c r="BT70" s="94">
        <v>2.6216264999999999E-3</v>
      </c>
      <c r="BU70" s="7" t="s">
        <v>76</v>
      </c>
      <c r="BV70" s="13">
        <v>0</v>
      </c>
      <c r="BW70" s="7" t="s">
        <v>76</v>
      </c>
      <c r="BX70" s="13">
        <v>0</v>
      </c>
      <c r="BY70" s="7" t="s">
        <v>76</v>
      </c>
      <c r="BZ70" s="13">
        <v>0</v>
      </c>
      <c r="CA70" s="7" t="s">
        <v>76</v>
      </c>
      <c r="CB70" s="13">
        <v>0</v>
      </c>
      <c r="CC70" s="93">
        <v>0.5326237412</v>
      </c>
      <c r="CD70" s="94">
        <v>2.3518278000000002E-3</v>
      </c>
      <c r="CE70" s="93">
        <v>1.1514625E-3</v>
      </c>
      <c r="CF70" s="94">
        <v>1.1822E-5</v>
      </c>
      <c r="CG70" s="93">
        <v>6.0099728506999996</v>
      </c>
      <c r="CH70" s="94">
        <v>2.25382597E-2</v>
      </c>
      <c r="CI70" s="93">
        <v>6.0880897000000003E-3</v>
      </c>
      <c r="CJ70" s="94">
        <v>5.0170999999999998E-5</v>
      </c>
      <c r="CK70" s="6" t="s">
        <v>76</v>
      </c>
      <c r="CL70" s="13">
        <v>0</v>
      </c>
      <c r="CM70" s="7" t="s">
        <v>76</v>
      </c>
      <c r="CN70" s="15">
        <v>0</v>
      </c>
      <c r="CO70" s="93">
        <v>38.228890276000001</v>
      </c>
      <c r="CP70" s="94">
        <v>0.2015714253</v>
      </c>
      <c r="CQ70" s="93">
        <v>0.1009507359</v>
      </c>
      <c r="CR70" s="94">
        <v>6.9770919999999998E-4</v>
      </c>
      <c r="CS70" s="93">
        <v>42.980720236000003</v>
      </c>
      <c r="CT70" s="94">
        <v>0.1015111742</v>
      </c>
      <c r="CU70" s="93">
        <v>0.18619723530000001</v>
      </c>
      <c r="CV70" s="88">
        <v>1.5112471000000001E-3</v>
      </c>
      <c r="CW70" s="188">
        <v>7.1151419E-3</v>
      </c>
      <c r="CX70" s="189">
        <v>1.0901032999999999E-2</v>
      </c>
      <c r="CY70" s="189">
        <v>1.21330441E-2</v>
      </c>
      <c r="CZ70" s="189">
        <v>1.2521255300000001E-2</v>
      </c>
      <c r="DA70" s="189">
        <v>1.2618916399999999E-2</v>
      </c>
      <c r="DB70" s="189">
        <v>1.2695158200000001E-2</v>
      </c>
      <c r="DC70" s="189">
        <v>1.27306135E-2</v>
      </c>
      <c r="DD70" s="189">
        <v>1.27625178E-2</v>
      </c>
      <c r="DE70" s="189">
        <v>1.27817114E-2</v>
      </c>
      <c r="DF70" s="190">
        <v>1.27951304E-2</v>
      </c>
      <c r="DG70" s="112">
        <v>128.96872085000001</v>
      </c>
      <c r="DH70" s="13">
        <v>1.9537337069</v>
      </c>
      <c r="DI70" s="79">
        <v>93.174874107999997</v>
      </c>
      <c r="DJ70" s="13">
        <v>1.4068966852</v>
      </c>
      <c r="DK70" s="79">
        <v>66.648239501000006</v>
      </c>
      <c r="DL70" s="13">
        <v>1.0129949597000001</v>
      </c>
      <c r="DM70" s="79">
        <v>47.608990585999997</v>
      </c>
      <c r="DN70" s="13">
        <v>0.73428328819999999</v>
      </c>
      <c r="DO70" s="79">
        <v>34.245121585</v>
      </c>
      <c r="DP70" s="13">
        <v>0.53907385919999995</v>
      </c>
      <c r="DQ70" s="79">
        <v>24.882117306000001</v>
      </c>
      <c r="DR70" s="13">
        <v>0.40107644980000001</v>
      </c>
      <c r="DS70" s="79">
        <v>18.308569512999998</v>
      </c>
      <c r="DT70" s="13">
        <v>0.30258425290000002</v>
      </c>
      <c r="DU70" s="79">
        <v>13.668667455</v>
      </c>
      <c r="DV70" s="13">
        <v>0.23144582450000001</v>
      </c>
      <c r="DW70" s="79">
        <v>10.343290673</v>
      </c>
      <c r="DX70" s="13">
        <v>0.17889282409999999</v>
      </c>
      <c r="DY70" s="79">
        <v>7.9354179727999998</v>
      </c>
      <c r="DZ70" s="15">
        <v>0.139682372</v>
      </c>
    </row>
    <row r="71" spans="1:130" x14ac:dyDescent="0.2">
      <c r="A71" s="8">
        <v>7500</v>
      </c>
      <c r="B71" s="82">
        <v>20134</v>
      </c>
      <c r="C71" s="83">
        <v>2085.8006371000001</v>
      </c>
      <c r="D71" s="93">
        <v>6977.3132072999997</v>
      </c>
      <c r="E71" s="93">
        <v>82.464027263000006</v>
      </c>
      <c r="F71" s="94">
        <v>0.1016086835</v>
      </c>
      <c r="G71" s="83">
        <v>19.498381349999999</v>
      </c>
      <c r="H71" s="94">
        <v>8.3639616000000007E-3</v>
      </c>
      <c r="I71" s="93">
        <v>248.86103557999999</v>
      </c>
      <c r="J71" s="94">
        <v>2.7425645831000001</v>
      </c>
      <c r="K71" s="93">
        <v>463.72803893999998</v>
      </c>
      <c r="L71" s="94">
        <v>3.203104518</v>
      </c>
      <c r="M71" s="93">
        <v>2.3303603182999999</v>
      </c>
      <c r="N71" s="94">
        <v>1.3184859E-2</v>
      </c>
      <c r="O71" s="37" t="s">
        <v>76</v>
      </c>
      <c r="P71" s="13">
        <v>0</v>
      </c>
      <c r="Q71" s="93">
        <v>83.574123438000001</v>
      </c>
      <c r="R71" s="94">
        <v>0.23902979999999999</v>
      </c>
      <c r="S71" s="37" t="s">
        <v>76</v>
      </c>
      <c r="T71" s="13">
        <v>0</v>
      </c>
      <c r="U71" s="37" t="s">
        <v>76</v>
      </c>
      <c r="V71" s="13">
        <v>0</v>
      </c>
      <c r="W71" s="93">
        <v>0.68052895550000003</v>
      </c>
      <c r="X71" s="94">
        <v>3.3210388E-3</v>
      </c>
      <c r="Y71" s="93">
        <v>7.8881028440999996</v>
      </c>
      <c r="Z71" s="94">
        <v>1.6070511E-3</v>
      </c>
      <c r="AA71" s="37" t="s">
        <v>76</v>
      </c>
      <c r="AB71" s="13">
        <v>0</v>
      </c>
      <c r="AC71" s="93">
        <v>1.6288286999999999E-3</v>
      </c>
      <c r="AD71" s="94">
        <v>5.5816472000000002E-6</v>
      </c>
      <c r="AE71" s="37" t="s">
        <v>76</v>
      </c>
      <c r="AF71" s="13">
        <v>0</v>
      </c>
      <c r="AG71" s="37" t="s">
        <v>76</v>
      </c>
      <c r="AH71" s="13">
        <v>0</v>
      </c>
      <c r="AI71" s="93">
        <v>1.6288286999999999E-3</v>
      </c>
      <c r="AJ71" s="94">
        <v>5.5816472000000002E-6</v>
      </c>
      <c r="AK71" s="93">
        <v>309.03134283999998</v>
      </c>
      <c r="AL71" s="94">
        <v>1.7407321976000001</v>
      </c>
      <c r="AM71" s="37" t="s">
        <v>76</v>
      </c>
      <c r="AN71" s="13">
        <v>0</v>
      </c>
      <c r="AO71" s="37" t="s">
        <v>76</v>
      </c>
      <c r="AP71" s="13">
        <v>0</v>
      </c>
      <c r="AQ71" s="37" t="s">
        <v>76</v>
      </c>
      <c r="AR71" s="13">
        <v>0</v>
      </c>
      <c r="AS71" s="93">
        <v>51.494432813000003</v>
      </c>
      <c r="AT71" s="94">
        <v>0.68717656630000001</v>
      </c>
      <c r="AU71" s="93">
        <v>46.506166217000001</v>
      </c>
      <c r="AV71" s="94">
        <v>0.27293514590000001</v>
      </c>
      <c r="AW71" s="93">
        <v>32.574816890999998</v>
      </c>
      <c r="AX71" s="94">
        <v>0.1465504229</v>
      </c>
      <c r="AY71" s="93">
        <v>8.1859501527000003</v>
      </c>
      <c r="AZ71" s="94">
        <v>4.0186830299999997E-2</v>
      </c>
      <c r="BA71" s="79">
        <v>5.7453991734000001</v>
      </c>
      <c r="BB71" s="13">
        <v>8.6197892600000006E-2</v>
      </c>
      <c r="BC71" s="93">
        <v>0</v>
      </c>
      <c r="BD71" s="85">
        <v>0</v>
      </c>
      <c r="BE71" s="93">
        <v>85.430515184000001</v>
      </c>
      <c r="BF71" s="94">
        <v>0.21464719730000001</v>
      </c>
      <c r="BG71" s="94">
        <v>1.48639897E-2</v>
      </c>
      <c r="BH71" s="85">
        <v>0</v>
      </c>
      <c r="BI71" s="93">
        <v>1.3350872443999999</v>
      </c>
      <c r="BJ71" s="94">
        <v>6.9630871000000002E-3</v>
      </c>
      <c r="BK71" s="93">
        <v>0.1101245312</v>
      </c>
      <c r="BL71" s="94">
        <v>4.2841089999999998E-4</v>
      </c>
      <c r="BM71" s="7" t="s">
        <v>76</v>
      </c>
      <c r="BN71" s="13">
        <v>0</v>
      </c>
      <c r="BO71" s="7" t="s">
        <v>76</v>
      </c>
      <c r="BP71" s="13">
        <v>0</v>
      </c>
      <c r="BQ71" s="93">
        <v>80.412395125000003</v>
      </c>
      <c r="BR71" s="94">
        <v>0.22881451789999999</v>
      </c>
      <c r="BS71" s="93">
        <v>0.58838123669999998</v>
      </c>
      <c r="BT71" s="94">
        <v>2.8576593999999999E-3</v>
      </c>
      <c r="BU71" s="7" t="s">
        <v>76</v>
      </c>
      <c r="BV71" s="13">
        <v>0</v>
      </c>
      <c r="BW71" s="7" t="s">
        <v>76</v>
      </c>
      <c r="BX71" s="13">
        <v>0</v>
      </c>
      <c r="BY71" s="7" t="s">
        <v>76</v>
      </c>
      <c r="BZ71" s="13">
        <v>0</v>
      </c>
      <c r="CA71" s="7" t="s">
        <v>76</v>
      </c>
      <c r="CB71" s="13">
        <v>0</v>
      </c>
      <c r="CC71" s="93">
        <v>0.59333698800000001</v>
      </c>
      <c r="CD71" s="94">
        <v>2.4985229999999999E-3</v>
      </c>
      <c r="CE71" s="93">
        <v>1.1300438999999999E-3</v>
      </c>
      <c r="CF71" s="94">
        <v>1.15989E-5</v>
      </c>
      <c r="CG71" s="93">
        <v>7.0473830924999996</v>
      </c>
      <c r="CH71" s="94">
        <v>2.5966613900000001E-2</v>
      </c>
      <c r="CI71" s="93">
        <v>7.5113011000000002E-3</v>
      </c>
      <c r="CJ71" s="94">
        <v>6.3014899999999999E-5</v>
      </c>
      <c r="CK71" s="6" t="s">
        <v>76</v>
      </c>
      <c r="CL71" s="13">
        <v>0</v>
      </c>
      <c r="CM71" s="7" t="s">
        <v>76</v>
      </c>
      <c r="CN71" s="15">
        <v>0</v>
      </c>
      <c r="CO71" s="93">
        <v>41.819425881999997</v>
      </c>
      <c r="CP71" s="94">
        <v>0.21290063140000001</v>
      </c>
      <c r="CQ71" s="93">
        <v>0.10651111589999999</v>
      </c>
      <c r="CR71" s="94">
        <v>7.3689280000000001E-4</v>
      </c>
      <c r="CS71" s="93">
        <v>49.934984108000002</v>
      </c>
      <c r="CT71" s="94">
        <v>0.1117456694</v>
      </c>
      <c r="CU71" s="93">
        <v>0.20378878440000001</v>
      </c>
      <c r="CV71" s="88">
        <v>1.649151E-3</v>
      </c>
      <c r="CW71" s="188">
        <v>8.0433152999999993E-3</v>
      </c>
      <c r="CX71" s="189">
        <v>1.2321402299999999E-2</v>
      </c>
      <c r="CY71" s="189">
        <v>1.38086567E-2</v>
      </c>
      <c r="CZ71" s="189">
        <v>1.4308471499999999E-2</v>
      </c>
      <c r="DA71" s="189">
        <v>1.44575078E-2</v>
      </c>
      <c r="DB71" s="189">
        <v>1.4566608E-2</v>
      </c>
      <c r="DC71" s="189">
        <v>1.46146351E-2</v>
      </c>
      <c r="DD71" s="189">
        <v>1.4655531899999999E-2</v>
      </c>
      <c r="DE71" s="189">
        <v>1.46812379E-2</v>
      </c>
      <c r="DF71" s="190">
        <v>1.4700703400000001E-2</v>
      </c>
      <c r="DG71" s="112">
        <v>135.24672491000001</v>
      </c>
      <c r="DH71" s="13">
        <v>2.0121734385000001</v>
      </c>
      <c r="DI71" s="79">
        <v>98.657629932999996</v>
      </c>
      <c r="DJ71" s="13">
        <v>1.4600979434000001</v>
      </c>
      <c r="DK71" s="79">
        <v>71.339485835000005</v>
      </c>
      <c r="DL71" s="13">
        <v>1.0599953771999999</v>
      </c>
      <c r="DM71" s="79">
        <v>51.550670412000002</v>
      </c>
      <c r="DN71" s="13">
        <v>0.77492564180000001</v>
      </c>
      <c r="DO71" s="79">
        <v>37.526432124999999</v>
      </c>
      <c r="DP71" s="13">
        <v>0.57377579170000004</v>
      </c>
      <c r="DQ71" s="79">
        <v>27.599294612000001</v>
      </c>
      <c r="DR71" s="13">
        <v>0.43052600419999998</v>
      </c>
      <c r="DS71" s="79">
        <v>20.554993245999999</v>
      </c>
      <c r="DT71" s="13">
        <v>0.32748726620000002</v>
      </c>
      <c r="DU71" s="79">
        <v>15.526257326</v>
      </c>
      <c r="DV71" s="13">
        <v>0.25246478779999998</v>
      </c>
      <c r="DW71" s="79">
        <v>11.890941703999999</v>
      </c>
      <c r="DX71" s="13">
        <v>0.19671952140000001</v>
      </c>
      <c r="DY71" s="79">
        <v>9.2255977549000008</v>
      </c>
      <c r="DZ71" s="15">
        <v>0.1547807742</v>
      </c>
    </row>
    <row r="72" spans="1:130" x14ac:dyDescent="0.2">
      <c r="A72" s="8">
        <v>10000</v>
      </c>
      <c r="B72" s="82">
        <v>34096</v>
      </c>
      <c r="C72" s="83">
        <v>2329.4366559</v>
      </c>
      <c r="D72" s="93">
        <v>8643.5704416999997</v>
      </c>
      <c r="E72" s="93">
        <v>117.72621501</v>
      </c>
      <c r="F72" s="94">
        <v>0.1183396228</v>
      </c>
      <c r="G72" s="83">
        <v>32.230100350999997</v>
      </c>
      <c r="H72" s="94">
        <v>1.1148664900000001E-2</v>
      </c>
      <c r="I72" s="93">
        <v>267.24617645000001</v>
      </c>
      <c r="J72" s="94">
        <v>2.8521075951000001</v>
      </c>
      <c r="K72" s="93">
        <v>534.54579739999997</v>
      </c>
      <c r="L72" s="94">
        <v>3.4746044284000002</v>
      </c>
      <c r="M72" s="93">
        <v>3.0730060167</v>
      </c>
      <c r="N72" s="94">
        <v>1.57033125E-2</v>
      </c>
      <c r="O72" s="37" t="s">
        <v>76</v>
      </c>
      <c r="P72" s="13">
        <v>0</v>
      </c>
      <c r="Q72" s="93">
        <v>102.32221829</v>
      </c>
      <c r="R72" s="94">
        <v>0.26393975019999999</v>
      </c>
      <c r="S72" s="37" t="s">
        <v>76</v>
      </c>
      <c r="T72" s="13">
        <v>0</v>
      </c>
      <c r="U72" s="37" t="s">
        <v>76</v>
      </c>
      <c r="V72" s="13">
        <v>0</v>
      </c>
      <c r="W72" s="93">
        <v>0.88742502180000005</v>
      </c>
      <c r="X72" s="94">
        <v>4.0954481000000003E-3</v>
      </c>
      <c r="Y72" s="93">
        <v>10.255547456</v>
      </c>
      <c r="Z72" s="94">
        <v>2.0991645999999999E-3</v>
      </c>
      <c r="AA72" s="37" t="s">
        <v>76</v>
      </c>
      <c r="AB72" s="13">
        <v>0</v>
      </c>
      <c r="AC72" s="93">
        <v>3.0188328000000002E-3</v>
      </c>
      <c r="AD72" s="94">
        <v>1.10025E-5</v>
      </c>
      <c r="AE72" s="37" t="s">
        <v>76</v>
      </c>
      <c r="AF72" s="13">
        <v>0</v>
      </c>
      <c r="AG72" s="37" t="s">
        <v>76</v>
      </c>
      <c r="AH72" s="13">
        <v>0</v>
      </c>
      <c r="AI72" s="93">
        <v>3.0188328000000002E-3</v>
      </c>
      <c r="AJ72" s="94">
        <v>1.10025E-5</v>
      </c>
      <c r="AK72" s="93">
        <v>324.40881435</v>
      </c>
      <c r="AL72" s="94">
        <v>1.8018899127000001</v>
      </c>
      <c r="AM72" s="37" t="s">
        <v>76</v>
      </c>
      <c r="AN72" s="13">
        <v>0</v>
      </c>
      <c r="AO72" s="37" t="s">
        <v>76</v>
      </c>
      <c r="AP72" s="13">
        <v>0</v>
      </c>
      <c r="AQ72" s="37" t="s">
        <v>76</v>
      </c>
      <c r="AR72" s="13">
        <v>0</v>
      </c>
      <c r="AS72" s="93">
        <v>60.286125304000002</v>
      </c>
      <c r="AT72" s="94">
        <v>0.73314377129999997</v>
      </c>
      <c r="AU72" s="93">
        <v>52.574641810000003</v>
      </c>
      <c r="AV72" s="94">
        <v>0.29536462460000001</v>
      </c>
      <c r="AW72" s="93">
        <v>37.039503662999998</v>
      </c>
      <c r="AX72" s="94">
        <v>0.15933314530000001</v>
      </c>
      <c r="AY72" s="93">
        <v>8.7442936040999992</v>
      </c>
      <c r="AZ72" s="94">
        <v>4.2282572800000001E-2</v>
      </c>
      <c r="BA72" s="79">
        <v>6.7908445423000003</v>
      </c>
      <c r="BB72" s="13">
        <v>9.3748906600000001E-2</v>
      </c>
      <c r="BC72" s="93">
        <v>0</v>
      </c>
      <c r="BD72" s="85">
        <v>0</v>
      </c>
      <c r="BE72" s="93">
        <v>113.66324844</v>
      </c>
      <c r="BF72" s="94">
        <v>0.25519984639999999</v>
      </c>
      <c r="BG72" s="94">
        <v>2.04090808E-2</v>
      </c>
      <c r="BH72" s="86">
        <v>0</v>
      </c>
      <c r="BI72" s="93">
        <v>1.8459477392000001</v>
      </c>
      <c r="BJ72" s="94">
        <v>8.5249591E-3</v>
      </c>
      <c r="BK72" s="93">
        <v>0.13551642829999999</v>
      </c>
      <c r="BL72" s="94">
        <v>4.8729490000000002E-4</v>
      </c>
      <c r="BM72" s="7" t="s">
        <v>76</v>
      </c>
      <c r="BN72" s="13">
        <v>0</v>
      </c>
      <c r="BO72" s="7" t="s">
        <v>76</v>
      </c>
      <c r="BP72" s="13">
        <v>0</v>
      </c>
      <c r="BQ72" s="93">
        <v>98.257733645000002</v>
      </c>
      <c r="BR72" s="94">
        <v>0.25200855119999999</v>
      </c>
      <c r="BS72" s="93">
        <v>0.70235220249999997</v>
      </c>
      <c r="BT72" s="94">
        <v>3.3923935999999998E-3</v>
      </c>
      <c r="BU72" s="7" t="s">
        <v>76</v>
      </c>
      <c r="BV72" s="13">
        <v>0</v>
      </c>
      <c r="BW72" s="7" t="s">
        <v>76</v>
      </c>
      <c r="BX72" s="13">
        <v>0</v>
      </c>
      <c r="BY72" s="7" t="s">
        <v>76</v>
      </c>
      <c r="BZ72" s="13">
        <v>0</v>
      </c>
      <c r="CA72" s="7" t="s">
        <v>76</v>
      </c>
      <c r="CB72" s="13">
        <v>0</v>
      </c>
      <c r="CC72" s="93">
        <v>0.77439330250000005</v>
      </c>
      <c r="CD72" s="94">
        <v>3.1882786999999999E-3</v>
      </c>
      <c r="CE72" s="93">
        <v>3.2148749999999999E-3</v>
      </c>
      <c r="CF72" s="94">
        <v>4.4386099999999998E-5</v>
      </c>
      <c r="CG72" s="93">
        <v>9.2742612105000006</v>
      </c>
      <c r="CH72" s="94">
        <v>3.31254151E-2</v>
      </c>
      <c r="CI72" s="93">
        <v>8.4178594999999995E-3</v>
      </c>
      <c r="CJ72" s="94">
        <v>7.2629100000000006E-5</v>
      </c>
      <c r="CK72" s="6" t="s">
        <v>76</v>
      </c>
      <c r="CL72" s="13">
        <v>0</v>
      </c>
      <c r="CM72" s="7" t="s">
        <v>76</v>
      </c>
      <c r="CN72" s="15">
        <v>0</v>
      </c>
      <c r="CO72" s="93">
        <v>49.025643893000002</v>
      </c>
      <c r="CP72" s="94">
        <v>0.23474319669999999</v>
      </c>
      <c r="CQ72" s="93">
        <v>0.11651096029999999</v>
      </c>
      <c r="CR72" s="94">
        <v>8.2135080000000004E-4</v>
      </c>
      <c r="CS72" s="93">
        <v>64.626727110999994</v>
      </c>
      <c r="CT72" s="94">
        <v>0.13259775439999999</v>
      </c>
      <c r="CU72" s="93">
        <v>0.2427704094</v>
      </c>
      <c r="CV72" s="88">
        <v>1.9688559000000001E-3</v>
      </c>
      <c r="CW72" s="188">
        <v>1.0570858900000001E-2</v>
      </c>
      <c r="CX72" s="189">
        <v>1.6195710499999998E-2</v>
      </c>
      <c r="CY72" s="189">
        <v>1.83357164E-2</v>
      </c>
      <c r="CZ72" s="189">
        <v>1.9196603E-2</v>
      </c>
      <c r="DA72" s="189">
        <v>1.9524666499999999E-2</v>
      </c>
      <c r="DB72" s="189">
        <v>1.9761943600000002E-2</v>
      </c>
      <c r="DC72" s="189">
        <v>1.98802184E-2</v>
      </c>
      <c r="DD72" s="189">
        <v>1.9976641100000001E-2</v>
      </c>
      <c r="DE72" s="189">
        <v>2.0040842699999999E-2</v>
      </c>
      <c r="DF72" s="190">
        <v>2.00885162E-2</v>
      </c>
      <c r="DG72" s="112">
        <v>147.22613885999999</v>
      </c>
      <c r="DH72" s="13">
        <v>2.1158122069999998</v>
      </c>
      <c r="DI72" s="79">
        <v>109.17564775</v>
      </c>
      <c r="DJ72" s="13">
        <v>1.5549511934</v>
      </c>
      <c r="DK72" s="79">
        <v>80.390169068000006</v>
      </c>
      <c r="DL72" s="13">
        <v>1.1443824622000001</v>
      </c>
      <c r="DM72" s="79">
        <v>59.238207279999997</v>
      </c>
      <c r="DN72" s="13">
        <v>0.8486145276</v>
      </c>
      <c r="DO72" s="79">
        <v>43.992610786999997</v>
      </c>
      <c r="DP72" s="13">
        <v>0.63717829999999998</v>
      </c>
      <c r="DQ72" s="79">
        <v>33.019521158000003</v>
      </c>
      <c r="DR72" s="13">
        <v>0.48468496830000002</v>
      </c>
      <c r="DS72" s="79">
        <v>25.103758707000001</v>
      </c>
      <c r="DT72" s="13">
        <v>0.37366057320000001</v>
      </c>
      <c r="DU72" s="79">
        <v>19.347284427999998</v>
      </c>
      <c r="DV72" s="13">
        <v>0.29182904100000001</v>
      </c>
      <c r="DW72" s="79">
        <v>15.111433477</v>
      </c>
      <c r="DX72" s="13">
        <v>0.23037103619999999</v>
      </c>
      <c r="DY72" s="79">
        <v>11.95398183</v>
      </c>
      <c r="DZ72" s="15">
        <v>0.18365518240000001</v>
      </c>
    </row>
    <row r="73" spans="1:130" x14ac:dyDescent="0.2">
      <c r="A73" s="8">
        <v>15000</v>
      </c>
      <c r="B73" s="82">
        <v>37569</v>
      </c>
      <c r="C73" s="83">
        <v>2669.4793132999998</v>
      </c>
      <c r="D73" s="93">
        <v>12204.151174000001</v>
      </c>
      <c r="E73" s="93">
        <v>181.95255918000001</v>
      </c>
      <c r="F73" s="94">
        <v>0.1408693566</v>
      </c>
      <c r="G73" s="83">
        <v>78.639829804000001</v>
      </c>
      <c r="H73" s="94">
        <v>1.8712179299999999E-2</v>
      </c>
      <c r="I73" s="93">
        <v>290.79788903000002</v>
      </c>
      <c r="J73" s="94">
        <v>2.9731814862000001</v>
      </c>
      <c r="K73" s="93">
        <v>625.27753198000005</v>
      </c>
      <c r="L73" s="94">
        <v>3.7719945657</v>
      </c>
      <c r="M73" s="93">
        <v>4.3559610982999999</v>
      </c>
      <c r="N73" s="94">
        <v>1.9412679400000001E-2</v>
      </c>
      <c r="O73" s="37" t="s">
        <v>76</v>
      </c>
      <c r="P73" s="13">
        <v>0</v>
      </c>
      <c r="Q73" s="93">
        <v>126.74073813</v>
      </c>
      <c r="R73" s="94">
        <v>0.29255703859999999</v>
      </c>
      <c r="S73" s="37" t="s">
        <v>76</v>
      </c>
      <c r="T73" s="13">
        <v>0</v>
      </c>
      <c r="U73" s="37" t="s">
        <v>76</v>
      </c>
      <c r="V73" s="13">
        <v>0</v>
      </c>
      <c r="W73" s="93">
        <v>1.1765093684000001</v>
      </c>
      <c r="X73" s="94">
        <v>5.0759154000000004E-3</v>
      </c>
      <c r="Y73" s="93">
        <v>13.475362923</v>
      </c>
      <c r="Z73" s="94">
        <v>2.9682034000000001E-3</v>
      </c>
      <c r="AA73" s="37" t="s">
        <v>76</v>
      </c>
      <c r="AB73" s="13">
        <v>0</v>
      </c>
      <c r="AC73" s="93">
        <v>2.9185198999999999E-3</v>
      </c>
      <c r="AD73" s="94">
        <v>1.06292E-5</v>
      </c>
      <c r="AE73" s="37" t="s">
        <v>76</v>
      </c>
      <c r="AF73" s="13">
        <v>0</v>
      </c>
      <c r="AG73" s="37" t="s">
        <v>76</v>
      </c>
      <c r="AH73" s="13">
        <v>0</v>
      </c>
      <c r="AI73" s="93">
        <v>2.9185198999999999E-3</v>
      </c>
      <c r="AJ73" s="94">
        <v>1.06292E-5</v>
      </c>
      <c r="AK73" s="93">
        <v>340.85865741999999</v>
      </c>
      <c r="AL73" s="94">
        <v>1.8710995857999999</v>
      </c>
      <c r="AM73" s="37" t="s">
        <v>76</v>
      </c>
      <c r="AN73" s="13">
        <v>0</v>
      </c>
      <c r="AO73" s="37" t="s">
        <v>76</v>
      </c>
      <c r="AP73" s="13">
        <v>0</v>
      </c>
      <c r="AQ73" s="37" t="s">
        <v>76</v>
      </c>
      <c r="AR73" s="13">
        <v>0</v>
      </c>
      <c r="AS73" s="93">
        <v>71.660855495999996</v>
      </c>
      <c r="AT73" s="94">
        <v>0.79009663750000003</v>
      </c>
      <c r="AU73" s="93">
        <v>60.027399365999997</v>
      </c>
      <c r="AV73" s="94">
        <v>0.322149146</v>
      </c>
      <c r="AW73" s="93">
        <v>42.567514891999998</v>
      </c>
      <c r="AX73" s="94">
        <v>0.1744067191</v>
      </c>
      <c r="AY73" s="93">
        <v>9.4448514787000004</v>
      </c>
      <c r="AZ73" s="94">
        <v>4.4733802699999999E-2</v>
      </c>
      <c r="BA73" s="79">
        <v>8.0150329952000003</v>
      </c>
      <c r="BB73" s="13">
        <v>0.1030086243</v>
      </c>
      <c r="BC73" s="93">
        <v>0</v>
      </c>
      <c r="BD73" s="85">
        <v>0</v>
      </c>
      <c r="BE73" s="93">
        <v>164.01695255999999</v>
      </c>
      <c r="BF73" s="94">
        <v>0.31363566349999999</v>
      </c>
      <c r="BG73" s="94">
        <v>3.6997102400000002E-2</v>
      </c>
      <c r="BH73" s="86">
        <v>0</v>
      </c>
      <c r="BI73" s="93">
        <v>2.7909219992000001</v>
      </c>
      <c r="BJ73" s="94">
        <v>1.1246399799999999E-2</v>
      </c>
      <c r="BK73" s="93">
        <v>0.17786324479999999</v>
      </c>
      <c r="BL73" s="94">
        <v>6.0322659999999999E-4</v>
      </c>
      <c r="BM73" s="7" t="s">
        <v>76</v>
      </c>
      <c r="BN73" s="13">
        <v>0</v>
      </c>
      <c r="BO73" s="7" t="s">
        <v>76</v>
      </c>
      <c r="BP73" s="13">
        <v>0</v>
      </c>
      <c r="BQ73" s="93">
        <v>121.38842834</v>
      </c>
      <c r="BR73" s="94">
        <v>0.27866460269999999</v>
      </c>
      <c r="BS73" s="93">
        <v>0.88250568529999995</v>
      </c>
      <c r="BT73" s="94">
        <v>4.0900286000000001E-3</v>
      </c>
      <c r="BU73" s="7" t="s">
        <v>76</v>
      </c>
      <c r="BV73" s="13">
        <v>0</v>
      </c>
      <c r="BW73" s="7" t="s">
        <v>76</v>
      </c>
      <c r="BX73" s="13">
        <v>0</v>
      </c>
      <c r="BY73" s="7" t="s">
        <v>76</v>
      </c>
      <c r="BZ73" s="13">
        <v>0</v>
      </c>
      <c r="CA73" s="7" t="s">
        <v>76</v>
      </c>
      <c r="CB73" s="13">
        <v>0</v>
      </c>
      <c r="CC73" s="93">
        <v>1.0419430683999999</v>
      </c>
      <c r="CD73" s="94">
        <v>4.0862357000000004E-3</v>
      </c>
      <c r="CE73" s="93">
        <v>3.1028653999999999E-3</v>
      </c>
      <c r="CF73" s="94">
        <v>4.2831299999999998E-5</v>
      </c>
      <c r="CG73" s="93">
        <v>12.323970898000001</v>
      </c>
      <c r="CH73" s="94">
        <v>4.2608496699999998E-2</v>
      </c>
      <c r="CI73" s="93">
        <v>1.1371434E-2</v>
      </c>
      <c r="CJ73" s="94">
        <v>9.8154999999999998E-5</v>
      </c>
      <c r="CK73" s="6" t="s">
        <v>76</v>
      </c>
      <c r="CL73" s="13">
        <v>0</v>
      </c>
      <c r="CM73" s="7" t="s">
        <v>76</v>
      </c>
      <c r="CN73" s="15">
        <v>0</v>
      </c>
      <c r="CO73" s="93">
        <v>58.550570688999997</v>
      </c>
      <c r="CP73" s="94">
        <v>0.26187242230000002</v>
      </c>
      <c r="CQ73" s="93">
        <v>0.12659637069999999</v>
      </c>
      <c r="CR73" s="94">
        <v>9.3319569999999997E-4</v>
      </c>
      <c r="CS73" s="93">
        <v>86.041158430999999</v>
      </c>
      <c r="CT73" s="94">
        <v>0.16068171479999999</v>
      </c>
      <c r="CU73" s="93">
        <v>0.30612663800000001</v>
      </c>
      <c r="CV73" s="88">
        <v>2.3527137E-3</v>
      </c>
      <c r="CW73" s="188">
        <v>1.7244949999999998E-2</v>
      </c>
      <c r="CX73" s="189">
        <v>2.6859355099999999E-2</v>
      </c>
      <c r="CY73" s="189">
        <v>3.0863084900000001E-2</v>
      </c>
      <c r="CZ73" s="189">
        <v>3.2770248600000003E-2</v>
      </c>
      <c r="DA73" s="189">
        <v>3.3631942900000003E-2</v>
      </c>
      <c r="DB73" s="189">
        <v>3.4266949300000002E-2</v>
      </c>
      <c r="DC73" s="189">
        <v>3.4618848600000002E-2</v>
      </c>
      <c r="DD73" s="189">
        <v>3.48974175E-2</v>
      </c>
      <c r="DE73" s="189">
        <v>3.50858114E-2</v>
      </c>
      <c r="DF73" s="190">
        <v>3.5235135899999999E-2</v>
      </c>
      <c r="DG73" s="112">
        <v>162.54296438</v>
      </c>
      <c r="DH73" s="13">
        <v>2.2307898763999998</v>
      </c>
      <c r="DI73" s="79">
        <v>122.68465788</v>
      </c>
      <c r="DJ73" s="13">
        <v>1.6608154961999999</v>
      </c>
      <c r="DK73" s="79">
        <v>92.150110046999998</v>
      </c>
      <c r="DL73" s="13">
        <v>1.2394830365</v>
      </c>
      <c r="DM73" s="79">
        <v>69.374056418999999</v>
      </c>
      <c r="DN73" s="13">
        <v>0.93247790399999997</v>
      </c>
      <c r="DO73" s="79">
        <v>52.676951119000002</v>
      </c>
      <c r="DP73" s="13">
        <v>0.71022990100000005</v>
      </c>
      <c r="DQ73" s="79">
        <v>40.418462540999997</v>
      </c>
      <c r="DR73" s="13">
        <v>0.54777951660000002</v>
      </c>
      <c r="DS73" s="79">
        <v>31.394945481000001</v>
      </c>
      <c r="DT73" s="13">
        <v>0.42794385909999999</v>
      </c>
      <c r="DU73" s="79">
        <v>24.718508171</v>
      </c>
      <c r="DV73" s="13">
        <v>0.3386123137</v>
      </c>
      <c r="DW73" s="79">
        <v>19.715661860000001</v>
      </c>
      <c r="DX73" s="13">
        <v>0.27075535810000001</v>
      </c>
      <c r="DY73" s="79">
        <v>15.913416202000001</v>
      </c>
      <c r="DZ73" s="15">
        <v>0.2185847404</v>
      </c>
    </row>
    <row r="74" spans="1:130" x14ac:dyDescent="0.2">
      <c r="A74" s="8">
        <v>20000</v>
      </c>
      <c r="B74" s="82">
        <v>20288</v>
      </c>
      <c r="C74" s="83">
        <v>2897.3567939</v>
      </c>
      <c r="D74" s="93">
        <v>17258.325091999999</v>
      </c>
      <c r="E74" s="93">
        <v>232.99407310000001</v>
      </c>
      <c r="F74" s="94">
        <v>0.15517363370000001</v>
      </c>
      <c r="G74" s="83">
        <v>134.68330861000001</v>
      </c>
      <c r="H74" s="94">
        <v>2.5694195699999998E-2</v>
      </c>
      <c r="I74" s="93">
        <v>306.7757249</v>
      </c>
      <c r="J74" s="94">
        <v>3.0451511935000002</v>
      </c>
      <c r="K74" s="93">
        <v>684.09271314</v>
      </c>
      <c r="L74" s="94">
        <v>3.9307991435999998</v>
      </c>
      <c r="M74" s="93">
        <v>5.5931628823999997</v>
      </c>
      <c r="N74" s="94">
        <v>2.18606657E-2</v>
      </c>
      <c r="O74" s="37" t="s">
        <v>76</v>
      </c>
      <c r="P74" s="13">
        <v>0</v>
      </c>
      <c r="Q74" s="93">
        <v>143.50095967999999</v>
      </c>
      <c r="R74" s="94">
        <v>0.31057286540000001</v>
      </c>
      <c r="S74" s="37" t="s">
        <v>76</v>
      </c>
      <c r="T74" s="13">
        <v>0</v>
      </c>
      <c r="U74" s="37" t="s">
        <v>76</v>
      </c>
      <c r="V74" s="13">
        <v>0</v>
      </c>
      <c r="W74" s="93">
        <v>1.3979674817000001</v>
      </c>
      <c r="X74" s="94">
        <v>5.5752798000000001E-3</v>
      </c>
      <c r="Y74" s="93">
        <v>16.022321973</v>
      </c>
      <c r="Z74" s="94">
        <v>3.4683537999999998E-3</v>
      </c>
      <c r="AA74" s="37" t="s">
        <v>76</v>
      </c>
      <c r="AB74" s="13">
        <v>0</v>
      </c>
      <c r="AC74" s="93">
        <v>2.8666984000000001E-3</v>
      </c>
      <c r="AD74" s="94">
        <v>1.0436500000000001E-5</v>
      </c>
      <c r="AE74" s="37" t="s">
        <v>76</v>
      </c>
      <c r="AF74" s="13">
        <v>0</v>
      </c>
      <c r="AG74" s="37" t="s">
        <v>76</v>
      </c>
      <c r="AH74" s="13">
        <v>0</v>
      </c>
      <c r="AI74" s="93">
        <v>2.8666984000000001E-3</v>
      </c>
      <c r="AJ74" s="94">
        <v>1.0436500000000001E-5</v>
      </c>
      <c r="AK74" s="93">
        <v>350.39089573000001</v>
      </c>
      <c r="AL74" s="94">
        <v>1.9126492999</v>
      </c>
      <c r="AM74" s="37" t="s">
        <v>76</v>
      </c>
      <c r="AN74" s="13">
        <v>0</v>
      </c>
      <c r="AO74" s="37" t="s">
        <v>76</v>
      </c>
      <c r="AP74" s="13">
        <v>0</v>
      </c>
      <c r="AQ74" s="37" t="s">
        <v>76</v>
      </c>
      <c r="AR74" s="13">
        <v>0</v>
      </c>
      <c r="AS74" s="93">
        <v>79.803982513999998</v>
      </c>
      <c r="AT74" s="94">
        <v>0.82839476199999995</v>
      </c>
      <c r="AU74" s="93">
        <v>64.722398480999999</v>
      </c>
      <c r="AV74" s="94">
        <v>0.33808936360000003</v>
      </c>
      <c r="AW74" s="93">
        <v>46.044331866</v>
      </c>
      <c r="AX74" s="94">
        <v>0.18302461419999999</v>
      </c>
      <c r="AY74" s="93">
        <v>9.8524912218999994</v>
      </c>
      <c r="AZ74" s="94">
        <v>4.61585079E-2</v>
      </c>
      <c r="BA74" s="79">
        <v>8.8255753932999994</v>
      </c>
      <c r="BB74" s="13">
        <v>0.1089062415</v>
      </c>
      <c r="BC74" s="93">
        <v>0</v>
      </c>
      <c r="BD74" s="85">
        <v>0</v>
      </c>
      <c r="BE74" s="93">
        <v>202.45904530999999</v>
      </c>
      <c r="BF74" s="94">
        <v>0.35264469180000002</v>
      </c>
      <c r="BG74" s="94">
        <v>5.4711658099999998E-2</v>
      </c>
      <c r="BH74" s="86">
        <v>0</v>
      </c>
      <c r="BI74" s="93">
        <v>3.7420919457999999</v>
      </c>
      <c r="BJ74" s="94">
        <v>1.3204281599999999E-2</v>
      </c>
      <c r="BK74" s="93">
        <v>0.18509054480000001</v>
      </c>
      <c r="BL74" s="94">
        <v>6.2507929999999995E-4</v>
      </c>
      <c r="BM74" s="7" t="s">
        <v>76</v>
      </c>
      <c r="BN74" s="13">
        <v>0</v>
      </c>
      <c r="BO74" s="7" t="s">
        <v>76</v>
      </c>
      <c r="BP74" s="13">
        <v>0</v>
      </c>
      <c r="BQ74" s="93">
        <v>137.20268127</v>
      </c>
      <c r="BR74" s="94">
        <v>0.2958367596</v>
      </c>
      <c r="BS74" s="93">
        <v>1.0542527241999999</v>
      </c>
      <c r="BT74" s="94">
        <v>4.6190800000000002E-3</v>
      </c>
      <c r="BU74" s="7" t="s">
        <v>76</v>
      </c>
      <c r="BV74" s="13">
        <v>0</v>
      </c>
      <c r="BW74" s="7" t="s">
        <v>76</v>
      </c>
      <c r="BX74" s="13">
        <v>0</v>
      </c>
      <c r="BY74" s="7" t="s">
        <v>76</v>
      </c>
      <c r="BZ74" s="13">
        <v>0</v>
      </c>
      <c r="CA74" s="7" t="s">
        <v>76</v>
      </c>
      <c r="CB74" s="13">
        <v>0</v>
      </c>
      <c r="CC74" s="93">
        <v>1.2482743053000001</v>
      </c>
      <c r="CD74" s="94">
        <v>4.6212765999999999E-3</v>
      </c>
      <c r="CE74" s="93">
        <v>3.142644E-3</v>
      </c>
      <c r="CF74" s="94">
        <v>4.4262599999999999E-5</v>
      </c>
      <c r="CG74" s="93">
        <v>14.632118371000001</v>
      </c>
      <c r="CH74" s="94">
        <v>4.9454254500000003E-2</v>
      </c>
      <c r="CI74" s="93">
        <v>2.4958068600000001E-2</v>
      </c>
      <c r="CJ74" s="94">
        <v>1.159252E-4</v>
      </c>
      <c r="CK74" s="6" t="s">
        <v>76</v>
      </c>
      <c r="CL74" s="13">
        <v>0</v>
      </c>
      <c r="CM74" s="7" t="s">
        <v>76</v>
      </c>
      <c r="CN74" s="15">
        <v>0</v>
      </c>
      <c r="CO74" s="93">
        <v>65.149706210999994</v>
      </c>
      <c r="CP74" s="94">
        <v>0.2802840653</v>
      </c>
      <c r="CQ74" s="93">
        <v>0.13593531540000001</v>
      </c>
      <c r="CR74" s="94">
        <v>9.9838789999999998E-4</v>
      </c>
      <c r="CS74" s="93">
        <v>100.07220433000001</v>
      </c>
      <c r="CT74" s="94">
        <v>0.17822681239999999</v>
      </c>
      <c r="CU74" s="93">
        <v>0.34691818870000002</v>
      </c>
      <c r="CV74" s="88">
        <v>2.5805687999999999E-3</v>
      </c>
      <c r="CW74" s="188">
        <v>2.3211768599999998E-2</v>
      </c>
      <c r="CX74" s="189">
        <v>3.6911514600000001E-2</v>
      </c>
      <c r="CY74" s="189">
        <v>4.3157989600000002E-2</v>
      </c>
      <c r="CZ74" s="189">
        <v>4.6379484499999998E-2</v>
      </c>
      <c r="DA74" s="189">
        <v>4.7982401899999999E-2</v>
      </c>
      <c r="DB74" s="189">
        <v>4.9199563299999999E-2</v>
      </c>
      <c r="DC74" s="189">
        <v>4.9877207899999998E-2</v>
      </c>
      <c r="DD74" s="189">
        <v>5.0438061700000002E-2</v>
      </c>
      <c r="DE74" s="189">
        <v>5.0809331300000003E-2</v>
      </c>
      <c r="DF74" s="190">
        <v>5.1109683699999998E-2</v>
      </c>
      <c r="DG74" s="112">
        <v>172.93506629000001</v>
      </c>
      <c r="DH74" s="13">
        <v>2.2995692535000001</v>
      </c>
      <c r="DI74" s="79">
        <v>131.87325612000001</v>
      </c>
      <c r="DJ74" s="13">
        <v>1.7247002639</v>
      </c>
      <c r="DK74" s="79">
        <v>100.20347717</v>
      </c>
      <c r="DL74" s="13">
        <v>1.2974685701999999</v>
      </c>
      <c r="DM74" s="79">
        <v>76.370377199999993</v>
      </c>
      <c r="DN74" s="13">
        <v>0.98416928290000005</v>
      </c>
      <c r="DO74" s="79">
        <v>58.710569063999998</v>
      </c>
      <c r="DP74" s="13">
        <v>0.75574782519999995</v>
      </c>
      <c r="DQ74" s="79">
        <v>45.614499160000001</v>
      </c>
      <c r="DR74" s="13">
        <v>0.58756145559999995</v>
      </c>
      <c r="DS74" s="79">
        <v>35.875971526000001</v>
      </c>
      <c r="DT74" s="13">
        <v>0.46259786310000001</v>
      </c>
      <c r="DU74" s="79">
        <v>28.578508272000001</v>
      </c>
      <c r="DV74" s="13">
        <v>0.36871310340000002</v>
      </c>
      <c r="DW74" s="79">
        <v>23.053643305000001</v>
      </c>
      <c r="DX74" s="13">
        <v>0.29688268229999998</v>
      </c>
      <c r="DY74" s="79">
        <v>18.814548769000002</v>
      </c>
      <c r="DZ74" s="15">
        <v>0.24131952070000001</v>
      </c>
    </row>
    <row r="75" spans="1:130" x14ac:dyDescent="0.2">
      <c r="A75" s="8">
        <v>25000</v>
      </c>
      <c r="B75" s="82">
        <v>11567</v>
      </c>
      <c r="C75" s="83">
        <v>3061.8983791000001</v>
      </c>
      <c r="D75" s="93">
        <v>22270.061244</v>
      </c>
      <c r="E75" s="93">
        <v>272.43169935999998</v>
      </c>
      <c r="F75" s="94">
        <v>0.1649046357</v>
      </c>
      <c r="G75" s="83">
        <v>183.14389395000001</v>
      </c>
      <c r="H75" s="94">
        <v>3.0708764999999999E-2</v>
      </c>
      <c r="I75" s="93">
        <v>317.72290053</v>
      </c>
      <c r="J75" s="94">
        <v>3.0877295939999998</v>
      </c>
      <c r="K75" s="93">
        <v>723.58961623000005</v>
      </c>
      <c r="L75" s="94">
        <v>4.0284359535999998</v>
      </c>
      <c r="M75" s="93">
        <v>6.6813803629999997</v>
      </c>
      <c r="N75" s="94">
        <v>2.3732168500000001E-2</v>
      </c>
      <c r="O75" s="37" t="s">
        <v>76</v>
      </c>
      <c r="P75" s="13">
        <v>0</v>
      </c>
      <c r="Q75" s="93">
        <v>154.87603572</v>
      </c>
      <c r="R75" s="94">
        <v>0.32198939189999998</v>
      </c>
      <c r="S75" s="37" t="s">
        <v>76</v>
      </c>
      <c r="T75" s="13">
        <v>0</v>
      </c>
      <c r="U75" s="37" t="s">
        <v>76</v>
      </c>
      <c r="V75" s="13">
        <v>0</v>
      </c>
      <c r="W75" s="93">
        <v>1.6645423168</v>
      </c>
      <c r="X75" s="94">
        <v>6.0954364000000002E-3</v>
      </c>
      <c r="Y75" s="93">
        <v>17.917130833000002</v>
      </c>
      <c r="Z75" s="94">
        <v>3.9347688000000002E-3</v>
      </c>
      <c r="AA75" s="37" t="s">
        <v>76</v>
      </c>
      <c r="AB75" s="13">
        <v>0</v>
      </c>
      <c r="AC75" s="93">
        <v>2.8373394000000001E-3</v>
      </c>
      <c r="AD75" s="94">
        <v>1.03265E-5</v>
      </c>
      <c r="AE75" s="37" t="s">
        <v>76</v>
      </c>
      <c r="AF75" s="13">
        <v>0</v>
      </c>
      <c r="AG75" s="37" t="s">
        <v>76</v>
      </c>
      <c r="AH75" s="13">
        <v>0</v>
      </c>
      <c r="AI75" s="93">
        <v>2.8373394000000001E-3</v>
      </c>
      <c r="AJ75" s="94">
        <v>1.03265E-5</v>
      </c>
      <c r="AK75" s="93">
        <v>356.48348332</v>
      </c>
      <c r="AL75" s="94">
        <v>1.9376937456000001</v>
      </c>
      <c r="AM75" s="37" t="s">
        <v>76</v>
      </c>
      <c r="AN75" s="13">
        <v>0</v>
      </c>
      <c r="AO75" s="37" t="s">
        <v>76</v>
      </c>
      <c r="AP75" s="13">
        <v>0</v>
      </c>
      <c r="AQ75" s="37" t="s">
        <v>76</v>
      </c>
      <c r="AR75" s="13">
        <v>0</v>
      </c>
      <c r="AS75" s="93">
        <v>85.856328176000005</v>
      </c>
      <c r="AT75" s="94">
        <v>0.85255020930000003</v>
      </c>
      <c r="AU75" s="93">
        <v>67.659547958999994</v>
      </c>
      <c r="AV75" s="94">
        <v>0.34860939969999999</v>
      </c>
      <c r="AW75" s="93">
        <v>48.153152220999999</v>
      </c>
      <c r="AX75" s="94">
        <v>0.18849093310000001</v>
      </c>
      <c r="AY75" s="93">
        <v>10.130491956</v>
      </c>
      <c r="AZ75" s="94">
        <v>4.6987157199999997E-2</v>
      </c>
      <c r="BA75" s="79">
        <v>9.3759037811999999</v>
      </c>
      <c r="BB75" s="13">
        <v>0.1131313094</v>
      </c>
      <c r="BC75" s="93">
        <v>0</v>
      </c>
      <c r="BD75" s="86">
        <v>0</v>
      </c>
      <c r="BE75" s="93">
        <v>228.70578291999999</v>
      </c>
      <c r="BF75" s="94">
        <v>0.3790216045</v>
      </c>
      <c r="BG75" s="94">
        <v>7.1489569599999997E-2</v>
      </c>
      <c r="BH75" s="86">
        <v>0</v>
      </c>
      <c r="BI75" s="93">
        <v>4.4677872637</v>
      </c>
      <c r="BJ75" s="94">
        <v>1.4632871E-2</v>
      </c>
      <c r="BK75" s="93">
        <v>0.2011841047</v>
      </c>
      <c r="BL75" s="94">
        <v>6.7458009999999996E-4</v>
      </c>
      <c r="BM75" s="7" t="s">
        <v>76</v>
      </c>
      <c r="BN75" s="13">
        <v>0</v>
      </c>
      <c r="BO75" s="7" t="s">
        <v>76</v>
      </c>
      <c r="BP75" s="13">
        <v>0</v>
      </c>
      <c r="BQ75" s="93">
        <v>147.86698383000001</v>
      </c>
      <c r="BR75" s="94">
        <v>0.30700136239999998</v>
      </c>
      <c r="BS75" s="93">
        <v>1.1892299519</v>
      </c>
      <c r="BT75" s="94">
        <v>5.0287795000000003E-3</v>
      </c>
      <c r="BU75" s="7" t="s">
        <v>76</v>
      </c>
      <c r="BV75" s="13">
        <v>0</v>
      </c>
      <c r="BW75" s="7" t="s">
        <v>76</v>
      </c>
      <c r="BX75" s="13">
        <v>0</v>
      </c>
      <c r="BY75" s="7" t="s">
        <v>76</v>
      </c>
      <c r="BZ75" s="13">
        <v>0</v>
      </c>
      <c r="CA75" s="7" t="s">
        <v>76</v>
      </c>
      <c r="CB75" s="13">
        <v>0</v>
      </c>
      <c r="CC75" s="93">
        <v>1.4878526826</v>
      </c>
      <c r="CD75" s="94">
        <v>5.0590284000000003E-3</v>
      </c>
      <c r="CE75" s="93">
        <v>3.2196460000000001E-3</v>
      </c>
      <c r="CF75" s="94">
        <v>4.4277299999999997E-5</v>
      </c>
      <c r="CG75" s="93">
        <v>16.328021356000001</v>
      </c>
      <c r="CH75" s="94">
        <v>5.4176214100000002E-2</v>
      </c>
      <c r="CI75" s="93">
        <v>2.8459857500000001E-2</v>
      </c>
      <c r="CJ75" s="94">
        <v>1.2759760000000001E-4</v>
      </c>
      <c r="CK75" s="6" t="s">
        <v>76</v>
      </c>
      <c r="CL75" s="13">
        <v>0</v>
      </c>
      <c r="CM75" s="7" t="s">
        <v>76</v>
      </c>
      <c r="CN75" s="15">
        <v>0</v>
      </c>
      <c r="CO75" s="93">
        <v>70.004515261999998</v>
      </c>
      <c r="CP75" s="94">
        <v>0.29306864249999998</v>
      </c>
      <c r="CQ75" s="93">
        <v>0.14369712230000001</v>
      </c>
      <c r="CR75" s="94">
        <v>1.0583995E-3</v>
      </c>
      <c r="CS75" s="93">
        <v>110.23371622000001</v>
      </c>
      <c r="CT75" s="94">
        <v>0.1906488831</v>
      </c>
      <c r="CU75" s="93">
        <v>0.36669252279999998</v>
      </c>
      <c r="CV75" s="88">
        <v>2.7256514000000001E-3</v>
      </c>
      <c r="CW75" s="188">
        <v>2.7263144E-2</v>
      </c>
      <c r="CX75" s="189">
        <v>4.3854426500000002E-2</v>
      </c>
      <c r="CY75" s="189">
        <v>5.19542921E-2</v>
      </c>
      <c r="CZ75" s="189">
        <v>5.6349095199999998E-2</v>
      </c>
      <c r="DA75" s="189">
        <v>5.8704904400000001E-2</v>
      </c>
      <c r="DB75" s="189">
        <v>6.0518135399999999E-2</v>
      </c>
      <c r="DC75" s="189">
        <v>6.1582998399999998E-2</v>
      </c>
      <c r="DD75" s="189">
        <v>6.2474694400000003E-2</v>
      </c>
      <c r="DE75" s="189">
        <v>6.3076564700000004E-2</v>
      </c>
      <c r="DF75" s="190">
        <v>6.3575364600000003E-2</v>
      </c>
      <c r="DG75" s="112">
        <v>180.03263570999999</v>
      </c>
      <c r="DH75" s="13">
        <v>2.3403919884</v>
      </c>
      <c r="DI75" s="79">
        <v>138.16224677</v>
      </c>
      <c r="DJ75" s="13">
        <v>1.7627978927000001</v>
      </c>
      <c r="DK75" s="79">
        <v>105.73469110000001</v>
      </c>
      <c r="DL75" s="13">
        <v>1.3322577812</v>
      </c>
      <c r="DM75" s="79">
        <v>81.217722511000005</v>
      </c>
      <c r="DN75" s="13">
        <v>1.0154572411</v>
      </c>
      <c r="DO75" s="79">
        <v>62.926451751999998</v>
      </c>
      <c r="DP75" s="13">
        <v>0.7835194083</v>
      </c>
      <c r="DQ75" s="79">
        <v>49.282231156999998</v>
      </c>
      <c r="DR75" s="13">
        <v>0.6120448383</v>
      </c>
      <c r="DS75" s="79">
        <v>39.076866055000004</v>
      </c>
      <c r="DT75" s="13">
        <v>0.48412358519999998</v>
      </c>
      <c r="DU75" s="79">
        <v>31.378496695999999</v>
      </c>
      <c r="DV75" s="13">
        <v>0.3876157549</v>
      </c>
      <c r="DW75" s="79">
        <v>25.506897815999999</v>
      </c>
      <c r="DX75" s="13">
        <v>0.31347335129999998</v>
      </c>
      <c r="DY75" s="79">
        <v>20.967381911</v>
      </c>
      <c r="DZ75" s="15">
        <v>0.25589089780000002</v>
      </c>
    </row>
    <row r="76" spans="1:130" x14ac:dyDescent="0.2">
      <c r="A76" s="8">
        <v>30000</v>
      </c>
      <c r="B76" s="82">
        <v>7313</v>
      </c>
      <c r="C76" s="83">
        <v>3188.8938272999999</v>
      </c>
      <c r="D76" s="93">
        <v>27309.553373999999</v>
      </c>
      <c r="E76" s="93">
        <v>302.66978447000002</v>
      </c>
      <c r="F76" s="94">
        <v>0.17167595860000001</v>
      </c>
      <c r="G76" s="83">
        <v>227.95008035000001</v>
      </c>
      <c r="H76" s="94">
        <v>3.4431936500000003E-2</v>
      </c>
      <c r="I76" s="93">
        <v>325.11094307000002</v>
      </c>
      <c r="J76" s="94">
        <v>3.1147781597000002</v>
      </c>
      <c r="K76" s="93">
        <v>752.71762618000002</v>
      </c>
      <c r="L76" s="94">
        <v>4.0922912992000002</v>
      </c>
      <c r="M76" s="93">
        <v>7.4380255482999997</v>
      </c>
      <c r="N76" s="94">
        <v>2.49006799E-2</v>
      </c>
      <c r="O76" s="37" t="s">
        <v>76</v>
      </c>
      <c r="P76" s="13">
        <v>0</v>
      </c>
      <c r="Q76" s="93">
        <v>162.76331737000001</v>
      </c>
      <c r="R76" s="94">
        <v>0.32959721069999998</v>
      </c>
      <c r="S76" s="37" t="s">
        <v>76</v>
      </c>
      <c r="T76" s="13">
        <v>0</v>
      </c>
      <c r="U76" s="37" t="s">
        <v>76</v>
      </c>
      <c r="V76" s="13">
        <v>0</v>
      </c>
      <c r="W76" s="93">
        <v>1.7775932514999999</v>
      </c>
      <c r="X76" s="94">
        <v>6.3940964000000003E-3</v>
      </c>
      <c r="Y76" s="93">
        <v>19.504463170000001</v>
      </c>
      <c r="Z76" s="94">
        <v>4.3480626E-3</v>
      </c>
      <c r="AA76" s="37" t="s">
        <v>76</v>
      </c>
      <c r="AB76" s="13">
        <v>0</v>
      </c>
      <c r="AC76" s="93">
        <v>2.8183924E-3</v>
      </c>
      <c r="AD76" s="94">
        <v>1.02555E-5</v>
      </c>
      <c r="AE76" s="37" t="s">
        <v>76</v>
      </c>
      <c r="AF76" s="13">
        <v>0</v>
      </c>
      <c r="AG76" s="37" t="s">
        <v>76</v>
      </c>
      <c r="AH76" s="13">
        <v>0</v>
      </c>
      <c r="AI76" s="93">
        <v>2.8183924E-3</v>
      </c>
      <c r="AJ76" s="94">
        <v>1.02555E-5</v>
      </c>
      <c r="AK76" s="93">
        <v>360.77600053999998</v>
      </c>
      <c r="AL76" s="94">
        <v>1.9540313663</v>
      </c>
      <c r="AM76" s="37" t="s">
        <v>76</v>
      </c>
      <c r="AN76" s="13">
        <v>0</v>
      </c>
      <c r="AO76" s="37" t="s">
        <v>76</v>
      </c>
      <c r="AP76" s="13">
        <v>0</v>
      </c>
      <c r="AQ76" s="37" t="s">
        <v>76</v>
      </c>
      <c r="AR76" s="13">
        <v>0</v>
      </c>
      <c r="AS76" s="93">
        <v>90.272922819000001</v>
      </c>
      <c r="AT76" s="94">
        <v>0.86854471850000003</v>
      </c>
      <c r="AU76" s="93">
        <v>69.700581597999999</v>
      </c>
      <c r="AV76" s="94">
        <v>0.35611401339999998</v>
      </c>
      <c r="AW76" s="93">
        <v>49.599418704999998</v>
      </c>
      <c r="AX76" s="94">
        <v>0.192306115</v>
      </c>
      <c r="AY76" s="93">
        <v>10.279682785</v>
      </c>
      <c r="AZ76" s="94">
        <v>4.7506739899999997E-2</v>
      </c>
      <c r="BA76" s="79">
        <v>9.8214801076999994</v>
      </c>
      <c r="BB76" s="13">
        <v>0.11630115839999999</v>
      </c>
      <c r="BC76" s="93">
        <v>0</v>
      </c>
      <c r="BD76" s="86">
        <v>0</v>
      </c>
      <c r="BE76" s="93">
        <v>248.48028679999999</v>
      </c>
      <c r="BF76" s="94">
        <v>0.39838526969999999</v>
      </c>
      <c r="BG76" s="94">
        <v>8.3709819300000002E-2</v>
      </c>
      <c r="BH76" s="86">
        <v>0</v>
      </c>
      <c r="BI76" s="93">
        <v>5.0215131194999998</v>
      </c>
      <c r="BJ76" s="94">
        <v>1.57622101E-2</v>
      </c>
      <c r="BK76" s="93">
        <v>0.2081959759</v>
      </c>
      <c r="BL76" s="94">
        <v>6.9924500000000003E-4</v>
      </c>
      <c r="BM76" s="7" t="s">
        <v>76</v>
      </c>
      <c r="BN76" s="13">
        <v>0</v>
      </c>
      <c r="BO76" s="7" t="s">
        <v>76</v>
      </c>
      <c r="BP76" s="13">
        <v>0</v>
      </c>
      <c r="BQ76" s="93">
        <v>155.28089563</v>
      </c>
      <c r="BR76" s="94">
        <v>0.31466618470000002</v>
      </c>
      <c r="BS76" s="93">
        <v>1.2641108655</v>
      </c>
      <c r="BT76" s="94">
        <v>5.3321039999999998E-3</v>
      </c>
      <c r="BU76" s="7" t="s">
        <v>76</v>
      </c>
      <c r="BV76" s="13">
        <v>0</v>
      </c>
      <c r="BW76" s="7" t="s">
        <v>76</v>
      </c>
      <c r="BX76" s="13">
        <v>0</v>
      </c>
      <c r="BY76" s="7" t="s">
        <v>76</v>
      </c>
      <c r="BZ76" s="13">
        <v>0</v>
      </c>
      <c r="CA76" s="7" t="s">
        <v>76</v>
      </c>
      <c r="CB76" s="13">
        <v>0</v>
      </c>
      <c r="CC76" s="93">
        <v>1.5982847969</v>
      </c>
      <c r="CD76" s="94">
        <v>5.3895321000000003E-3</v>
      </c>
      <c r="CE76" s="93">
        <v>3.3291013000000002E-3</v>
      </c>
      <c r="CF76" s="94">
        <v>4.4477300000000002E-5</v>
      </c>
      <c r="CG76" s="93">
        <v>17.735577845000002</v>
      </c>
      <c r="CH76" s="94">
        <v>5.7647189199999997E-2</v>
      </c>
      <c r="CI76" s="93">
        <v>2.9454789700000001E-2</v>
      </c>
      <c r="CJ76" s="94">
        <v>1.460849E-4</v>
      </c>
      <c r="CK76" s="6" t="s">
        <v>76</v>
      </c>
      <c r="CL76" s="13">
        <v>0</v>
      </c>
      <c r="CM76" s="7" t="s">
        <v>76</v>
      </c>
      <c r="CN76" s="15">
        <v>0</v>
      </c>
      <c r="CO76" s="93">
        <v>73.507496313000004</v>
      </c>
      <c r="CP76" s="94">
        <v>0.30178911009999998</v>
      </c>
      <c r="CQ76" s="93">
        <v>0.15037343810000001</v>
      </c>
      <c r="CR76" s="94">
        <v>1.1002415E-3</v>
      </c>
      <c r="CS76" s="93">
        <v>117.31400411</v>
      </c>
      <c r="CT76" s="94">
        <v>0.19932550460000001</v>
      </c>
      <c r="CU76" s="93">
        <v>0.38961714870000003</v>
      </c>
      <c r="CV76" s="88">
        <v>2.8503039000000001E-3</v>
      </c>
      <c r="CW76" s="188">
        <v>3.0245617999999998E-2</v>
      </c>
      <c r="CX76" s="189">
        <v>4.9076015600000002E-2</v>
      </c>
      <c r="CY76" s="189">
        <v>5.8763520299999997E-2</v>
      </c>
      <c r="CZ76" s="189">
        <v>6.4262355500000007E-2</v>
      </c>
      <c r="DA76" s="189">
        <v>6.7337881399999994E-2</v>
      </c>
      <c r="DB76" s="189">
        <v>6.9719938699999998E-2</v>
      </c>
      <c r="DC76" s="189">
        <v>7.1178711500000005E-2</v>
      </c>
      <c r="DD76" s="189">
        <v>7.2410035499999997E-2</v>
      </c>
      <c r="DE76" s="189">
        <v>7.3270011400000001E-2</v>
      </c>
      <c r="DF76" s="190">
        <v>7.3986301199999993E-2</v>
      </c>
      <c r="DG76" s="112">
        <v>184.8012549</v>
      </c>
      <c r="DH76" s="13">
        <v>2.3663684844000001</v>
      </c>
      <c r="DI76" s="79">
        <v>142.40615826000001</v>
      </c>
      <c r="DJ76" s="13">
        <v>1.7871829957000001</v>
      </c>
      <c r="DK76" s="79">
        <v>109.49931175</v>
      </c>
      <c r="DL76" s="13">
        <v>1.3546738328000001</v>
      </c>
      <c r="DM76" s="79">
        <v>84.538805656999997</v>
      </c>
      <c r="DN76" s="13">
        <v>1.0357499883000001</v>
      </c>
      <c r="DO76" s="79">
        <v>65.847302458000001</v>
      </c>
      <c r="DP76" s="13">
        <v>0.80170004839999998</v>
      </c>
      <c r="DQ76" s="79">
        <v>51.833728923999999</v>
      </c>
      <c r="DR76" s="13">
        <v>0.62819342369999998</v>
      </c>
      <c r="DS76" s="79">
        <v>41.296148428000002</v>
      </c>
      <c r="DT76" s="13">
        <v>0.49836466899999998</v>
      </c>
      <c r="DU76" s="79">
        <v>33.298899364</v>
      </c>
      <c r="DV76" s="13">
        <v>0.40009707620000001</v>
      </c>
      <c r="DW76" s="79">
        <v>27.170822737999998</v>
      </c>
      <c r="DX76" s="13">
        <v>0.32442175309999999</v>
      </c>
      <c r="DY76" s="79">
        <v>22.409472285</v>
      </c>
      <c r="DZ76" s="15">
        <v>0.26550361649999998</v>
      </c>
    </row>
    <row r="77" spans="1:130" x14ac:dyDescent="0.2">
      <c r="A77" s="8">
        <v>35000</v>
      </c>
      <c r="B77" s="82">
        <v>5084</v>
      </c>
      <c r="C77" s="83">
        <v>3291.1374538999999</v>
      </c>
      <c r="D77" s="93">
        <v>32347.737668999998</v>
      </c>
      <c r="E77" s="93">
        <v>326.02130798000002</v>
      </c>
      <c r="F77" s="94">
        <v>0.17634445269999999</v>
      </c>
      <c r="G77" s="83">
        <v>269.05413709999999</v>
      </c>
      <c r="H77" s="94">
        <v>3.7281251600000002E-2</v>
      </c>
      <c r="I77" s="93">
        <v>330.78353061000001</v>
      </c>
      <c r="J77" s="94">
        <v>3.1343446715000001</v>
      </c>
      <c r="K77" s="93">
        <v>775.81793931000004</v>
      </c>
      <c r="L77" s="94">
        <v>4.1381810076000001</v>
      </c>
      <c r="M77" s="93">
        <v>8.1024373463000003</v>
      </c>
      <c r="N77" s="94">
        <v>2.56761031E-2</v>
      </c>
      <c r="O77" s="37" t="s">
        <v>76</v>
      </c>
      <c r="P77" s="13">
        <v>0</v>
      </c>
      <c r="Q77" s="93">
        <v>168.83183991000001</v>
      </c>
      <c r="R77" s="94">
        <v>0.33504558480000002</v>
      </c>
      <c r="S77" s="37" t="s">
        <v>76</v>
      </c>
      <c r="T77" s="13">
        <v>0</v>
      </c>
      <c r="U77" s="37" t="s">
        <v>76</v>
      </c>
      <c r="V77" s="13">
        <v>0</v>
      </c>
      <c r="W77" s="93">
        <v>1.8933430908</v>
      </c>
      <c r="X77" s="94">
        <v>6.6383987999999996E-3</v>
      </c>
      <c r="Y77" s="93">
        <v>20.753345840000001</v>
      </c>
      <c r="Z77" s="94">
        <v>4.6416822000000003E-3</v>
      </c>
      <c r="AA77" s="37" t="s">
        <v>76</v>
      </c>
      <c r="AB77" s="13">
        <v>0</v>
      </c>
      <c r="AC77" s="93">
        <v>2.8060475000000001E-3</v>
      </c>
      <c r="AD77" s="94">
        <v>1.02091E-5</v>
      </c>
      <c r="AE77" s="37" t="s">
        <v>76</v>
      </c>
      <c r="AF77" s="13">
        <v>0</v>
      </c>
      <c r="AG77" s="37" t="s">
        <v>76</v>
      </c>
      <c r="AH77" s="13">
        <v>0</v>
      </c>
      <c r="AI77" s="93">
        <v>2.8060475000000001E-3</v>
      </c>
      <c r="AJ77" s="94">
        <v>1.02091E-5</v>
      </c>
      <c r="AK77" s="93">
        <v>363.94484202000001</v>
      </c>
      <c r="AL77" s="94">
        <v>1.9654683378</v>
      </c>
      <c r="AM77" s="37" t="s">
        <v>76</v>
      </c>
      <c r="AN77" s="13">
        <v>0</v>
      </c>
      <c r="AO77" s="37" t="s">
        <v>76</v>
      </c>
      <c r="AP77" s="13">
        <v>0</v>
      </c>
      <c r="AQ77" s="37" t="s">
        <v>76</v>
      </c>
      <c r="AR77" s="13">
        <v>0</v>
      </c>
      <c r="AS77" s="93">
        <v>93.523207084999996</v>
      </c>
      <c r="AT77" s="94">
        <v>0.87925706800000003</v>
      </c>
      <c r="AU77" s="93">
        <v>71.357541882999996</v>
      </c>
      <c r="AV77" s="94">
        <v>0.36196597209999998</v>
      </c>
      <c r="AW77" s="93">
        <v>50.762496622</v>
      </c>
      <c r="AX77" s="94">
        <v>0.1951652495</v>
      </c>
      <c r="AY77" s="93">
        <v>10.407761205</v>
      </c>
      <c r="AZ77" s="94">
        <v>4.7904551699999999E-2</v>
      </c>
      <c r="BA77" s="79">
        <v>10.187284055999999</v>
      </c>
      <c r="BB77" s="13">
        <v>0.11889617099999999</v>
      </c>
      <c r="BC77" s="93">
        <v>0</v>
      </c>
      <c r="BD77" s="86">
        <v>0</v>
      </c>
      <c r="BE77" s="93">
        <v>264.12069938000002</v>
      </c>
      <c r="BF77" s="94">
        <v>0.41333815350000003</v>
      </c>
      <c r="BG77" s="94">
        <v>9.4016847299999998E-2</v>
      </c>
      <c r="BH77" s="86">
        <v>0</v>
      </c>
      <c r="BI77" s="93">
        <v>5.5421545911000001</v>
      </c>
      <c r="BJ77" s="94">
        <v>1.65828669E-2</v>
      </c>
      <c r="BK77" s="93">
        <v>0.21484324730000001</v>
      </c>
      <c r="BL77" s="94">
        <v>7.2182119999999995E-4</v>
      </c>
      <c r="BM77" s="7" t="s">
        <v>76</v>
      </c>
      <c r="BN77" s="13">
        <v>0</v>
      </c>
      <c r="BO77" s="7" t="s">
        <v>76</v>
      </c>
      <c r="BP77" s="13">
        <v>0</v>
      </c>
      <c r="BQ77" s="93">
        <v>160.94582672999999</v>
      </c>
      <c r="BR77" s="94">
        <v>0.3203338932</v>
      </c>
      <c r="BS77" s="93">
        <v>1.3403744595</v>
      </c>
      <c r="BT77" s="94">
        <v>5.5776884999999997E-3</v>
      </c>
      <c r="BU77" s="7" t="s">
        <v>76</v>
      </c>
      <c r="BV77" s="13">
        <v>0</v>
      </c>
      <c r="BW77" s="7" t="s">
        <v>76</v>
      </c>
      <c r="BX77" s="13">
        <v>0</v>
      </c>
      <c r="BY77" s="7" t="s">
        <v>76</v>
      </c>
      <c r="BZ77" s="13">
        <v>0</v>
      </c>
      <c r="CA77" s="7" t="s">
        <v>76</v>
      </c>
      <c r="CB77" s="13">
        <v>0</v>
      </c>
      <c r="CC77" s="93">
        <v>1.7001662900000001</v>
      </c>
      <c r="CD77" s="94">
        <v>5.5894020000000003E-3</v>
      </c>
      <c r="CE77" s="93">
        <v>3.3131133E-3</v>
      </c>
      <c r="CF77" s="94">
        <v>4.4265899999999999E-5</v>
      </c>
      <c r="CG77" s="93">
        <v>18.768540143999999</v>
      </c>
      <c r="CH77" s="94">
        <v>6.0598993300000001E-2</v>
      </c>
      <c r="CI77" s="93">
        <v>3.2336393499999998E-2</v>
      </c>
      <c r="CJ77" s="94">
        <v>1.7733509999999999E-4</v>
      </c>
      <c r="CK77" s="6" t="s">
        <v>76</v>
      </c>
      <c r="CL77" s="13">
        <v>0</v>
      </c>
      <c r="CM77" s="7" t="s">
        <v>76</v>
      </c>
      <c r="CN77" s="15">
        <v>0</v>
      </c>
      <c r="CO77" s="93">
        <v>76.155220674999995</v>
      </c>
      <c r="CP77" s="94">
        <v>0.30810774790000001</v>
      </c>
      <c r="CQ77" s="93">
        <v>0.15326635020000001</v>
      </c>
      <c r="CR77" s="94">
        <v>1.1322988E-3</v>
      </c>
      <c r="CS77" s="93">
        <v>123.04455929</v>
      </c>
      <c r="CT77" s="94">
        <v>0.2059135409</v>
      </c>
      <c r="CU77" s="93">
        <v>0.40220281359999999</v>
      </c>
      <c r="CV77" s="88">
        <v>2.9384589E-3</v>
      </c>
      <c r="CW77" s="188">
        <v>3.2471963700000002E-2</v>
      </c>
      <c r="CX77" s="189">
        <v>5.3035746600000003E-2</v>
      </c>
      <c r="CY77" s="189">
        <v>6.4010773500000007E-2</v>
      </c>
      <c r="CZ77" s="189">
        <v>7.0432600799999995E-2</v>
      </c>
      <c r="DA77" s="189">
        <v>7.4159200600000003E-2</v>
      </c>
      <c r="DB77" s="189">
        <v>7.70794707E-2</v>
      </c>
      <c r="DC77" s="189">
        <v>7.8922135199999993E-2</v>
      </c>
      <c r="DD77" s="189">
        <v>8.0477147600000007E-2</v>
      </c>
      <c r="DE77" s="189">
        <v>8.1570656199999994E-2</v>
      </c>
      <c r="DF77" s="190">
        <v>8.2486235199999994E-2</v>
      </c>
      <c r="DG77" s="112">
        <v>188.45508265000001</v>
      </c>
      <c r="DH77" s="13">
        <v>2.3851929499</v>
      </c>
      <c r="DI77" s="79">
        <v>145.65469303</v>
      </c>
      <c r="DJ77" s="13">
        <v>1.8048822008000001</v>
      </c>
      <c r="DK77" s="79">
        <v>112.36523581</v>
      </c>
      <c r="DL77" s="13">
        <v>1.3709699688000001</v>
      </c>
      <c r="DM77" s="79">
        <v>87.066798637999995</v>
      </c>
      <c r="DN77" s="13">
        <v>1.0505212316999999</v>
      </c>
      <c r="DO77" s="79">
        <v>68.070124128000003</v>
      </c>
      <c r="DP77" s="13">
        <v>0.81498132769999998</v>
      </c>
      <c r="DQ77" s="79">
        <v>53.780008735000003</v>
      </c>
      <c r="DR77" s="13">
        <v>0.64005425449999998</v>
      </c>
      <c r="DS77" s="79">
        <v>42.999724084</v>
      </c>
      <c r="DT77" s="13">
        <v>0.50890318059999995</v>
      </c>
      <c r="DU77" s="79">
        <v>34.794791519999997</v>
      </c>
      <c r="DV77" s="13">
        <v>0.40943901799999999</v>
      </c>
      <c r="DW77" s="79">
        <v>28.486647884</v>
      </c>
      <c r="DX77" s="13">
        <v>0.33271867240000003</v>
      </c>
      <c r="DY77" s="79">
        <v>23.566138147</v>
      </c>
      <c r="DZ77" s="15">
        <v>0.27285873389999998</v>
      </c>
    </row>
    <row r="78" spans="1:130" x14ac:dyDescent="0.2">
      <c r="A78" s="8">
        <v>40000</v>
      </c>
      <c r="B78" s="82">
        <v>3678</v>
      </c>
      <c r="C78" s="83">
        <v>3375.9144990999998</v>
      </c>
      <c r="D78" s="93">
        <v>37401.963358000001</v>
      </c>
      <c r="E78" s="93">
        <v>344.18587316999998</v>
      </c>
      <c r="F78" s="94">
        <v>0.1798396182</v>
      </c>
      <c r="G78" s="83">
        <v>307.36567874999997</v>
      </c>
      <c r="H78" s="94">
        <v>3.9666509099999997E-2</v>
      </c>
      <c r="I78" s="93">
        <v>335.35945876</v>
      </c>
      <c r="J78" s="94">
        <v>3.1494947521999999</v>
      </c>
      <c r="K78" s="93">
        <v>793.67419000999996</v>
      </c>
      <c r="L78" s="94">
        <v>4.1722446636999999</v>
      </c>
      <c r="M78" s="93">
        <v>8.5466042584000004</v>
      </c>
      <c r="N78" s="94">
        <v>2.6242268999999999E-2</v>
      </c>
      <c r="O78" s="37" t="s">
        <v>76</v>
      </c>
      <c r="P78" s="13">
        <v>0</v>
      </c>
      <c r="Q78" s="93">
        <v>173.74226286000001</v>
      </c>
      <c r="R78" s="94">
        <v>0.3391947126</v>
      </c>
      <c r="S78" s="37" t="s">
        <v>76</v>
      </c>
      <c r="T78" s="13">
        <v>0</v>
      </c>
      <c r="U78" s="37" t="s">
        <v>76</v>
      </c>
      <c r="V78" s="13">
        <v>0</v>
      </c>
      <c r="W78" s="93">
        <v>1.9518469287</v>
      </c>
      <c r="X78" s="94">
        <v>6.7996189000000002E-3</v>
      </c>
      <c r="Y78" s="93">
        <v>21.749795776999999</v>
      </c>
      <c r="Z78" s="94">
        <v>4.8099730000000004E-3</v>
      </c>
      <c r="AA78" s="37" t="s">
        <v>76</v>
      </c>
      <c r="AB78" s="13">
        <v>0</v>
      </c>
      <c r="AC78" s="93">
        <v>2.7966391000000001E-3</v>
      </c>
      <c r="AD78" s="94">
        <v>1.0173700000000001E-5</v>
      </c>
      <c r="AE78" s="37" t="s">
        <v>76</v>
      </c>
      <c r="AF78" s="13">
        <v>0</v>
      </c>
      <c r="AG78" s="37" t="s">
        <v>76</v>
      </c>
      <c r="AH78" s="13">
        <v>0</v>
      </c>
      <c r="AI78" s="93">
        <v>2.7966391000000001E-3</v>
      </c>
      <c r="AJ78" s="94">
        <v>1.0173700000000001E-5</v>
      </c>
      <c r="AK78" s="93">
        <v>366.62000978999998</v>
      </c>
      <c r="AL78" s="94">
        <v>1.9736171993</v>
      </c>
      <c r="AM78" s="37" t="s">
        <v>76</v>
      </c>
      <c r="AN78" s="13">
        <v>0</v>
      </c>
      <c r="AO78" s="37" t="s">
        <v>76</v>
      </c>
      <c r="AP78" s="13">
        <v>0</v>
      </c>
      <c r="AQ78" s="37" t="s">
        <v>76</v>
      </c>
      <c r="AR78" s="13">
        <v>0</v>
      </c>
      <c r="AS78" s="93">
        <v>96.347882924999993</v>
      </c>
      <c r="AT78" s="94">
        <v>0.88804868100000001</v>
      </c>
      <c r="AU78" s="93">
        <v>72.707553935999996</v>
      </c>
      <c r="AV78" s="94">
        <v>0.36668793199999999</v>
      </c>
      <c r="AW78" s="93">
        <v>51.674721425999998</v>
      </c>
      <c r="AX78" s="94">
        <v>0.19744344829999999</v>
      </c>
      <c r="AY78" s="93">
        <v>10.503605395999999</v>
      </c>
      <c r="AZ78" s="94">
        <v>4.8219004400000001E-2</v>
      </c>
      <c r="BA78" s="79">
        <v>10.529227112999999</v>
      </c>
      <c r="BB78" s="13">
        <v>0.1210254793</v>
      </c>
      <c r="BC78" s="93">
        <v>0</v>
      </c>
      <c r="BD78" s="86">
        <v>0</v>
      </c>
      <c r="BE78" s="93">
        <v>277.3504891</v>
      </c>
      <c r="BF78" s="94">
        <v>0.42634739849999997</v>
      </c>
      <c r="BG78" s="94">
        <v>0.1050939244</v>
      </c>
      <c r="BH78" s="86">
        <v>0</v>
      </c>
      <c r="BI78" s="93">
        <v>5.9286776171</v>
      </c>
      <c r="BJ78" s="94">
        <v>1.7220861600000002E-2</v>
      </c>
      <c r="BK78" s="93">
        <v>0.22393697400000001</v>
      </c>
      <c r="BL78" s="94">
        <v>7.3268189999999998E-4</v>
      </c>
      <c r="BM78" s="7" t="s">
        <v>76</v>
      </c>
      <c r="BN78" s="13">
        <v>0</v>
      </c>
      <c r="BO78" s="7" t="s">
        <v>76</v>
      </c>
      <c r="BP78" s="13">
        <v>0</v>
      </c>
      <c r="BQ78" s="93">
        <v>165.43219722000001</v>
      </c>
      <c r="BR78" s="94">
        <v>0.32466219810000002</v>
      </c>
      <c r="BS78" s="93">
        <v>1.4084474470999999</v>
      </c>
      <c r="BT78" s="94">
        <v>5.7605941000000004E-3</v>
      </c>
      <c r="BU78" s="7" t="s">
        <v>76</v>
      </c>
      <c r="BV78" s="13">
        <v>0</v>
      </c>
      <c r="BW78" s="7" t="s">
        <v>76</v>
      </c>
      <c r="BX78" s="13">
        <v>0</v>
      </c>
      <c r="BY78" s="7" t="s">
        <v>76</v>
      </c>
      <c r="BZ78" s="13">
        <v>0</v>
      </c>
      <c r="CA78" s="7" t="s">
        <v>76</v>
      </c>
      <c r="CB78" s="13">
        <v>0</v>
      </c>
      <c r="CC78" s="93">
        <v>1.7528355797999999</v>
      </c>
      <c r="CD78" s="94">
        <v>5.7384695999999997E-3</v>
      </c>
      <c r="CE78" s="93">
        <v>3.7332272000000001E-3</v>
      </c>
      <c r="CF78" s="94">
        <v>4.4676499999999998E-5</v>
      </c>
      <c r="CG78" s="93">
        <v>19.521246816000001</v>
      </c>
      <c r="CH78" s="94">
        <v>6.2619427599999999E-2</v>
      </c>
      <c r="CI78" s="93">
        <v>3.2287729500000001E-2</v>
      </c>
      <c r="CJ78" s="94">
        <v>1.805927E-4</v>
      </c>
      <c r="CK78" s="6" t="s">
        <v>76</v>
      </c>
      <c r="CL78" s="13">
        <v>0</v>
      </c>
      <c r="CM78" s="7" t="s">
        <v>76</v>
      </c>
      <c r="CN78" s="15">
        <v>0</v>
      </c>
      <c r="CO78" s="93">
        <v>78.281903897999996</v>
      </c>
      <c r="CP78" s="94">
        <v>0.31306983599999999</v>
      </c>
      <c r="CQ78" s="93">
        <v>0.15373442779999999</v>
      </c>
      <c r="CR78" s="94">
        <v>1.1663951E-3</v>
      </c>
      <c r="CS78" s="93">
        <v>127.49493809000001</v>
      </c>
      <c r="CT78" s="94">
        <v>0.2113700322</v>
      </c>
      <c r="CU78" s="93">
        <v>0.42074020429999998</v>
      </c>
      <c r="CV78" s="88">
        <v>3.0145756E-3</v>
      </c>
      <c r="CW78" s="188">
        <v>3.4271660299999999E-2</v>
      </c>
      <c r="CX78" s="189">
        <v>5.6254524799999997E-2</v>
      </c>
      <c r="CY78" s="189">
        <v>6.8304010200000001E-2</v>
      </c>
      <c r="CZ78" s="189">
        <v>7.5499027299999993E-2</v>
      </c>
      <c r="DA78" s="189">
        <v>7.9822753600000004E-2</v>
      </c>
      <c r="DB78" s="189">
        <v>8.3224348700000006E-2</v>
      </c>
      <c r="DC78" s="189">
        <v>8.5430228900000002E-2</v>
      </c>
      <c r="DD78" s="189">
        <v>8.7305094700000002E-2</v>
      </c>
      <c r="DE78" s="189">
        <v>8.86584022E-2</v>
      </c>
      <c r="DF78" s="190">
        <v>8.9800733800000004E-2</v>
      </c>
      <c r="DG78" s="112">
        <v>191.45304693</v>
      </c>
      <c r="DH78" s="13">
        <v>2.3998222997999998</v>
      </c>
      <c r="DI78" s="79">
        <v>148.35148376000001</v>
      </c>
      <c r="DJ78" s="13">
        <v>1.8187006607</v>
      </c>
      <c r="DK78" s="79">
        <v>114.78541179</v>
      </c>
      <c r="DL78" s="13">
        <v>1.3837726053999999</v>
      </c>
      <c r="DM78" s="79">
        <v>89.230606124000005</v>
      </c>
      <c r="DN78" s="13">
        <v>1.0622103829</v>
      </c>
      <c r="DO78" s="79">
        <v>69.99566686</v>
      </c>
      <c r="DP78" s="13">
        <v>0.82554434440000002</v>
      </c>
      <c r="DQ78" s="79">
        <v>55.496487864999999</v>
      </c>
      <c r="DR78" s="13">
        <v>0.64954327519999999</v>
      </c>
      <c r="DS78" s="79">
        <v>44.528989729000003</v>
      </c>
      <c r="DT78" s="13">
        <v>0.51740751380000005</v>
      </c>
      <c r="DU78" s="79">
        <v>36.157799159</v>
      </c>
      <c r="DV78" s="13">
        <v>0.4170338428</v>
      </c>
      <c r="DW78" s="79">
        <v>29.702589335999999</v>
      </c>
      <c r="DX78" s="13">
        <v>0.33948579769999998</v>
      </c>
      <c r="DY78" s="79">
        <v>24.650787658999999</v>
      </c>
      <c r="DZ78" s="15">
        <v>0.27888757069999998</v>
      </c>
    </row>
    <row r="79" spans="1:130" x14ac:dyDescent="0.2">
      <c r="A79" s="8">
        <v>45000</v>
      </c>
      <c r="B79" s="82">
        <v>2831</v>
      </c>
      <c r="C79" s="83">
        <v>3447.6018302000002</v>
      </c>
      <c r="D79" s="93">
        <v>42398.839193</v>
      </c>
      <c r="E79" s="93">
        <v>359.63687869</v>
      </c>
      <c r="F79" s="94">
        <v>0.1825623083</v>
      </c>
      <c r="G79" s="83">
        <v>343.62289143999999</v>
      </c>
      <c r="H79" s="94">
        <v>4.1700395000000001E-2</v>
      </c>
      <c r="I79" s="93">
        <v>338.97389723999999</v>
      </c>
      <c r="J79" s="94">
        <v>3.1610668537</v>
      </c>
      <c r="K79" s="93">
        <v>808.07566495000003</v>
      </c>
      <c r="L79" s="94">
        <v>4.1993089634</v>
      </c>
      <c r="M79" s="93">
        <v>8.9035371155000007</v>
      </c>
      <c r="N79" s="94">
        <v>2.6619597799999999E-2</v>
      </c>
      <c r="O79" s="37" t="s">
        <v>76</v>
      </c>
      <c r="P79" s="13">
        <v>0</v>
      </c>
      <c r="Q79" s="93">
        <v>177.44486531000001</v>
      </c>
      <c r="R79" s="94">
        <v>0.34209224220000001</v>
      </c>
      <c r="S79" s="37" t="s">
        <v>76</v>
      </c>
      <c r="T79" s="13">
        <v>0</v>
      </c>
      <c r="U79" s="37" t="s">
        <v>76</v>
      </c>
      <c r="V79" s="13">
        <v>0</v>
      </c>
      <c r="W79" s="93">
        <v>2.0263475943999998</v>
      </c>
      <c r="X79" s="94">
        <v>7.0003573999999997E-3</v>
      </c>
      <c r="Y79" s="93">
        <v>22.840473947</v>
      </c>
      <c r="Z79" s="94">
        <v>4.9128085E-3</v>
      </c>
      <c r="AA79" s="37" t="s">
        <v>76</v>
      </c>
      <c r="AB79" s="13">
        <v>0</v>
      </c>
      <c r="AC79" s="93">
        <v>2.7898763999999999E-3</v>
      </c>
      <c r="AD79" s="94">
        <v>1.0148300000000001E-5</v>
      </c>
      <c r="AE79" s="37" t="s">
        <v>76</v>
      </c>
      <c r="AF79" s="13">
        <v>0</v>
      </c>
      <c r="AG79" s="37" t="s">
        <v>76</v>
      </c>
      <c r="AH79" s="13">
        <v>0</v>
      </c>
      <c r="AI79" s="93">
        <v>2.7898763999999999E-3</v>
      </c>
      <c r="AJ79" s="94">
        <v>1.0148300000000001E-5</v>
      </c>
      <c r="AK79" s="93">
        <v>368.72223013000001</v>
      </c>
      <c r="AL79" s="94">
        <v>1.9803284270999999</v>
      </c>
      <c r="AM79" s="37" t="s">
        <v>76</v>
      </c>
      <c r="AN79" s="13">
        <v>0</v>
      </c>
      <c r="AO79" s="37" t="s">
        <v>76</v>
      </c>
      <c r="AP79" s="13">
        <v>0</v>
      </c>
      <c r="AQ79" s="37" t="s">
        <v>76</v>
      </c>
      <c r="AR79" s="13">
        <v>0</v>
      </c>
      <c r="AS79" s="93">
        <v>98.344924402000004</v>
      </c>
      <c r="AT79" s="94">
        <v>0.89426437599999997</v>
      </c>
      <c r="AU79" s="93">
        <v>73.754000883000003</v>
      </c>
      <c r="AV79" s="94">
        <v>0.37047094200000003</v>
      </c>
      <c r="AW79" s="93">
        <v>52.389651354999998</v>
      </c>
      <c r="AX79" s="94">
        <v>0.19921061870000001</v>
      </c>
      <c r="AY79" s="93">
        <v>10.575265782000001</v>
      </c>
      <c r="AZ79" s="94">
        <v>4.8492881299999999E-2</v>
      </c>
      <c r="BA79" s="79">
        <v>10.789083744999999</v>
      </c>
      <c r="BB79" s="13">
        <v>0.1227674421</v>
      </c>
      <c r="BC79" s="93">
        <v>0</v>
      </c>
      <c r="BD79" s="86">
        <v>0</v>
      </c>
      <c r="BE79" s="93">
        <v>288.62414901</v>
      </c>
      <c r="BF79" s="94">
        <v>0.43677673750000001</v>
      </c>
      <c r="BG79" s="94">
        <v>0.11464675420000001</v>
      </c>
      <c r="BH79" s="86">
        <v>0</v>
      </c>
      <c r="BI79" s="93">
        <v>6.1756652088999999</v>
      </c>
      <c r="BJ79" s="94">
        <v>1.7567739700000001E-2</v>
      </c>
      <c r="BK79" s="93">
        <v>0.23018414300000001</v>
      </c>
      <c r="BL79" s="94">
        <v>7.4557249999999996E-4</v>
      </c>
      <c r="BM79" s="7" t="s">
        <v>76</v>
      </c>
      <c r="BN79" s="13">
        <v>0</v>
      </c>
      <c r="BO79" s="7" t="s">
        <v>76</v>
      </c>
      <c r="BP79" s="13">
        <v>0</v>
      </c>
      <c r="BQ79" s="93">
        <v>168.925173</v>
      </c>
      <c r="BR79" s="94">
        <v>0.32770053970000002</v>
      </c>
      <c r="BS79" s="93">
        <v>1.4337785265</v>
      </c>
      <c r="BT79" s="94">
        <v>5.8679159999999999E-3</v>
      </c>
      <c r="BU79" s="7" t="s">
        <v>76</v>
      </c>
      <c r="BV79" s="13">
        <v>0</v>
      </c>
      <c r="BW79" s="7" t="s">
        <v>76</v>
      </c>
      <c r="BX79" s="13">
        <v>0</v>
      </c>
      <c r="BY79" s="7" t="s">
        <v>76</v>
      </c>
      <c r="BZ79" s="13">
        <v>0</v>
      </c>
      <c r="CA79" s="7" t="s">
        <v>76</v>
      </c>
      <c r="CB79" s="13">
        <v>0</v>
      </c>
      <c r="CC79" s="93">
        <v>1.807570227</v>
      </c>
      <c r="CD79" s="94">
        <v>5.9097063000000003E-3</v>
      </c>
      <c r="CE79" s="93">
        <v>3.7238776999999998E-3</v>
      </c>
      <c r="CF79" s="94">
        <v>4.45568E-5</v>
      </c>
      <c r="CG79" s="93">
        <v>20.298406634999999</v>
      </c>
      <c r="CH79" s="94">
        <v>6.4790661799999996E-2</v>
      </c>
      <c r="CI79" s="93">
        <v>3.43828417E-2</v>
      </c>
      <c r="CJ79" s="94">
        <v>1.9367629999999999E-4</v>
      </c>
      <c r="CK79" s="6" t="s">
        <v>76</v>
      </c>
      <c r="CL79" s="13">
        <v>0</v>
      </c>
      <c r="CM79" s="7" t="s">
        <v>76</v>
      </c>
      <c r="CN79" s="15">
        <v>0</v>
      </c>
      <c r="CO79" s="93">
        <v>79.845609831000004</v>
      </c>
      <c r="CP79" s="94">
        <v>0.31680381839999999</v>
      </c>
      <c r="CQ79" s="93">
        <v>0.15407216500000001</v>
      </c>
      <c r="CR79" s="94">
        <v>1.1882781999999999E-3</v>
      </c>
      <c r="CS79" s="93">
        <v>131.27537755</v>
      </c>
      <c r="CT79" s="94">
        <v>0.2159060746</v>
      </c>
      <c r="CU79" s="93">
        <v>0.42674935489999999</v>
      </c>
      <c r="CV79" s="88">
        <v>3.0517285999999999E-3</v>
      </c>
      <c r="CW79" s="188">
        <v>3.5731285500000001E-2</v>
      </c>
      <c r="CX79" s="189">
        <v>5.8910907999999998E-2</v>
      </c>
      <c r="CY79" s="189">
        <v>7.1864641800000004E-2</v>
      </c>
      <c r="CZ79" s="189">
        <v>7.9739149499999995E-2</v>
      </c>
      <c r="DA79" s="189">
        <v>8.4573568599999996E-2</v>
      </c>
      <c r="DB79" s="189">
        <v>8.8395203199999994E-2</v>
      </c>
      <c r="DC79" s="189">
        <v>9.0923019800000004E-2</v>
      </c>
      <c r="DD79" s="189">
        <v>9.3081054600000004E-2</v>
      </c>
      <c r="DE79" s="189">
        <v>9.4662303099999998E-2</v>
      </c>
      <c r="DF79" s="190">
        <v>9.6004600100000004E-2</v>
      </c>
      <c r="DG79" s="112">
        <v>193.79632179000001</v>
      </c>
      <c r="DH79" s="13">
        <v>2.4110127588000001</v>
      </c>
      <c r="DI79" s="79">
        <v>150.46142626</v>
      </c>
      <c r="DJ79" s="13">
        <v>1.8293027213999999</v>
      </c>
      <c r="DK79" s="79">
        <v>116.68038445000001</v>
      </c>
      <c r="DL79" s="13">
        <v>1.3936501486999999</v>
      </c>
      <c r="DM79" s="79">
        <v>90.931468140000007</v>
      </c>
      <c r="DN79" s="13">
        <v>1.0713078578999999</v>
      </c>
      <c r="DO79" s="79">
        <v>71.523222766999993</v>
      </c>
      <c r="DP79" s="13">
        <v>0.83384713669999999</v>
      </c>
      <c r="DQ79" s="79">
        <v>56.868888677000001</v>
      </c>
      <c r="DR79" s="13">
        <v>0.65706885540000004</v>
      </c>
      <c r="DS79" s="79">
        <v>45.760166767999998</v>
      </c>
      <c r="DT79" s="13">
        <v>0.52420618699999999</v>
      </c>
      <c r="DU79" s="79">
        <v>37.25724495</v>
      </c>
      <c r="DV79" s="13">
        <v>0.4231422292</v>
      </c>
      <c r="DW79" s="79">
        <v>30.683509058999999</v>
      </c>
      <c r="DX79" s="13">
        <v>0.34495944610000001</v>
      </c>
      <c r="DY79" s="79">
        <v>25.523369016</v>
      </c>
      <c r="DZ79" s="15">
        <v>0.283793358</v>
      </c>
    </row>
    <row r="80" spans="1:130" x14ac:dyDescent="0.2">
      <c r="A80" s="8">
        <v>50000</v>
      </c>
      <c r="B80" s="82">
        <v>2176</v>
      </c>
      <c r="C80" s="83">
        <v>3509.2904078000001</v>
      </c>
      <c r="D80" s="93">
        <v>47402.522525</v>
      </c>
      <c r="E80" s="93">
        <v>371.98697906000001</v>
      </c>
      <c r="F80" s="94">
        <v>0.18464657879999999</v>
      </c>
      <c r="G80" s="83">
        <v>374.56117165000001</v>
      </c>
      <c r="H80" s="94">
        <v>4.3380144900000001E-2</v>
      </c>
      <c r="I80" s="93">
        <v>342.76550221999997</v>
      </c>
      <c r="J80" s="94">
        <v>3.1713913238</v>
      </c>
      <c r="K80" s="93">
        <v>820.02751006999995</v>
      </c>
      <c r="L80" s="94">
        <v>4.2202061741000003</v>
      </c>
      <c r="M80" s="93">
        <v>9.2816467584000009</v>
      </c>
      <c r="N80" s="94">
        <v>2.6955438700000001E-2</v>
      </c>
      <c r="O80" s="37" t="s">
        <v>76</v>
      </c>
      <c r="P80" s="13">
        <v>0</v>
      </c>
      <c r="Q80" s="93">
        <v>180.88993316</v>
      </c>
      <c r="R80" s="94">
        <v>0.34455650970000001</v>
      </c>
      <c r="S80" s="37" t="s">
        <v>76</v>
      </c>
      <c r="T80" s="13">
        <v>0</v>
      </c>
      <c r="U80" s="37" t="s">
        <v>76</v>
      </c>
      <c r="V80" s="13">
        <v>0</v>
      </c>
      <c r="W80" s="93">
        <v>2.0689456752000002</v>
      </c>
      <c r="X80" s="94">
        <v>7.0680185999999999E-3</v>
      </c>
      <c r="Y80" s="93">
        <v>23.665093774999999</v>
      </c>
      <c r="Z80" s="94">
        <v>5.0495032000000004E-3</v>
      </c>
      <c r="AA80" s="37" t="s">
        <v>76</v>
      </c>
      <c r="AB80" s="13">
        <v>0</v>
      </c>
      <c r="AC80" s="93">
        <v>2.7847447999999999E-3</v>
      </c>
      <c r="AD80" s="94">
        <v>1.0128900000000001E-5</v>
      </c>
      <c r="AE80" s="37" t="s">
        <v>76</v>
      </c>
      <c r="AF80" s="13">
        <v>0</v>
      </c>
      <c r="AG80" s="37" t="s">
        <v>76</v>
      </c>
      <c r="AH80" s="13">
        <v>0</v>
      </c>
      <c r="AI80" s="93">
        <v>2.7847447999999999E-3</v>
      </c>
      <c r="AJ80" s="94">
        <v>1.0128900000000001E-5</v>
      </c>
      <c r="AK80" s="93">
        <v>370.35733450999999</v>
      </c>
      <c r="AL80" s="94">
        <v>1.9854251410999999</v>
      </c>
      <c r="AM80" s="37" t="s">
        <v>76</v>
      </c>
      <c r="AN80" s="13">
        <v>0</v>
      </c>
      <c r="AO80" s="37" t="s">
        <v>76</v>
      </c>
      <c r="AP80" s="13">
        <v>0</v>
      </c>
      <c r="AQ80" s="37" t="s">
        <v>76</v>
      </c>
      <c r="AR80" s="13">
        <v>0</v>
      </c>
      <c r="AS80" s="93">
        <v>100.16920419</v>
      </c>
      <c r="AT80" s="94">
        <v>0.89936471630000003</v>
      </c>
      <c r="AU80" s="93">
        <v>74.686622435000004</v>
      </c>
      <c r="AV80" s="94">
        <v>0.37371056580000001</v>
      </c>
      <c r="AW80" s="93">
        <v>53.052690372999997</v>
      </c>
      <c r="AX80" s="94">
        <v>0.2007736007</v>
      </c>
      <c r="AY80" s="93">
        <v>10.650362341999999</v>
      </c>
      <c r="AZ80" s="94">
        <v>4.8726047100000003E-2</v>
      </c>
      <c r="BA80" s="79">
        <v>10.98356972</v>
      </c>
      <c r="BB80" s="13">
        <v>0.124210918</v>
      </c>
      <c r="BC80" s="93">
        <v>0</v>
      </c>
      <c r="BD80" s="86">
        <v>0</v>
      </c>
      <c r="BE80" s="93">
        <v>299.00210813000001</v>
      </c>
      <c r="BF80" s="94">
        <v>0.44562058840000002</v>
      </c>
      <c r="BG80" s="94">
        <v>0.1244004323</v>
      </c>
      <c r="BH80" s="86">
        <v>0</v>
      </c>
      <c r="BI80" s="93">
        <v>6.4275002133000001</v>
      </c>
      <c r="BJ80" s="94">
        <v>1.8024206300000001E-2</v>
      </c>
      <c r="BK80" s="93">
        <v>0.23086107350000001</v>
      </c>
      <c r="BL80" s="94">
        <v>7.5224060000000004E-4</v>
      </c>
      <c r="BM80" s="7" t="s">
        <v>76</v>
      </c>
      <c r="BN80" s="13">
        <v>0</v>
      </c>
      <c r="BO80" s="7" t="s">
        <v>76</v>
      </c>
      <c r="BP80" s="13">
        <v>0</v>
      </c>
      <c r="BQ80" s="93">
        <v>172.17275194000001</v>
      </c>
      <c r="BR80" s="94">
        <v>0.3304109039</v>
      </c>
      <c r="BS80" s="93">
        <v>1.4623205826000001</v>
      </c>
      <c r="BT80" s="94">
        <v>5.9691159000000004E-3</v>
      </c>
      <c r="BU80" s="7" t="s">
        <v>76</v>
      </c>
      <c r="BV80" s="13">
        <v>0</v>
      </c>
      <c r="BW80" s="7" t="s">
        <v>76</v>
      </c>
      <c r="BX80" s="13">
        <v>0</v>
      </c>
      <c r="BY80" s="7" t="s">
        <v>76</v>
      </c>
      <c r="BZ80" s="13">
        <v>0</v>
      </c>
      <c r="CA80" s="7" t="s">
        <v>76</v>
      </c>
      <c r="CB80" s="13">
        <v>0</v>
      </c>
      <c r="CC80" s="93">
        <v>1.850330971</v>
      </c>
      <c r="CD80" s="94">
        <v>5.9949636000000001E-3</v>
      </c>
      <c r="CE80" s="93">
        <v>3.7169976999999999E-3</v>
      </c>
      <c r="CF80" s="94">
        <v>4.4471400000000003E-5</v>
      </c>
      <c r="CG80" s="93">
        <v>20.974485749999999</v>
      </c>
      <c r="CH80" s="94">
        <v>6.6293268299999999E-2</v>
      </c>
      <c r="CI80" s="93">
        <v>3.5025107899999998E-2</v>
      </c>
      <c r="CJ80" s="94">
        <v>1.9789260000000001E-4</v>
      </c>
      <c r="CK80" s="6" t="s">
        <v>76</v>
      </c>
      <c r="CL80" s="13">
        <v>0</v>
      </c>
      <c r="CM80" s="7" t="s">
        <v>76</v>
      </c>
      <c r="CN80" s="15">
        <v>0</v>
      </c>
      <c r="CO80" s="93">
        <v>81.236154096999996</v>
      </c>
      <c r="CP80" s="94">
        <v>0.32009738199999999</v>
      </c>
      <c r="CQ80" s="93">
        <v>0.1554283719</v>
      </c>
      <c r="CR80" s="94">
        <v>1.2040757E-3</v>
      </c>
      <c r="CS80" s="93">
        <v>134.98825737999999</v>
      </c>
      <c r="CT80" s="94">
        <v>0.21976385530000001</v>
      </c>
      <c r="CU80" s="93">
        <v>0.4357618868</v>
      </c>
      <c r="CV80" s="88">
        <v>3.1116988999999999E-3</v>
      </c>
      <c r="CW80" s="188">
        <v>3.6855783699999999E-2</v>
      </c>
      <c r="CX80" s="189">
        <v>6.0973296000000003E-2</v>
      </c>
      <c r="CY80" s="189">
        <v>7.4687103199999993E-2</v>
      </c>
      <c r="CZ80" s="189">
        <v>8.3138758399999999E-2</v>
      </c>
      <c r="DA80" s="189">
        <v>8.8407840799999998E-2</v>
      </c>
      <c r="DB80" s="189">
        <v>9.2594508399999997E-2</v>
      </c>
      <c r="DC80" s="189">
        <v>9.5398589500000006E-2</v>
      </c>
      <c r="DD80" s="189">
        <v>9.7791970000000006E-2</v>
      </c>
      <c r="DE80" s="189">
        <v>9.9567368399999995E-2</v>
      </c>
      <c r="DF80" s="190">
        <v>0.101066077</v>
      </c>
      <c r="DG80" s="112">
        <v>196.29877463</v>
      </c>
      <c r="DH80" s="13">
        <v>2.4210343689</v>
      </c>
      <c r="DI80" s="79">
        <v>152.74047820000001</v>
      </c>
      <c r="DJ80" s="13">
        <v>1.8388514024</v>
      </c>
      <c r="DK80" s="79">
        <v>118.76090311999999</v>
      </c>
      <c r="DL80" s="13">
        <v>1.4026129710999999</v>
      </c>
      <c r="DM80" s="79">
        <v>92.827213239000002</v>
      </c>
      <c r="DN80" s="13">
        <v>1.0796441285</v>
      </c>
      <c r="DO80" s="79">
        <v>73.249963488999995</v>
      </c>
      <c r="DP80" s="13">
        <v>0.84153834839999997</v>
      </c>
      <c r="DQ80" s="79">
        <v>58.440699129000002</v>
      </c>
      <c r="DR80" s="13">
        <v>0.66413653510000004</v>
      </c>
      <c r="DS80" s="79">
        <v>47.189084539</v>
      </c>
      <c r="DT80" s="13">
        <v>0.53069539610000005</v>
      </c>
      <c r="DU80" s="79">
        <v>38.552889981</v>
      </c>
      <c r="DV80" s="13">
        <v>0.42909813800000002</v>
      </c>
      <c r="DW80" s="79">
        <v>31.858704100000001</v>
      </c>
      <c r="DX80" s="13">
        <v>0.35043094419999998</v>
      </c>
      <c r="DY80" s="79">
        <v>26.588441201999998</v>
      </c>
      <c r="DZ80" s="15">
        <v>0.28882538880000003</v>
      </c>
    </row>
    <row r="81" spans="1:130" x14ac:dyDescent="0.2">
      <c r="A81" s="8">
        <v>100000</v>
      </c>
      <c r="B81" s="82">
        <v>8890</v>
      </c>
      <c r="C81" s="83">
        <v>3857.7875598000001</v>
      </c>
      <c r="D81" s="93">
        <v>68495.735427000007</v>
      </c>
      <c r="E81" s="93">
        <v>437.07070607999998</v>
      </c>
      <c r="F81" s="94">
        <v>0.1951720884</v>
      </c>
      <c r="G81" s="83">
        <v>586.14612067999997</v>
      </c>
      <c r="H81" s="94">
        <v>5.1031759699999998E-2</v>
      </c>
      <c r="I81" s="93">
        <v>359.32296061</v>
      </c>
      <c r="J81" s="94">
        <v>3.2153385591000001</v>
      </c>
      <c r="K81" s="93">
        <v>890.42329690999998</v>
      </c>
      <c r="L81" s="94">
        <v>4.3239409754000002</v>
      </c>
      <c r="M81" s="93">
        <v>11.083928726</v>
      </c>
      <c r="N81" s="94">
        <v>2.8789566199999998E-2</v>
      </c>
      <c r="O81" s="37" t="s">
        <v>76</v>
      </c>
      <c r="P81" s="13">
        <v>0</v>
      </c>
      <c r="Q81" s="93">
        <v>197.31509313000001</v>
      </c>
      <c r="R81" s="94">
        <v>0.3552605579</v>
      </c>
      <c r="S81" s="37" t="s">
        <v>76</v>
      </c>
      <c r="T81" s="13">
        <v>0</v>
      </c>
      <c r="U81" s="37" t="s">
        <v>76</v>
      </c>
      <c r="V81" s="13">
        <v>0</v>
      </c>
      <c r="W81" s="93">
        <v>2.5787202308000001</v>
      </c>
      <c r="X81" s="94">
        <v>7.8342394999999995E-3</v>
      </c>
      <c r="Y81" s="93">
        <v>27.576687576000001</v>
      </c>
      <c r="Z81" s="94">
        <v>5.9430815999999996E-3</v>
      </c>
      <c r="AA81" s="37" t="s">
        <v>76</v>
      </c>
      <c r="AB81" s="13">
        <v>0</v>
      </c>
      <c r="AC81" s="93">
        <v>2.7626051E-3</v>
      </c>
      <c r="AD81" s="94">
        <v>1.00451E-5</v>
      </c>
      <c r="AE81" s="37" t="s">
        <v>76</v>
      </c>
      <c r="AF81" s="13">
        <v>0</v>
      </c>
      <c r="AG81" s="37" t="s">
        <v>76</v>
      </c>
      <c r="AH81" s="13">
        <v>0</v>
      </c>
      <c r="AI81" s="93">
        <v>2.7626051E-3</v>
      </c>
      <c r="AJ81" s="94">
        <v>1.00451E-5</v>
      </c>
      <c r="AK81" s="93">
        <v>379.27332564</v>
      </c>
      <c r="AL81" s="94">
        <v>2.0081029983000001</v>
      </c>
      <c r="AM81" s="37" t="s">
        <v>76</v>
      </c>
      <c r="AN81" s="13">
        <v>0</v>
      </c>
      <c r="AO81" s="37" t="s">
        <v>76</v>
      </c>
      <c r="AP81" s="13">
        <v>0</v>
      </c>
      <c r="AQ81" s="37" t="s">
        <v>76</v>
      </c>
      <c r="AR81" s="13">
        <v>0</v>
      </c>
      <c r="AS81" s="93">
        <v>109.37915146</v>
      </c>
      <c r="AT81" s="94">
        <v>0.92223849769999999</v>
      </c>
      <c r="AU81" s="93">
        <v>79.133693789000006</v>
      </c>
      <c r="AV81" s="94">
        <v>0.38912117359999998</v>
      </c>
      <c r="AW81" s="93">
        <v>56.013942503000003</v>
      </c>
      <c r="AX81" s="94">
        <v>0.20761749309999999</v>
      </c>
      <c r="AY81" s="93">
        <v>10.986287175999999</v>
      </c>
      <c r="AZ81" s="94">
        <v>4.9756878599999999E-2</v>
      </c>
      <c r="BA81" s="79">
        <v>12.133464111</v>
      </c>
      <c r="BB81" s="13">
        <v>0.13174680189999999</v>
      </c>
      <c r="BC81" s="93">
        <v>0</v>
      </c>
      <c r="BD81" s="86">
        <v>0</v>
      </c>
      <c r="BE81" s="93">
        <v>363.75516504000001</v>
      </c>
      <c r="BF81" s="94">
        <v>0.4974676925</v>
      </c>
      <c r="BG81" s="94">
        <v>0.1735580719</v>
      </c>
      <c r="BH81" s="86">
        <v>0</v>
      </c>
      <c r="BI81" s="93">
        <v>7.8434773517999998</v>
      </c>
      <c r="BJ81" s="94">
        <v>2.0135525000000001E-2</v>
      </c>
      <c r="BK81" s="93">
        <v>0.2527228265</v>
      </c>
      <c r="BL81" s="94">
        <v>8.3122019999999999E-4</v>
      </c>
      <c r="BM81" s="7" t="s">
        <v>76</v>
      </c>
      <c r="BN81" s="13">
        <v>0</v>
      </c>
      <c r="BO81" s="7" t="s">
        <v>76</v>
      </c>
      <c r="BP81" s="13">
        <v>0</v>
      </c>
      <c r="BQ81" s="93">
        <v>187.52912205999999</v>
      </c>
      <c r="BR81" s="94">
        <v>0.34238385830000001</v>
      </c>
      <c r="BS81" s="93">
        <v>1.6269610162000001</v>
      </c>
      <c r="BT81" s="94">
        <v>6.4376994E-3</v>
      </c>
      <c r="BU81" s="7" t="s">
        <v>76</v>
      </c>
      <c r="BV81" s="13">
        <v>0</v>
      </c>
      <c r="BW81" s="7" t="s">
        <v>76</v>
      </c>
      <c r="BX81" s="13">
        <v>0</v>
      </c>
      <c r="BY81" s="7" t="s">
        <v>76</v>
      </c>
      <c r="BZ81" s="13">
        <v>0</v>
      </c>
      <c r="CA81" s="7" t="s">
        <v>76</v>
      </c>
      <c r="CB81" s="13">
        <v>0</v>
      </c>
      <c r="CC81" s="93">
        <v>2.2465963668</v>
      </c>
      <c r="CD81" s="94">
        <v>6.5140093E-3</v>
      </c>
      <c r="CE81" s="93">
        <v>4.2429725E-3</v>
      </c>
      <c r="CF81" s="94">
        <v>4.8162199999999998E-5</v>
      </c>
      <c r="CG81" s="93">
        <v>23.707273877999999</v>
      </c>
      <c r="CH81" s="94">
        <v>7.2908435399999999E-2</v>
      </c>
      <c r="CI81" s="93">
        <v>4.3993306500000003E-2</v>
      </c>
      <c r="CJ81" s="94">
        <v>2.5322220000000001E-4</v>
      </c>
      <c r="CK81" s="6" t="s">
        <v>76</v>
      </c>
      <c r="CL81" s="13">
        <v>0</v>
      </c>
      <c r="CM81" s="7" t="s">
        <v>76</v>
      </c>
      <c r="CN81" s="15">
        <v>0</v>
      </c>
      <c r="CO81" s="93">
        <v>88.197650496999998</v>
      </c>
      <c r="CP81" s="94">
        <v>0.33467797319999998</v>
      </c>
      <c r="CQ81" s="93">
        <v>0.16112500530000001</v>
      </c>
      <c r="CR81" s="94">
        <v>1.2887479999999999E-3</v>
      </c>
      <c r="CS81" s="93">
        <v>158.21523245</v>
      </c>
      <c r="CT81" s="94">
        <v>0.24413799629999999</v>
      </c>
      <c r="CU81" s="93">
        <v>0.55464265030000004</v>
      </c>
      <c r="CV81" s="88">
        <v>3.4421335000000002E-3</v>
      </c>
      <c r="CW81" s="188">
        <v>4.1898004799999999E-2</v>
      </c>
      <c r="CX81" s="189">
        <v>7.0476038399999996E-2</v>
      </c>
      <c r="CY81" s="189">
        <v>8.7964633900000005E-2</v>
      </c>
      <c r="CZ81" s="189">
        <v>9.9641969100000005E-2</v>
      </c>
      <c r="DA81" s="189">
        <v>0.1075926109</v>
      </c>
      <c r="DB81" s="189">
        <v>0.11412922490000001</v>
      </c>
      <c r="DC81" s="189">
        <v>0.11891134439999999</v>
      </c>
      <c r="DD81" s="189">
        <v>0.12307342340000001</v>
      </c>
      <c r="DE81" s="189">
        <v>0.12639185219999999</v>
      </c>
      <c r="DF81" s="190">
        <v>0.1292600629</v>
      </c>
      <c r="DG81" s="112">
        <v>207.12281338</v>
      </c>
      <c r="DH81" s="13">
        <v>2.4638292057000002</v>
      </c>
      <c r="DI81" s="79">
        <v>162.59469468</v>
      </c>
      <c r="DJ81" s="13">
        <v>1.8798729514999999</v>
      </c>
      <c r="DK81" s="79">
        <v>127.8157719</v>
      </c>
      <c r="DL81" s="13">
        <v>1.4414711520000001</v>
      </c>
      <c r="DM81" s="79">
        <v>101.15446794</v>
      </c>
      <c r="DN81" s="13">
        <v>1.1160943731999999</v>
      </c>
      <c r="DO81" s="79">
        <v>80.905785187000006</v>
      </c>
      <c r="DP81" s="13">
        <v>0.875478121</v>
      </c>
      <c r="DQ81" s="79">
        <v>65.478654016999997</v>
      </c>
      <c r="DR81" s="13">
        <v>0.69556317869999995</v>
      </c>
      <c r="DS81" s="79">
        <v>53.664149291999998</v>
      </c>
      <c r="DT81" s="13">
        <v>0.55972045829999995</v>
      </c>
      <c r="DU81" s="79">
        <v>44.520537775999998</v>
      </c>
      <c r="DV81" s="13">
        <v>0.45588187499999999</v>
      </c>
      <c r="DW81" s="79">
        <v>37.364376819</v>
      </c>
      <c r="DX81" s="13">
        <v>0.37513178180000001</v>
      </c>
      <c r="DY81" s="79">
        <v>31.675481446999999</v>
      </c>
      <c r="DZ81" s="15">
        <v>0.31162497750000001</v>
      </c>
    </row>
    <row r="82" spans="1:130" x14ac:dyDescent="0.2">
      <c r="A82" s="8">
        <v>200000</v>
      </c>
      <c r="B82" s="82">
        <v>3710</v>
      </c>
      <c r="C82" s="83">
        <v>4102.2314034999999</v>
      </c>
      <c r="D82" s="93">
        <v>137714.76123999999</v>
      </c>
      <c r="E82" s="93">
        <v>478.54001068000002</v>
      </c>
      <c r="F82" s="94">
        <v>0.20128862480000001</v>
      </c>
      <c r="G82" s="83">
        <v>780.30748538</v>
      </c>
      <c r="H82" s="94">
        <v>5.5320674299999997E-2</v>
      </c>
      <c r="I82" s="93">
        <v>372.52340658999998</v>
      </c>
      <c r="J82" s="94">
        <v>3.2377432309</v>
      </c>
      <c r="K82" s="93">
        <v>951.13044304000005</v>
      </c>
      <c r="L82" s="94">
        <v>4.3848284608999997</v>
      </c>
      <c r="M82" s="93">
        <v>11.669119760999999</v>
      </c>
      <c r="N82" s="94">
        <v>2.93011813E-2</v>
      </c>
      <c r="O82" s="37" t="s">
        <v>76</v>
      </c>
      <c r="P82" s="13">
        <v>0</v>
      </c>
      <c r="Q82" s="93">
        <v>209.60507147000001</v>
      </c>
      <c r="R82" s="94">
        <v>0.36143455060000002</v>
      </c>
      <c r="S82" s="37" t="s">
        <v>76</v>
      </c>
      <c r="T82" s="13">
        <v>0</v>
      </c>
      <c r="U82" s="37" t="s">
        <v>76</v>
      </c>
      <c r="V82" s="13">
        <v>0</v>
      </c>
      <c r="W82" s="93">
        <v>2.8818555716000001</v>
      </c>
      <c r="X82" s="94">
        <v>8.1645073000000002E-3</v>
      </c>
      <c r="Y82" s="93">
        <v>29.882411149999999</v>
      </c>
      <c r="Z82" s="94">
        <v>6.4264138E-3</v>
      </c>
      <c r="AA82" s="37" t="s">
        <v>76</v>
      </c>
      <c r="AB82" s="13">
        <v>0</v>
      </c>
      <c r="AC82" s="93">
        <v>3.2491806000000002E-3</v>
      </c>
      <c r="AD82" s="94">
        <v>1.12791E-5</v>
      </c>
      <c r="AE82" s="37" t="s">
        <v>76</v>
      </c>
      <c r="AF82" s="13">
        <v>0</v>
      </c>
      <c r="AG82" s="37" t="s">
        <v>76</v>
      </c>
      <c r="AH82" s="13">
        <v>0</v>
      </c>
      <c r="AI82" s="93">
        <v>3.2491806000000002E-3</v>
      </c>
      <c r="AJ82" s="94">
        <v>1.12791E-5</v>
      </c>
      <c r="AK82" s="93">
        <v>386.19863845999998</v>
      </c>
      <c r="AL82" s="94">
        <v>2.0196841753000001</v>
      </c>
      <c r="AM82" s="37" t="s">
        <v>76</v>
      </c>
      <c r="AN82" s="13">
        <v>0</v>
      </c>
      <c r="AO82" s="37" t="s">
        <v>76</v>
      </c>
      <c r="AP82" s="13">
        <v>0</v>
      </c>
      <c r="AQ82" s="37" t="s">
        <v>76</v>
      </c>
      <c r="AR82" s="13">
        <v>0</v>
      </c>
      <c r="AS82" s="93">
        <v>116.86699561</v>
      </c>
      <c r="AT82" s="94">
        <v>0.93707764459999998</v>
      </c>
      <c r="AU82" s="93">
        <v>81.866222364999999</v>
      </c>
      <c r="AV82" s="94">
        <v>0.397051875</v>
      </c>
      <c r="AW82" s="93">
        <v>57.612583379</v>
      </c>
      <c r="AX82" s="94">
        <v>0.2104093366</v>
      </c>
      <c r="AY82" s="93">
        <v>11.138772063999999</v>
      </c>
      <c r="AZ82" s="94">
        <v>5.0098615499999999E-2</v>
      </c>
      <c r="BA82" s="79">
        <v>13.114866922999999</v>
      </c>
      <c r="BB82" s="13">
        <v>0.1365439229</v>
      </c>
      <c r="BC82" s="93">
        <v>0</v>
      </c>
      <c r="BD82" s="86">
        <v>0</v>
      </c>
      <c r="BE82" s="93">
        <v>419.12340094000001</v>
      </c>
      <c r="BF82" s="94">
        <v>0.5353871617</v>
      </c>
      <c r="BG82" s="94">
        <v>0.2183980653</v>
      </c>
      <c r="BH82" s="86">
        <v>0</v>
      </c>
      <c r="BI82" s="93">
        <v>8.1937103417999992</v>
      </c>
      <c r="BJ82" s="94">
        <v>2.0542258000000001E-2</v>
      </c>
      <c r="BK82" s="93">
        <v>0.2712322694</v>
      </c>
      <c r="BL82" s="94">
        <v>8.9031139999999999E-4</v>
      </c>
      <c r="BM82" s="7" t="s">
        <v>76</v>
      </c>
      <c r="BN82" s="13">
        <v>0</v>
      </c>
      <c r="BO82" s="7" t="s">
        <v>76</v>
      </c>
      <c r="BP82" s="13">
        <v>0</v>
      </c>
      <c r="BQ82" s="93">
        <v>199.19239643</v>
      </c>
      <c r="BR82" s="94">
        <v>0.34968673459999999</v>
      </c>
      <c r="BS82" s="93">
        <v>1.6973165446</v>
      </c>
      <c r="BT82" s="94">
        <v>6.7343159000000001E-3</v>
      </c>
      <c r="BU82" s="7" t="s">
        <v>76</v>
      </c>
      <c r="BV82" s="13">
        <v>0</v>
      </c>
      <c r="BW82" s="7" t="s">
        <v>76</v>
      </c>
      <c r="BX82" s="13">
        <v>0</v>
      </c>
      <c r="BY82" s="7" t="s">
        <v>76</v>
      </c>
      <c r="BZ82" s="13">
        <v>0</v>
      </c>
      <c r="CA82" s="7" t="s">
        <v>76</v>
      </c>
      <c r="CB82" s="13">
        <v>0</v>
      </c>
      <c r="CC82" s="93">
        <v>2.5081756226</v>
      </c>
      <c r="CD82" s="94">
        <v>6.9245191999999997E-3</v>
      </c>
      <c r="CE82" s="93">
        <v>4.2306384000000002E-3</v>
      </c>
      <c r="CF82" s="94">
        <v>4.8016000000000002E-5</v>
      </c>
      <c r="CG82" s="93">
        <v>25.428279234000001</v>
      </c>
      <c r="CH82" s="94">
        <v>7.6164495600000007E-2</v>
      </c>
      <c r="CI82" s="93">
        <v>4.5632117600000001E-2</v>
      </c>
      <c r="CJ82" s="94">
        <v>2.6011639999999999E-4</v>
      </c>
      <c r="CK82" s="6" t="s">
        <v>76</v>
      </c>
      <c r="CL82" s="13">
        <v>0</v>
      </c>
      <c r="CM82" s="7" t="s">
        <v>76</v>
      </c>
      <c r="CN82" s="15">
        <v>0</v>
      </c>
      <c r="CO82" s="93">
        <v>93.852480205999996</v>
      </c>
      <c r="CP82" s="94">
        <v>0.34586150180000003</v>
      </c>
      <c r="CQ82" s="93">
        <v>0.1699465486</v>
      </c>
      <c r="CR82" s="94">
        <v>1.3300740999999999E-3</v>
      </c>
      <c r="CS82" s="93">
        <v>179.44090987000001</v>
      </c>
      <c r="CT82" s="94">
        <v>0.26177286360000002</v>
      </c>
      <c r="CU82" s="93">
        <v>0.67783647309999995</v>
      </c>
      <c r="CV82" s="88">
        <v>3.8195106000000001E-3</v>
      </c>
      <c r="CW82" s="188">
        <v>4.4204475799999997E-2</v>
      </c>
      <c r="CX82" s="189">
        <v>7.4962671699999997E-2</v>
      </c>
      <c r="CY82" s="189">
        <v>9.4530189000000001E-2</v>
      </c>
      <c r="CZ82" s="189">
        <v>0.10815496870000001</v>
      </c>
      <c r="DA82" s="189">
        <v>0.1179078033</v>
      </c>
      <c r="DB82" s="189">
        <v>0.12612622849999999</v>
      </c>
      <c r="DC82" s="189">
        <v>0.13245205660000001</v>
      </c>
      <c r="DD82" s="189">
        <v>0.1380602396</v>
      </c>
      <c r="DE82" s="189">
        <v>0.14270000669999999</v>
      </c>
      <c r="DF82" s="190">
        <v>0.1467972941</v>
      </c>
      <c r="DG82" s="112">
        <v>215.85963275</v>
      </c>
      <c r="DH82" s="13">
        <v>2.4857752099999999</v>
      </c>
      <c r="DI82" s="79">
        <v>170.65887472</v>
      </c>
      <c r="DJ82" s="13">
        <v>1.9011129284999999</v>
      </c>
      <c r="DK82" s="79">
        <v>135.2824043</v>
      </c>
      <c r="DL82" s="13">
        <v>1.4617828885999999</v>
      </c>
      <c r="DM82" s="79">
        <v>108.08469456</v>
      </c>
      <c r="DN82" s="13">
        <v>1.1353804499</v>
      </c>
      <c r="DO82" s="79">
        <v>87.344265726000003</v>
      </c>
      <c r="DP82" s="13">
        <v>0.89370974729999997</v>
      </c>
      <c r="DQ82" s="79">
        <v>71.480782579999996</v>
      </c>
      <c r="DR82" s="13">
        <v>0.71272315340000003</v>
      </c>
      <c r="DS82" s="79">
        <v>59.265853532000001</v>
      </c>
      <c r="DT82" s="13">
        <v>0.57585555590000004</v>
      </c>
      <c r="DU82" s="79">
        <v>49.759985458999999</v>
      </c>
      <c r="DV82" s="13">
        <v>0.47104008130000002</v>
      </c>
      <c r="DW82" s="79">
        <v>42.294260932</v>
      </c>
      <c r="DX82" s="13">
        <v>0.38937752409999998</v>
      </c>
      <c r="DY82" s="79">
        <v>36.319023008000002</v>
      </c>
      <c r="DZ82" s="15">
        <v>0.3249886803</v>
      </c>
    </row>
    <row r="83" spans="1:130" x14ac:dyDescent="0.2">
      <c r="A83" s="8">
        <v>300000</v>
      </c>
      <c r="B83" s="82">
        <v>877</v>
      </c>
      <c r="C83" s="83">
        <v>4191.2836311999999</v>
      </c>
      <c r="D83" s="93">
        <v>239278.37955000001</v>
      </c>
      <c r="E83" s="93">
        <v>493.86768117000003</v>
      </c>
      <c r="F83" s="94">
        <v>0.2032076602</v>
      </c>
      <c r="G83" s="83">
        <v>868.31664464999994</v>
      </c>
      <c r="H83" s="94">
        <v>5.6925611700000003E-2</v>
      </c>
      <c r="I83" s="93">
        <v>378.56225497000003</v>
      </c>
      <c r="J83" s="94">
        <v>3.2460604506999999</v>
      </c>
      <c r="K83" s="93">
        <v>974.88916004999999</v>
      </c>
      <c r="L83" s="94">
        <v>4.4057409660999998</v>
      </c>
      <c r="M83" s="93">
        <v>11.775970602999999</v>
      </c>
      <c r="N83" s="94">
        <v>2.9367100300000001E-2</v>
      </c>
      <c r="O83" s="37" t="s">
        <v>76</v>
      </c>
      <c r="P83" s="13">
        <v>0</v>
      </c>
      <c r="Q83" s="93">
        <v>213.55935384</v>
      </c>
      <c r="R83" s="94">
        <v>0.36315874450000002</v>
      </c>
      <c r="S83" s="37" t="s">
        <v>76</v>
      </c>
      <c r="T83" s="13">
        <v>0</v>
      </c>
      <c r="U83" s="37" t="s">
        <v>76</v>
      </c>
      <c r="V83" s="13">
        <v>0</v>
      </c>
      <c r="W83" s="93">
        <v>3.0215726269999998</v>
      </c>
      <c r="X83" s="94">
        <v>8.3560323999999995E-3</v>
      </c>
      <c r="Y83" s="93">
        <v>30.808315337</v>
      </c>
      <c r="Z83" s="94">
        <v>6.6491355000000002E-3</v>
      </c>
      <c r="AA83" s="37" t="s">
        <v>76</v>
      </c>
      <c r="AB83" s="13">
        <v>0</v>
      </c>
      <c r="AC83" s="93">
        <v>3.2464667000000002E-3</v>
      </c>
      <c r="AD83" s="94">
        <v>1.1269300000000001E-5</v>
      </c>
      <c r="AE83" s="37" t="s">
        <v>76</v>
      </c>
      <c r="AF83" s="13">
        <v>0</v>
      </c>
      <c r="AG83" s="37" t="s">
        <v>76</v>
      </c>
      <c r="AH83" s="13">
        <v>0</v>
      </c>
      <c r="AI83" s="93">
        <v>3.2464667000000002E-3</v>
      </c>
      <c r="AJ83" s="94">
        <v>1.1269300000000001E-5</v>
      </c>
      <c r="AK83" s="93">
        <v>389.12959766</v>
      </c>
      <c r="AL83" s="94">
        <v>2.0234142712000001</v>
      </c>
      <c r="AM83" s="37" t="s">
        <v>76</v>
      </c>
      <c r="AN83" s="13">
        <v>0</v>
      </c>
      <c r="AO83" s="37" t="s">
        <v>76</v>
      </c>
      <c r="AP83" s="13">
        <v>0</v>
      </c>
      <c r="AQ83" s="37" t="s">
        <v>76</v>
      </c>
      <c r="AR83" s="13">
        <v>0</v>
      </c>
      <c r="AS83" s="93">
        <v>119.87845802</v>
      </c>
      <c r="AT83" s="94">
        <v>0.94235421050000001</v>
      </c>
      <c r="AU83" s="93">
        <v>82.588452191000002</v>
      </c>
      <c r="AV83" s="94">
        <v>0.39939825960000003</v>
      </c>
      <c r="AW83" s="93">
        <v>57.929134675999997</v>
      </c>
      <c r="AX83" s="94">
        <v>0.2109645681</v>
      </c>
      <c r="AY83" s="93">
        <v>11.17221131</v>
      </c>
      <c r="AZ83" s="94">
        <v>5.0171758800000001E-2</v>
      </c>
      <c r="BA83" s="79">
        <v>13.487106205</v>
      </c>
      <c r="BB83" s="13">
        <v>0.13826193270000001</v>
      </c>
      <c r="BC83" s="93">
        <v>0</v>
      </c>
      <c r="BD83" s="86">
        <v>0</v>
      </c>
      <c r="BE83" s="93">
        <v>445.52651997999999</v>
      </c>
      <c r="BF83" s="94">
        <v>0.55217149990000003</v>
      </c>
      <c r="BG83" s="94">
        <v>0.24513507440000001</v>
      </c>
      <c r="BH83" s="86">
        <v>0</v>
      </c>
      <c r="BI83" s="93">
        <v>8.2535177617999995</v>
      </c>
      <c r="BJ83" s="94">
        <v>2.0600588699999998E-2</v>
      </c>
      <c r="BK83" s="93">
        <v>0.27221503619999998</v>
      </c>
      <c r="BL83" s="94">
        <v>8.9449099999999997E-4</v>
      </c>
      <c r="BM83" s="7" t="s">
        <v>76</v>
      </c>
      <c r="BN83" s="13">
        <v>0</v>
      </c>
      <c r="BO83" s="7" t="s">
        <v>76</v>
      </c>
      <c r="BP83" s="13">
        <v>0</v>
      </c>
      <c r="BQ83" s="93">
        <v>202.89582625</v>
      </c>
      <c r="BR83" s="94">
        <v>0.35179013539999998</v>
      </c>
      <c r="BS83" s="93">
        <v>1.7258009240000001</v>
      </c>
      <c r="BT83" s="94">
        <v>6.8331640000000001E-3</v>
      </c>
      <c r="BU83" s="7" t="s">
        <v>76</v>
      </c>
      <c r="BV83" s="13">
        <v>0</v>
      </c>
      <c r="BW83" s="7" t="s">
        <v>76</v>
      </c>
      <c r="BX83" s="13">
        <v>0</v>
      </c>
      <c r="BY83" s="7" t="s">
        <v>76</v>
      </c>
      <c r="BZ83" s="13">
        <v>0</v>
      </c>
      <c r="CA83" s="7" t="s">
        <v>76</v>
      </c>
      <c r="CB83" s="13">
        <v>0</v>
      </c>
      <c r="CC83" s="93">
        <v>2.5945499627999999</v>
      </c>
      <c r="CD83" s="94">
        <v>7.0429980999999996E-3</v>
      </c>
      <c r="CE83" s="93">
        <v>4.2275851999999999E-3</v>
      </c>
      <c r="CF83" s="94">
        <v>4.7979100000000003E-5</v>
      </c>
      <c r="CG83" s="93">
        <v>25.882318866999999</v>
      </c>
      <c r="CH83" s="94">
        <v>7.6983541899999994E-2</v>
      </c>
      <c r="CI83" s="93">
        <v>4.6639857700000002E-2</v>
      </c>
      <c r="CJ83" s="94">
        <v>2.6874059999999999E-4</v>
      </c>
      <c r="CK83" s="6" t="s">
        <v>76</v>
      </c>
      <c r="CL83" s="13">
        <v>0</v>
      </c>
      <c r="CM83" s="7" t="s">
        <v>76</v>
      </c>
      <c r="CN83" s="15">
        <v>0</v>
      </c>
      <c r="CO83" s="93">
        <v>96.068769850999999</v>
      </c>
      <c r="CP83" s="94">
        <v>0.34965191579999999</v>
      </c>
      <c r="CQ83" s="93">
        <v>0.21618073469999999</v>
      </c>
      <c r="CR83" s="94">
        <v>1.3553854999999999E-3</v>
      </c>
      <c r="CS83" s="93">
        <v>188.35835101000001</v>
      </c>
      <c r="CT83" s="94">
        <v>0.26711423550000002</v>
      </c>
      <c r="CU83" s="93">
        <v>1.1830249151000001</v>
      </c>
      <c r="CV83" s="88">
        <v>4.8439449999999997E-3</v>
      </c>
      <c r="CW83" s="188">
        <v>4.4788255200000002E-2</v>
      </c>
      <c r="CX83" s="189">
        <v>7.61238308E-2</v>
      </c>
      <c r="CY83" s="189">
        <v>9.6262555E-2</v>
      </c>
      <c r="CZ83" s="189">
        <v>0.1104523306</v>
      </c>
      <c r="DA83" s="189">
        <v>0.12075953</v>
      </c>
      <c r="DB83" s="189">
        <v>0.12952008849999999</v>
      </c>
      <c r="DC83" s="189">
        <v>0.13637025929999999</v>
      </c>
      <c r="DD83" s="189">
        <v>0.14248634969999999</v>
      </c>
      <c r="DE83" s="189">
        <v>0.1476259902</v>
      </c>
      <c r="DF83" s="190">
        <v>0.15220659780000001</v>
      </c>
      <c r="DG83" s="112">
        <v>219.91321575000001</v>
      </c>
      <c r="DH83" s="13">
        <v>2.4939960457999999</v>
      </c>
      <c r="DI83" s="79">
        <v>174.47634839</v>
      </c>
      <c r="DJ83" s="13">
        <v>1.9091666405000001</v>
      </c>
      <c r="DK83" s="79">
        <v>138.90101261999999</v>
      </c>
      <c r="DL83" s="13">
        <v>1.4696048858999999</v>
      </c>
      <c r="DM83" s="79">
        <v>111.51568268</v>
      </c>
      <c r="DN83" s="13">
        <v>1.1429292632000001</v>
      </c>
      <c r="DO83" s="79">
        <v>90.617312833</v>
      </c>
      <c r="DP83" s="13">
        <v>0.90096756550000001</v>
      </c>
      <c r="DQ83" s="79">
        <v>74.602578657999999</v>
      </c>
      <c r="DR83" s="13">
        <v>0.71967933309999998</v>
      </c>
      <c r="DS83" s="79">
        <v>62.248634207999999</v>
      </c>
      <c r="DT83" s="13">
        <v>0.58251050439999996</v>
      </c>
      <c r="DU83" s="79">
        <v>52.610168340000001</v>
      </c>
      <c r="DV83" s="13">
        <v>0.47740248680000003</v>
      </c>
      <c r="DW83" s="79">
        <v>45.015824203000001</v>
      </c>
      <c r="DX83" s="13">
        <v>0.39545582379999999</v>
      </c>
      <c r="DY83" s="79">
        <v>38.917161100999998</v>
      </c>
      <c r="DZ83" s="15">
        <v>0.33079379819999999</v>
      </c>
    </row>
    <row r="84" spans="1:130" x14ac:dyDescent="0.2">
      <c r="A84" s="8">
        <v>400000</v>
      </c>
      <c r="B84" s="82">
        <v>347</v>
      </c>
      <c r="C84" s="83">
        <v>4235.1511533000003</v>
      </c>
      <c r="D84" s="93">
        <v>341969.04596999998</v>
      </c>
      <c r="E84" s="93">
        <v>505.03186149999999</v>
      </c>
      <c r="F84" s="94">
        <v>0.20429350600000001</v>
      </c>
      <c r="G84" s="83">
        <v>924.81318852000004</v>
      </c>
      <c r="H84" s="94">
        <v>5.7693113599999998E-2</v>
      </c>
      <c r="I84" s="93">
        <v>380.51986821000003</v>
      </c>
      <c r="J84" s="94">
        <v>3.2496548155</v>
      </c>
      <c r="K84" s="93">
        <v>985.56472758999996</v>
      </c>
      <c r="L84" s="94">
        <v>4.4154338590000002</v>
      </c>
      <c r="M84" s="93">
        <v>12.029049326999999</v>
      </c>
      <c r="N84" s="94">
        <v>2.9624470999999999E-2</v>
      </c>
      <c r="O84" s="37" t="s">
        <v>76</v>
      </c>
      <c r="P84" s="13">
        <v>0</v>
      </c>
      <c r="Q84" s="93">
        <v>215.35883924000001</v>
      </c>
      <c r="R84" s="94">
        <v>0.36384932190000002</v>
      </c>
      <c r="S84" s="37" t="s">
        <v>76</v>
      </c>
      <c r="T84" s="13">
        <v>0</v>
      </c>
      <c r="U84" s="37" t="s">
        <v>76</v>
      </c>
      <c r="V84" s="13">
        <v>0</v>
      </c>
      <c r="W84" s="93">
        <v>3.0554125170000002</v>
      </c>
      <c r="X84" s="94">
        <v>8.3974470000000006E-3</v>
      </c>
      <c r="Y84" s="93">
        <v>31.221083175</v>
      </c>
      <c r="Z84" s="94">
        <v>6.6930339E-3</v>
      </c>
      <c r="AA84" s="37" t="s">
        <v>76</v>
      </c>
      <c r="AB84" s="13">
        <v>0</v>
      </c>
      <c r="AC84" s="93">
        <v>3.2452724000000001E-3</v>
      </c>
      <c r="AD84" s="94">
        <v>1.1264899999999999E-5</v>
      </c>
      <c r="AE84" s="37" t="s">
        <v>76</v>
      </c>
      <c r="AF84" s="13">
        <v>0</v>
      </c>
      <c r="AG84" s="37" t="s">
        <v>76</v>
      </c>
      <c r="AH84" s="13">
        <v>0</v>
      </c>
      <c r="AI84" s="93">
        <v>3.2452724000000001E-3</v>
      </c>
      <c r="AJ84" s="94">
        <v>1.1264899999999999E-5</v>
      </c>
      <c r="AK84" s="93">
        <v>390.26741292000003</v>
      </c>
      <c r="AL84" s="94">
        <v>2.0251354510000001</v>
      </c>
      <c r="AM84" s="37" t="s">
        <v>76</v>
      </c>
      <c r="AN84" s="13">
        <v>0</v>
      </c>
      <c r="AO84" s="37" t="s">
        <v>76</v>
      </c>
      <c r="AP84" s="13">
        <v>0</v>
      </c>
      <c r="AQ84" s="37" t="s">
        <v>76</v>
      </c>
      <c r="AR84" s="13">
        <v>0</v>
      </c>
      <c r="AS84" s="93">
        <v>121.54150522</v>
      </c>
      <c r="AT84" s="94">
        <v>0.94487510200000002</v>
      </c>
      <c r="AU84" s="93">
        <v>83.042073733999999</v>
      </c>
      <c r="AV84" s="94">
        <v>0.40051687409999998</v>
      </c>
      <c r="AW84" s="93">
        <v>58.055440859000001</v>
      </c>
      <c r="AX84" s="94">
        <v>0.21118897819999999</v>
      </c>
      <c r="AY84" s="93">
        <v>11.190563192999999</v>
      </c>
      <c r="AZ84" s="94">
        <v>5.0205577199999997E-2</v>
      </c>
      <c r="BA84" s="79">
        <v>13.796069683000001</v>
      </c>
      <c r="BB84" s="13">
        <v>0.1391223187</v>
      </c>
      <c r="BC84" s="93">
        <v>0</v>
      </c>
      <c r="BD84" s="86">
        <v>0</v>
      </c>
      <c r="BE84" s="93">
        <v>458.10948827999999</v>
      </c>
      <c r="BF84" s="94">
        <v>0.55892447850000004</v>
      </c>
      <c r="BG84" s="94">
        <v>0.27227772439999998</v>
      </c>
      <c r="BH84" s="86">
        <v>0</v>
      </c>
      <c r="BI84" s="93">
        <v>8.4725485136999996</v>
      </c>
      <c r="BJ84" s="94">
        <v>2.08848357E-2</v>
      </c>
      <c r="BK84" s="93">
        <v>0.27223444569999999</v>
      </c>
      <c r="BL84" s="94">
        <v>8.9637980000000005E-4</v>
      </c>
      <c r="BM84" s="7" t="s">
        <v>76</v>
      </c>
      <c r="BN84" s="13">
        <v>0</v>
      </c>
      <c r="BO84" s="7" t="s">
        <v>76</v>
      </c>
      <c r="BP84" s="13">
        <v>0</v>
      </c>
      <c r="BQ84" s="93">
        <v>204.56563391</v>
      </c>
      <c r="BR84" s="94">
        <v>0.35268640369999998</v>
      </c>
      <c r="BS84" s="93">
        <v>1.7350898180000001</v>
      </c>
      <c r="BT84" s="94">
        <v>6.8709213999999996E-3</v>
      </c>
      <c r="BU84" s="7" t="s">
        <v>76</v>
      </c>
      <c r="BV84" s="13">
        <v>0</v>
      </c>
      <c r="BW84" s="7" t="s">
        <v>76</v>
      </c>
      <c r="BX84" s="13">
        <v>0</v>
      </c>
      <c r="BY84" s="7" t="s">
        <v>76</v>
      </c>
      <c r="BZ84" s="13">
        <v>0</v>
      </c>
      <c r="CA84" s="7" t="s">
        <v>76</v>
      </c>
      <c r="CB84" s="13">
        <v>0</v>
      </c>
      <c r="CC84" s="93">
        <v>2.6277059934999998</v>
      </c>
      <c r="CD84" s="94">
        <v>7.0982366999999998E-3</v>
      </c>
      <c r="CE84" s="93">
        <v>4.2264112999999999E-3</v>
      </c>
      <c r="CF84" s="94">
        <v>4.79655E-5</v>
      </c>
      <c r="CG84" s="93">
        <v>26.033287093999999</v>
      </c>
      <c r="CH84" s="94">
        <v>7.7276969400000006E-2</v>
      </c>
      <c r="CI84" s="93">
        <v>4.8418451699999997E-2</v>
      </c>
      <c r="CJ84" s="94">
        <v>2.7544249999999999E-4</v>
      </c>
      <c r="CK84" s="6" t="s">
        <v>76</v>
      </c>
      <c r="CL84" s="13">
        <v>0</v>
      </c>
      <c r="CM84" s="7" t="s">
        <v>76</v>
      </c>
      <c r="CN84" s="15">
        <v>0</v>
      </c>
      <c r="CO84" s="93">
        <v>97.387616554999994</v>
      </c>
      <c r="CP84" s="94">
        <v>0.35171140070000001</v>
      </c>
      <c r="CQ84" s="93">
        <v>0.21612677229999999</v>
      </c>
      <c r="CR84" s="94">
        <v>1.3553905999999999E-3</v>
      </c>
      <c r="CS84" s="93">
        <v>191.36346573</v>
      </c>
      <c r="CT84" s="94">
        <v>0.26913306939999998</v>
      </c>
      <c r="CU84" s="93">
        <v>1.2018371087999999</v>
      </c>
      <c r="CV84" s="88">
        <v>4.8881094E-3</v>
      </c>
      <c r="CW84" s="188">
        <v>4.5036578100000002E-2</v>
      </c>
      <c r="CX84" s="189">
        <v>7.6619986599999995E-2</v>
      </c>
      <c r="CY84" s="189">
        <v>9.7007435899999994E-2</v>
      </c>
      <c r="CZ84" s="189">
        <v>0.1114454496</v>
      </c>
      <c r="DA84" s="189">
        <v>0.1219967829</v>
      </c>
      <c r="DB84" s="189">
        <v>0.1309969084</v>
      </c>
      <c r="DC84" s="189">
        <v>0.1380818747</v>
      </c>
      <c r="DD84" s="189">
        <v>0.1444298876</v>
      </c>
      <c r="DE84" s="189">
        <v>0.14979665040000001</v>
      </c>
      <c r="DF84" s="190">
        <v>0.1546040715</v>
      </c>
      <c r="DG84" s="112">
        <v>221.13108276</v>
      </c>
      <c r="DH84" s="13">
        <v>2.4975485064999998</v>
      </c>
      <c r="DI84" s="79">
        <v>175.55835594999999</v>
      </c>
      <c r="DJ84" s="13">
        <v>1.9126528603999999</v>
      </c>
      <c r="DK84" s="79">
        <v>139.90167832</v>
      </c>
      <c r="DL84" s="13">
        <v>1.4730033469999999</v>
      </c>
      <c r="DM84" s="79">
        <v>112.44968811</v>
      </c>
      <c r="DN84" s="13">
        <v>1.1462210956000001</v>
      </c>
      <c r="DO84" s="79">
        <v>91.487983964999998</v>
      </c>
      <c r="DP84" s="13">
        <v>0.90413972769999995</v>
      </c>
      <c r="DQ84" s="79">
        <v>75.415545178000002</v>
      </c>
      <c r="DR84" s="13">
        <v>0.72272093390000003</v>
      </c>
      <c r="DS84" s="79">
        <v>63.012224537000002</v>
      </c>
      <c r="DT84" s="13">
        <v>0.58542466979999996</v>
      </c>
      <c r="DU84" s="79">
        <v>53.32816759</v>
      </c>
      <c r="DV84" s="13">
        <v>0.48019304709999999</v>
      </c>
      <c r="DW84" s="79">
        <v>45.690544832999997</v>
      </c>
      <c r="DX84" s="13">
        <v>0.39812400380000001</v>
      </c>
      <c r="DY84" s="79">
        <v>39.549786478000001</v>
      </c>
      <c r="DZ84" s="15">
        <v>0.33334155929999998</v>
      </c>
    </row>
    <row r="85" spans="1:130" x14ac:dyDescent="0.2">
      <c r="A85" s="8">
        <v>500000</v>
      </c>
      <c r="B85" s="82">
        <v>168</v>
      </c>
      <c r="C85" s="83">
        <v>4258.7964797000004</v>
      </c>
      <c r="D85" s="93">
        <v>442778.24956000003</v>
      </c>
      <c r="E85" s="93">
        <v>510.83004412999998</v>
      </c>
      <c r="F85" s="94">
        <v>0.20477002329999999</v>
      </c>
      <c r="G85" s="83">
        <v>960.05970367999998</v>
      </c>
      <c r="H85" s="94">
        <v>5.8087880799999998E-2</v>
      </c>
      <c r="I85" s="93">
        <v>381.51978365999997</v>
      </c>
      <c r="J85" s="94">
        <v>3.2518691794999999</v>
      </c>
      <c r="K85" s="93">
        <v>991.57805030999998</v>
      </c>
      <c r="L85" s="94">
        <v>4.4209478980999997</v>
      </c>
      <c r="M85" s="93">
        <v>12.058314006</v>
      </c>
      <c r="N85" s="94">
        <v>2.96515904E-2</v>
      </c>
      <c r="O85" s="37" t="s">
        <v>76</v>
      </c>
      <c r="P85" s="13">
        <v>0</v>
      </c>
      <c r="Q85" s="93">
        <v>216.27889191</v>
      </c>
      <c r="R85" s="94">
        <v>0.36416151879999997</v>
      </c>
      <c r="S85" s="37" t="s">
        <v>76</v>
      </c>
      <c r="T85" s="13">
        <v>0</v>
      </c>
      <c r="U85" s="37" t="s">
        <v>76</v>
      </c>
      <c r="V85" s="13">
        <v>0</v>
      </c>
      <c r="W85" s="93">
        <v>3.0873393414999999</v>
      </c>
      <c r="X85" s="94">
        <v>8.4410974E-3</v>
      </c>
      <c r="Y85" s="93">
        <v>31.461643987999999</v>
      </c>
      <c r="Z85" s="94">
        <v>6.7301471000000002E-3</v>
      </c>
      <c r="AA85" s="37" t="s">
        <v>76</v>
      </c>
      <c r="AB85" s="13">
        <v>0</v>
      </c>
      <c r="AC85" s="93">
        <v>3.2446736999999998E-3</v>
      </c>
      <c r="AD85" s="94">
        <v>1.12627E-5</v>
      </c>
      <c r="AE85" s="37" t="s">
        <v>76</v>
      </c>
      <c r="AF85" s="13">
        <v>0</v>
      </c>
      <c r="AG85" s="37" t="s">
        <v>76</v>
      </c>
      <c r="AH85" s="13">
        <v>0</v>
      </c>
      <c r="AI85" s="93">
        <v>3.2446736999999998E-3</v>
      </c>
      <c r="AJ85" s="94">
        <v>1.12627E-5</v>
      </c>
      <c r="AK85" s="93">
        <v>390.88588948</v>
      </c>
      <c r="AL85" s="94">
        <v>2.0258839717999999</v>
      </c>
      <c r="AM85" s="37" t="s">
        <v>76</v>
      </c>
      <c r="AN85" s="13">
        <v>0</v>
      </c>
      <c r="AO85" s="37" t="s">
        <v>76</v>
      </c>
      <c r="AP85" s="13">
        <v>0</v>
      </c>
      <c r="AQ85" s="37" t="s">
        <v>76</v>
      </c>
      <c r="AR85" s="13">
        <v>0</v>
      </c>
      <c r="AS85" s="93">
        <v>122.71005595</v>
      </c>
      <c r="AT85" s="94">
        <v>0.94616070789999995</v>
      </c>
      <c r="AU85" s="93">
        <v>83.274614924999995</v>
      </c>
      <c r="AV85" s="94">
        <v>0.40103775730000002</v>
      </c>
      <c r="AW85" s="93">
        <v>58.158286498999999</v>
      </c>
      <c r="AX85" s="94">
        <v>0.2113008508</v>
      </c>
      <c r="AY85" s="93">
        <v>11.198846528000001</v>
      </c>
      <c r="AZ85" s="94">
        <v>5.0220156799999999E-2</v>
      </c>
      <c r="BA85" s="79">
        <v>13.917481898</v>
      </c>
      <c r="BB85" s="13">
        <v>0.13951674980000001</v>
      </c>
      <c r="BC85" s="93">
        <v>0</v>
      </c>
      <c r="BD85" s="86">
        <v>0</v>
      </c>
      <c r="BE85" s="93">
        <v>465.31101563999999</v>
      </c>
      <c r="BF85" s="94">
        <v>0.56319641149999999</v>
      </c>
      <c r="BG85" s="94">
        <v>0.28523931279999998</v>
      </c>
      <c r="BH85" s="86">
        <v>0</v>
      </c>
      <c r="BI85" s="93">
        <v>8.4923985162999998</v>
      </c>
      <c r="BJ85" s="94">
        <v>2.09061873E-2</v>
      </c>
      <c r="BK85" s="93">
        <v>0.27253600039999998</v>
      </c>
      <c r="BL85" s="94">
        <v>8.9771369999999998E-4</v>
      </c>
      <c r="BM85" s="7" t="s">
        <v>76</v>
      </c>
      <c r="BN85" s="13">
        <v>0</v>
      </c>
      <c r="BO85" s="7" t="s">
        <v>76</v>
      </c>
      <c r="BP85" s="13">
        <v>0</v>
      </c>
      <c r="BQ85" s="93">
        <v>205.4239982</v>
      </c>
      <c r="BR85" s="94">
        <v>0.35310963010000002</v>
      </c>
      <c r="BS85" s="93">
        <v>1.7410727041</v>
      </c>
      <c r="BT85" s="94">
        <v>6.8873746000000001E-3</v>
      </c>
      <c r="BU85" s="7" t="s">
        <v>76</v>
      </c>
      <c r="BV85" s="13">
        <v>0</v>
      </c>
      <c r="BW85" s="7" t="s">
        <v>76</v>
      </c>
      <c r="BX85" s="13">
        <v>0</v>
      </c>
      <c r="BY85" s="7" t="s">
        <v>76</v>
      </c>
      <c r="BZ85" s="13">
        <v>0</v>
      </c>
      <c r="CA85" s="7" t="s">
        <v>76</v>
      </c>
      <c r="CB85" s="13">
        <v>0</v>
      </c>
      <c r="CC85" s="93">
        <v>2.6516029325999999</v>
      </c>
      <c r="CD85" s="94">
        <v>7.1377456000000002E-3</v>
      </c>
      <c r="CE85" s="93">
        <v>4.2259143000000004E-3</v>
      </c>
      <c r="CF85" s="94">
        <v>4.7960000000000002E-5</v>
      </c>
      <c r="CG85" s="93">
        <v>26.230966597999998</v>
      </c>
      <c r="CH85" s="94">
        <v>7.7520967900000001E-2</v>
      </c>
      <c r="CI85" s="93">
        <v>4.9373822099999999E-2</v>
      </c>
      <c r="CJ85" s="94">
        <v>2.763485E-4</v>
      </c>
      <c r="CK85" s="6" t="s">
        <v>76</v>
      </c>
      <c r="CL85" s="13">
        <v>0</v>
      </c>
      <c r="CM85" s="7" t="s">
        <v>76</v>
      </c>
      <c r="CN85" s="15">
        <v>0</v>
      </c>
      <c r="CO85" s="93">
        <v>98.045808726999994</v>
      </c>
      <c r="CP85" s="94">
        <v>0.35255759320000002</v>
      </c>
      <c r="CQ85" s="93">
        <v>0.2163618977</v>
      </c>
      <c r="CR85" s="94">
        <v>1.3582564999999999E-3</v>
      </c>
      <c r="CS85" s="93">
        <v>192.88312991999999</v>
      </c>
      <c r="CT85" s="94">
        <v>0.26995744310000003</v>
      </c>
      <c r="CU85" s="93">
        <v>1.2227973726000001</v>
      </c>
      <c r="CV85" s="88">
        <v>4.9179515E-3</v>
      </c>
      <c r="CW85" s="188">
        <v>4.5150672699999998E-2</v>
      </c>
      <c r="CX85" s="189">
        <v>7.6847069200000007E-2</v>
      </c>
      <c r="CY85" s="189">
        <v>9.7347701699999997E-2</v>
      </c>
      <c r="CZ85" s="189">
        <v>0.1118992369</v>
      </c>
      <c r="DA85" s="189">
        <v>0.1225641519</v>
      </c>
      <c r="DB85" s="189">
        <v>0.13167723419999999</v>
      </c>
      <c r="DC85" s="189">
        <v>0.1388754371</v>
      </c>
      <c r="DD85" s="189">
        <v>0.1453367955</v>
      </c>
      <c r="DE85" s="189">
        <v>0.15081667100000001</v>
      </c>
      <c r="DF85" s="190">
        <v>0.1557367872</v>
      </c>
      <c r="DG85" s="112">
        <v>221.76971700999999</v>
      </c>
      <c r="DH85" s="13">
        <v>2.4997445521000001</v>
      </c>
      <c r="DI85" s="79">
        <v>176.15741591</v>
      </c>
      <c r="DJ85" s="13">
        <v>1.9148168916999999</v>
      </c>
      <c r="DK85" s="79">
        <v>140.46828207999999</v>
      </c>
      <c r="DL85" s="13">
        <v>1.4751267062</v>
      </c>
      <c r="DM85" s="79">
        <v>112.98613820999999</v>
      </c>
      <c r="DN85" s="13">
        <v>1.1482945899999999</v>
      </c>
      <c r="DO85" s="79">
        <v>92.001629374000004</v>
      </c>
      <c r="DP85" s="13">
        <v>0.90615505959999998</v>
      </c>
      <c r="DQ85" s="79">
        <v>75.907628492000001</v>
      </c>
      <c r="DR85" s="13">
        <v>0.724679831</v>
      </c>
      <c r="DS85" s="79">
        <v>63.486161252999999</v>
      </c>
      <c r="DT85" s="13">
        <v>0.5873284137</v>
      </c>
      <c r="DU85" s="79">
        <v>53.784124441000003</v>
      </c>
      <c r="DV85" s="13">
        <v>0.48203906530000001</v>
      </c>
      <c r="DW85" s="79">
        <v>46.129729955999998</v>
      </c>
      <c r="DX85" s="13">
        <v>0.39991182250000001</v>
      </c>
      <c r="DY85" s="79">
        <v>39.974771924000002</v>
      </c>
      <c r="DZ85" s="15">
        <v>0.33507215779999999</v>
      </c>
    </row>
    <row r="86" spans="1:130" x14ac:dyDescent="0.2">
      <c r="A86" s="8">
        <v>1000000</v>
      </c>
      <c r="B86" s="82">
        <v>176</v>
      </c>
      <c r="C86" s="83">
        <v>4301.1932219</v>
      </c>
      <c r="D86" s="93">
        <v>668404.41255999997</v>
      </c>
      <c r="E86" s="93">
        <v>515.97563302000003</v>
      </c>
      <c r="F86" s="94">
        <v>0.20522968929999999</v>
      </c>
      <c r="G86" s="83">
        <v>1021.2907818</v>
      </c>
      <c r="H86" s="94">
        <v>5.8615646600000001E-2</v>
      </c>
      <c r="I86" s="93">
        <v>383.05352646</v>
      </c>
      <c r="J86" s="94">
        <v>3.2548620813000002</v>
      </c>
      <c r="K86" s="93">
        <v>998.06568811</v>
      </c>
      <c r="L86" s="94">
        <v>4.4286127900999999</v>
      </c>
      <c r="M86" s="93">
        <v>12.137884655000001</v>
      </c>
      <c r="N86" s="94">
        <v>2.9667621200000001E-2</v>
      </c>
      <c r="O86" s="37" t="s">
        <v>76</v>
      </c>
      <c r="P86" s="13">
        <v>0</v>
      </c>
      <c r="Q86" s="93">
        <v>217.00333097000001</v>
      </c>
      <c r="R86" s="94">
        <v>0.36449167919999997</v>
      </c>
      <c r="S86" s="37" t="s">
        <v>76</v>
      </c>
      <c r="T86" s="13">
        <v>0</v>
      </c>
      <c r="U86" s="37" t="s">
        <v>76</v>
      </c>
      <c r="V86" s="13">
        <v>0</v>
      </c>
      <c r="W86" s="93">
        <v>3.1387307359999999</v>
      </c>
      <c r="X86" s="94">
        <v>8.4992498000000007E-3</v>
      </c>
      <c r="Y86" s="93">
        <v>31.810825936000001</v>
      </c>
      <c r="Z86" s="94">
        <v>6.8164667999999996E-3</v>
      </c>
      <c r="AA86" s="37" t="s">
        <v>76</v>
      </c>
      <c r="AB86" s="13">
        <v>0</v>
      </c>
      <c r="AC86" s="93">
        <v>3.2441468000000001E-3</v>
      </c>
      <c r="AD86" s="94">
        <v>1.1260800000000001E-5</v>
      </c>
      <c r="AE86" s="37" t="s">
        <v>76</v>
      </c>
      <c r="AF86" s="13">
        <v>0</v>
      </c>
      <c r="AG86" s="37" t="s">
        <v>76</v>
      </c>
      <c r="AH86" s="13">
        <v>0</v>
      </c>
      <c r="AI86" s="93">
        <v>3.2441468000000001E-3</v>
      </c>
      <c r="AJ86" s="94">
        <v>1.1260800000000001E-5</v>
      </c>
      <c r="AK86" s="93">
        <v>391.77008094000001</v>
      </c>
      <c r="AL86" s="94">
        <v>2.0268558707</v>
      </c>
      <c r="AM86" s="37" t="s">
        <v>76</v>
      </c>
      <c r="AN86" s="13">
        <v>0</v>
      </c>
      <c r="AO86" s="37" t="s">
        <v>76</v>
      </c>
      <c r="AP86" s="13">
        <v>0</v>
      </c>
      <c r="AQ86" s="37" t="s">
        <v>76</v>
      </c>
      <c r="AR86" s="13">
        <v>0</v>
      </c>
      <c r="AS86" s="93">
        <v>124.06377927</v>
      </c>
      <c r="AT86" s="94">
        <v>0.94789932489999995</v>
      </c>
      <c r="AU86" s="93">
        <v>83.488208520000001</v>
      </c>
      <c r="AV86" s="94">
        <v>0.40187813729999999</v>
      </c>
      <c r="AW86" s="93">
        <v>58.221408642</v>
      </c>
      <c r="AX86" s="94">
        <v>0.211415408</v>
      </c>
      <c r="AY86" s="93">
        <v>11.213302561000001</v>
      </c>
      <c r="AZ86" s="94">
        <v>5.0262969400000003E-2</v>
      </c>
      <c r="BA86" s="79">
        <v>14.053497317</v>
      </c>
      <c r="BB86" s="13">
        <v>0.1401997599</v>
      </c>
      <c r="BC86" s="93">
        <v>0</v>
      </c>
      <c r="BD86" s="86">
        <v>0</v>
      </c>
      <c r="BE86" s="93">
        <v>478.26923742000002</v>
      </c>
      <c r="BF86" s="94">
        <v>0.56873393459999999</v>
      </c>
      <c r="BG86" s="94">
        <v>0.31761904699999999</v>
      </c>
      <c r="BH86" s="86">
        <v>0</v>
      </c>
      <c r="BI86" s="93">
        <v>8.5671831278999999</v>
      </c>
      <c r="BJ86" s="94">
        <v>2.09253093E-2</v>
      </c>
      <c r="BK86" s="93">
        <v>0.27281782399999999</v>
      </c>
      <c r="BL86" s="94">
        <v>8.9960799999999998E-4</v>
      </c>
      <c r="BM86" s="7" t="s">
        <v>76</v>
      </c>
      <c r="BN86" s="13">
        <v>0</v>
      </c>
      <c r="BO86" s="7" t="s">
        <v>76</v>
      </c>
      <c r="BP86" s="13">
        <v>0</v>
      </c>
      <c r="BQ86" s="93">
        <v>206.07476435000001</v>
      </c>
      <c r="BR86" s="94">
        <v>0.3534976936</v>
      </c>
      <c r="BS86" s="93">
        <v>1.7462882468000001</v>
      </c>
      <c r="BT86" s="94">
        <v>6.9085956000000002E-3</v>
      </c>
      <c r="BU86" s="7" t="s">
        <v>76</v>
      </c>
      <c r="BV86" s="13">
        <v>0</v>
      </c>
      <c r="BW86" s="7" t="s">
        <v>76</v>
      </c>
      <c r="BX86" s="13">
        <v>0</v>
      </c>
      <c r="BY86" s="7" t="s">
        <v>76</v>
      </c>
      <c r="BZ86" s="13">
        <v>0</v>
      </c>
      <c r="CA86" s="7" t="s">
        <v>76</v>
      </c>
      <c r="CB86" s="13">
        <v>0</v>
      </c>
      <c r="CC86" s="93">
        <v>2.6822999224999999</v>
      </c>
      <c r="CD86" s="94">
        <v>7.1752689999999997E-3</v>
      </c>
      <c r="CE86" s="93">
        <v>4.4645175E-3</v>
      </c>
      <c r="CF86" s="94">
        <v>4.9406700000000003E-5</v>
      </c>
      <c r="CG86" s="93">
        <v>26.446779660000001</v>
      </c>
      <c r="CH86" s="94">
        <v>7.77958802E-2</v>
      </c>
      <c r="CI86" s="93">
        <v>4.9560133399999998E-2</v>
      </c>
      <c r="CJ86" s="94">
        <v>2.7725180000000001E-4</v>
      </c>
      <c r="CK86" s="6" t="s">
        <v>76</v>
      </c>
      <c r="CL86" s="13">
        <v>0</v>
      </c>
      <c r="CM86" s="7" t="s">
        <v>76</v>
      </c>
      <c r="CN86" s="15">
        <v>0</v>
      </c>
      <c r="CO86" s="93">
        <v>98.909562691999994</v>
      </c>
      <c r="CP86" s="94">
        <v>0.3538099005</v>
      </c>
      <c r="CQ86" s="93">
        <v>0.21633936140000001</v>
      </c>
      <c r="CR86" s="94">
        <v>1.3595252E-3</v>
      </c>
      <c r="CS86" s="93">
        <v>195.92692973999999</v>
      </c>
      <c r="CT86" s="94">
        <v>0.27116107280000001</v>
      </c>
      <c r="CU86" s="93">
        <v>1.2473159356000001</v>
      </c>
      <c r="CV86" s="88">
        <v>4.931576E-3</v>
      </c>
      <c r="CW86" s="188">
        <v>4.5276912400000001E-2</v>
      </c>
      <c r="CX86" s="189">
        <v>7.7101119699999998E-2</v>
      </c>
      <c r="CY86" s="189">
        <v>9.7729341299999994E-2</v>
      </c>
      <c r="CZ86" s="189">
        <v>0.112408073</v>
      </c>
      <c r="DA86" s="189">
        <v>0.1232007602</v>
      </c>
      <c r="DB86" s="189">
        <v>0.13244184880000001</v>
      </c>
      <c r="DC86" s="189">
        <v>0.13976549799999999</v>
      </c>
      <c r="DD86" s="189">
        <v>0.14635241530000001</v>
      </c>
      <c r="DE86" s="189">
        <v>0.15195714699999999</v>
      </c>
      <c r="DF86" s="190">
        <v>0.15700220340000001</v>
      </c>
      <c r="DG86" s="112">
        <v>222.78855551999999</v>
      </c>
      <c r="DH86" s="13">
        <v>2.502720515</v>
      </c>
      <c r="DI86" s="79">
        <v>177.12183085999999</v>
      </c>
      <c r="DJ86" s="13">
        <v>1.9177630976</v>
      </c>
      <c r="DK86" s="79">
        <v>141.38553202</v>
      </c>
      <c r="DL86" s="13">
        <v>1.4780318181000001</v>
      </c>
      <c r="DM86" s="79">
        <v>113.86072063</v>
      </c>
      <c r="DN86" s="13">
        <v>1.1511469311</v>
      </c>
      <c r="DO86" s="79">
        <v>92.838564528000006</v>
      </c>
      <c r="DP86" s="13">
        <v>0.90895037359999997</v>
      </c>
      <c r="DQ86" s="79">
        <v>76.708420271999998</v>
      </c>
      <c r="DR86" s="13">
        <v>0.72741444389999999</v>
      </c>
      <c r="DS86" s="79">
        <v>64.254071605999997</v>
      </c>
      <c r="DT86" s="13">
        <v>0.59000079309999998</v>
      </c>
      <c r="DU86" s="79">
        <v>54.521290329999999</v>
      </c>
      <c r="DV86" s="13">
        <v>0.48464660939999998</v>
      </c>
      <c r="DW86" s="79">
        <v>46.837173843999999</v>
      </c>
      <c r="DX86" s="13">
        <v>0.40245251520000003</v>
      </c>
      <c r="DY86" s="79">
        <v>40.652975150000003</v>
      </c>
      <c r="DZ86" s="15">
        <v>0.33754497220000002</v>
      </c>
    </row>
    <row r="87" spans="1:130" x14ac:dyDescent="0.2">
      <c r="A87" s="8">
        <v>2000000</v>
      </c>
      <c r="B87" s="82">
        <v>44</v>
      </c>
      <c r="C87" s="83">
        <v>4315.9335529999998</v>
      </c>
      <c r="D87" s="93">
        <v>1292917.4881</v>
      </c>
      <c r="E87" s="93">
        <v>518.63856920000001</v>
      </c>
      <c r="F87" s="94">
        <v>0.2053930175</v>
      </c>
      <c r="G87" s="83">
        <v>1057.3204458</v>
      </c>
      <c r="H87" s="94">
        <v>5.8818382099999997E-2</v>
      </c>
      <c r="I87" s="93">
        <v>383.92405882000003</v>
      </c>
      <c r="J87" s="94">
        <v>3.2555954937</v>
      </c>
      <c r="K87" s="93">
        <v>1001.5910145</v>
      </c>
      <c r="L87" s="94">
        <v>4.4313059669000001</v>
      </c>
      <c r="M87" s="93">
        <v>12.142838816999999</v>
      </c>
      <c r="N87" s="94">
        <v>2.9667217700000002E-2</v>
      </c>
      <c r="O87" s="37" t="s">
        <v>76</v>
      </c>
      <c r="P87" s="13">
        <v>0</v>
      </c>
      <c r="Q87" s="93">
        <v>217.1683682</v>
      </c>
      <c r="R87" s="94">
        <v>0.36454012810000003</v>
      </c>
      <c r="S87" s="37" t="s">
        <v>76</v>
      </c>
      <c r="T87" s="13">
        <v>0</v>
      </c>
      <c r="U87" s="37" t="s">
        <v>76</v>
      </c>
      <c r="V87" s="13">
        <v>0</v>
      </c>
      <c r="W87" s="93">
        <v>3.1396894506000002</v>
      </c>
      <c r="X87" s="94">
        <v>8.5014266000000005E-3</v>
      </c>
      <c r="Y87" s="93">
        <v>31.833641698000001</v>
      </c>
      <c r="Z87" s="94">
        <v>6.8275882E-3</v>
      </c>
      <c r="AA87" s="37" t="s">
        <v>76</v>
      </c>
      <c r="AB87" s="13">
        <v>0</v>
      </c>
      <c r="AC87" s="93">
        <v>3.2438841999999999E-3</v>
      </c>
      <c r="AD87" s="94">
        <v>1.12599E-5</v>
      </c>
      <c r="AE87" s="37" t="s">
        <v>76</v>
      </c>
      <c r="AF87" s="13">
        <v>0</v>
      </c>
      <c r="AG87" s="37" t="s">
        <v>76</v>
      </c>
      <c r="AH87" s="13">
        <v>0</v>
      </c>
      <c r="AI87" s="93">
        <v>3.2438841999999999E-3</v>
      </c>
      <c r="AJ87" s="94">
        <v>1.12599E-5</v>
      </c>
      <c r="AK87" s="93">
        <v>392.01752209</v>
      </c>
      <c r="AL87" s="94">
        <v>2.0272220472</v>
      </c>
      <c r="AM87" s="37" t="s">
        <v>76</v>
      </c>
      <c r="AN87" s="13">
        <v>0</v>
      </c>
      <c r="AO87" s="37" t="s">
        <v>76</v>
      </c>
      <c r="AP87" s="13">
        <v>0</v>
      </c>
      <c r="AQ87" s="37" t="s">
        <v>76</v>
      </c>
      <c r="AR87" s="13">
        <v>0</v>
      </c>
      <c r="AS87" s="93">
        <v>124.44876846</v>
      </c>
      <c r="AT87" s="94">
        <v>0.94871765880000003</v>
      </c>
      <c r="AU87" s="93">
        <v>83.555292043999998</v>
      </c>
      <c r="AV87" s="94">
        <v>0.40209091949999998</v>
      </c>
      <c r="AW87" s="93">
        <v>58.258877431999998</v>
      </c>
      <c r="AX87" s="94">
        <v>0.21144992579999999</v>
      </c>
      <c r="AY87" s="93">
        <v>11.219696722</v>
      </c>
      <c r="AZ87" s="94">
        <v>5.02648412E-2</v>
      </c>
      <c r="BA87" s="79">
        <v>14.076717890999999</v>
      </c>
      <c r="BB87" s="13">
        <v>0.1403761526</v>
      </c>
      <c r="BC87" s="93">
        <v>0</v>
      </c>
      <c r="BD87" s="86">
        <v>0</v>
      </c>
      <c r="BE87" s="93">
        <v>480.50862783999997</v>
      </c>
      <c r="BF87" s="94">
        <v>0.57034955450000002</v>
      </c>
      <c r="BG87" s="94">
        <v>0.3353321762</v>
      </c>
      <c r="BH87" s="86">
        <v>0</v>
      </c>
      <c r="BI87" s="93">
        <v>8.5669889576999996</v>
      </c>
      <c r="BJ87" s="94">
        <v>2.09250863E-2</v>
      </c>
      <c r="BK87" s="93">
        <v>0.27280589199999999</v>
      </c>
      <c r="BL87" s="94">
        <v>8.9957130000000005E-4</v>
      </c>
      <c r="BM87" s="7" t="s">
        <v>76</v>
      </c>
      <c r="BN87" s="13">
        <v>0</v>
      </c>
      <c r="BO87" s="7" t="s">
        <v>76</v>
      </c>
      <c r="BP87" s="13">
        <v>0</v>
      </c>
      <c r="BQ87" s="93">
        <v>206.20993745999999</v>
      </c>
      <c r="BR87" s="94">
        <v>0.35354749369999999</v>
      </c>
      <c r="BS87" s="93">
        <v>1.7474088898</v>
      </c>
      <c r="BT87" s="94">
        <v>6.9147041999999999E-3</v>
      </c>
      <c r="BU87" s="7" t="s">
        <v>76</v>
      </c>
      <c r="BV87" s="13">
        <v>0</v>
      </c>
      <c r="BW87" s="7" t="s">
        <v>76</v>
      </c>
      <c r="BX87" s="13">
        <v>0</v>
      </c>
      <c r="BY87" s="7" t="s">
        <v>76</v>
      </c>
      <c r="BZ87" s="13">
        <v>0</v>
      </c>
      <c r="CA87" s="7" t="s">
        <v>76</v>
      </c>
      <c r="CB87" s="13">
        <v>0</v>
      </c>
      <c r="CC87" s="93">
        <v>2.6821887721</v>
      </c>
      <c r="CD87" s="94">
        <v>7.1749717000000003E-3</v>
      </c>
      <c r="CE87" s="93">
        <v>4.4643647E-3</v>
      </c>
      <c r="CF87" s="94">
        <v>4.9404899999999999E-5</v>
      </c>
      <c r="CG87" s="93">
        <v>26.458784582</v>
      </c>
      <c r="CH87" s="94">
        <v>7.7819976700000001E-2</v>
      </c>
      <c r="CI87" s="93">
        <v>4.9558935599999999E-2</v>
      </c>
      <c r="CJ87" s="94">
        <v>2.7851230000000001E-4</v>
      </c>
      <c r="CK87" s="6" t="s">
        <v>76</v>
      </c>
      <c r="CL87" s="13">
        <v>0</v>
      </c>
      <c r="CM87" s="7" t="s">
        <v>76</v>
      </c>
      <c r="CN87" s="15">
        <v>0</v>
      </c>
      <c r="CO87" s="93">
        <v>99.188876828999994</v>
      </c>
      <c r="CP87" s="94">
        <v>0.35412522340000002</v>
      </c>
      <c r="CQ87" s="93">
        <v>0.21768283299999999</v>
      </c>
      <c r="CR87" s="94">
        <v>1.3609698999999999E-3</v>
      </c>
      <c r="CS87" s="93">
        <v>196.67029067999999</v>
      </c>
      <c r="CT87" s="94">
        <v>0.27136762419999999</v>
      </c>
      <c r="CU87" s="93">
        <v>1.2532543338</v>
      </c>
      <c r="CV87" s="88">
        <v>4.9467605999999999E-3</v>
      </c>
      <c r="CW87" s="188">
        <v>4.5308870100000002E-2</v>
      </c>
      <c r="CX87" s="189">
        <v>7.7165573799999998E-2</v>
      </c>
      <c r="CY87" s="189">
        <v>9.7825859900000006E-2</v>
      </c>
      <c r="CZ87" s="189">
        <v>0.1125368724</v>
      </c>
      <c r="DA87" s="189">
        <v>0.12336198900000001</v>
      </c>
      <c r="DB87" s="189">
        <v>0.13263556479999999</v>
      </c>
      <c r="DC87" s="189">
        <v>0.1399917768</v>
      </c>
      <c r="DD87" s="189">
        <v>0.14661128700000001</v>
      </c>
      <c r="DE87" s="189">
        <v>0.15224865300000001</v>
      </c>
      <c r="DF87" s="190">
        <v>0.1573263661</v>
      </c>
      <c r="DG87" s="112">
        <v>223.39611156000001</v>
      </c>
      <c r="DH87" s="13">
        <v>2.5034509838000001</v>
      </c>
      <c r="DI87" s="79">
        <v>177.70402321</v>
      </c>
      <c r="DJ87" s="13">
        <v>1.9184850825999999</v>
      </c>
      <c r="DK87" s="79">
        <v>141.94199173000001</v>
      </c>
      <c r="DL87" s="13">
        <v>1.4787399752999999</v>
      </c>
      <c r="DM87" s="79">
        <v>114.39292614999999</v>
      </c>
      <c r="DN87" s="13">
        <v>1.1518405044</v>
      </c>
      <c r="DO87" s="79">
        <v>93.348078435999994</v>
      </c>
      <c r="DP87" s="13">
        <v>0.90962806600000001</v>
      </c>
      <c r="DQ87" s="79">
        <v>77.195164820000002</v>
      </c>
      <c r="DR87" s="13">
        <v>0.72807483200000001</v>
      </c>
      <c r="DS87" s="79">
        <v>64.727062938000003</v>
      </c>
      <c r="DT87" s="13">
        <v>0.59064379879999995</v>
      </c>
      <c r="DU87" s="79">
        <v>54.980425803999999</v>
      </c>
      <c r="DV87" s="13">
        <v>0.48527102700000002</v>
      </c>
      <c r="DW87" s="79">
        <v>47.282376810000002</v>
      </c>
      <c r="DX87" s="13">
        <v>0.40305748209999998</v>
      </c>
      <c r="DY87" s="79">
        <v>41.084316014999999</v>
      </c>
      <c r="DZ87" s="15">
        <v>0.33813111810000002</v>
      </c>
    </row>
    <row r="88" spans="1:130" x14ac:dyDescent="0.2">
      <c r="A88" s="20" t="s">
        <v>17</v>
      </c>
      <c r="B88" s="95">
        <v>7</v>
      </c>
      <c r="C88" s="84">
        <v>4320.4696534000004</v>
      </c>
      <c r="D88" s="96">
        <v>2878474.9071999998</v>
      </c>
      <c r="E88" s="96">
        <v>518.65442401999996</v>
      </c>
      <c r="F88" s="97">
        <v>0.2053940407</v>
      </c>
      <c r="G88" s="84">
        <v>1069.2161983000001</v>
      </c>
      <c r="H88" s="97">
        <v>5.8870715099999998E-2</v>
      </c>
      <c r="I88" s="96">
        <v>384.24061330000001</v>
      </c>
      <c r="J88" s="97">
        <v>3.2558663203</v>
      </c>
      <c r="K88" s="96">
        <v>1002.2159222</v>
      </c>
      <c r="L88" s="97">
        <v>4.4319470542000001</v>
      </c>
      <c r="M88" s="96">
        <v>12.142765576</v>
      </c>
      <c r="N88" s="97">
        <v>2.9667078699999998E-2</v>
      </c>
      <c r="O88" s="38" t="s">
        <v>76</v>
      </c>
      <c r="P88" s="14">
        <v>0</v>
      </c>
      <c r="Q88" s="96">
        <v>217.16968044000001</v>
      </c>
      <c r="R88" s="97">
        <v>0.36454028119999998</v>
      </c>
      <c r="S88" s="38" t="s">
        <v>76</v>
      </c>
      <c r="T88" s="14">
        <v>0</v>
      </c>
      <c r="U88" s="38" t="s">
        <v>76</v>
      </c>
      <c r="V88" s="14">
        <v>0</v>
      </c>
      <c r="W88" s="96">
        <v>3.1396720747</v>
      </c>
      <c r="X88" s="97">
        <v>8.5013907E-3</v>
      </c>
      <c r="Y88" s="96">
        <v>31.834006380000002</v>
      </c>
      <c r="Z88" s="97">
        <v>6.8275519999999998E-3</v>
      </c>
      <c r="AA88" s="38" t="s">
        <v>76</v>
      </c>
      <c r="AB88" s="14">
        <v>0</v>
      </c>
      <c r="AC88" s="96">
        <v>3.2438720000000001E-3</v>
      </c>
      <c r="AD88" s="97">
        <v>1.12598E-5</v>
      </c>
      <c r="AE88" s="38" t="s">
        <v>76</v>
      </c>
      <c r="AF88" s="14">
        <v>0</v>
      </c>
      <c r="AG88" s="38" t="s">
        <v>76</v>
      </c>
      <c r="AH88" s="14">
        <v>0</v>
      </c>
      <c r="AI88" s="96">
        <v>3.2438720000000001E-3</v>
      </c>
      <c r="AJ88" s="97">
        <v>1.12598E-5</v>
      </c>
      <c r="AK88" s="96">
        <v>392.02325360999998</v>
      </c>
      <c r="AL88" s="97">
        <v>2.0272308636999998</v>
      </c>
      <c r="AM88" s="38" t="s">
        <v>76</v>
      </c>
      <c r="AN88" s="14">
        <v>0</v>
      </c>
      <c r="AO88" s="38" t="s">
        <v>76</v>
      </c>
      <c r="AP88" s="14">
        <v>0</v>
      </c>
      <c r="AQ88" s="38" t="s">
        <v>76</v>
      </c>
      <c r="AR88" s="14">
        <v>0</v>
      </c>
      <c r="AS88" s="96">
        <v>124.98363209</v>
      </c>
      <c r="AT88" s="97">
        <v>0.94873272880000004</v>
      </c>
      <c r="AU88" s="96">
        <v>83.556371358000007</v>
      </c>
      <c r="AV88" s="97">
        <v>0.40209950589999999</v>
      </c>
      <c r="AW88" s="96">
        <v>58.258590531000003</v>
      </c>
      <c r="AX88" s="97">
        <v>0.2114489984</v>
      </c>
      <c r="AY88" s="96">
        <v>11.219659825000001</v>
      </c>
      <c r="AZ88" s="97">
        <v>5.0264672900000001E-2</v>
      </c>
      <c r="BA88" s="80">
        <v>14.078121002</v>
      </c>
      <c r="BB88" s="14">
        <v>0.1403858345</v>
      </c>
      <c r="BC88" s="96">
        <v>0</v>
      </c>
      <c r="BD88" s="87">
        <v>0</v>
      </c>
      <c r="BE88" s="96">
        <v>480.81569932999997</v>
      </c>
      <c r="BF88" s="97">
        <v>0.5707499747</v>
      </c>
      <c r="BG88" s="97">
        <v>0.34977466000000002</v>
      </c>
      <c r="BH88" s="87">
        <v>0</v>
      </c>
      <c r="BI88" s="96">
        <v>8.5669288288000001</v>
      </c>
      <c r="BJ88" s="97">
        <v>2.0924962299999999E-2</v>
      </c>
      <c r="BK88" s="96">
        <v>0.27280185099999998</v>
      </c>
      <c r="BL88" s="97">
        <v>8.9955760000000004E-4</v>
      </c>
      <c r="BM88" s="104" t="s">
        <v>76</v>
      </c>
      <c r="BN88" s="14">
        <v>0</v>
      </c>
      <c r="BO88" s="104" t="s">
        <v>76</v>
      </c>
      <c r="BP88" s="14">
        <v>0</v>
      </c>
      <c r="BQ88" s="96">
        <v>206.21048449</v>
      </c>
      <c r="BR88" s="97">
        <v>0.35354702900000001</v>
      </c>
      <c r="BS88" s="96">
        <v>1.7473985175</v>
      </c>
      <c r="BT88" s="97">
        <v>6.9146625E-3</v>
      </c>
      <c r="BU88" s="104" t="s">
        <v>76</v>
      </c>
      <c r="BV88" s="14">
        <v>0</v>
      </c>
      <c r="BW88" s="104" t="s">
        <v>76</v>
      </c>
      <c r="BX88" s="14">
        <v>0</v>
      </c>
      <c r="BY88" s="104" t="s">
        <v>76</v>
      </c>
      <c r="BZ88" s="14">
        <v>0</v>
      </c>
      <c r="CA88" s="104" t="s">
        <v>76</v>
      </c>
      <c r="CB88" s="14">
        <v>0</v>
      </c>
      <c r="CC88" s="96">
        <v>2.6821727955000001</v>
      </c>
      <c r="CD88" s="97">
        <v>7.1749402000000004E-3</v>
      </c>
      <c r="CE88" s="96">
        <v>4.4643473000000001E-3</v>
      </c>
      <c r="CF88" s="97">
        <v>4.9404699999999998E-5</v>
      </c>
      <c r="CG88" s="96">
        <v>26.458748444000001</v>
      </c>
      <c r="CH88" s="97">
        <v>7.7820131900000006E-2</v>
      </c>
      <c r="CI88" s="96">
        <v>4.9558619599999999E-2</v>
      </c>
      <c r="CJ88" s="97">
        <v>2.7851040000000002E-4</v>
      </c>
      <c r="CK88" s="103" t="s">
        <v>76</v>
      </c>
      <c r="CL88" s="14">
        <v>0</v>
      </c>
      <c r="CM88" s="104" t="s">
        <v>76</v>
      </c>
      <c r="CN88" s="16">
        <v>0</v>
      </c>
      <c r="CO88" s="96">
        <v>99.189920776999998</v>
      </c>
      <c r="CP88" s="97">
        <v>0.35412781910000002</v>
      </c>
      <c r="CQ88" s="96">
        <v>0.21767922570000001</v>
      </c>
      <c r="CR88" s="97">
        <v>1.3609509E-3</v>
      </c>
      <c r="CS88" s="96">
        <v>196.69138604</v>
      </c>
      <c r="CT88" s="97">
        <v>0.27140004130000001</v>
      </c>
      <c r="CU88" s="96">
        <v>1.2534371733</v>
      </c>
      <c r="CV88" s="89">
        <v>4.9475934000000003E-3</v>
      </c>
      <c r="CW88" s="191">
        <v>4.5313249600000001E-2</v>
      </c>
      <c r="CX88" s="192">
        <v>7.7174398599999999E-2</v>
      </c>
      <c r="CY88" s="192">
        <v>9.7839181400000003E-2</v>
      </c>
      <c r="CZ88" s="192">
        <v>0.1125547192</v>
      </c>
      <c r="DA88" s="192">
        <v>0.12338438190000001</v>
      </c>
      <c r="DB88" s="192">
        <v>0.13266251139999999</v>
      </c>
      <c r="DC88" s="192">
        <v>0.14002328680000001</v>
      </c>
      <c r="DD88" s="192">
        <v>0.146647364</v>
      </c>
      <c r="DE88" s="192">
        <v>0.15228930260000001</v>
      </c>
      <c r="DF88" s="193">
        <v>0.15737159119999999</v>
      </c>
      <c r="DG88" s="194">
        <v>223.62342710999999</v>
      </c>
      <c r="DH88" s="14">
        <v>2.5037207921000002</v>
      </c>
      <c r="DI88" s="80">
        <v>177.92760785999999</v>
      </c>
      <c r="DJ88" s="14">
        <v>1.9187535911</v>
      </c>
      <c r="DK88" s="80">
        <v>142.16179704999999</v>
      </c>
      <c r="DL88" s="14">
        <v>1.4790064762999999</v>
      </c>
      <c r="DM88" s="80">
        <v>114.60891183</v>
      </c>
      <c r="DN88" s="14">
        <v>1.1521044453</v>
      </c>
      <c r="DO88" s="80">
        <v>93.560212312000004</v>
      </c>
      <c r="DP88" s="14">
        <v>0.90988903249999997</v>
      </c>
      <c r="DQ88" s="80">
        <v>77.403422516000006</v>
      </c>
      <c r="DR88" s="14">
        <v>0.72833252839999996</v>
      </c>
      <c r="DS88" s="80">
        <v>64.931426360000003</v>
      </c>
      <c r="DT88" s="14">
        <v>0.59089801190000002</v>
      </c>
      <c r="DU88" s="80">
        <v>55.180881954</v>
      </c>
      <c r="DV88" s="14">
        <v>0.4855216061</v>
      </c>
      <c r="DW88" s="80">
        <v>47.478916007999999</v>
      </c>
      <c r="DX88" s="14">
        <v>0.4033043181</v>
      </c>
      <c r="DY88" s="80">
        <v>41.27693086</v>
      </c>
      <c r="DZ88" s="16">
        <v>0.3383741301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BF88"/>
  <sheetViews>
    <sheetView workbookViewId="0">
      <pane xSplit="4" ySplit="4" topLeftCell="E5" activePane="bottomRight" state="frozen"/>
      <selection activeCell="F73" sqref="F73"/>
      <selection pane="topRight" activeCell="F73" sqref="F73"/>
      <selection pane="bottomLeft" activeCell="F73" sqref="F73"/>
      <selection pane="bottomRight" activeCell="F73" sqref="F73"/>
    </sheetView>
  </sheetViews>
  <sheetFormatPr baseColWidth="10" defaultColWidth="8.83203125" defaultRowHeight="15" x14ac:dyDescent="0.2"/>
  <cols>
    <col min="1" max="2" width="12.5" style="90" customWidth="1"/>
    <col min="3" max="3" width="12.5" style="81" customWidth="1"/>
    <col min="4" max="4" width="15" style="90" customWidth="1"/>
    <col min="5" max="5" width="12.5" style="81" customWidth="1"/>
    <col min="6" max="6" width="12.5" style="90" customWidth="1"/>
    <col min="7" max="7" width="12.5" style="81" customWidth="1"/>
    <col min="8" max="8" width="12.5" style="90" customWidth="1"/>
    <col min="9" max="9" width="12.5" style="81" customWidth="1"/>
    <col min="10" max="10" width="12.5" style="90" customWidth="1"/>
    <col min="11" max="11" width="12.5" style="81" customWidth="1"/>
    <col min="12" max="12" width="12.5" style="90" customWidth="1"/>
    <col min="13" max="13" width="12.5" style="81" hidden="1" customWidth="1"/>
    <col min="14" max="14" width="12.5" style="90" hidden="1" customWidth="1"/>
    <col min="15" max="15" width="12.5" style="81" hidden="1" customWidth="1"/>
    <col min="16" max="16" width="12.5" style="90" hidden="1" customWidth="1"/>
    <col min="17" max="16384" width="8.83203125" style="90"/>
  </cols>
  <sheetData>
    <row r="1" spans="1:58" x14ac:dyDescent="0.2">
      <c r="A1" s="91" t="s">
        <v>267</v>
      </c>
    </row>
    <row r="2" spans="1:58" x14ac:dyDescent="0.2">
      <c r="A2" s="91" t="s">
        <v>266</v>
      </c>
    </row>
    <row r="3" spans="1:58" x14ac:dyDescent="0.2">
      <c r="A3" s="91"/>
      <c r="B3" s="91"/>
      <c r="C3" s="22"/>
      <c r="D3" s="91"/>
      <c r="E3" s="111"/>
      <c r="F3" s="19"/>
      <c r="G3" s="111"/>
      <c r="H3" s="19"/>
      <c r="I3" s="111"/>
      <c r="J3" s="19"/>
      <c r="K3" s="111"/>
      <c r="L3" s="19"/>
      <c r="M3" s="111"/>
      <c r="N3" s="19"/>
      <c r="O3" s="111"/>
      <c r="P3" s="19"/>
    </row>
    <row r="4" spans="1:58" s="3" customFormat="1" ht="45" customHeight="1" x14ac:dyDescent="0.2">
      <c r="A4" s="11" t="s">
        <v>8</v>
      </c>
      <c r="B4" s="12" t="s">
        <v>7</v>
      </c>
      <c r="C4" s="23" t="s">
        <v>75</v>
      </c>
      <c r="D4" s="12" t="s">
        <v>74</v>
      </c>
      <c r="E4" s="78" t="s">
        <v>33</v>
      </c>
      <c r="F4" s="12" t="s">
        <v>37</v>
      </c>
      <c r="G4" s="23" t="s">
        <v>38</v>
      </c>
      <c r="H4" s="12" t="s">
        <v>39</v>
      </c>
      <c r="I4" s="23" t="s">
        <v>40</v>
      </c>
      <c r="J4" s="12" t="s">
        <v>41</v>
      </c>
      <c r="K4" s="23" t="s">
        <v>42</v>
      </c>
      <c r="L4" s="18" t="s">
        <v>43</v>
      </c>
      <c r="M4" s="23" t="s">
        <v>78</v>
      </c>
      <c r="N4" s="18" t="s">
        <v>104</v>
      </c>
      <c r="O4" s="23" t="s">
        <v>6</v>
      </c>
      <c r="P4" s="18" t="s">
        <v>44</v>
      </c>
      <c r="Q4" s="107"/>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c r="AY4" s="107"/>
      <c r="AZ4" s="107"/>
      <c r="BA4" s="107"/>
      <c r="BB4" s="107"/>
      <c r="BC4" s="107"/>
      <c r="BD4" s="107"/>
      <c r="BE4" s="107"/>
      <c r="BF4" s="107"/>
    </row>
    <row r="5" spans="1:58" x14ac:dyDescent="0.2">
      <c r="A5" s="8">
        <v>0</v>
      </c>
      <c r="B5" s="9">
        <v>296284</v>
      </c>
      <c r="C5" s="93">
        <v>0</v>
      </c>
      <c r="D5" s="24">
        <v>0</v>
      </c>
      <c r="E5" s="112">
        <v>0</v>
      </c>
      <c r="F5" s="13">
        <v>0</v>
      </c>
      <c r="G5" s="79">
        <v>0</v>
      </c>
      <c r="H5" s="13">
        <v>0</v>
      </c>
      <c r="I5" s="79">
        <v>0</v>
      </c>
      <c r="J5" s="13">
        <v>0</v>
      </c>
      <c r="K5" s="79">
        <v>0</v>
      </c>
      <c r="L5" s="15">
        <v>0</v>
      </c>
      <c r="M5" s="93">
        <v>0</v>
      </c>
      <c r="N5" s="88">
        <v>1.8768300000000001E-4</v>
      </c>
      <c r="O5" s="37">
        <v>2166826.6770000001</v>
      </c>
      <c r="P5" s="13">
        <v>0</v>
      </c>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row>
    <row r="6" spans="1:58" x14ac:dyDescent="0.2">
      <c r="A6" s="8">
        <v>100</v>
      </c>
      <c r="B6" s="9">
        <v>230448</v>
      </c>
      <c r="C6" s="93">
        <v>65.129865452999994</v>
      </c>
      <c r="D6" s="24">
        <v>39.261763314</v>
      </c>
      <c r="E6" s="112">
        <v>14.472928589</v>
      </c>
      <c r="F6" s="13">
        <v>0.98049563340000001</v>
      </c>
      <c r="G6" s="79">
        <v>1.7253685792</v>
      </c>
      <c r="H6" s="13">
        <v>3.7276850200000003E-2</v>
      </c>
      <c r="I6" s="79">
        <v>0.5894438997</v>
      </c>
      <c r="J6" s="13">
        <v>9.6792250999999992E-3</v>
      </c>
      <c r="K6" s="79">
        <v>0</v>
      </c>
      <c r="L6" s="15">
        <v>0</v>
      </c>
      <c r="M6" s="93">
        <v>4.2645256297999996</v>
      </c>
      <c r="N6" s="88">
        <v>0.34633791339999997</v>
      </c>
      <c r="O6" s="37">
        <v>2166826.6770000001</v>
      </c>
      <c r="P6" s="13">
        <v>0</v>
      </c>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row>
    <row r="7" spans="1:58" x14ac:dyDescent="0.2">
      <c r="A7" s="8">
        <v>200</v>
      </c>
      <c r="B7" s="9">
        <v>104001</v>
      </c>
      <c r="C7" s="93">
        <v>118.58500217</v>
      </c>
      <c r="D7" s="24">
        <v>146.11636723999999</v>
      </c>
      <c r="E7" s="112">
        <v>26.04948662</v>
      </c>
      <c r="F7" s="13">
        <v>1.4691202201</v>
      </c>
      <c r="G7" s="79">
        <v>8.4108260022000003</v>
      </c>
      <c r="H7" s="13">
        <v>0.1114269316</v>
      </c>
      <c r="I7" s="79">
        <v>3.0163498995000002</v>
      </c>
      <c r="J7" s="13">
        <v>3.4260676900000002E-2</v>
      </c>
      <c r="K7" s="79">
        <v>1.6919210699999999E-2</v>
      </c>
      <c r="L7" s="15">
        <v>1.0778919999999999E-4</v>
      </c>
      <c r="M7" s="93">
        <v>11.421152622999999</v>
      </c>
      <c r="N7" s="88">
        <v>0.71729601759999995</v>
      </c>
      <c r="O7" s="37">
        <v>2166826.6770000001</v>
      </c>
      <c r="P7" s="13">
        <v>0</v>
      </c>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row>
    <row r="8" spans="1:58" x14ac:dyDescent="0.2">
      <c r="A8" s="8">
        <v>300</v>
      </c>
      <c r="B8" s="9">
        <v>67121</v>
      </c>
      <c r="C8" s="93">
        <v>165.37733989</v>
      </c>
      <c r="D8" s="24">
        <v>246.86111414000001</v>
      </c>
      <c r="E8" s="112">
        <v>35.790291381000003</v>
      </c>
      <c r="F8" s="13">
        <v>1.8255736076</v>
      </c>
      <c r="G8" s="79">
        <v>15.150386556999999</v>
      </c>
      <c r="H8" s="13">
        <v>0.17825916989999999</v>
      </c>
      <c r="I8" s="79">
        <v>5.9466991281999997</v>
      </c>
      <c r="J8" s="13">
        <v>5.8695393200000001E-2</v>
      </c>
      <c r="K8" s="79">
        <v>6.9411835599999999E-2</v>
      </c>
      <c r="L8" s="15">
        <v>3.6512540000000003E-4</v>
      </c>
      <c r="M8" s="93">
        <v>19.578635041999998</v>
      </c>
      <c r="N8" s="88">
        <v>1.0323092883</v>
      </c>
      <c r="O8" s="37">
        <v>2166826.6770000001</v>
      </c>
      <c r="P8" s="13">
        <v>0</v>
      </c>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row>
    <row r="9" spans="1:58" x14ac:dyDescent="0.2">
      <c r="A9" s="8">
        <v>400</v>
      </c>
      <c r="B9" s="9">
        <v>51003</v>
      </c>
      <c r="C9" s="93">
        <v>207.55811990000001</v>
      </c>
      <c r="D9" s="24">
        <v>348.13052547000001</v>
      </c>
      <c r="E9" s="112">
        <v>45.004227186000001</v>
      </c>
      <c r="F9" s="13">
        <v>2.1352094450000001</v>
      </c>
      <c r="G9" s="79">
        <v>21.860328111000001</v>
      </c>
      <c r="H9" s="13">
        <v>0.2406722754</v>
      </c>
      <c r="I9" s="79">
        <v>9.0916309928000008</v>
      </c>
      <c r="J9" s="13">
        <v>8.2571941800000007E-2</v>
      </c>
      <c r="K9" s="79">
        <v>0.126689142</v>
      </c>
      <c r="L9" s="15">
        <v>6.1561630000000003E-4</v>
      </c>
      <c r="M9" s="93">
        <v>28.861207553</v>
      </c>
      <c r="N9" s="88">
        <v>1.3195434363</v>
      </c>
      <c r="O9" s="37">
        <v>2166826.6770000001</v>
      </c>
      <c r="P9" s="13">
        <v>0</v>
      </c>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row>
    <row r="10" spans="1:58" x14ac:dyDescent="0.2">
      <c r="A10" s="8">
        <v>500</v>
      </c>
      <c r="B10" s="9">
        <v>41319</v>
      </c>
      <c r="C10" s="93">
        <v>246.08617715</v>
      </c>
      <c r="D10" s="24">
        <v>448.56636626</v>
      </c>
      <c r="E10" s="112">
        <v>53.870985114</v>
      </c>
      <c r="F10" s="13">
        <v>2.4097585991999999</v>
      </c>
      <c r="G10" s="79">
        <v>28.434605257000001</v>
      </c>
      <c r="H10" s="13">
        <v>0.29864323440000001</v>
      </c>
      <c r="I10" s="79">
        <v>12.372693459000001</v>
      </c>
      <c r="J10" s="13">
        <v>0.10530290890000001</v>
      </c>
      <c r="K10" s="79">
        <v>0.22927380550000001</v>
      </c>
      <c r="L10" s="15">
        <v>1.0030975000000001E-3</v>
      </c>
      <c r="M10" s="93">
        <v>38.356296442000001</v>
      </c>
      <c r="N10" s="88">
        <v>1.5716404439</v>
      </c>
      <c r="O10" s="37">
        <v>2166826.6770000001</v>
      </c>
      <c r="P10" s="13">
        <v>0</v>
      </c>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row>
    <row r="11" spans="1:58" x14ac:dyDescent="0.2">
      <c r="A11" s="8">
        <v>600</v>
      </c>
      <c r="B11" s="9">
        <v>32593</v>
      </c>
      <c r="C11" s="93">
        <v>281.66717086</v>
      </c>
      <c r="D11" s="24">
        <v>548.00586403</v>
      </c>
      <c r="E11" s="112">
        <v>61.155785201999997</v>
      </c>
      <c r="F11" s="13">
        <v>2.6301037559</v>
      </c>
      <c r="G11" s="79">
        <v>34.883389665000003</v>
      </c>
      <c r="H11" s="13">
        <v>0.35229241360000002</v>
      </c>
      <c r="I11" s="79">
        <v>15.750711549</v>
      </c>
      <c r="J11" s="13">
        <v>0.1281790256</v>
      </c>
      <c r="K11" s="79">
        <v>0.34738069890000001</v>
      </c>
      <c r="L11" s="15">
        <v>1.4497493000000001E-3</v>
      </c>
      <c r="M11" s="93">
        <v>47.179672767</v>
      </c>
      <c r="N11" s="88">
        <v>1.7747916238000001</v>
      </c>
      <c r="O11" s="37">
        <v>2166826.6770000001</v>
      </c>
      <c r="P11" s="13">
        <v>0</v>
      </c>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row>
    <row r="12" spans="1:58" x14ac:dyDescent="0.2">
      <c r="A12" s="8">
        <v>700</v>
      </c>
      <c r="B12" s="9">
        <v>27517</v>
      </c>
      <c r="C12" s="93">
        <v>314.87571627</v>
      </c>
      <c r="D12" s="24">
        <v>648.70548552000002</v>
      </c>
      <c r="E12" s="112">
        <v>67.440400105999998</v>
      </c>
      <c r="F12" s="13">
        <v>2.8112897384000002</v>
      </c>
      <c r="G12" s="79">
        <v>41.642166263</v>
      </c>
      <c r="H12" s="13">
        <v>0.40703413469999999</v>
      </c>
      <c r="I12" s="79">
        <v>19.256426735000002</v>
      </c>
      <c r="J12" s="13">
        <v>0.15044163169999999</v>
      </c>
      <c r="K12" s="79">
        <v>0.50532676899999995</v>
      </c>
      <c r="L12" s="15">
        <v>2.0258778E-3</v>
      </c>
      <c r="M12" s="93">
        <v>56.122954608000001</v>
      </c>
      <c r="N12" s="88">
        <v>1.9543658998</v>
      </c>
      <c r="O12" s="37">
        <v>2166826.6770000001</v>
      </c>
      <c r="P12" s="13">
        <v>0</v>
      </c>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row>
    <row r="13" spans="1:58" x14ac:dyDescent="0.2">
      <c r="A13" s="8">
        <v>800</v>
      </c>
      <c r="B13" s="9">
        <v>24200</v>
      </c>
      <c r="C13" s="93">
        <v>346.02689316999999</v>
      </c>
      <c r="D13" s="24">
        <v>748.63629995999997</v>
      </c>
      <c r="E13" s="112">
        <v>73.19025456</v>
      </c>
      <c r="F13" s="13">
        <v>2.9709731549999998</v>
      </c>
      <c r="G13" s="79">
        <v>48.511574308999997</v>
      </c>
      <c r="H13" s="13">
        <v>0.46160824610000001</v>
      </c>
      <c r="I13" s="79">
        <v>22.930058862999999</v>
      </c>
      <c r="J13" s="13">
        <v>0.17323032790000001</v>
      </c>
      <c r="K13" s="79">
        <v>0.74857747070000002</v>
      </c>
      <c r="L13" s="15">
        <v>2.7337813999999999E-3</v>
      </c>
      <c r="M13" s="93">
        <v>65.427558567000005</v>
      </c>
      <c r="N13" s="88">
        <v>2.1169134516999999</v>
      </c>
      <c r="O13" s="37">
        <v>2166826.6770000001</v>
      </c>
      <c r="P13" s="13">
        <v>0</v>
      </c>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row>
    <row r="14" spans="1:58" x14ac:dyDescent="0.2">
      <c r="A14" s="8">
        <v>900</v>
      </c>
      <c r="B14" s="9">
        <v>22485</v>
      </c>
      <c r="C14" s="93">
        <v>375.33372496999999</v>
      </c>
      <c r="D14" s="24">
        <v>849.40643424999996</v>
      </c>
      <c r="E14" s="112">
        <v>78.513563528000006</v>
      </c>
      <c r="F14" s="13">
        <v>3.1116104773000002</v>
      </c>
      <c r="G14" s="79">
        <v>55.817143492</v>
      </c>
      <c r="H14" s="13">
        <v>0.51839638489999995</v>
      </c>
      <c r="I14" s="79">
        <v>27.010476519000001</v>
      </c>
      <c r="J14" s="13">
        <v>0.1975831609</v>
      </c>
      <c r="K14" s="79">
        <v>1.0048335905000001</v>
      </c>
      <c r="L14" s="15">
        <v>3.4087261E-3</v>
      </c>
      <c r="M14" s="93">
        <v>75.018664443999995</v>
      </c>
      <c r="N14" s="88">
        <v>2.2669149960000001</v>
      </c>
      <c r="O14" s="37">
        <v>2166826.6770000001</v>
      </c>
      <c r="P14" s="13">
        <v>0</v>
      </c>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row>
    <row r="15" spans="1:58" x14ac:dyDescent="0.2">
      <c r="A15" s="8">
        <v>1000</v>
      </c>
      <c r="B15" s="9">
        <v>20460</v>
      </c>
      <c r="C15" s="93">
        <v>402.94141127</v>
      </c>
      <c r="D15" s="24">
        <v>949.49609024999995</v>
      </c>
      <c r="E15" s="112">
        <v>83.485849844000001</v>
      </c>
      <c r="F15" s="13">
        <v>3.2400836970000002</v>
      </c>
      <c r="G15" s="79">
        <v>63.088154000000003</v>
      </c>
      <c r="H15" s="13">
        <v>0.57586656629999999</v>
      </c>
      <c r="I15" s="79">
        <v>31.268070515000002</v>
      </c>
      <c r="J15" s="13">
        <v>0.22205744520000001</v>
      </c>
      <c r="K15" s="79">
        <v>1.3272034612000001</v>
      </c>
      <c r="L15" s="15">
        <v>4.2475471000000004E-3</v>
      </c>
      <c r="M15" s="93">
        <v>85.160399677000001</v>
      </c>
      <c r="N15" s="88">
        <v>2.4093924798000002</v>
      </c>
      <c r="O15" s="37">
        <v>2166826.6770000001</v>
      </c>
      <c r="P15" s="13">
        <v>0</v>
      </c>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row>
    <row r="16" spans="1:58" x14ac:dyDescent="0.2">
      <c r="A16" s="8">
        <v>1100</v>
      </c>
      <c r="B16" s="9">
        <v>18687</v>
      </c>
      <c r="C16" s="93">
        <v>428.98286164000001</v>
      </c>
      <c r="D16" s="24">
        <v>1048.7143544999999</v>
      </c>
      <c r="E16" s="112">
        <v>88.115445175000005</v>
      </c>
      <c r="F16" s="13">
        <v>3.3562015940999999</v>
      </c>
      <c r="G16" s="79">
        <v>70.555367465000003</v>
      </c>
      <c r="H16" s="13">
        <v>0.6338640592</v>
      </c>
      <c r="I16" s="79">
        <v>35.517994420000001</v>
      </c>
      <c r="J16" s="13">
        <v>0.24685708679999999</v>
      </c>
      <c r="K16" s="79">
        <v>1.6079001045000001</v>
      </c>
      <c r="L16" s="15">
        <v>4.8813637999999999E-3</v>
      </c>
      <c r="M16" s="93">
        <v>95.564917926999996</v>
      </c>
      <c r="N16" s="88">
        <v>2.5459647777000001</v>
      </c>
      <c r="O16" s="37">
        <v>2166826.6770000001</v>
      </c>
      <c r="P16" s="13">
        <v>0</v>
      </c>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row>
    <row r="17" spans="1:58" x14ac:dyDescent="0.2">
      <c r="A17" s="8">
        <v>1200</v>
      </c>
      <c r="B17" s="9">
        <v>16416</v>
      </c>
      <c r="C17" s="93">
        <v>453.64061389</v>
      </c>
      <c r="D17" s="24">
        <v>1148.7912676999999</v>
      </c>
      <c r="E17" s="112">
        <v>92.463222690999999</v>
      </c>
      <c r="F17" s="13">
        <v>3.4626090264</v>
      </c>
      <c r="G17" s="79">
        <v>77.505953942999994</v>
      </c>
      <c r="H17" s="13">
        <v>0.68573428680000004</v>
      </c>
      <c r="I17" s="79">
        <v>39.634999925000002</v>
      </c>
      <c r="J17" s="13">
        <v>0.26961403480000001</v>
      </c>
      <c r="K17" s="79">
        <v>1.8997478286</v>
      </c>
      <c r="L17" s="15">
        <v>5.5306284999999998E-3</v>
      </c>
      <c r="M17" s="93">
        <v>106.00653455</v>
      </c>
      <c r="N17" s="88">
        <v>2.6750599570000002</v>
      </c>
      <c r="O17" s="37">
        <v>2166826.6770000001</v>
      </c>
      <c r="P17" s="13">
        <v>0</v>
      </c>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row>
    <row r="18" spans="1:58" x14ac:dyDescent="0.2">
      <c r="A18" s="8">
        <v>1300</v>
      </c>
      <c r="B18" s="9">
        <v>15148</v>
      </c>
      <c r="C18" s="93">
        <v>477.05398721</v>
      </c>
      <c r="D18" s="24">
        <v>1248.8868614</v>
      </c>
      <c r="E18" s="112">
        <v>96.634570632000006</v>
      </c>
      <c r="F18" s="13">
        <v>3.5618136009999999</v>
      </c>
      <c r="G18" s="79">
        <v>84.242874826999994</v>
      </c>
      <c r="H18" s="13">
        <v>0.73266326010000005</v>
      </c>
      <c r="I18" s="79">
        <v>43.827023476000001</v>
      </c>
      <c r="J18" s="13">
        <v>0.29070290939999999</v>
      </c>
      <c r="K18" s="79">
        <v>2.2391314176999999</v>
      </c>
      <c r="L18" s="15">
        <v>6.3304677999999996E-3</v>
      </c>
      <c r="M18" s="93">
        <v>116.2168844</v>
      </c>
      <c r="N18" s="88">
        <v>2.7950115803000002</v>
      </c>
      <c r="O18" s="37">
        <v>2166826.6770000001</v>
      </c>
      <c r="P18" s="13">
        <v>0</v>
      </c>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row>
    <row r="19" spans="1:58" x14ac:dyDescent="0.2">
      <c r="A19" s="8">
        <v>1400</v>
      </c>
      <c r="B19" s="9">
        <v>13916</v>
      </c>
      <c r="C19" s="93">
        <v>499.33340586999998</v>
      </c>
      <c r="D19" s="24">
        <v>1349.2860071</v>
      </c>
      <c r="E19" s="112">
        <v>100.36274648</v>
      </c>
      <c r="F19" s="13">
        <v>3.6506105541</v>
      </c>
      <c r="G19" s="79">
        <v>91.039829609999998</v>
      </c>
      <c r="H19" s="13">
        <v>0.77800757350000005</v>
      </c>
      <c r="I19" s="79">
        <v>48.124980655999998</v>
      </c>
      <c r="J19" s="13">
        <v>0.31111226990000002</v>
      </c>
      <c r="K19" s="79">
        <v>2.5919659918</v>
      </c>
      <c r="L19" s="15">
        <v>7.0978329E-3</v>
      </c>
      <c r="M19" s="93">
        <v>126.25933603999999</v>
      </c>
      <c r="N19" s="88">
        <v>2.9065222245000002</v>
      </c>
      <c r="O19" s="37">
        <v>2166826.6770000001</v>
      </c>
      <c r="P19" s="13">
        <v>0</v>
      </c>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row>
    <row r="20" spans="1:58" x14ac:dyDescent="0.2">
      <c r="A20" s="8">
        <v>1500</v>
      </c>
      <c r="B20" s="9">
        <v>12542</v>
      </c>
      <c r="C20" s="93">
        <v>520.57476449000001</v>
      </c>
      <c r="D20" s="24">
        <v>1449.5670161999999</v>
      </c>
      <c r="E20" s="112">
        <v>103.92945770999999</v>
      </c>
      <c r="F20" s="13">
        <v>3.7346596596000001</v>
      </c>
      <c r="G20" s="79">
        <v>97.632476535999999</v>
      </c>
      <c r="H20" s="13">
        <v>0.82080366900000001</v>
      </c>
      <c r="I20" s="79">
        <v>52.194238847000001</v>
      </c>
      <c r="J20" s="13">
        <v>0.33026598880000002</v>
      </c>
      <c r="K20" s="79">
        <v>3.0100559583000002</v>
      </c>
      <c r="L20" s="15">
        <v>7.9103299000000005E-3</v>
      </c>
      <c r="M20" s="93">
        <v>136.23878963000001</v>
      </c>
      <c r="N20" s="88">
        <v>3.0126036781000001</v>
      </c>
      <c r="O20" s="37">
        <v>2166826.6770000001</v>
      </c>
      <c r="P20" s="13">
        <v>0</v>
      </c>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row>
    <row r="21" spans="1:58" x14ac:dyDescent="0.2">
      <c r="A21" s="8">
        <v>1600</v>
      </c>
      <c r="B21" s="9">
        <v>11699</v>
      </c>
      <c r="C21" s="93">
        <v>540.85349012999995</v>
      </c>
      <c r="D21" s="24">
        <v>1549.2852545999999</v>
      </c>
      <c r="E21" s="112">
        <v>107.47545196</v>
      </c>
      <c r="F21" s="13">
        <v>3.8150866937000001</v>
      </c>
      <c r="G21" s="79">
        <v>104.0724404</v>
      </c>
      <c r="H21" s="13">
        <v>0.8618878874</v>
      </c>
      <c r="I21" s="79">
        <v>56.180226664000003</v>
      </c>
      <c r="J21" s="13">
        <v>0.34825259990000001</v>
      </c>
      <c r="K21" s="79">
        <v>3.4716023139000001</v>
      </c>
      <c r="L21" s="15">
        <v>8.8186205000000007E-3</v>
      </c>
      <c r="M21" s="93">
        <v>145.97759250999999</v>
      </c>
      <c r="N21" s="88">
        <v>3.1125672244999998</v>
      </c>
      <c r="O21" s="37">
        <v>2166826.6770000001</v>
      </c>
      <c r="P21" s="13">
        <v>0</v>
      </c>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row>
    <row r="22" spans="1:58" x14ac:dyDescent="0.2">
      <c r="A22" s="8">
        <v>1700</v>
      </c>
      <c r="B22" s="9">
        <v>10887</v>
      </c>
      <c r="C22" s="93">
        <v>560.24521391999997</v>
      </c>
      <c r="D22" s="24">
        <v>1649.085411</v>
      </c>
      <c r="E22" s="112">
        <v>110.86635541</v>
      </c>
      <c r="F22" s="13">
        <v>3.8898761667000001</v>
      </c>
      <c r="G22" s="79">
        <v>110.26153332</v>
      </c>
      <c r="H22" s="13">
        <v>0.90026799349999997</v>
      </c>
      <c r="I22" s="79">
        <v>60.203417451999997</v>
      </c>
      <c r="J22" s="13">
        <v>0.36616883059999999</v>
      </c>
      <c r="K22" s="79">
        <v>3.8892417611000001</v>
      </c>
      <c r="L22" s="15">
        <v>9.5977380999999994E-3</v>
      </c>
      <c r="M22" s="93">
        <v>155.51060296</v>
      </c>
      <c r="N22" s="88">
        <v>3.2086825867000002</v>
      </c>
      <c r="O22" s="37">
        <v>2166826.6770000001</v>
      </c>
      <c r="P22" s="13">
        <v>0</v>
      </c>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row>
    <row r="23" spans="1:58" x14ac:dyDescent="0.2">
      <c r="A23" s="8">
        <v>1800</v>
      </c>
      <c r="B23" s="9">
        <v>10617</v>
      </c>
      <c r="C23" s="93">
        <v>578.80594504999999</v>
      </c>
      <c r="D23" s="24">
        <v>1750.0039968999999</v>
      </c>
      <c r="E23" s="112">
        <v>114.25500117</v>
      </c>
      <c r="F23" s="13">
        <v>3.9628767777</v>
      </c>
      <c r="G23" s="79">
        <v>116.59722803</v>
      </c>
      <c r="H23" s="13">
        <v>0.93825168839999995</v>
      </c>
      <c r="I23" s="79">
        <v>64.369784347999996</v>
      </c>
      <c r="J23" s="13">
        <v>0.3837217926</v>
      </c>
      <c r="K23" s="79">
        <v>4.3589606737000004</v>
      </c>
      <c r="L23" s="15">
        <v>1.04152771E-2</v>
      </c>
      <c r="M23" s="93">
        <v>165.15789988</v>
      </c>
      <c r="N23" s="88">
        <v>3.3014254483999999</v>
      </c>
      <c r="O23" s="37">
        <v>2166826.6770000001</v>
      </c>
      <c r="P23" s="13">
        <v>0</v>
      </c>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row>
    <row r="24" spans="1:58" x14ac:dyDescent="0.2">
      <c r="A24" s="8">
        <v>1900</v>
      </c>
      <c r="B24" s="9">
        <v>9818</v>
      </c>
      <c r="C24" s="93">
        <v>596.56152282000005</v>
      </c>
      <c r="D24" s="24">
        <v>1849.1210636999999</v>
      </c>
      <c r="E24" s="112">
        <v>117.48454326</v>
      </c>
      <c r="F24" s="13">
        <v>4.0320461329999997</v>
      </c>
      <c r="G24" s="79">
        <v>122.53811933</v>
      </c>
      <c r="H24" s="13">
        <v>0.97308433319999998</v>
      </c>
      <c r="I24" s="79">
        <v>68.633287529</v>
      </c>
      <c r="J24" s="13">
        <v>0.40151278089999998</v>
      </c>
      <c r="K24" s="79">
        <v>4.8192397478000002</v>
      </c>
      <c r="L24" s="15">
        <v>1.12182329E-2</v>
      </c>
      <c r="M24" s="93">
        <v>174.63544718</v>
      </c>
      <c r="N24" s="88">
        <v>3.3900983117000001</v>
      </c>
      <c r="O24" s="37">
        <v>2166826.6770000001</v>
      </c>
      <c r="P24" s="13">
        <v>0</v>
      </c>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row>
    <row r="25" spans="1:58" x14ac:dyDescent="0.2">
      <c r="A25" s="8">
        <v>2000</v>
      </c>
      <c r="B25" s="9">
        <v>9127</v>
      </c>
      <c r="C25" s="93">
        <v>613.58552127999997</v>
      </c>
      <c r="D25" s="24">
        <v>1949.3741652000001</v>
      </c>
      <c r="E25" s="112">
        <v>120.55135641</v>
      </c>
      <c r="F25" s="13">
        <v>4.0980693090000004</v>
      </c>
      <c r="G25" s="79">
        <v>128.47902601999999</v>
      </c>
      <c r="H25" s="13">
        <v>1.0071856748000001</v>
      </c>
      <c r="I25" s="79">
        <v>72.693215338000002</v>
      </c>
      <c r="J25" s="13">
        <v>0.41815888480000002</v>
      </c>
      <c r="K25" s="79">
        <v>5.2985182345000004</v>
      </c>
      <c r="L25" s="15">
        <v>1.2040154000000001E-2</v>
      </c>
      <c r="M25" s="93">
        <v>184.15104729000001</v>
      </c>
      <c r="N25" s="88">
        <v>3.4769919323999998</v>
      </c>
      <c r="O25" s="37">
        <v>2166826.6770000001</v>
      </c>
      <c r="P25" s="13">
        <v>0</v>
      </c>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row>
    <row r="26" spans="1:58" x14ac:dyDescent="0.2">
      <c r="A26" s="8">
        <v>2100</v>
      </c>
      <c r="B26" s="9">
        <v>8860</v>
      </c>
      <c r="C26" s="93">
        <v>629.90481364000004</v>
      </c>
      <c r="D26" s="24">
        <v>2049.5420623999998</v>
      </c>
      <c r="E26" s="112">
        <v>123.74304248</v>
      </c>
      <c r="F26" s="13">
        <v>4.1667931466999999</v>
      </c>
      <c r="G26" s="79">
        <v>134.59569385</v>
      </c>
      <c r="H26" s="13">
        <v>1.0429192693</v>
      </c>
      <c r="I26" s="79">
        <v>76.696199071999999</v>
      </c>
      <c r="J26" s="13">
        <v>0.43463316460000001</v>
      </c>
      <c r="K26" s="79">
        <v>5.8215175226999998</v>
      </c>
      <c r="L26" s="15">
        <v>1.29665626E-2</v>
      </c>
      <c r="M26" s="93">
        <v>193.25931962000001</v>
      </c>
      <c r="N26" s="88">
        <v>3.5596321162</v>
      </c>
      <c r="O26" s="37">
        <v>2166826.6770000001</v>
      </c>
      <c r="P26" s="13">
        <v>0</v>
      </c>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row>
    <row r="27" spans="1:58" x14ac:dyDescent="0.2">
      <c r="A27" s="8">
        <v>2200</v>
      </c>
      <c r="B27" s="9">
        <v>8088</v>
      </c>
      <c r="C27" s="93">
        <v>645.56161098999996</v>
      </c>
      <c r="D27" s="24">
        <v>2149.3201051999999</v>
      </c>
      <c r="E27" s="112">
        <v>126.58632955</v>
      </c>
      <c r="F27" s="13">
        <v>4.2274791387999997</v>
      </c>
      <c r="G27" s="79">
        <v>140.57637750000001</v>
      </c>
      <c r="H27" s="13">
        <v>1.0763359954</v>
      </c>
      <c r="I27" s="79">
        <v>80.388392401000004</v>
      </c>
      <c r="J27" s="13">
        <v>0.44954748560000002</v>
      </c>
      <c r="K27" s="79">
        <v>6.3494881431000003</v>
      </c>
      <c r="L27" s="15">
        <v>1.37852863E-2</v>
      </c>
      <c r="M27" s="93">
        <v>202.28078785</v>
      </c>
      <c r="N27" s="88">
        <v>3.6393617769</v>
      </c>
      <c r="O27" s="37">
        <v>2166826.6770000001</v>
      </c>
      <c r="P27" s="13">
        <v>0</v>
      </c>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row>
    <row r="28" spans="1:58" x14ac:dyDescent="0.2">
      <c r="A28" s="8">
        <v>2300</v>
      </c>
      <c r="B28" s="9">
        <v>7556</v>
      </c>
      <c r="C28" s="93">
        <v>660.61018401000001</v>
      </c>
      <c r="D28" s="24">
        <v>2249.0980153</v>
      </c>
      <c r="E28" s="112">
        <v>129.36735831999999</v>
      </c>
      <c r="F28" s="13">
        <v>4.2857199533000001</v>
      </c>
      <c r="G28" s="79">
        <v>146.11461485999999</v>
      </c>
      <c r="H28" s="13">
        <v>1.1073952714999999</v>
      </c>
      <c r="I28" s="79">
        <v>84.143198364</v>
      </c>
      <c r="J28" s="13">
        <v>0.46475173130000003</v>
      </c>
      <c r="K28" s="79">
        <v>6.8449837454000004</v>
      </c>
      <c r="L28" s="15">
        <v>1.4621070200000001E-2</v>
      </c>
      <c r="M28" s="93">
        <v>210.69609309000001</v>
      </c>
      <c r="N28" s="88">
        <v>3.7141727004999998</v>
      </c>
      <c r="O28" s="37">
        <v>2166826.6770000001</v>
      </c>
      <c r="P28" s="13">
        <v>0</v>
      </c>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row>
    <row r="29" spans="1:58" x14ac:dyDescent="0.2">
      <c r="A29" s="8">
        <v>2400</v>
      </c>
      <c r="B29" s="9">
        <v>7247</v>
      </c>
      <c r="C29" s="93">
        <v>675.09071133999998</v>
      </c>
      <c r="D29" s="24">
        <v>2349.6820745999999</v>
      </c>
      <c r="E29" s="112">
        <v>132.19998081</v>
      </c>
      <c r="F29" s="13">
        <v>4.3421703501</v>
      </c>
      <c r="G29" s="79">
        <v>151.58186537</v>
      </c>
      <c r="H29" s="13">
        <v>1.1370176297000001</v>
      </c>
      <c r="I29" s="79">
        <v>87.842835563999998</v>
      </c>
      <c r="J29" s="13">
        <v>0.4788881304</v>
      </c>
      <c r="K29" s="79">
        <v>7.4722834815999999</v>
      </c>
      <c r="L29" s="15">
        <v>1.56144905E-2</v>
      </c>
      <c r="M29" s="93">
        <v>218.91233360000001</v>
      </c>
      <c r="N29" s="88">
        <v>3.7863180265</v>
      </c>
      <c r="O29" s="37">
        <v>2166826.6770000001</v>
      </c>
      <c r="P29" s="13">
        <v>0</v>
      </c>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row>
    <row r="30" spans="1:58" x14ac:dyDescent="0.2">
      <c r="A30" s="8">
        <v>2500</v>
      </c>
      <c r="B30" s="9">
        <v>6832</v>
      </c>
      <c r="C30" s="93">
        <v>689.01815835000002</v>
      </c>
      <c r="D30" s="24">
        <v>2449.1087174999998</v>
      </c>
      <c r="E30" s="112">
        <v>134.82825589999999</v>
      </c>
      <c r="F30" s="13">
        <v>4.3942618534999998</v>
      </c>
      <c r="G30" s="79">
        <v>156.92761028999999</v>
      </c>
      <c r="H30" s="13">
        <v>1.1656864250000001</v>
      </c>
      <c r="I30" s="79">
        <v>91.521380746000006</v>
      </c>
      <c r="J30" s="13">
        <v>0.49306270200000002</v>
      </c>
      <c r="K30" s="79">
        <v>8.1479807517000005</v>
      </c>
      <c r="L30" s="15">
        <v>1.6684118899999999E-2</v>
      </c>
      <c r="M30" s="93">
        <v>226.62102003999999</v>
      </c>
      <c r="N30" s="88">
        <v>3.8523470999999998</v>
      </c>
      <c r="O30" s="37">
        <v>2166826.6770000001</v>
      </c>
      <c r="P30" s="13">
        <v>0</v>
      </c>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row>
    <row r="31" spans="1:58" x14ac:dyDescent="0.2">
      <c r="A31" s="8">
        <v>2600</v>
      </c>
      <c r="B31" s="9">
        <v>6555</v>
      </c>
      <c r="C31" s="93">
        <v>702.42775005999999</v>
      </c>
      <c r="D31" s="24">
        <v>2549.0172609000001</v>
      </c>
      <c r="E31" s="112">
        <v>137.5236242</v>
      </c>
      <c r="F31" s="13">
        <v>4.4458636665000002</v>
      </c>
      <c r="G31" s="79">
        <v>162.23535681000001</v>
      </c>
      <c r="H31" s="13">
        <v>1.1941788039000001</v>
      </c>
      <c r="I31" s="79">
        <v>95.113171488000006</v>
      </c>
      <c r="J31" s="13">
        <v>0.50669534780000003</v>
      </c>
      <c r="K31" s="79">
        <v>8.7698165069999998</v>
      </c>
      <c r="L31" s="15">
        <v>1.7617381500000001E-2</v>
      </c>
      <c r="M31" s="93">
        <v>234.45577696000001</v>
      </c>
      <c r="N31" s="88">
        <v>3.9188945854999999</v>
      </c>
      <c r="O31" s="37">
        <v>2166826.6770000001</v>
      </c>
      <c r="P31" s="13">
        <v>0</v>
      </c>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row>
    <row r="32" spans="1:58" x14ac:dyDescent="0.2">
      <c r="A32" s="8">
        <v>2700</v>
      </c>
      <c r="B32" s="9">
        <v>6164</v>
      </c>
      <c r="C32" s="93">
        <v>715.35045126</v>
      </c>
      <c r="D32" s="24">
        <v>2649.6780153</v>
      </c>
      <c r="E32" s="112">
        <v>140.08740144000001</v>
      </c>
      <c r="F32" s="13">
        <v>4.4967916734999998</v>
      </c>
      <c r="G32" s="79">
        <v>167.25127424999999</v>
      </c>
      <c r="H32" s="13">
        <v>1.2202715789</v>
      </c>
      <c r="I32" s="79">
        <v>98.746597601000005</v>
      </c>
      <c r="J32" s="13">
        <v>0.52049946219999998</v>
      </c>
      <c r="K32" s="79">
        <v>9.4237254786999998</v>
      </c>
      <c r="L32" s="15">
        <v>1.8636360000000001E-2</v>
      </c>
      <c r="M32" s="93">
        <v>241.83519752999999</v>
      </c>
      <c r="N32" s="88">
        <v>3.9807132804999998</v>
      </c>
      <c r="O32" s="37">
        <v>2166826.6770000001</v>
      </c>
      <c r="P32" s="13">
        <v>0</v>
      </c>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row>
    <row r="33" spans="1:58" x14ac:dyDescent="0.2">
      <c r="A33" s="8">
        <v>2800</v>
      </c>
      <c r="B33" s="9">
        <v>5960</v>
      </c>
      <c r="C33" s="93">
        <v>727.80516874</v>
      </c>
      <c r="D33" s="24">
        <v>2749.6879196</v>
      </c>
      <c r="E33" s="112">
        <v>142.56175454000001</v>
      </c>
      <c r="F33" s="13">
        <v>4.5446475746999999</v>
      </c>
      <c r="G33" s="79">
        <v>172.32848003999999</v>
      </c>
      <c r="H33" s="13">
        <v>1.2466989842</v>
      </c>
      <c r="I33" s="79">
        <v>102.29299281</v>
      </c>
      <c r="J33" s="13">
        <v>0.53343977340000004</v>
      </c>
      <c r="K33" s="79">
        <v>10.118739645</v>
      </c>
      <c r="L33" s="15">
        <v>1.96755547E-2</v>
      </c>
      <c r="M33" s="93">
        <v>249.01640879999999</v>
      </c>
      <c r="N33" s="88">
        <v>4.0399716895999997</v>
      </c>
      <c r="O33" s="37">
        <v>2166826.6770000001</v>
      </c>
      <c r="P33" s="13">
        <v>0</v>
      </c>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row>
    <row r="34" spans="1:58" x14ac:dyDescent="0.2">
      <c r="A34" s="8">
        <v>2900</v>
      </c>
      <c r="B34" s="9">
        <v>5428</v>
      </c>
      <c r="C34" s="93">
        <v>739.81716328000005</v>
      </c>
      <c r="D34" s="24">
        <v>2848.6976252999998</v>
      </c>
      <c r="E34" s="112">
        <v>144.82234621000001</v>
      </c>
      <c r="F34" s="13">
        <v>4.5890457779</v>
      </c>
      <c r="G34" s="79">
        <v>177.02360277</v>
      </c>
      <c r="H34" s="13">
        <v>1.2708925892</v>
      </c>
      <c r="I34" s="79">
        <v>105.7756579</v>
      </c>
      <c r="J34" s="13">
        <v>0.54630931410000005</v>
      </c>
      <c r="K34" s="79">
        <v>10.783486984</v>
      </c>
      <c r="L34" s="15">
        <v>2.06654527E-2</v>
      </c>
      <c r="M34" s="93">
        <v>256.19173211999998</v>
      </c>
      <c r="N34" s="88">
        <v>4.0987590282999999</v>
      </c>
      <c r="O34" s="37">
        <v>2166826.6770000001</v>
      </c>
      <c r="P34" s="13">
        <v>0</v>
      </c>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row>
    <row r="35" spans="1:58" x14ac:dyDescent="0.2">
      <c r="A35" s="8">
        <v>3000</v>
      </c>
      <c r="B35" s="9">
        <v>5282</v>
      </c>
      <c r="C35" s="93">
        <v>751.42405914000005</v>
      </c>
      <c r="D35" s="24">
        <v>2950.0021879999999</v>
      </c>
      <c r="E35" s="112">
        <v>147.10530552</v>
      </c>
      <c r="F35" s="13">
        <v>4.6329433657000001</v>
      </c>
      <c r="G35" s="79">
        <v>181.62639107000001</v>
      </c>
      <c r="H35" s="13">
        <v>1.29431429</v>
      </c>
      <c r="I35" s="79">
        <v>109.1976564</v>
      </c>
      <c r="J35" s="13">
        <v>0.55876639340000001</v>
      </c>
      <c r="K35" s="79">
        <v>11.495056005</v>
      </c>
      <c r="L35" s="15">
        <v>2.16681468E-2</v>
      </c>
      <c r="M35" s="93">
        <v>263.16562341999997</v>
      </c>
      <c r="N35" s="88">
        <v>4.1550103261000002</v>
      </c>
      <c r="O35" s="37">
        <v>2166826.6770000001</v>
      </c>
      <c r="P35" s="13">
        <v>0</v>
      </c>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row>
    <row r="36" spans="1:58" x14ac:dyDescent="0.2">
      <c r="A36" s="8">
        <v>3100</v>
      </c>
      <c r="B36" s="9">
        <v>5054</v>
      </c>
      <c r="C36" s="93">
        <v>762.62826011000004</v>
      </c>
      <c r="D36" s="24">
        <v>3049.5016752000001</v>
      </c>
      <c r="E36" s="112">
        <v>149.38885013999999</v>
      </c>
      <c r="F36" s="13">
        <v>4.6748829522999999</v>
      </c>
      <c r="G36" s="79">
        <v>186.25336471</v>
      </c>
      <c r="H36" s="13">
        <v>1.3177984595000001</v>
      </c>
      <c r="I36" s="79">
        <v>112.69538808999999</v>
      </c>
      <c r="J36" s="13">
        <v>0.57127506579999998</v>
      </c>
      <c r="K36" s="79">
        <v>12.277270776</v>
      </c>
      <c r="L36" s="15">
        <v>2.2784057900000002E-2</v>
      </c>
      <c r="M36" s="93">
        <v>269.96950966999998</v>
      </c>
      <c r="N36" s="88">
        <v>4.2088832239</v>
      </c>
      <c r="O36" s="37">
        <v>2166826.6770000001</v>
      </c>
      <c r="P36" s="13">
        <v>0</v>
      </c>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row>
    <row r="37" spans="1:58" x14ac:dyDescent="0.2">
      <c r="A37" s="8">
        <v>3200</v>
      </c>
      <c r="B37" s="9">
        <v>4678</v>
      </c>
      <c r="C37" s="93">
        <v>773.45334544000002</v>
      </c>
      <c r="D37" s="24">
        <v>3148.9087092</v>
      </c>
      <c r="E37" s="112">
        <v>151.52616165000001</v>
      </c>
      <c r="F37" s="13">
        <v>4.7144300656000002</v>
      </c>
      <c r="G37" s="79">
        <v>190.63755748</v>
      </c>
      <c r="H37" s="13">
        <v>1.3399314885</v>
      </c>
      <c r="I37" s="79">
        <v>115.90017562</v>
      </c>
      <c r="J37" s="13">
        <v>0.58277778229999999</v>
      </c>
      <c r="K37" s="79">
        <v>12.968633527</v>
      </c>
      <c r="L37" s="15">
        <v>2.3739788599999999E-2</v>
      </c>
      <c r="M37" s="93">
        <v>276.57059785000001</v>
      </c>
      <c r="N37" s="88">
        <v>4.2610399720999999</v>
      </c>
      <c r="O37" s="37">
        <v>2166826.6770000001</v>
      </c>
      <c r="P37" s="13">
        <v>0</v>
      </c>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row>
    <row r="38" spans="1:58" x14ac:dyDescent="0.2">
      <c r="A38" s="8">
        <v>3300</v>
      </c>
      <c r="B38" s="9">
        <v>4609</v>
      </c>
      <c r="C38" s="93">
        <v>783.92554322000001</v>
      </c>
      <c r="D38" s="24">
        <v>3249.6587290000002</v>
      </c>
      <c r="E38" s="112">
        <v>153.70409235</v>
      </c>
      <c r="F38" s="13">
        <v>4.7542549649000003</v>
      </c>
      <c r="G38" s="79">
        <v>195.04436797</v>
      </c>
      <c r="H38" s="13">
        <v>1.3614147265000001</v>
      </c>
      <c r="I38" s="79">
        <v>119.03858618</v>
      </c>
      <c r="J38" s="13">
        <v>0.59396866829999995</v>
      </c>
      <c r="K38" s="79">
        <v>13.754139228</v>
      </c>
      <c r="L38" s="15">
        <v>2.4832770600000002E-2</v>
      </c>
      <c r="M38" s="93">
        <v>283.06238723000001</v>
      </c>
      <c r="N38" s="88">
        <v>4.3110279067999997</v>
      </c>
      <c r="O38" s="37">
        <v>2166826.6770000001</v>
      </c>
      <c r="P38" s="13">
        <v>0</v>
      </c>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row>
    <row r="39" spans="1:58" x14ac:dyDescent="0.2">
      <c r="A39" s="8">
        <v>3400</v>
      </c>
      <c r="B39" s="9">
        <v>4441</v>
      </c>
      <c r="C39" s="93">
        <v>794.04971020999994</v>
      </c>
      <c r="D39" s="24">
        <v>3350.1253204</v>
      </c>
      <c r="E39" s="112">
        <v>155.80776195999999</v>
      </c>
      <c r="F39" s="13">
        <v>4.7929558152</v>
      </c>
      <c r="G39" s="79">
        <v>199.53001105999999</v>
      </c>
      <c r="H39" s="13">
        <v>1.3834004428</v>
      </c>
      <c r="I39" s="79">
        <v>122.2625034</v>
      </c>
      <c r="J39" s="13">
        <v>0.60548516740000002</v>
      </c>
      <c r="K39" s="79">
        <v>14.518823810000001</v>
      </c>
      <c r="L39" s="15">
        <v>2.5912845699999999E-2</v>
      </c>
      <c r="M39" s="93">
        <v>289.35211489</v>
      </c>
      <c r="N39" s="88">
        <v>4.3589312947999996</v>
      </c>
      <c r="O39" s="37">
        <v>2166826.6770000001</v>
      </c>
      <c r="P39" s="13">
        <v>0</v>
      </c>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row>
    <row r="40" spans="1:58" x14ac:dyDescent="0.2">
      <c r="A40" s="8">
        <v>3500</v>
      </c>
      <c r="B40" s="9">
        <v>4050</v>
      </c>
      <c r="C40" s="93">
        <v>803.84833262999996</v>
      </c>
      <c r="D40" s="24">
        <v>3449.5105306</v>
      </c>
      <c r="E40" s="112">
        <v>157.82710356000001</v>
      </c>
      <c r="F40" s="13">
        <v>4.8296378914</v>
      </c>
      <c r="G40" s="79">
        <v>203.56879939999999</v>
      </c>
      <c r="H40" s="13">
        <v>1.4032261131999999</v>
      </c>
      <c r="I40" s="79">
        <v>125.17325361</v>
      </c>
      <c r="J40" s="13">
        <v>0.615696205</v>
      </c>
      <c r="K40" s="79">
        <v>15.27848889</v>
      </c>
      <c r="L40" s="15">
        <v>2.6919316799999999E-2</v>
      </c>
      <c r="M40" s="93">
        <v>295.47246887</v>
      </c>
      <c r="N40" s="88">
        <v>4.4049028374999999</v>
      </c>
      <c r="O40" s="37">
        <v>2166826.6770000001</v>
      </c>
      <c r="P40" s="13">
        <v>0</v>
      </c>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row>
    <row r="41" spans="1:58" x14ac:dyDescent="0.2">
      <c r="A41" s="8">
        <v>3600</v>
      </c>
      <c r="B41" s="9">
        <v>4007</v>
      </c>
      <c r="C41" s="93">
        <v>813.33757911999999</v>
      </c>
      <c r="D41" s="24">
        <v>3549.3037900999998</v>
      </c>
      <c r="E41" s="112">
        <v>159.88840769999999</v>
      </c>
      <c r="F41" s="13">
        <v>4.8685002485000002</v>
      </c>
      <c r="G41" s="79">
        <v>207.74200685</v>
      </c>
      <c r="H41" s="13">
        <v>1.4235855996</v>
      </c>
      <c r="I41" s="79">
        <v>128.10388584</v>
      </c>
      <c r="J41" s="13">
        <v>0.62568900540000005</v>
      </c>
      <c r="K41" s="79">
        <v>16.089149448000001</v>
      </c>
      <c r="L41" s="15">
        <v>2.8002967699999999E-2</v>
      </c>
      <c r="M41" s="93">
        <v>301.47231202</v>
      </c>
      <c r="N41" s="88">
        <v>4.4503827544999996</v>
      </c>
      <c r="O41" s="37">
        <v>2166826.6770000001</v>
      </c>
      <c r="P41" s="13">
        <v>0</v>
      </c>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row>
    <row r="42" spans="1:58" x14ac:dyDescent="0.2">
      <c r="A42" s="8">
        <v>3700</v>
      </c>
      <c r="B42" s="9">
        <v>3820</v>
      </c>
      <c r="C42" s="93">
        <v>822.53087157000004</v>
      </c>
      <c r="D42" s="24">
        <v>3650.5331821</v>
      </c>
      <c r="E42" s="112">
        <v>161.78096424</v>
      </c>
      <c r="F42" s="13">
        <v>4.9038189199</v>
      </c>
      <c r="G42" s="79">
        <v>211.73264141999999</v>
      </c>
      <c r="H42" s="13">
        <v>1.4426751582999999</v>
      </c>
      <c r="I42" s="79">
        <v>130.97165751</v>
      </c>
      <c r="J42" s="13">
        <v>0.63545644180000005</v>
      </c>
      <c r="K42" s="79">
        <v>16.956264694000001</v>
      </c>
      <c r="L42" s="15">
        <v>2.9145043799999999E-2</v>
      </c>
      <c r="M42" s="93">
        <v>307.39933543000001</v>
      </c>
      <c r="N42" s="88">
        <v>4.4940355299999997</v>
      </c>
      <c r="O42" s="37">
        <v>2166826.6770000001</v>
      </c>
      <c r="P42" s="13">
        <v>0</v>
      </c>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row>
    <row r="43" spans="1:58" x14ac:dyDescent="0.2">
      <c r="A43" s="8">
        <v>3800</v>
      </c>
      <c r="B43" s="9">
        <v>3596</v>
      </c>
      <c r="C43" s="93">
        <v>831.43734383000003</v>
      </c>
      <c r="D43" s="24">
        <v>3749.2859069000001</v>
      </c>
      <c r="E43" s="112">
        <v>163.62888151999999</v>
      </c>
      <c r="F43" s="13">
        <v>4.9374564517000001</v>
      </c>
      <c r="G43" s="79">
        <v>215.66366474</v>
      </c>
      <c r="H43" s="13">
        <v>1.461807431</v>
      </c>
      <c r="I43" s="79">
        <v>133.81450627999999</v>
      </c>
      <c r="J43" s="13">
        <v>0.64532031170000004</v>
      </c>
      <c r="K43" s="79">
        <v>17.796685410999999</v>
      </c>
      <c r="L43" s="15">
        <v>3.0252260600000001E-2</v>
      </c>
      <c r="M43" s="93">
        <v>313.13859307000001</v>
      </c>
      <c r="N43" s="88">
        <v>4.5360271566000003</v>
      </c>
      <c r="O43" s="37">
        <v>2166826.6770000001</v>
      </c>
      <c r="P43" s="13">
        <v>0</v>
      </c>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row>
    <row r="44" spans="1:58" x14ac:dyDescent="0.2">
      <c r="A44" s="8">
        <v>3900</v>
      </c>
      <c r="B44" s="9">
        <v>3447</v>
      </c>
      <c r="C44" s="93">
        <v>840.07198065</v>
      </c>
      <c r="D44" s="24">
        <v>3849.2468162</v>
      </c>
      <c r="E44" s="112">
        <v>165.43203001000001</v>
      </c>
      <c r="F44" s="13">
        <v>4.9707004582999996</v>
      </c>
      <c r="G44" s="79">
        <v>219.42577616</v>
      </c>
      <c r="H44" s="13">
        <v>1.4796196259000001</v>
      </c>
      <c r="I44" s="79">
        <v>136.67371073000001</v>
      </c>
      <c r="J44" s="13">
        <v>0.65499798509999996</v>
      </c>
      <c r="K44" s="79">
        <v>18.636887716</v>
      </c>
      <c r="L44" s="15">
        <v>3.1360440500000003E-2</v>
      </c>
      <c r="M44" s="93">
        <v>318.78158244000002</v>
      </c>
      <c r="N44" s="88">
        <v>4.5761593274000001</v>
      </c>
      <c r="O44" s="37">
        <v>2166826.6770000001</v>
      </c>
      <c r="P44" s="13">
        <v>0</v>
      </c>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row>
    <row r="45" spans="1:58" x14ac:dyDescent="0.2">
      <c r="A45" s="8">
        <v>4000</v>
      </c>
      <c r="B45" s="9">
        <v>3267</v>
      </c>
      <c r="C45" s="93">
        <v>848.45062110000003</v>
      </c>
      <c r="D45" s="24">
        <v>3949.6558359000001</v>
      </c>
      <c r="E45" s="112">
        <v>167.05973148000001</v>
      </c>
      <c r="F45" s="13">
        <v>5.0009882956</v>
      </c>
      <c r="G45" s="79">
        <v>223.09536523</v>
      </c>
      <c r="H45" s="13">
        <v>1.4967387871</v>
      </c>
      <c r="I45" s="79">
        <v>139.42761712999999</v>
      </c>
      <c r="J45" s="13">
        <v>0.6644023912</v>
      </c>
      <c r="K45" s="79">
        <v>19.487694378</v>
      </c>
      <c r="L45" s="15">
        <v>3.2432176700000002E-2</v>
      </c>
      <c r="M45" s="93">
        <v>324.37390441999997</v>
      </c>
      <c r="N45" s="88">
        <v>4.6163016508999997</v>
      </c>
      <c r="O45" s="37">
        <v>2166826.6770000001</v>
      </c>
      <c r="P45" s="13">
        <v>0</v>
      </c>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row>
    <row r="46" spans="1:58" x14ac:dyDescent="0.2">
      <c r="A46" s="8">
        <v>4100</v>
      </c>
      <c r="B46" s="9">
        <v>3192</v>
      </c>
      <c r="C46" s="93">
        <v>856.58076779999999</v>
      </c>
      <c r="D46" s="24">
        <v>4049.1846645999999</v>
      </c>
      <c r="E46" s="112">
        <v>168.75101649999999</v>
      </c>
      <c r="F46" s="13">
        <v>5.0311096343999999</v>
      </c>
      <c r="G46" s="79">
        <v>226.82070683000001</v>
      </c>
      <c r="H46" s="13">
        <v>1.5134863776</v>
      </c>
      <c r="I46" s="79">
        <v>142.09878029000001</v>
      </c>
      <c r="J46" s="13">
        <v>0.67330580529999995</v>
      </c>
      <c r="K46" s="79">
        <v>20.377237265000002</v>
      </c>
      <c r="L46" s="15">
        <v>3.3582135999999999E-2</v>
      </c>
      <c r="M46" s="93">
        <v>329.79795955999998</v>
      </c>
      <c r="N46" s="88">
        <v>4.6546086538999996</v>
      </c>
      <c r="O46" s="37">
        <v>2166826.6770000001</v>
      </c>
      <c r="P46" s="13">
        <v>0</v>
      </c>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row>
    <row r="47" spans="1:58" x14ac:dyDescent="0.2">
      <c r="A47" s="8">
        <v>4200</v>
      </c>
      <c r="B47" s="9">
        <v>3007</v>
      </c>
      <c r="C47" s="93">
        <v>864.47220690999995</v>
      </c>
      <c r="D47" s="24">
        <v>4149.7028031999998</v>
      </c>
      <c r="E47" s="112">
        <v>170.45257863</v>
      </c>
      <c r="F47" s="13">
        <v>5.0603367406000004</v>
      </c>
      <c r="G47" s="79">
        <v>230.37886473</v>
      </c>
      <c r="H47" s="13">
        <v>1.5298303641</v>
      </c>
      <c r="I47" s="79">
        <v>144.66901272000001</v>
      </c>
      <c r="J47" s="13">
        <v>0.6820385632</v>
      </c>
      <c r="K47" s="79">
        <v>21.286166836</v>
      </c>
      <c r="L47" s="15">
        <v>3.4729006299999997E-2</v>
      </c>
      <c r="M47" s="93">
        <v>335.11593026000003</v>
      </c>
      <c r="N47" s="88">
        <v>4.6921168384999996</v>
      </c>
      <c r="O47" s="37">
        <v>2166826.6770000001</v>
      </c>
      <c r="P47" s="13">
        <v>0</v>
      </c>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row>
    <row r="48" spans="1:58" x14ac:dyDescent="0.2">
      <c r="A48" s="8">
        <v>4300</v>
      </c>
      <c r="B48" s="9">
        <v>2999</v>
      </c>
      <c r="C48" s="93">
        <v>872.13274256</v>
      </c>
      <c r="D48" s="24">
        <v>4249.6759290999998</v>
      </c>
      <c r="E48" s="112">
        <v>172.13749593</v>
      </c>
      <c r="F48" s="13">
        <v>5.0899481040000003</v>
      </c>
      <c r="G48" s="79">
        <v>234.05366480000001</v>
      </c>
      <c r="H48" s="13">
        <v>1.5468681960999999</v>
      </c>
      <c r="I48" s="79">
        <v>147.38247138</v>
      </c>
      <c r="J48" s="13">
        <v>0.69099668869999997</v>
      </c>
      <c r="K48" s="79">
        <v>22.092612239000001</v>
      </c>
      <c r="L48" s="15">
        <v>3.5783918900000003E-2</v>
      </c>
      <c r="M48" s="93">
        <v>340.37413220000002</v>
      </c>
      <c r="N48" s="88">
        <v>4.7284577758999999</v>
      </c>
      <c r="O48" s="37">
        <v>2166826.6770000001</v>
      </c>
      <c r="P48" s="13">
        <v>0</v>
      </c>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row>
    <row r="49" spans="1:58" x14ac:dyDescent="0.2">
      <c r="A49" s="8">
        <v>4400</v>
      </c>
      <c r="B49" s="9">
        <v>2745</v>
      </c>
      <c r="C49" s="93">
        <v>879.57352405999995</v>
      </c>
      <c r="D49" s="24">
        <v>4350.6092892999995</v>
      </c>
      <c r="E49" s="112">
        <v>173.66528224999999</v>
      </c>
      <c r="F49" s="13">
        <v>5.1169340846000004</v>
      </c>
      <c r="G49" s="79">
        <v>237.38338103999999</v>
      </c>
      <c r="H49" s="13">
        <v>1.5620077274999999</v>
      </c>
      <c r="I49" s="79">
        <v>149.93007144000001</v>
      </c>
      <c r="J49" s="13">
        <v>0.69932406059999996</v>
      </c>
      <c r="K49" s="79">
        <v>22.954049178999998</v>
      </c>
      <c r="L49" s="15">
        <v>3.6878460600000003E-2</v>
      </c>
      <c r="M49" s="93">
        <v>345.6889473</v>
      </c>
      <c r="N49" s="88">
        <v>4.7642282823000004</v>
      </c>
      <c r="O49" s="37">
        <v>2166826.6770000001</v>
      </c>
      <c r="P49" s="13">
        <v>0</v>
      </c>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row>
    <row r="50" spans="1:58" x14ac:dyDescent="0.2">
      <c r="A50" s="8">
        <v>4500</v>
      </c>
      <c r="B50" s="9">
        <v>2635</v>
      </c>
      <c r="C50" s="93">
        <v>886.80271047999997</v>
      </c>
      <c r="D50" s="24">
        <v>4449.8098356</v>
      </c>
      <c r="E50" s="112">
        <v>175.16582478000001</v>
      </c>
      <c r="F50" s="13">
        <v>5.1435787400999997</v>
      </c>
      <c r="G50" s="79">
        <v>240.82664573</v>
      </c>
      <c r="H50" s="13">
        <v>1.5777377646999999</v>
      </c>
      <c r="I50" s="79">
        <v>152.42589892999999</v>
      </c>
      <c r="J50" s="13">
        <v>0.70759374109999995</v>
      </c>
      <c r="K50" s="79">
        <v>23.780302578000001</v>
      </c>
      <c r="L50" s="15">
        <v>3.79083105E-2</v>
      </c>
      <c r="M50" s="93">
        <v>350.79892029000001</v>
      </c>
      <c r="N50" s="88">
        <v>4.7986498133</v>
      </c>
      <c r="O50" s="37">
        <v>2166826.6770000001</v>
      </c>
      <c r="P50" s="13">
        <v>0</v>
      </c>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row>
    <row r="51" spans="1:58" x14ac:dyDescent="0.2">
      <c r="A51" s="8">
        <v>4600</v>
      </c>
      <c r="B51" s="9">
        <v>2525</v>
      </c>
      <c r="C51" s="93">
        <v>893.83083304000002</v>
      </c>
      <c r="D51" s="24">
        <v>4549.1629091000004</v>
      </c>
      <c r="E51" s="112">
        <v>176.62566240999999</v>
      </c>
      <c r="F51" s="13">
        <v>5.1694726865999998</v>
      </c>
      <c r="G51" s="79">
        <v>244.09254558999999</v>
      </c>
      <c r="H51" s="13">
        <v>1.5922540490999999</v>
      </c>
      <c r="I51" s="79">
        <v>154.82520400999999</v>
      </c>
      <c r="J51" s="13">
        <v>0.71530283959999996</v>
      </c>
      <c r="K51" s="79">
        <v>24.597082235999999</v>
      </c>
      <c r="L51" s="15">
        <v>3.8920492600000002E-2</v>
      </c>
      <c r="M51" s="93">
        <v>355.7615328</v>
      </c>
      <c r="N51" s="88">
        <v>4.8319527406000002</v>
      </c>
      <c r="O51" s="37">
        <v>2166826.6770000001</v>
      </c>
      <c r="P51" s="13">
        <v>0</v>
      </c>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row>
    <row r="52" spans="1:58" x14ac:dyDescent="0.2">
      <c r="A52" s="8">
        <v>4700</v>
      </c>
      <c r="B52" s="9">
        <v>2542</v>
      </c>
      <c r="C52" s="93">
        <v>900.66557048000004</v>
      </c>
      <c r="D52" s="24">
        <v>4649.9116666</v>
      </c>
      <c r="E52" s="112">
        <v>178.03519722999999</v>
      </c>
      <c r="F52" s="13">
        <v>5.1942777723000004</v>
      </c>
      <c r="G52" s="79">
        <v>247.42822135</v>
      </c>
      <c r="H52" s="13">
        <v>1.6069184262</v>
      </c>
      <c r="I52" s="79">
        <v>157.21974281000001</v>
      </c>
      <c r="J52" s="13">
        <v>0.72289751520000001</v>
      </c>
      <c r="K52" s="79">
        <v>25.498967572000002</v>
      </c>
      <c r="L52" s="15">
        <v>4.0001381699999998E-2</v>
      </c>
      <c r="M52" s="93">
        <v>360.56200675999997</v>
      </c>
      <c r="N52" s="88">
        <v>4.8635988001000001</v>
      </c>
      <c r="O52" s="37">
        <v>2166826.6770000001</v>
      </c>
      <c r="P52" s="13">
        <v>0</v>
      </c>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row>
    <row r="53" spans="1:58" x14ac:dyDescent="0.2">
      <c r="A53" s="8">
        <v>4800</v>
      </c>
      <c r="B53" s="9">
        <v>2420</v>
      </c>
      <c r="C53" s="93">
        <v>907.30511238999998</v>
      </c>
      <c r="D53" s="24">
        <v>4749.6384002000004</v>
      </c>
      <c r="E53" s="112">
        <v>179.53970279000001</v>
      </c>
      <c r="F53" s="13">
        <v>5.2201818192999996</v>
      </c>
      <c r="G53" s="79">
        <v>250.83105366000001</v>
      </c>
      <c r="H53" s="13">
        <v>1.6217392951</v>
      </c>
      <c r="I53" s="79">
        <v>159.64441484</v>
      </c>
      <c r="J53" s="13">
        <v>0.73055762040000005</v>
      </c>
      <c r="K53" s="79">
        <v>26.407736802999999</v>
      </c>
      <c r="L53" s="15">
        <v>4.1095411700000001E-2</v>
      </c>
      <c r="M53" s="93">
        <v>365.29860915</v>
      </c>
      <c r="N53" s="88">
        <v>4.8948418108</v>
      </c>
      <c r="O53" s="37">
        <v>2166826.6770000001</v>
      </c>
      <c r="P53" s="13">
        <v>0</v>
      </c>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row>
    <row r="54" spans="1:58" x14ac:dyDescent="0.2">
      <c r="A54" s="8">
        <v>4900</v>
      </c>
      <c r="B54" s="9">
        <v>2360</v>
      </c>
      <c r="C54" s="93">
        <v>913.75947029999998</v>
      </c>
      <c r="D54" s="24">
        <v>4850.6398892999996</v>
      </c>
      <c r="E54" s="112">
        <v>180.92732251999999</v>
      </c>
      <c r="F54" s="13">
        <v>5.2443611350000001</v>
      </c>
      <c r="G54" s="79">
        <v>254.07905715000001</v>
      </c>
      <c r="H54" s="13">
        <v>1.6360887580000001</v>
      </c>
      <c r="I54" s="79">
        <v>161.92733914999999</v>
      </c>
      <c r="J54" s="13">
        <v>0.73787773749999996</v>
      </c>
      <c r="K54" s="79">
        <v>27.308998104</v>
      </c>
      <c r="L54" s="15">
        <v>4.2179780899999998E-2</v>
      </c>
      <c r="M54" s="93">
        <v>369.84794403000001</v>
      </c>
      <c r="N54" s="88">
        <v>4.9236236933999997</v>
      </c>
      <c r="O54" s="37">
        <v>2166826.6770000001</v>
      </c>
      <c r="P54" s="13">
        <v>0</v>
      </c>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row>
    <row r="55" spans="1:58" x14ac:dyDescent="0.2">
      <c r="A55" s="8">
        <v>5000</v>
      </c>
      <c r="B55" s="9">
        <v>2290</v>
      </c>
      <c r="C55" s="93">
        <v>920.03364867000005</v>
      </c>
      <c r="D55" s="24">
        <v>4949.9750143000001</v>
      </c>
      <c r="E55" s="112">
        <v>182.34705819999999</v>
      </c>
      <c r="F55" s="13">
        <v>5.2680609252000004</v>
      </c>
      <c r="G55" s="79">
        <v>257.26696764000002</v>
      </c>
      <c r="H55" s="13">
        <v>1.6498982278000001</v>
      </c>
      <c r="I55" s="79">
        <v>164.10334520999999</v>
      </c>
      <c r="J55" s="13">
        <v>0.74487782719999995</v>
      </c>
      <c r="K55" s="79">
        <v>28.330251751999999</v>
      </c>
      <c r="L55" s="15">
        <v>4.33520394E-2</v>
      </c>
      <c r="M55" s="93">
        <v>374.41950310999999</v>
      </c>
      <c r="N55" s="88">
        <v>4.9537566198</v>
      </c>
      <c r="O55" s="37">
        <v>2166826.6770000001</v>
      </c>
      <c r="P55" s="13">
        <v>0</v>
      </c>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row>
    <row r="56" spans="1:58" x14ac:dyDescent="0.2">
      <c r="A56" s="8">
        <v>5100</v>
      </c>
      <c r="B56" s="9">
        <v>2174</v>
      </c>
      <c r="C56" s="93">
        <v>926.13636434</v>
      </c>
      <c r="D56" s="24">
        <v>5049.4740503000003</v>
      </c>
      <c r="E56" s="112">
        <v>183.69178958000001</v>
      </c>
      <c r="F56" s="13">
        <v>5.2903407894000001</v>
      </c>
      <c r="G56" s="79">
        <v>260.34668506000003</v>
      </c>
      <c r="H56" s="13">
        <v>1.6627023958</v>
      </c>
      <c r="I56" s="79">
        <v>166.19634289000001</v>
      </c>
      <c r="J56" s="13">
        <v>0.7515703198</v>
      </c>
      <c r="K56" s="79">
        <v>29.268950263000001</v>
      </c>
      <c r="L56" s="15">
        <v>4.4482707199999999E-2</v>
      </c>
      <c r="M56" s="93">
        <v>378.7614471</v>
      </c>
      <c r="N56" s="88">
        <v>4.9812626671000002</v>
      </c>
      <c r="O56" s="37">
        <v>2166826.6770000001</v>
      </c>
      <c r="P56" s="13">
        <v>0</v>
      </c>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row>
    <row r="57" spans="1:58" x14ac:dyDescent="0.2">
      <c r="A57" s="8">
        <v>5200</v>
      </c>
      <c r="B57" s="9">
        <v>2133</v>
      </c>
      <c r="C57" s="93">
        <v>932.07232668999995</v>
      </c>
      <c r="D57" s="24">
        <v>5149.3553247999998</v>
      </c>
      <c r="E57" s="112">
        <v>185.10253582999999</v>
      </c>
      <c r="F57" s="13">
        <v>5.3142406008999998</v>
      </c>
      <c r="G57" s="79">
        <v>263.35747283000001</v>
      </c>
      <c r="H57" s="13">
        <v>1.6756766928</v>
      </c>
      <c r="I57" s="79">
        <v>168.40579937999999</v>
      </c>
      <c r="J57" s="13">
        <v>0.75861096169999997</v>
      </c>
      <c r="K57" s="79">
        <v>30.170947897000001</v>
      </c>
      <c r="L57" s="15">
        <v>4.5562014999999997E-2</v>
      </c>
      <c r="M57" s="93">
        <v>383.06422407999997</v>
      </c>
      <c r="N57" s="88">
        <v>5.0092408141</v>
      </c>
      <c r="O57" s="37">
        <v>2166826.6770000001</v>
      </c>
      <c r="P57" s="13">
        <v>0</v>
      </c>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row>
    <row r="58" spans="1:58" x14ac:dyDescent="0.2">
      <c r="A58" s="8">
        <v>5300</v>
      </c>
      <c r="B58" s="9">
        <v>2013</v>
      </c>
      <c r="C58" s="93">
        <v>937.85317282000005</v>
      </c>
      <c r="D58" s="24">
        <v>5250.3525590999998</v>
      </c>
      <c r="E58" s="112">
        <v>186.30428069999999</v>
      </c>
      <c r="F58" s="13">
        <v>5.3350224962999997</v>
      </c>
      <c r="G58" s="79">
        <v>266.18637674000001</v>
      </c>
      <c r="H58" s="13">
        <v>1.6876655735999999</v>
      </c>
      <c r="I58" s="79">
        <v>170.38284049999999</v>
      </c>
      <c r="J58" s="13">
        <v>0.76494050349999998</v>
      </c>
      <c r="K58" s="79">
        <v>31.144291823</v>
      </c>
      <c r="L58" s="15">
        <v>4.6670774200000001E-2</v>
      </c>
      <c r="M58" s="93">
        <v>387.25579836999998</v>
      </c>
      <c r="N58" s="88">
        <v>5.0361596330999996</v>
      </c>
      <c r="O58" s="37">
        <v>2166826.6770000001</v>
      </c>
      <c r="P58" s="13">
        <v>0</v>
      </c>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row>
    <row r="59" spans="1:58" x14ac:dyDescent="0.2">
      <c r="A59" s="8">
        <v>5400</v>
      </c>
      <c r="B59" s="9">
        <v>2004</v>
      </c>
      <c r="C59" s="93">
        <v>943.47889011999996</v>
      </c>
      <c r="D59" s="24">
        <v>5349.6140242000001</v>
      </c>
      <c r="E59" s="112">
        <v>187.65442891999999</v>
      </c>
      <c r="F59" s="13">
        <v>5.3567551164999996</v>
      </c>
      <c r="G59" s="79">
        <v>269.10524781999999</v>
      </c>
      <c r="H59" s="13">
        <v>1.7000561868999999</v>
      </c>
      <c r="I59" s="79">
        <v>172.58630916999999</v>
      </c>
      <c r="J59" s="13">
        <v>0.77173186039999997</v>
      </c>
      <c r="K59" s="79">
        <v>32.132808257000001</v>
      </c>
      <c r="L59" s="15">
        <v>4.7804560400000001E-2</v>
      </c>
      <c r="M59" s="93">
        <v>391.23654985000002</v>
      </c>
      <c r="N59" s="88">
        <v>5.0607611476000001</v>
      </c>
      <c r="O59" s="37">
        <v>2166826.6770000001</v>
      </c>
      <c r="P59" s="13">
        <v>0</v>
      </c>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row>
    <row r="60" spans="1:58" x14ac:dyDescent="0.2">
      <c r="A60" s="8">
        <v>5500</v>
      </c>
      <c r="B60" s="9">
        <v>1872</v>
      </c>
      <c r="C60" s="93">
        <v>948.95568924999998</v>
      </c>
      <c r="D60" s="24">
        <v>5449.5850122000002</v>
      </c>
      <c r="E60" s="112">
        <v>188.84165533999999</v>
      </c>
      <c r="F60" s="13">
        <v>5.3764103360000002</v>
      </c>
      <c r="G60" s="79">
        <v>271.88652074999999</v>
      </c>
      <c r="H60" s="13">
        <v>1.7119385054</v>
      </c>
      <c r="I60" s="79">
        <v>174.58159757000001</v>
      </c>
      <c r="J60" s="13">
        <v>0.77782146379999995</v>
      </c>
      <c r="K60" s="79">
        <v>33.153292245000003</v>
      </c>
      <c r="L60" s="15">
        <v>4.9005232599999997E-2</v>
      </c>
      <c r="M60" s="93">
        <v>395.15659999000002</v>
      </c>
      <c r="N60" s="88">
        <v>5.0852981585999997</v>
      </c>
      <c r="O60" s="37">
        <v>2166826.6770000001</v>
      </c>
      <c r="P60" s="13">
        <v>0</v>
      </c>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row>
    <row r="61" spans="1:58" x14ac:dyDescent="0.2">
      <c r="A61" s="8">
        <v>5600</v>
      </c>
      <c r="B61" s="9">
        <v>1841</v>
      </c>
      <c r="C61" s="93">
        <v>954.28982480000002</v>
      </c>
      <c r="D61" s="24">
        <v>5550.6531510000004</v>
      </c>
      <c r="E61" s="112">
        <v>190.10994350999999</v>
      </c>
      <c r="F61" s="13">
        <v>5.3979597558999997</v>
      </c>
      <c r="G61" s="79">
        <v>274.73592151999998</v>
      </c>
      <c r="H61" s="13">
        <v>1.7238404060999999</v>
      </c>
      <c r="I61" s="79">
        <v>176.63788055000001</v>
      </c>
      <c r="J61" s="13">
        <v>0.78419030440000004</v>
      </c>
      <c r="K61" s="79">
        <v>34.128811640000002</v>
      </c>
      <c r="L61" s="15">
        <v>5.0072831499999998E-2</v>
      </c>
      <c r="M61" s="93">
        <v>399.04585062000001</v>
      </c>
      <c r="N61" s="88">
        <v>5.1094551537999999</v>
      </c>
      <c r="O61" s="37">
        <v>2166826.6770000001</v>
      </c>
      <c r="P61" s="13">
        <v>0</v>
      </c>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row>
    <row r="62" spans="1:58" x14ac:dyDescent="0.2">
      <c r="A62" s="8">
        <v>5700</v>
      </c>
      <c r="B62" s="9">
        <v>1735</v>
      </c>
      <c r="C62" s="93">
        <v>959.48323434999998</v>
      </c>
      <c r="D62" s="24">
        <v>5649.0697744999998</v>
      </c>
      <c r="E62" s="112">
        <v>191.24107031</v>
      </c>
      <c r="F62" s="13">
        <v>5.4165898461999999</v>
      </c>
      <c r="G62" s="79">
        <v>277.41843791999997</v>
      </c>
      <c r="H62" s="13">
        <v>1.7351747701</v>
      </c>
      <c r="I62" s="79">
        <v>178.40906247000001</v>
      </c>
      <c r="J62" s="13">
        <v>0.78982706960000004</v>
      </c>
      <c r="K62" s="79">
        <v>35.038178547000001</v>
      </c>
      <c r="L62" s="15">
        <v>5.1096478399999999E-2</v>
      </c>
      <c r="M62" s="93">
        <v>402.94560508000001</v>
      </c>
      <c r="N62" s="88">
        <v>5.1333666838000003</v>
      </c>
      <c r="O62" s="37">
        <v>2166826.6770000001</v>
      </c>
      <c r="P62" s="13">
        <v>0</v>
      </c>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row>
    <row r="63" spans="1:58" x14ac:dyDescent="0.2">
      <c r="A63" s="8">
        <v>5800</v>
      </c>
      <c r="B63" s="9">
        <v>1648</v>
      </c>
      <c r="C63" s="93">
        <v>964.54990959999998</v>
      </c>
      <c r="D63" s="24">
        <v>5750.1385850999995</v>
      </c>
      <c r="E63" s="112">
        <v>192.29618356</v>
      </c>
      <c r="F63" s="13">
        <v>5.4356460990000004</v>
      </c>
      <c r="G63" s="79">
        <v>280.13942059999999</v>
      </c>
      <c r="H63" s="13">
        <v>1.7468238854</v>
      </c>
      <c r="I63" s="79">
        <v>180.18804659</v>
      </c>
      <c r="J63" s="13">
        <v>0.79522246959999998</v>
      </c>
      <c r="K63" s="79">
        <v>35.948854320000002</v>
      </c>
      <c r="L63" s="15">
        <v>5.2105741099999998E-2</v>
      </c>
      <c r="M63" s="93">
        <v>406.69721700000002</v>
      </c>
      <c r="N63" s="88">
        <v>5.1563378187</v>
      </c>
      <c r="O63" s="37">
        <v>2166826.6770000001</v>
      </c>
      <c r="P63" s="13">
        <v>0</v>
      </c>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row>
    <row r="64" spans="1:58" x14ac:dyDescent="0.2">
      <c r="A64" s="8">
        <v>5900</v>
      </c>
      <c r="B64" s="9">
        <v>1590</v>
      </c>
      <c r="C64" s="93">
        <v>969.49323876000005</v>
      </c>
      <c r="D64" s="24">
        <v>5849.6890646000002</v>
      </c>
      <c r="E64" s="112">
        <v>193.38685032999999</v>
      </c>
      <c r="F64" s="13">
        <v>5.4535152039000003</v>
      </c>
      <c r="G64" s="79">
        <v>282.76611932999998</v>
      </c>
      <c r="H64" s="13">
        <v>1.7576282151</v>
      </c>
      <c r="I64" s="79">
        <v>181.81986714000001</v>
      </c>
      <c r="J64" s="13">
        <v>0.80047909029999997</v>
      </c>
      <c r="K64" s="79">
        <v>36.825996385000003</v>
      </c>
      <c r="L64" s="15">
        <v>5.3106034400000002E-2</v>
      </c>
      <c r="M64" s="93">
        <v>410.37703898000001</v>
      </c>
      <c r="N64" s="88">
        <v>5.1787861240000002</v>
      </c>
      <c r="O64" s="37">
        <v>2166826.6770000001</v>
      </c>
      <c r="P64" s="13">
        <v>0</v>
      </c>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row>
    <row r="65" spans="1:58" x14ac:dyDescent="0.2">
      <c r="A65" s="8">
        <v>6000</v>
      </c>
      <c r="B65" s="9">
        <v>1578</v>
      </c>
      <c r="C65" s="93">
        <v>974.31695253999999</v>
      </c>
      <c r="D65" s="24">
        <v>5949.9534616999999</v>
      </c>
      <c r="E65" s="112">
        <v>194.43608007</v>
      </c>
      <c r="F65" s="13">
        <v>5.4704817372000001</v>
      </c>
      <c r="G65" s="79">
        <v>285.26969954999998</v>
      </c>
      <c r="H65" s="13">
        <v>1.7680258226000001</v>
      </c>
      <c r="I65" s="79">
        <v>183.62746393</v>
      </c>
      <c r="J65" s="13">
        <v>0.80601936419999998</v>
      </c>
      <c r="K65" s="79">
        <v>37.654106726000002</v>
      </c>
      <c r="L65" s="15">
        <v>5.4071032800000002E-2</v>
      </c>
      <c r="M65" s="93">
        <v>413.98986160999999</v>
      </c>
      <c r="N65" s="88">
        <v>5.2001561837999999</v>
      </c>
      <c r="O65" s="37">
        <v>2166826.6770000001</v>
      </c>
      <c r="P65" s="13">
        <v>0</v>
      </c>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row>
    <row r="66" spans="1:58" x14ac:dyDescent="0.2">
      <c r="A66" s="8">
        <v>6100</v>
      </c>
      <c r="B66" s="9">
        <v>1464</v>
      </c>
      <c r="C66" s="93">
        <v>979.02496918999998</v>
      </c>
      <c r="D66" s="24">
        <v>6050.1906169000004</v>
      </c>
      <c r="E66" s="112">
        <v>195.45991598000001</v>
      </c>
      <c r="F66" s="13">
        <v>5.4880084840999999</v>
      </c>
      <c r="G66" s="79">
        <v>287.76754110000002</v>
      </c>
      <c r="H66" s="13">
        <v>1.7783257159999999</v>
      </c>
      <c r="I66" s="79">
        <v>185.31412028</v>
      </c>
      <c r="J66" s="13">
        <v>0.81127755830000003</v>
      </c>
      <c r="K66" s="79">
        <v>38.541228687</v>
      </c>
      <c r="L66" s="15">
        <v>5.5066676500000002E-2</v>
      </c>
      <c r="M66" s="93">
        <v>417.53713981999999</v>
      </c>
      <c r="N66" s="88">
        <v>5.2211917131999996</v>
      </c>
      <c r="O66" s="37">
        <v>2166826.6770000001</v>
      </c>
      <c r="P66" s="13">
        <v>0</v>
      </c>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row>
    <row r="67" spans="1:58" x14ac:dyDescent="0.2">
      <c r="A67" s="8">
        <v>6200</v>
      </c>
      <c r="B67" s="9">
        <v>1486</v>
      </c>
      <c r="C67" s="93">
        <v>983.61793003000002</v>
      </c>
      <c r="D67" s="24">
        <v>6149.5645138</v>
      </c>
      <c r="E67" s="112">
        <v>196.50621382</v>
      </c>
      <c r="F67" s="13">
        <v>5.5053915677000003</v>
      </c>
      <c r="G67" s="79">
        <v>290.24314419000001</v>
      </c>
      <c r="H67" s="13">
        <v>1.7884589957999999</v>
      </c>
      <c r="I67" s="79">
        <v>187.03329880000001</v>
      </c>
      <c r="J67" s="13">
        <v>0.81634221149999997</v>
      </c>
      <c r="K67" s="79">
        <v>39.427444352000002</v>
      </c>
      <c r="L67" s="15">
        <v>5.5991991800000002E-2</v>
      </c>
      <c r="M67" s="93">
        <v>420.93710240000001</v>
      </c>
      <c r="N67" s="88">
        <v>5.2416255330999997</v>
      </c>
      <c r="O67" s="37">
        <v>2166826.6770000001</v>
      </c>
      <c r="P67" s="13">
        <v>0</v>
      </c>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row>
    <row r="68" spans="1:58" x14ac:dyDescent="0.2">
      <c r="A68" s="8">
        <v>6300</v>
      </c>
      <c r="B68" s="9">
        <v>1456</v>
      </c>
      <c r="C68" s="93">
        <v>988.09842473000003</v>
      </c>
      <c r="D68" s="24">
        <v>6250.1373829000004</v>
      </c>
      <c r="E68" s="112">
        <v>197.53163465</v>
      </c>
      <c r="F68" s="13">
        <v>5.5227854168999997</v>
      </c>
      <c r="G68" s="79">
        <v>292.67007411999998</v>
      </c>
      <c r="H68" s="13">
        <v>1.7981377408000001</v>
      </c>
      <c r="I68" s="79">
        <v>188.87245698999999</v>
      </c>
      <c r="J68" s="13">
        <v>0.82199971439999997</v>
      </c>
      <c r="K68" s="79">
        <v>40.418975234999998</v>
      </c>
      <c r="L68" s="15">
        <v>5.7086798399999999E-2</v>
      </c>
      <c r="M68" s="93">
        <v>424.35619641</v>
      </c>
      <c r="N68" s="88">
        <v>5.2616984389999999</v>
      </c>
      <c r="O68" s="37">
        <v>2166826.6770000001</v>
      </c>
      <c r="P68" s="13">
        <v>0</v>
      </c>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row>
    <row r="69" spans="1:58" x14ac:dyDescent="0.2">
      <c r="A69" s="8">
        <v>6400</v>
      </c>
      <c r="B69" s="9">
        <v>1389</v>
      </c>
      <c r="C69" s="93">
        <v>992.46902317000001</v>
      </c>
      <c r="D69" s="24">
        <v>6349.3644757000002</v>
      </c>
      <c r="E69" s="112">
        <v>198.52583243000001</v>
      </c>
      <c r="F69" s="13">
        <v>5.5386037910999999</v>
      </c>
      <c r="G69" s="79">
        <v>295.02535582000002</v>
      </c>
      <c r="H69" s="13">
        <v>1.8075097398</v>
      </c>
      <c r="I69" s="79">
        <v>190.36451398</v>
      </c>
      <c r="J69" s="13">
        <v>0.82673395829999996</v>
      </c>
      <c r="K69" s="79">
        <v>41.327584887999997</v>
      </c>
      <c r="L69" s="15">
        <v>5.81103392E-2</v>
      </c>
      <c r="M69" s="93">
        <v>427.64905005000003</v>
      </c>
      <c r="N69" s="88">
        <v>5.2808486162000001</v>
      </c>
      <c r="O69" s="37">
        <v>2166826.6770000001</v>
      </c>
      <c r="P69" s="13">
        <v>0</v>
      </c>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row>
    <row r="70" spans="1:58" x14ac:dyDescent="0.2">
      <c r="A70" s="8">
        <v>6500</v>
      </c>
      <c r="B70" s="9">
        <v>1368</v>
      </c>
      <c r="C70" s="93">
        <v>996.73782109000001</v>
      </c>
      <c r="D70" s="24">
        <v>6450.2634448999997</v>
      </c>
      <c r="E70" s="112">
        <v>199.51616641000001</v>
      </c>
      <c r="F70" s="13">
        <v>5.5559089188000002</v>
      </c>
      <c r="G70" s="79">
        <v>297.41372361999998</v>
      </c>
      <c r="H70" s="13">
        <v>1.8172058135</v>
      </c>
      <c r="I70" s="79">
        <v>192.03180896000001</v>
      </c>
      <c r="J70" s="13">
        <v>0.8320440402</v>
      </c>
      <c r="K70" s="79">
        <v>42.135108058</v>
      </c>
      <c r="L70" s="15">
        <v>5.89855008E-2</v>
      </c>
      <c r="M70" s="93">
        <v>430.88188020000001</v>
      </c>
      <c r="N70" s="88">
        <v>5.2994904855999998</v>
      </c>
      <c r="O70" s="37">
        <v>2166826.6770000001</v>
      </c>
      <c r="P70" s="13">
        <v>0</v>
      </c>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row>
    <row r="71" spans="1:58" x14ac:dyDescent="0.2">
      <c r="A71" s="8">
        <v>7500</v>
      </c>
      <c r="B71" s="9">
        <v>11174</v>
      </c>
      <c r="C71" s="93">
        <v>1034.3495751</v>
      </c>
      <c r="D71" s="24">
        <v>6967.5956562000001</v>
      </c>
      <c r="E71" s="112">
        <v>208.02918460000001</v>
      </c>
      <c r="F71" s="13">
        <v>5.6941797529000002</v>
      </c>
      <c r="G71" s="79">
        <v>317.44962512000001</v>
      </c>
      <c r="H71" s="13">
        <v>1.8964322218</v>
      </c>
      <c r="I71" s="79">
        <v>206.82806239999999</v>
      </c>
      <c r="J71" s="13">
        <v>0.8762647845</v>
      </c>
      <c r="K71" s="79">
        <v>51.091428323999999</v>
      </c>
      <c r="L71" s="15">
        <v>6.8284574700000003E-2</v>
      </c>
      <c r="M71" s="93">
        <v>459.48120358</v>
      </c>
      <c r="N71" s="88">
        <v>5.4604542793000004</v>
      </c>
      <c r="O71" s="37">
        <v>2166826.6770000001</v>
      </c>
      <c r="P71" s="13">
        <v>0</v>
      </c>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row>
    <row r="72" spans="1:58" x14ac:dyDescent="0.2">
      <c r="A72" s="8">
        <v>10000</v>
      </c>
      <c r="B72" s="9">
        <v>16525</v>
      </c>
      <c r="C72" s="93">
        <v>1100.7949466</v>
      </c>
      <c r="D72" s="24">
        <v>8600.3655543999994</v>
      </c>
      <c r="E72" s="112">
        <v>223.17764405</v>
      </c>
      <c r="F72" s="13">
        <v>5.9298230920000004</v>
      </c>
      <c r="G72" s="79">
        <v>354.29724778999997</v>
      </c>
      <c r="H72" s="13">
        <v>2.031671888</v>
      </c>
      <c r="I72" s="79">
        <v>231.54759114000001</v>
      </c>
      <c r="J72" s="13">
        <v>0.94683336019999997</v>
      </c>
      <c r="K72" s="79">
        <v>68.630619530999994</v>
      </c>
      <c r="L72" s="15">
        <v>8.5741764200000001E-2</v>
      </c>
      <c r="M72" s="93">
        <v>509.01238798999998</v>
      </c>
      <c r="N72" s="88">
        <v>5.7169581291</v>
      </c>
      <c r="O72" s="37">
        <v>2166826.6770000001</v>
      </c>
      <c r="P72" s="13">
        <v>0</v>
      </c>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row>
    <row r="73" spans="1:58" x14ac:dyDescent="0.2">
      <c r="A73" s="8">
        <v>15000</v>
      </c>
      <c r="B73" s="9">
        <v>13223</v>
      </c>
      <c r="C73" s="93">
        <v>1175.4544338000001</v>
      </c>
      <c r="D73" s="24">
        <v>12012.749497999999</v>
      </c>
      <c r="E73" s="112">
        <v>238.99118763999999</v>
      </c>
      <c r="F73" s="13">
        <v>6.1552144422000001</v>
      </c>
      <c r="G73" s="79">
        <v>394.17023209000001</v>
      </c>
      <c r="H73" s="13">
        <v>2.1554501100999999</v>
      </c>
      <c r="I73" s="79">
        <v>256.96622422000002</v>
      </c>
      <c r="J73" s="13">
        <v>1.0118597915</v>
      </c>
      <c r="K73" s="79">
        <v>92.236261248000005</v>
      </c>
      <c r="L73" s="15">
        <v>0.10556180129999999</v>
      </c>
      <c r="M73" s="93">
        <v>556.37291029999994</v>
      </c>
      <c r="N73" s="88">
        <v>5.9313492488000001</v>
      </c>
      <c r="O73" s="37">
        <v>2166826.6770000001</v>
      </c>
      <c r="P73" s="13">
        <v>0</v>
      </c>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row>
    <row r="74" spans="1:58" x14ac:dyDescent="0.2">
      <c r="A74" s="8">
        <v>20000</v>
      </c>
      <c r="B74" s="9">
        <v>4834</v>
      </c>
      <c r="C74" s="93">
        <v>1219.2807829000001</v>
      </c>
      <c r="D74" s="24">
        <v>17175.039148</v>
      </c>
      <c r="E74" s="112">
        <v>246.28170177000001</v>
      </c>
      <c r="F74" s="13">
        <v>6.2504156809999998</v>
      </c>
      <c r="G74" s="79">
        <v>415.29545721</v>
      </c>
      <c r="H74" s="13">
        <v>2.2059448486000002</v>
      </c>
      <c r="I74" s="79">
        <v>267.92392984999998</v>
      </c>
      <c r="J74" s="13">
        <v>1.0361191971000001</v>
      </c>
      <c r="K74" s="79">
        <v>107.80151764999999</v>
      </c>
      <c r="L74" s="15">
        <v>0.1158534334</v>
      </c>
      <c r="M74" s="93">
        <v>577.20718578000003</v>
      </c>
      <c r="N74" s="88">
        <v>6.0066748556</v>
      </c>
      <c r="O74" s="37">
        <v>2166826.6770000001</v>
      </c>
      <c r="P74" s="13">
        <v>0</v>
      </c>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row>
    <row r="75" spans="1:58" x14ac:dyDescent="0.2">
      <c r="A75" s="8">
        <v>25000</v>
      </c>
      <c r="B75" s="9">
        <v>2603</v>
      </c>
      <c r="C75" s="93">
        <v>1249.5414304999999</v>
      </c>
      <c r="D75" s="24">
        <v>22294.419031000001</v>
      </c>
      <c r="E75" s="112">
        <v>250.14783385999999</v>
      </c>
      <c r="F75" s="13">
        <v>6.2973498345000003</v>
      </c>
      <c r="G75" s="79">
        <v>430.65617723999998</v>
      </c>
      <c r="H75" s="13">
        <v>2.2299315564</v>
      </c>
      <c r="I75" s="79">
        <v>274.92044277999997</v>
      </c>
      <c r="J75" s="13">
        <v>1.0476338758999999</v>
      </c>
      <c r="K75" s="79">
        <v>120.64128553</v>
      </c>
      <c r="L75" s="15">
        <v>0.1217870449</v>
      </c>
      <c r="M75" s="93">
        <v>589.24379111999997</v>
      </c>
      <c r="N75" s="88">
        <v>6.0416435717999999</v>
      </c>
      <c r="O75" s="37">
        <v>2166826.6770000001</v>
      </c>
      <c r="P75" s="13">
        <v>0</v>
      </c>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row>
    <row r="76" spans="1:58" x14ac:dyDescent="0.2">
      <c r="A76" s="8">
        <v>30000</v>
      </c>
      <c r="B76" s="9">
        <v>1969</v>
      </c>
      <c r="C76" s="93">
        <v>1270.8620953</v>
      </c>
      <c r="D76" s="24">
        <v>27298.882207999999</v>
      </c>
      <c r="E76" s="112">
        <v>252.85400455000001</v>
      </c>
      <c r="F76" s="13">
        <v>6.3316981191000004</v>
      </c>
      <c r="G76" s="79">
        <v>444.35842120000001</v>
      </c>
      <c r="H76" s="13">
        <v>2.2475091370000002</v>
      </c>
      <c r="I76" s="79">
        <v>280.75739813000001</v>
      </c>
      <c r="J76" s="13">
        <v>1.05505202</v>
      </c>
      <c r="K76" s="79">
        <v>136.97845075000001</v>
      </c>
      <c r="L76" s="15">
        <v>0.12731005270000001</v>
      </c>
      <c r="M76" s="93">
        <v>597.93167547999997</v>
      </c>
      <c r="N76" s="88">
        <v>6.0614806866000004</v>
      </c>
      <c r="O76" s="37">
        <v>2166826.6770000001</v>
      </c>
      <c r="P76" s="13">
        <v>0</v>
      </c>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row>
    <row r="77" spans="1:58" x14ac:dyDescent="0.2">
      <c r="A77" s="8">
        <v>35000</v>
      </c>
      <c r="B77" s="9">
        <v>1226</v>
      </c>
      <c r="C77" s="93">
        <v>1286.0157116</v>
      </c>
      <c r="D77" s="24">
        <v>32327.522559000001</v>
      </c>
      <c r="E77" s="112">
        <v>254.67341619999999</v>
      </c>
      <c r="F77" s="13">
        <v>6.3517348930999997</v>
      </c>
      <c r="G77" s="79">
        <v>453.78840724999998</v>
      </c>
      <c r="H77" s="13">
        <v>2.2576023546999999</v>
      </c>
      <c r="I77" s="79">
        <v>285.20370989999998</v>
      </c>
      <c r="J77" s="13">
        <v>1.0600898402000001</v>
      </c>
      <c r="K77" s="79">
        <v>148.57937659000001</v>
      </c>
      <c r="L77" s="15">
        <v>0.13076130189999999</v>
      </c>
      <c r="M77" s="93">
        <v>603.59612396</v>
      </c>
      <c r="N77" s="88">
        <v>6.0742033191000004</v>
      </c>
      <c r="O77" s="37">
        <v>2166826.6770000001</v>
      </c>
      <c r="P77" s="13">
        <v>0</v>
      </c>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row>
    <row r="78" spans="1:58" x14ac:dyDescent="0.2">
      <c r="A78" s="8">
        <v>40000</v>
      </c>
      <c r="B78" s="9">
        <v>804</v>
      </c>
      <c r="C78" s="93">
        <v>1297.3724533</v>
      </c>
      <c r="D78" s="24">
        <v>37426.394332999997</v>
      </c>
      <c r="E78" s="112">
        <v>255.86401315000001</v>
      </c>
      <c r="F78" s="13">
        <v>6.3635679043</v>
      </c>
      <c r="G78" s="79">
        <v>461.25645753999999</v>
      </c>
      <c r="H78" s="13">
        <v>2.2643577600000002</v>
      </c>
      <c r="I78" s="79">
        <v>288.29705264</v>
      </c>
      <c r="J78" s="13">
        <v>1.0628425665000001</v>
      </c>
      <c r="K78" s="79">
        <v>157.82469134999999</v>
      </c>
      <c r="L78" s="15">
        <v>0.1330962718</v>
      </c>
      <c r="M78" s="93">
        <v>607.25021535999997</v>
      </c>
      <c r="N78" s="88">
        <v>6.0814218883000004</v>
      </c>
      <c r="O78" s="37">
        <v>2166826.6770000001</v>
      </c>
      <c r="P78" s="13">
        <v>0</v>
      </c>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row>
    <row r="79" spans="1:58" x14ac:dyDescent="0.2">
      <c r="A79" s="8">
        <v>45000</v>
      </c>
      <c r="B79" s="9">
        <v>791</v>
      </c>
      <c r="C79" s="93">
        <v>1305.4341113</v>
      </c>
      <c r="D79" s="24">
        <v>42355.375220000002</v>
      </c>
      <c r="E79" s="112">
        <v>256.73179327999998</v>
      </c>
      <c r="F79" s="13">
        <v>6.3726404782000001</v>
      </c>
      <c r="G79" s="79">
        <v>470.35315524999999</v>
      </c>
      <c r="H79" s="13">
        <v>2.2704125925</v>
      </c>
      <c r="I79" s="79">
        <v>291.98598693999998</v>
      </c>
      <c r="J79" s="13">
        <v>1.0652181448</v>
      </c>
      <c r="K79" s="79">
        <v>169.25542924000001</v>
      </c>
      <c r="L79" s="15">
        <v>0.1354200535</v>
      </c>
      <c r="M79" s="93">
        <v>610.46878164999998</v>
      </c>
      <c r="N79" s="88">
        <v>6.0864635234</v>
      </c>
      <c r="O79" s="37">
        <v>2166826.6770000001</v>
      </c>
      <c r="P79" s="13">
        <v>0</v>
      </c>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row>
    <row r="80" spans="1:58" x14ac:dyDescent="0.2">
      <c r="A80" s="8">
        <v>50000</v>
      </c>
      <c r="B80" s="9">
        <v>469</v>
      </c>
      <c r="C80" s="93">
        <v>1310.9215366000001</v>
      </c>
      <c r="D80" s="24">
        <v>47375.734322999997</v>
      </c>
      <c r="E80" s="112">
        <v>257.70939924999999</v>
      </c>
      <c r="F80" s="13">
        <v>6.3801985812000002</v>
      </c>
      <c r="G80" s="79">
        <v>475.75454654999999</v>
      </c>
      <c r="H80" s="13">
        <v>2.2751107175</v>
      </c>
      <c r="I80" s="79">
        <v>294.33892182</v>
      </c>
      <c r="J80" s="13">
        <v>1.0669965645999999</v>
      </c>
      <c r="K80" s="79">
        <v>176.51417458</v>
      </c>
      <c r="L80" s="15">
        <v>0.1369431519</v>
      </c>
      <c r="M80" s="93">
        <v>613.86973206000005</v>
      </c>
      <c r="N80" s="88">
        <v>6.0911701322000003</v>
      </c>
      <c r="O80" s="37">
        <v>2166826.6770000001</v>
      </c>
      <c r="P80" s="13">
        <v>0</v>
      </c>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row>
    <row r="81" spans="1:58" x14ac:dyDescent="0.2">
      <c r="A81" s="8">
        <v>100000</v>
      </c>
      <c r="B81" s="9">
        <v>1005</v>
      </c>
      <c r="C81" s="93">
        <v>1329.0152671000001</v>
      </c>
      <c r="D81" s="24">
        <v>64073.570226000003</v>
      </c>
      <c r="E81" s="112">
        <v>261.31161040000001</v>
      </c>
      <c r="F81" s="13">
        <v>6.3955376792000003</v>
      </c>
      <c r="G81" s="79">
        <v>488.76767167000003</v>
      </c>
      <c r="H81" s="13">
        <v>2.2837302573999998</v>
      </c>
      <c r="I81" s="79">
        <v>301.98262484000003</v>
      </c>
      <c r="J81" s="13">
        <v>1.0710968006999999</v>
      </c>
      <c r="K81" s="79">
        <v>195.08411828999999</v>
      </c>
      <c r="L81" s="15">
        <v>0.14014024750000001</v>
      </c>
      <c r="M81" s="93">
        <v>619.93352730000004</v>
      </c>
      <c r="N81" s="88">
        <v>6.1012385200999999</v>
      </c>
      <c r="O81" s="37">
        <v>2166826.6770000001</v>
      </c>
      <c r="P81" s="13">
        <v>0</v>
      </c>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row>
    <row r="82" spans="1:58" x14ac:dyDescent="0.2">
      <c r="A82" s="8">
        <v>200000</v>
      </c>
      <c r="B82" s="9">
        <v>145</v>
      </c>
      <c r="C82" s="93">
        <v>1335.3685241000001</v>
      </c>
      <c r="D82" s="24">
        <v>127809.13032</v>
      </c>
      <c r="E82" s="112">
        <v>262.79699714999998</v>
      </c>
      <c r="F82" s="13">
        <v>6.3987011431000003</v>
      </c>
      <c r="G82" s="79">
        <v>491.99558562999999</v>
      </c>
      <c r="H82" s="13">
        <v>2.2853917053999999</v>
      </c>
      <c r="I82" s="79">
        <v>305.17535268</v>
      </c>
      <c r="J82" s="13">
        <v>1.0719456308999999</v>
      </c>
      <c r="K82" s="79">
        <v>199.37062503999999</v>
      </c>
      <c r="L82" s="15">
        <v>0.14073308349999999</v>
      </c>
      <c r="M82" s="93">
        <v>620.83869936999997</v>
      </c>
      <c r="N82" s="88">
        <v>6.1023745398999996</v>
      </c>
      <c r="O82" s="37">
        <v>2166826.6770000001</v>
      </c>
      <c r="P82" s="13">
        <v>0</v>
      </c>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row>
    <row r="83" spans="1:58" x14ac:dyDescent="0.2">
      <c r="A83" s="8">
        <v>300000</v>
      </c>
      <c r="B83" s="9">
        <v>23</v>
      </c>
      <c r="C83" s="93">
        <v>1337.5744468</v>
      </c>
      <c r="D83" s="24">
        <v>238902.87200999999</v>
      </c>
      <c r="E83" s="112">
        <v>263.21794027999999</v>
      </c>
      <c r="F83" s="13">
        <v>6.3989170361000003</v>
      </c>
      <c r="G83" s="79">
        <v>493.15525617999998</v>
      </c>
      <c r="H83" s="13">
        <v>2.2855768341</v>
      </c>
      <c r="I83" s="79">
        <v>305.63472983999998</v>
      </c>
      <c r="J83" s="13">
        <v>1.0720207873000001</v>
      </c>
      <c r="K83" s="79">
        <v>200.85719753000001</v>
      </c>
      <c r="L83" s="15">
        <v>0.1408316463</v>
      </c>
      <c r="M83" s="93">
        <v>620.95788897</v>
      </c>
      <c r="N83" s="88">
        <v>6.1024548450999996</v>
      </c>
      <c r="O83" s="37">
        <v>2166826.6770000001</v>
      </c>
      <c r="P83" s="13">
        <v>0</v>
      </c>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row>
    <row r="84" spans="1:58" x14ac:dyDescent="0.2">
      <c r="A84" s="8">
        <v>400000</v>
      </c>
      <c r="B84" s="9">
        <v>13</v>
      </c>
      <c r="C84" s="93">
        <v>1338.5004366999999</v>
      </c>
      <c r="D84" s="24">
        <v>336743.61997</v>
      </c>
      <c r="E84" s="112">
        <v>263.73497034000002</v>
      </c>
      <c r="F84" s="13">
        <v>6.3991228510999996</v>
      </c>
      <c r="G84" s="79">
        <v>493.32262517999999</v>
      </c>
      <c r="H84" s="13">
        <v>2.2857131634000001</v>
      </c>
      <c r="I84" s="79">
        <v>307.09844529999998</v>
      </c>
      <c r="J84" s="13">
        <v>1.0721341815000001</v>
      </c>
      <c r="K84" s="79">
        <v>201.66855538999999</v>
      </c>
      <c r="L84" s="15">
        <v>0.14093412129999999</v>
      </c>
      <c r="M84" s="93">
        <v>621.09093987999995</v>
      </c>
      <c r="N84" s="88">
        <v>6.1025016106000001</v>
      </c>
      <c r="O84" s="37">
        <v>2166826.6770000001</v>
      </c>
      <c r="P84" s="13">
        <v>0</v>
      </c>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row>
    <row r="85" spans="1:58" x14ac:dyDescent="0.2">
      <c r="A85" s="8">
        <v>500000</v>
      </c>
      <c r="B85" s="9">
        <v>2</v>
      </c>
      <c r="C85" s="93">
        <v>1338.7998614000001</v>
      </c>
      <c r="D85" s="24">
        <v>407099.06916000001</v>
      </c>
      <c r="E85" s="112">
        <v>263.73444665</v>
      </c>
      <c r="F85" s="13">
        <v>6.3991207606999998</v>
      </c>
      <c r="G85" s="79">
        <v>494.42567860000003</v>
      </c>
      <c r="H85" s="13">
        <v>2.2857466176000001</v>
      </c>
      <c r="I85" s="79">
        <v>307.09765934000001</v>
      </c>
      <c r="J85" s="13">
        <v>1.0721316938000001</v>
      </c>
      <c r="K85" s="79">
        <v>201.66811203</v>
      </c>
      <c r="L85" s="15">
        <v>0.1409337561</v>
      </c>
      <c r="M85" s="93">
        <v>621.09659236000005</v>
      </c>
      <c r="N85" s="88">
        <v>6.1025100869999997</v>
      </c>
      <c r="O85" s="37">
        <v>2166826.6770000001</v>
      </c>
      <c r="P85" s="13">
        <v>0</v>
      </c>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row>
    <row r="86" spans="1:58" x14ac:dyDescent="0.2">
      <c r="A86" s="8">
        <v>1000000</v>
      </c>
      <c r="B86" s="9">
        <v>2</v>
      </c>
      <c r="C86" s="93">
        <v>1339.2688532</v>
      </c>
      <c r="D86" s="24">
        <v>658887.61343999999</v>
      </c>
      <c r="E86" s="112">
        <v>263.73384636999998</v>
      </c>
      <c r="F86" s="13">
        <v>6.3991107511000003</v>
      </c>
      <c r="G86" s="79">
        <v>494.42418275</v>
      </c>
      <c r="H86" s="13">
        <v>2.2857400049000001</v>
      </c>
      <c r="I86" s="79">
        <v>308.9884563</v>
      </c>
      <c r="J86" s="13">
        <v>1.0721452917000001</v>
      </c>
      <c r="K86" s="79">
        <v>201.66758652999999</v>
      </c>
      <c r="L86" s="15">
        <v>0.1409333794</v>
      </c>
      <c r="M86" s="93">
        <v>621.09713973999999</v>
      </c>
      <c r="N86" s="88">
        <v>6.1025129787000001</v>
      </c>
      <c r="O86" s="37">
        <v>2166826.6770000001</v>
      </c>
      <c r="P86" s="13">
        <v>0</v>
      </c>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row>
    <row r="87" spans="1:58" x14ac:dyDescent="0.2">
      <c r="A87" s="8">
        <v>2000000</v>
      </c>
      <c r="B87" s="9">
        <v>0</v>
      </c>
      <c r="C87" s="93">
        <v>1339.2688532</v>
      </c>
      <c r="D87" s="24" t="s">
        <v>76</v>
      </c>
      <c r="E87" s="112">
        <v>263.73384636999998</v>
      </c>
      <c r="F87" s="13">
        <v>6.3991107511000003</v>
      </c>
      <c r="G87" s="79">
        <v>494.42418275</v>
      </c>
      <c r="H87" s="13">
        <v>2.2857400049000001</v>
      </c>
      <c r="I87" s="79">
        <v>308.9884563</v>
      </c>
      <c r="J87" s="13">
        <v>1.0721452917000001</v>
      </c>
      <c r="K87" s="79">
        <v>201.66758652999999</v>
      </c>
      <c r="L87" s="15">
        <v>0.1409333794</v>
      </c>
      <c r="M87" s="93">
        <v>621.09713973999999</v>
      </c>
      <c r="N87" s="88">
        <v>6.1025129787000001</v>
      </c>
      <c r="O87" s="37">
        <v>2166826.6770000001</v>
      </c>
      <c r="P87" s="13">
        <v>0</v>
      </c>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row>
    <row r="88" spans="1:58" x14ac:dyDescent="0.2">
      <c r="A88" s="20" t="s">
        <v>17</v>
      </c>
      <c r="B88" s="10">
        <v>0</v>
      </c>
      <c r="C88" s="96">
        <v>1339.2688532</v>
      </c>
      <c r="D88" s="25" t="s">
        <v>76</v>
      </c>
      <c r="E88" s="194">
        <v>263.73384636999998</v>
      </c>
      <c r="F88" s="14">
        <v>6.3991107511000003</v>
      </c>
      <c r="G88" s="80">
        <v>494.42418275</v>
      </c>
      <c r="H88" s="14">
        <v>2.2857400049000001</v>
      </c>
      <c r="I88" s="80">
        <v>308.9884563</v>
      </c>
      <c r="J88" s="14">
        <v>1.0721452917000001</v>
      </c>
      <c r="K88" s="80">
        <v>201.66758652999999</v>
      </c>
      <c r="L88" s="16">
        <v>0.1409333794</v>
      </c>
      <c r="M88" s="96">
        <v>621.09707753999999</v>
      </c>
      <c r="N88" s="89">
        <v>6.1025126260000002</v>
      </c>
      <c r="O88" s="38">
        <v>2166826.6770000001</v>
      </c>
      <c r="P88" s="14">
        <v>0</v>
      </c>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EV88"/>
  <sheetViews>
    <sheetView workbookViewId="0">
      <pane xSplit="4" ySplit="4" topLeftCell="E5" activePane="bottomRight" state="frozen"/>
      <selection activeCell="F73" sqref="F73"/>
      <selection pane="topRight" activeCell="F73" sqref="F73"/>
      <selection pane="bottomLeft" activeCell="F73" sqref="F73"/>
      <selection pane="bottomRight" activeCell="F73" sqref="F73"/>
    </sheetView>
  </sheetViews>
  <sheetFormatPr baseColWidth="10" defaultColWidth="8.83203125" defaultRowHeight="15" x14ac:dyDescent="0.2"/>
  <cols>
    <col min="1" max="2" width="12.5" style="90" customWidth="1"/>
    <col min="3" max="3" width="12.5" style="81" customWidth="1"/>
    <col min="4" max="4" width="15.1640625" style="90" customWidth="1"/>
    <col min="5" max="10" width="12.5" style="90" customWidth="1"/>
    <col min="11" max="11" width="12.1640625" style="90" customWidth="1"/>
    <col min="12" max="13" width="12.5" style="90" customWidth="1"/>
    <col min="14" max="14" width="13.83203125" style="90" bestFit="1" customWidth="1"/>
    <col min="15" max="16" width="12.5" style="90" hidden="1" customWidth="1"/>
    <col min="17" max="18" width="12.5" style="90" customWidth="1"/>
    <col min="19" max="22" width="12.5" style="90" hidden="1" customWidth="1"/>
    <col min="23" max="26" width="12.5" style="90" customWidth="1"/>
    <col min="27" max="28" width="12.5" style="90" hidden="1" customWidth="1"/>
    <col min="29" max="30" width="12.5" style="90" customWidth="1"/>
    <col min="31" max="34" width="12.5" style="90" hidden="1" customWidth="1"/>
    <col min="35" max="35" width="12.5" style="90" customWidth="1"/>
    <col min="36" max="38" width="12.1640625" style="90" customWidth="1"/>
    <col min="39" max="44" width="12.1640625" style="90" hidden="1" customWidth="1"/>
    <col min="45" max="55" width="12.1640625" style="90" customWidth="1"/>
    <col min="56" max="64" width="12.5" style="90" customWidth="1"/>
    <col min="65" max="68" width="12.83203125" style="90" customWidth="1"/>
    <col min="69" max="72" width="12.83203125" style="90" hidden="1" customWidth="1"/>
    <col min="73" max="74" width="12.83203125" style="90" customWidth="1"/>
    <col min="75" max="76" width="13" style="90" customWidth="1"/>
    <col min="77" max="80" width="13" style="90" hidden="1" customWidth="1"/>
    <col min="81" max="84" width="13" style="90" customWidth="1"/>
    <col min="85" max="92" width="13" style="90" hidden="1" customWidth="1"/>
    <col min="93" max="100" width="13" style="90" customWidth="1"/>
    <col min="101" max="104" width="13" style="90" hidden="1" customWidth="1"/>
    <col min="105" max="112" width="13" style="90" customWidth="1"/>
    <col min="113" max="16384" width="8.83203125" style="90"/>
  </cols>
  <sheetData>
    <row r="1" spans="1:152" x14ac:dyDescent="0.2">
      <c r="A1" s="91" t="s">
        <v>268</v>
      </c>
    </row>
    <row r="2" spans="1:152" x14ac:dyDescent="0.2">
      <c r="A2" s="91" t="s">
        <v>266</v>
      </c>
    </row>
    <row r="3" spans="1:152" x14ac:dyDescent="0.2">
      <c r="A3" s="91"/>
      <c r="B3" s="91"/>
      <c r="C3" s="22"/>
      <c r="D3" s="91"/>
      <c r="E3" s="91"/>
      <c r="F3" s="22"/>
      <c r="G3" s="91"/>
      <c r="H3" s="91"/>
      <c r="I3" s="22"/>
      <c r="J3" s="91"/>
      <c r="K3" s="91"/>
      <c r="L3" s="22"/>
      <c r="M3" s="91"/>
      <c r="N3" s="91"/>
      <c r="O3" s="22"/>
      <c r="P3" s="91"/>
      <c r="Q3" s="91"/>
      <c r="R3" s="22"/>
      <c r="S3" s="91"/>
      <c r="T3" s="91"/>
      <c r="U3" s="22"/>
      <c r="V3" s="91"/>
      <c r="W3" s="91"/>
      <c r="X3" s="22"/>
      <c r="Y3" s="91"/>
      <c r="Z3" s="91"/>
      <c r="AA3" s="22"/>
      <c r="AB3" s="91"/>
      <c r="AC3" s="91"/>
      <c r="AD3" s="22"/>
      <c r="AE3" s="91"/>
      <c r="AF3" s="91"/>
      <c r="AG3" s="22"/>
      <c r="AH3" s="91"/>
      <c r="AI3" s="91"/>
      <c r="AJ3" s="22"/>
      <c r="AK3" s="91"/>
      <c r="AL3" s="91"/>
      <c r="AM3" s="22"/>
      <c r="AN3" s="91"/>
      <c r="AO3" s="91"/>
      <c r="AP3" s="22"/>
      <c r="AQ3" s="91"/>
      <c r="AR3" s="91"/>
      <c r="AS3" s="22"/>
      <c r="AT3" s="91"/>
      <c r="AU3" s="91"/>
      <c r="AV3" s="22"/>
      <c r="AW3" s="91"/>
      <c r="AX3" s="91"/>
      <c r="AY3" s="22"/>
      <c r="AZ3" s="91"/>
      <c r="BA3" s="91"/>
      <c r="BB3" s="22"/>
      <c r="BC3" s="91"/>
      <c r="BD3" s="91"/>
      <c r="BE3" s="22"/>
      <c r="BF3" s="91"/>
      <c r="BG3" s="91"/>
      <c r="BH3" s="22"/>
      <c r="BI3" s="91"/>
      <c r="BJ3" s="91"/>
      <c r="BK3" s="22"/>
      <c r="BL3" s="91"/>
      <c r="BM3" s="91"/>
      <c r="BN3" s="22"/>
      <c r="BO3" s="91"/>
      <c r="BP3" s="91"/>
      <c r="BQ3" s="22"/>
      <c r="BR3" s="91"/>
      <c r="BS3" s="91"/>
      <c r="BT3" s="22"/>
      <c r="BU3" s="91"/>
      <c r="BV3" s="91"/>
      <c r="BW3" s="22"/>
      <c r="BX3" s="91"/>
      <c r="BY3" s="91"/>
      <c r="BZ3" s="22"/>
      <c r="CA3" s="91"/>
      <c r="CB3" s="91"/>
      <c r="CC3" s="22"/>
      <c r="CD3" s="91"/>
      <c r="CE3" s="91"/>
      <c r="CF3" s="22"/>
      <c r="CG3" s="91"/>
      <c r="CH3" s="91"/>
      <c r="CI3" s="22"/>
      <c r="CJ3" s="91"/>
      <c r="CK3" s="91"/>
      <c r="CL3" s="22"/>
      <c r="CM3" s="91"/>
      <c r="CN3" s="91"/>
      <c r="CO3" s="22"/>
      <c r="CP3" s="91"/>
      <c r="CQ3" s="91"/>
      <c r="CR3" s="22"/>
      <c r="CS3" s="91"/>
      <c r="CT3" s="91"/>
      <c r="CU3" s="22"/>
      <c r="CV3" s="91"/>
      <c r="CW3" s="91"/>
      <c r="CX3" s="22"/>
      <c r="CY3" s="91"/>
      <c r="CZ3" s="91"/>
      <c r="DA3" s="22"/>
      <c r="DB3" s="91"/>
      <c r="DC3" s="91"/>
      <c r="DD3" s="22"/>
      <c r="DE3" s="91"/>
      <c r="DF3" s="91"/>
      <c r="DG3" s="22"/>
      <c r="DH3" s="91"/>
      <c r="DI3" s="91"/>
      <c r="DJ3" s="22"/>
      <c r="DK3" s="91"/>
      <c r="DL3" s="91"/>
      <c r="DM3" s="22"/>
      <c r="DN3" s="91"/>
      <c r="DO3" s="91"/>
      <c r="DP3" s="22"/>
      <c r="DQ3" s="91"/>
      <c r="DR3" s="91"/>
      <c r="DS3" s="22"/>
      <c r="DT3" s="91"/>
      <c r="DU3" s="91"/>
      <c r="DV3" s="22"/>
      <c r="DW3" s="91"/>
      <c r="DX3" s="91"/>
      <c r="DY3" s="22"/>
      <c r="DZ3" s="91"/>
      <c r="EA3" s="91"/>
      <c r="EB3" s="22"/>
      <c r="EC3" s="91"/>
      <c r="ED3" s="91"/>
      <c r="EE3" s="22"/>
      <c r="EF3" s="91"/>
      <c r="EG3" s="91"/>
      <c r="EH3" s="22"/>
      <c r="EI3" s="91"/>
      <c r="EJ3" s="91"/>
      <c r="EK3" s="22"/>
      <c r="EL3" s="91"/>
    </row>
    <row r="4" spans="1:152" s="3" customFormat="1" ht="45" customHeight="1" x14ac:dyDescent="0.2">
      <c r="A4" s="213" t="s">
        <v>8</v>
      </c>
      <c r="B4" s="39" t="s">
        <v>7</v>
      </c>
      <c r="C4" s="214" t="s">
        <v>75</v>
      </c>
      <c r="D4" s="39" t="s">
        <v>74</v>
      </c>
      <c r="E4" s="215" t="s">
        <v>0</v>
      </c>
      <c r="F4" s="39" t="s">
        <v>18</v>
      </c>
      <c r="G4" s="215" t="s">
        <v>1</v>
      </c>
      <c r="H4" s="39" t="s">
        <v>19</v>
      </c>
      <c r="I4" s="39" t="s">
        <v>2</v>
      </c>
      <c r="J4" s="39" t="s">
        <v>20</v>
      </c>
      <c r="K4" s="39" t="s">
        <v>9</v>
      </c>
      <c r="L4" s="39" t="s">
        <v>21</v>
      </c>
      <c r="M4" s="39" t="s">
        <v>125</v>
      </c>
      <c r="N4" s="39" t="s">
        <v>126</v>
      </c>
      <c r="O4" s="39" t="s">
        <v>127</v>
      </c>
      <c r="P4" s="39" t="s">
        <v>127</v>
      </c>
      <c r="Q4" s="39" t="s">
        <v>3</v>
      </c>
      <c r="R4" s="39" t="s">
        <v>22</v>
      </c>
      <c r="S4" s="39" t="s">
        <v>127</v>
      </c>
      <c r="T4" s="39" t="s">
        <v>127</v>
      </c>
      <c r="U4" s="39" t="s">
        <v>127</v>
      </c>
      <c r="V4" s="39" t="s">
        <v>127</v>
      </c>
      <c r="W4" s="39" t="s">
        <v>4</v>
      </c>
      <c r="X4" s="39" t="s">
        <v>23</v>
      </c>
      <c r="Y4" s="39" t="s">
        <v>128</v>
      </c>
      <c r="Z4" s="39" t="s">
        <v>129</v>
      </c>
      <c r="AA4" s="39" t="s">
        <v>127</v>
      </c>
      <c r="AB4" s="39" t="s">
        <v>127</v>
      </c>
      <c r="AC4" s="39" t="s">
        <v>10</v>
      </c>
      <c r="AD4" s="39" t="s">
        <v>24</v>
      </c>
      <c r="AE4" s="39" t="s">
        <v>127</v>
      </c>
      <c r="AF4" s="39" t="s">
        <v>127</v>
      </c>
      <c r="AG4" s="39" t="s">
        <v>127</v>
      </c>
      <c r="AH4" s="39" t="s">
        <v>127</v>
      </c>
      <c r="AI4" s="39" t="s">
        <v>11</v>
      </c>
      <c r="AJ4" s="39" t="s">
        <v>25</v>
      </c>
      <c r="AK4" s="39" t="s">
        <v>12</v>
      </c>
      <c r="AL4" s="39" t="s">
        <v>26</v>
      </c>
      <c r="AM4" s="39" t="s">
        <v>127</v>
      </c>
      <c r="AN4" s="39" t="s">
        <v>127</v>
      </c>
      <c r="AO4" s="39" t="s">
        <v>127</v>
      </c>
      <c r="AP4" s="39" t="s">
        <v>127</v>
      </c>
      <c r="AQ4" s="39" t="s">
        <v>127</v>
      </c>
      <c r="AR4" s="39" t="s">
        <v>127</v>
      </c>
      <c r="AS4" s="39" t="s">
        <v>5</v>
      </c>
      <c r="AT4" s="39" t="s">
        <v>27</v>
      </c>
      <c r="AU4" s="39" t="s">
        <v>13</v>
      </c>
      <c r="AV4" s="39" t="s">
        <v>28</v>
      </c>
      <c r="AW4" s="39" t="s">
        <v>14</v>
      </c>
      <c r="AX4" s="39" t="s">
        <v>29</v>
      </c>
      <c r="AY4" s="39" t="s">
        <v>15</v>
      </c>
      <c r="AZ4" s="39" t="s">
        <v>30</v>
      </c>
      <c r="BA4" s="39" t="s">
        <v>16</v>
      </c>
      <c r="BB4" s="39" t="s">
        <v>31</v>
      </c>
      <c r="BC4" s="39" t="s">
        <v>64</v>
      </c>
      <c r="BD4" s="39" t="s">
        <v>65</v>
      </c>
      <c r="BE4" s="39" t="s">
        <v>6</v>
      </c>
      <c r="BF4" s="39" t="s">
        <v>32</v>
      </c>
      <c r="BG4" s="215" t="s">
        <v>63</v>
      </c>
      <c r="BH4" s="216" t="s">
        <v>66</v>
      </c>
      <c r="BI4" s="39" t="s">
        <v>33</v>
      </c>
      <c r="BJ4" s="39" t="s">
        <v>37</v>
      </c>
      <c r="BK4" s="39" t="s">
        <v>38</v>
      </c>
      <c r="BL4" s="39" t="s">
        <v>39</v>
      </c>
      <c r="BM4" s="39" t="s">
        <v>40</v>
      </c>
      <c r="BN4" s="39" t="s">
        <v>41</v>
      </c>
      <c r="BO4" s="39" t="s">
        <v>42</v>
      </c>
      <c r="BP4" s="39" t="s">
        <v>43</v>
      </c>
      <c r="BQ4" s="39" t="s">
        <v>78</v>
      </c>
      <c r="BR4" s="39" t="s">
        <v>79</v>
      </c>
      <c r="BS4" s="39" t="s">
        <v>6</v>
      </c>
      <c r="BT4" s="39" t="s">
        <v>44</v>
      </c>
      <c r="BU4" s="215" t="s">
        <v>130</v>
      </c>
      <c r="BV4" s="39" t="s">
        <v>131</v>
      </c>
      <c r="BW4" s="39" t="s">
        <v>132</v>
      </c>
      <c r="BX4" s="39" t="s">
        <v>133</v>
      </c>
      <c r="BY4" s="39" t="s">
        <v>80</v>
      </c>
      <c r="BZ4" s="39" t="s">
        <v>81</v>
      </c>
      <c r="CA4" s="39" t="s">
        <v>82</v>
      </c>
      <c r="CB4" s="39" t="s">
        <v>83</v>
      </c>
      <c r="CC4" s="39" t="s">
        <v>84</v>
      </c>
      <c r="CD4" s="39" t="s">
        <v>85</v>
      </c>
      <c r="CE4" s="39" t="s">
        <v>86</v>
      </c>
      <c r="CF4" s="216" t="s">
        <v>87</v>
      </c>
      <c r="CG4" s="39" t="s">
        <v>127</v>
      </c>
      <c r="CH4" s="39" t="s">
        <v>127</v>
      </c>
      <c r="CI4" s="39" t="s">
        <v>127</v>
      </c>
      <c r="CJ4" s="39" t="s">
        <v>127</v>
      </c>
      <c r="CK4" s="39" t="s">
        <v>127</v>
      </c>
      <c r="CL4" s="39" t="s">
        <v>127</v>
      </c>
      <c r="CM4" s="39" t="s">
        <v>127</v>
      </c>
      <c r="CN4" s="39" t="s">
        <v>127</v>
      </c>
      <c r="CO4" s="215" t="s">
        <v>88</v>
      </c>
      <c r="CP4" s="39" t="s">
        <v>89</v>
      </c>
      <c r="CQ4" s="39" t="s">
        <v>90</v>
      </c>
      <c r="CR4" s="39" t="s">
        <v>91</v>
      </c>
      <c r="CS4" s="39" t="s">
        <v>92</v>
      </c>
      <c r="CT4" s="39" t="s">
        <v>93</v>
      </c>
      <c r="CU4" s="39" t="s">
        <v>94</v>
      </c>
      <c r="CV4" s="216" t="s">
        <v>95</v>
      </c>
      <c r="CW4" s="215" t="s">
        <v>127</v>
      </c>
      <c r="CX4" s="39" t="s">
        <v>127</v>
      </c>
      <c r="CY4" s="39" t="s">
        <v>127</v>
      </c>
      <c r="CZ4" s="216" t="s">
        <v>127</v>
      </c>
      <c r="DA4" s="215" t="s">
        <v>96</v>
      </c>
      <c r="DB4" s="39" t="s">
        <v>97</v>
      </c>
      <c r="DC4" s="39" t="s">
        <v>98</v>
      </c>
      <c r="DD4" s="39" t="s">
        <v>99</v>
      </c>
      <c r="DE4" s="39" t="s">
        <v>100</v>
      </c>
      <c r="DF4" s="39" t="s">
        <v>101</v>
      </c>
      <c r="DG4" s="39" t="s">
        <v>102</v>
      </c>
      <c r="DH4" s="216" t="s">
        <v>103</v>
      </c>
      <c r="DI4" s="215" t="s">
        <v>183</v>
      </c>
      <c r="DJ4" s="39" t="s">
        <v>184</v>
      </c>
      <c r="DK4" s="39" t="s">
        <v>185</v>
      </c>
      <c r="DL4" s="39" t="s">
        <v>186</v>
      </c>
      <c r="DM4" s="39" t="s">
        <v>187</v>
      </c>
      <c r="DN4" s="39" t="s">
        <v>188</v>
      </c>
      <c r="DO4" s="39" t="s">
        <v>189</v>
      </c>
      <c r="DP4" s="39" t="s">
        <v>190</v>
      </c>
      <c r="DQ4" s="39" t="s">
        <v>191</v>
      </c>
      <c r="DR4" s="216" t="s">
        <v>192</v>
      </c>
      <c r="DS4" s="215" t="s">
        <v>193</v>
      </c>
      <c r="DT4" s="39" t="s">
        <v>194</v>
      </c>
      <c r="DU4" s="39" t="s">
        <v>195</v>
      </c>
      <c r="DV4" s="39" t="s">
        <v>196</v>
      </c>
      <c r="DW4" s="39" t="s">
        <v>197</v>
      </c>
      <c r="DX4" s="39" t="s">
        <v>198</v>
      </c>
      <c r="DY4" s="39" t="s">
        <v>199</v>
      </c>
      <c r="DZ4" s="39" t="s">
        <v>200</v>
      </c>
      <c r="EA4" s="39" t="s">
        <v>201</v>
      </c>
      <c r="EB4" s="39" t="s">
        <v>202</v>
      </c>
      <c r="EC4" s="39" t="s">
        <v>203</v>
      </c>
      <c r="ED4" s="39" t="s">
        <v>204</v>
      </c>
      <c r="EE4" s="39" t="s">
        <v>205</v>
      </c>
      <c r="EF4" s="39" t="s">
        <v>206</v>
      </c>
      <c r="EG4" s="39" t="s">
        <v>207</v>
      </c>
      <c r="EH4" s="39" t="s">
        <v>208</v>
      </c>
      <c r="EI4" s="39" t="s">
        <v>209</v>
      </c>
      <c r="EJ4" s="39" t="s">
        <v>210</v>
      </c>
      <c r="EK4" s="39" t="s">
        <v>211</v>
      </c>
      <c r="EL4" s="216" t="s">
        <v>212</v>
      </c>
      <c r="EM4" s="12"/>
      <c r="EN4" s="12"/>
      <c r="EO4" s="12"/>
      <c r="EP4" s="12"/>
      <c r="EQ4" s="12"/>
      <c r="ER4" s="12"/>
      <c r="ES4" s="12"/>
      <c r="ET4" s="12"/>
      <c r="EU4" s="12"/>
      <c r="EV4" s="18"/>
    </row>
    <row r="5" spans="1:152" x14ac:dyDescent="0.2">
      <c r="A5" s="217">
        <v>0</v>
      </c>
      <c r="B5" s="218">
        <v>120841</v>
      </c>
      <c r="C5" s="219">
        <v>0</v>
      </c>
      <c r="D5" s="220">
        <v>0</v>
      </c>
      <c r="E5" s="220">
        <v>0</v>
      </c>
      <c r="F5" s="221">
        <v>0</v>
      </c>
      <c r="G5" s="219">
        <v>0</v>
      </c>
      <c r="H5" s="221">
        <v>0</v>
      </c>
      <c r="I5" s="220">
        <v>0</v>
      </c>
      <c r="J5" s="221">
        <v>0</v>
      </c>
      <c r="K5" s="220">
        <v>0</v>
      </c>
      <c r="L5" s="221">
        <v>0</v>
      </c>
      <c r="M5" s="220">
        <v>0</v>
      </c>
      <c r="N5" s="221">
        <v>0</v>
      </c>
      <c r="O5" s="222">
        <v>0</v>
      </c>
      <c r="P5" s="223">
        <v>0</v>
      </c>
      <c r="Q5" s="220">
        <v>0</v>
      </c>
      <c r="R5" s="221">
        <v>0</v>
      </c>
      <c r="S5" s="222" t="s">
        <v>76</v>
      </c>
      <c r="T5" s="223">
        <v>0</v>
      </c>
      <c r="U5" s="222" t="s">
        <v>76</v>
      </c>
      <c r="V5" s="223">
        <v>0</v>
      </c>
      <c r="W5" s="220">
        <v>0</v>
      </c>
      <c r="X5" s="221">
        <v>0</v>
      </c>
      <c r="Y5" s="220">
        <v>0</v>
      </c>
      <c r="Z5" s="221">
        <v>0</v>
      </c>
      <c r="AA5" s="222" t="s">
        <v>76</v>
      </c>
      <c r="AB5" s="223">
        <v>0</v>
      </c>
      <c r="AC5" s="220">
        <v>0</v>
      </c>
      <c r="AD5" s="221">
        <v>0</v>
      </c>
      <c r="AE5" s="222" t="s">
        <v>76</v>
      </c>
      <c r="AF5" s="223">
        <v>0</v>
      </c>
      <c r="AG5" s="222" t="s">
        <v>76</v>
      </c>
      <c r="AH5" s="223">
        <v>0</v>
      </c>
      <c r="AI5" s="220">
        <v>0</v>
      </c>
      <c r="AJ5" s="221">
        <v>0</v>
      </c>
      <c r="AK5" s="220">
        <v>0</v>
      </c>
      <c r="AL5" s="221">
        <v>0</v>
      </c>
      <c r="AM5" s="222" t="s">
        <v>76</v>
      </c>
      <c r="AN5" s="223">
        <v>0</v>
      </c>
      <c r="AO5" s="222" t="s">
        <v>76</v>
      </c>
      <c r="AP5" s="223">
        <v>0</v>
      </c>
      <c r="AQ5" s="222" t="s">
        <v>76</v>
      </c>
      <c r="AR5" s="223">
        <v>0</v>
      </c>
      <c r="AS5" s="220">
        <v>0</v>
      </c>
      <c r="AT5" s="221">
        <v>0</v>
      </c>
      <c r="AU5" s="220">
        <v>0</v>
      </c>
      <c r="AV5" s="221">
        <v>0</v>
      </c>
      <c r="AW5" s="220">
        <v>0</v>
      </c>
      <c r="AX5" s="221">
        <v>0</v>
      </c>
      <c r="AY5" s="220">
        <v>0</v>
      </c>
      <c r="AZ5" s="221">
        <v>0</v>
      </c>
      <c r="BA5" s="224">
        <v>0</v>
      </c>
      <c r="BB5" s="223">
        <v>0</v>
      </c>
      <c r="BC5" s="220">
        <v>0</v>
      </c>
      <c r="BD5" s="225">
        <v>0</v>
      </c>
      <c r="BE5" s="220">
        <v>0</v>
      </c>
      <c r="BF5" s="221">
        <v>0</v>
      </c>
      <c r="BG5" s="221">
        <v>0</v>
      </c>
      <c r="BH5" s="225">
        <v>0</v>
      </c>
      <c r="BI5" s="220">
        <v>0</v>
      </c>
      <c r="BJ5" s="221">
        <v>0</v>
      </c>
      <c r="BK5" s="220">
        <v>0</v>
      </c>
      <c r="BL5" s="221">
        <v>0</v>
      </c>
      <c r="BM5" s="220">
        <v>0</v>
      </c>
      <c r="BN5" s="221">
        <v>0</v>
      </c>
      <c r="BO5" s="220">
        <v>0</v>
      </c>
      <c r="BP5" s="221">
        <v>0</v>
      </c>
      <c r="BQ5" s="220">
        <v>0</v>
      </c>
      <c r="BR5" s="226">
        <v>0</v>
      </c>
      <c r="BS5" s="222" t="s">
        <v>76</v>
      </c>
      <c r="BT5" s="223">
        <v>0</v>
      </c>
      <c r="BU5" s="220">
        <v>0</v>
      </c>
      <c r="BV5" s="221">
        <v>0</v>
      </c>
      <c r="BW5" s="220">
        <v>0</v>
      </c>
      <c r="BX5" s="221">
        <v>0</v>
      </c>
      <c r="BY5" s="227" t="s">
        <v>76</v>
      </c>
      <c r="BZ5" s="223">
        <v>0</v>
      </c>
      <c r="CA5" s="227" t="s">
        <v>76</v>
      </c>
      <c r="CB5" s="223">
        <v>0</v>
      </c>
      <c r="CC5" s="220">
        <v>0</v>
      </c>
      <c r="CD5" s="221">
        <v>0</v>
      </c>
      <c r="CE5" s="220">
        <v>0</v>
      </c>
      <c r="CF5" s="221">
        <v>0</v>
      </c>
      <c r="CG5" s="227" t="s">
        <v>76</v>
      </c>
      <c r="CH5" s="223">
        <v>0</v>
      </c>
      <c r="CI5" s="227" t="s">
        <v>76</v>
      </c>
      <c r="CJ5" s="223">
        <v>0</v>
      </c>
      <c r="CK5" s="227" t="s">
        <v>76</v>
      </c>
      <c r="CL5" s="223">
        <v>0</v>
      </c>
      <c r="CM5" s="227" t="s">
        <v>76</v>
      </c>
      <c r="CN5" s="223">
        <v>0</v>
      </c>
      <c r="CO5" s="220">
        <v>0</v>
      </c>
      <c r="CP5" s="221">
        <v>0</v>
      </c>
      <c r="CQ5" s="220">
        <v>0</v>
      </c>
      <c r="CR5" s="221">
        <v>0</v>
      </c>
      <c r="CS5" s="220">
        <v>0</v>
      </c>
      <c r="CT5" s="221">
        <v>0</v>
      </c>
      <c r="CU5" s="220">
        <v>0</v>
      </c>
      <c r="CV5" s="221">
        <v>0</v>
      </c>
      <c r="CW5" s="228" t="s">
        <v>76</v>
      </c>
      <c r="CX5" s="223">
        <v>0</v>
      </c>
      <c r="CY5" s="227" t="s">
        <v>76</v>
      </c>
      <c r="CZ5" s="229">
        <v>0</v>
      </c>
      <c r="DA5" s="220">
        <v>0</v>
      </c>
      <c r="DB5" s="221">
        <v>0</v>
      </c>
      <c r="DC5" s="220">
        <v>0</v>
      </c>
      <c r="DD5" s="221">
        <v>0</v>
      </c>
      <c r="DE5" s="220">
        <v>0</v>
      </c>
      <c r="DF5" s="221">
        <v>0</v>
      </c>
      <c r="DG5" s="220">
        <v>0</v>
      </c>
      <c r="DH5" s="221">
        <v>0</v>
      </c>
      <c r="DI5" s="230">
        <v>0</v>
      </c>
      <c r="DJ5" s="231">
        <v>0</v>
      </c>
      <c r="DK5" s="231">
        <v>0</v>
      </c>
      <c r="DL5" s="231">
        <v>0</v>
      </c>
      <c r="DM5" s="231">
        <v>0</v>
      </c>
      <c r="DN5" s="231">
        <v>0</v>
      </c>
      <c r="DO5" s="231">
        <v>0</v>
      </c>
      <c r="DP5" s="231">
        <v>0</v>
      </c>
      <c r="DQ5" s="231">
        <v>0</v>
      </c>
      <c r="DR5" s="232">
        <v>0</v>
      </c>
      <c r="DS5" s="233">
        <v>0</v>
      </c>
      <c r="DT5" s="223">
        <v>0</v>
      </c>
      <c r="DU5" s="224">
        <v>0</v>
      </c>
      <c r="DV5" s="223">
        <v>0</v>
      </c>
      <c r="DW5" s="224">
        <v>0</v>
      </c>
      <c r="DX5" s="223">
        <v>0</v>
      </c>
      <c r="DY5" s="224">
        <v>0</v>
      </c>
      <c r="DZ5" s="223">
        <v>0</v>
      </c>
      <c r="EA5" s="224">
        <v>0</v>
      </c>
      <c r="EB5" s="223">
        <v>0</v>
      </c>
      <c r="EC5" s="224">
        <v>0</v>
      </c>
      <c r="ED5" s="223">
        <v>0</v>
      </c>
      <c r="EE5" s="224">
        <v>0</v>
      </c>
      <c r="EF5" s="223">
        <v>0</v>
      </c>
      <c r="EG5" s="224">
        <v>0</v>
      </c>
      <c r="EH5" s="223">
        <v>0</v>
      </c>
      <c r="EI5" s="224">
        <v>0</v>
      </c>
      <c r="EJ5" s="223">
        <v>0</v>
      </c>
      <c r="EK5" s="224">
        <v>0</v>
      </c>
      <c r="EL5" s="229">
        <v>0</v>
      </c>
      <c r="EM5" s="79"/>
      <c r="EN5" s="13"/>
      <c r="EO5" s="79"/>
      <c r="EP5" s="13"/>
      <c r="EQ5" s="79"/>
      <c r="ER5" s="13"/>
      <c r="ES5" s="79"/>
      <c r="ET5" s="13"/>
      <c r="EU5" s="79"/>
      <c r="EV5" s="15"/>
    </row>
    <row r="6" spans="1:152" x14ac:dyDescent="0.2">
      <c r="A6" s="8">
        <v>100</v>
      </c>
      <c r="B6" s="82">
        <v>35742</v>
      </c>
      <c r="C6" s="83">
        <v>89.054240027000006</v>
      </c>
      <c r="D6" s="93">
        <v>48.900467651</v>
      </c>
      <c r="E6" s="93">
        <v>6.2988454999999997E-3</v>
      </c>
      <c r="F6" s="94">
        <v>1.3066790000000001E-4</v>
      </c>
      <c r="G6" s="83">
        <v>0</v>
      </c>
      <c r="H6" s="94">
        <v>0</v>
      </c>
      <c r="I6" s="93">
        <v>2.8666463086</v>
      </c>
      <c r="J6" s="94">
        <v>6.5623609599999994E-2</v>
      </c>
      <c r="K6" s="93">
        <v>1.4451246481</v>
      </c>
      <c r="L6" s="94">
        <v>4.1987408300000001E-2</v>
      </c>
      <c r="M6" s="93">
        <v>1.2777692000000001E-3</v>
      </c>
      <c r="N6" s="94">
        <v>1.87755E-5</v>
      </c>
      <c r="O6" s="37">
        <v>0</v>
      </c>
      <c r="P6" s="13">
        <v>0</v>
      </c>
      <c r="Q6" s="93">
        <v>5.1737506799999999E-2</v>
      </c>
      <c r="R6" s="94">
        <v>7.9040130000000003E-4</v>
      </c>
      <c r="S6" s="37" t="s">
        <v>76</v>
      </c>
      <c r="T6" s="13">
        <v>0</v>
      </c>
      <c r="U6" s="37" t="s">
        <v>76</v>
      </c>
      <c r="V6" s="13">
        <v>0</v>
      </c>
      <c r="W6" s="93">
        <v>0</v>
      </c>
      <c r="X6" s="94">
        <v>0</v>
      </c>
      <c r="Y6" s="93">
        <v>1.717849E-3</v>
      </c>
      <c r="Z6" s="94">
        <v>0</v>
      </c>
      <c r="AA6" s="37" t="s">
        <v>76</v>
      </c>
      <c r="AB6" s="13">
        <v>0</v>
      </c>
      <c r="AC6" s="93">
        <v>0</v>
      </c>
      <c r="AD6" s="94">
        <v>0</v>
      </c>
      <c r="AE6" s="37" t="s">
        <v>76</v>
      </c>
      <c r="AF6" s="13">
        <v>0</v>
      </c>
      <c r="AG6" s="37" t="s">
        <v>76</v>
      </c>
      <c r="AH6" s="13">
        <v>0</v>
      </c>
      <c r="AI6" s="93">
        <v>0</v>
      </c>
      <c r="AJ6" s="94">
        <v>0</v>
      </c>
      <c r="AK6" s="93">
        <v>2.0066508269000001</v>
      </c>
      <c r="AL6" s="94">
        <v>3.8362297500000003E-2</v>
      </c>
      <c r="AM6" s="37" t="s">
        <v>76</v>
      </c>
      <c r="AN6" s="13">
        <v>0</v>
      </c>
      <c r="AO6" s="37" t="s">
        <v>76</v>
      </c>
      <c r="AP6" s="13">
        <v>0</v>
      </c>
      <c r="AQ6" s="37" t="s">
        <v>76</v>
      </c>
      <c r="AR6" s="13">
        <v>0</v>
      </c>
      <c r="AS6" s="93">
        <v>7.6711788000000003E-2</v>
      </c>
      <c r="AT6" s="94">
        <v>6.1334648999999998E-3</v>
      </c>
      <c r="AU6" s="93">
        <v>0.10276526079999999</v>
      </c>
      <c r="AV6" s="94">
        <v>2.9574543000000001E-3</v>
      </c>
      <c r="AW6" s="93">
        <v>5.6130590899999999E-2</v>
      </c>
      <c r="AX6" s="94">
        <v>1.1126230999999999E-3</v>
      </c>
      <c r="AY6" s="93">
        <v>9.2458878999999994E-3</v>
      </c>
      <c r="AZ6" s="94">
        <v>1.9684849999999999E-4</v>
      </c>
      <c r="BA6" s="79">
        <v>3.7388782000000002E-2</v>
      </c>
      <c r="BB6" s="13">
        <v>1.6479826999999999E-3</v>
      </c>
      <c r="BC6" s="93">
        <v>0</v>
      </c>
      <c r="BD6" s="86">
        <v>0</v>
      </c>
      <c r="BE6" s="93">
        <v>3.4415276000000002E-2</v>
      </c>
      <c r="BF6" s="94">
        <v>9.4673819999999999E-4</v>
      </c>
      <c r="BG6" s="94">
        <v>0</v>
      </c>
      <c r="BH6" s="86">
        <v>0</v>
      </c>
      <c r="BI6" s="93">
        <v>3.3932619874999999</v>
      </c>
      <c r="BJ6" s="94">
        <v>0.26769250700000002</v>
      </c>
      <c r="BK6" s="93">
        <v>0.42781290649999998</v>
      </c>
      <c r="BL6" s="94">
        <v>9.2886267000000002E-3</v>
      </c>
      <c r="BM6" s="93">
        <v>0.14299837800000001</v>
      </c>
      <c r="BN6" s="94">
        <v>2.3548678999999999E-3</v>
      </c>
      <c r="BO6" s="93">
        <v>0</v>
      </c>
      <c r="BP6" s="94">
        <v>0</v>
      </c>
      <c r="BQ6" s="93">
        <v>0</v>
      </c>
      <c r="BR6" s="88">
        <v>0</v>
      </c>
      <c r="BS6" s="37" t="s">
        <v>76</v>
      </c>
      <c r="BT6" s="13">
        <v>0</v>
      </c>
      <c r="BU6" s="93">
        <v>6.9236700000000005E-4</v>
      </c>
      <c r="BV6" s="94">
        <v>1.2201999999999999E-5</v>
      </c>
      <c r="BW6" s="93">
        <v>0</v>
      </c>
      <c r="BX6" s="94">
        <v>0</v>
      </c>
      <c r="BY6" s="7" t="s">
        <v>76</v>
      </c>
      <c r="BZ6" s="13">
        <v>0</v>
      </c>
      <c r="CA6" s="7" t="s">
        <v>76</v>
      </c>
      <c r="CB6" s="13">
        <v>0</v>
      </c>
      <c r="CC6" s="93">
        <v>5.0938619300000001E-2</v>
      </c>
      <c r="CD6" s="94">
        <v>7.8029219999999999E-4</v>
      </c>
      <c r="CE6" s="93">
        <v>0</v>
      </c>
      <c r="CF6" s="94">
        <v>0</v>
      </c>
      <c r="CG6" s="7" t="s">
        <v>76</v>
      </c>
      <c r="CH6" s="13">
        <v>0</v>
      </c>
      <c r="CI6" s="7" t="s">
        <v>76</v>
      </c>
      <c r="CJ6" s="13">
        <v>0</v>
      </c>
      <c r="CK6" s="7" t="s">
        <v>76</v>
      </c>
      <c r="CL6" s="13">
        <v>0</v>
      </c>
      <c r="CM6" s="7" t="s">
        <v>76</v>
      </c>
      <c r="CN6" s="13">
        <v>0</v>
      </c>
      <c r="CO6" s="93">
        <v>0</v>
      </c>
      <c r="CP6" s="94">
        <v>0</v>
      </c>
      <c r="CQ6" s="93">
        <v>0</v>
      </c>
      <c r="CR6" s="94">
        <v>0</v>
      </c>
      <c r="CS6" s="93">
        <v>6.979849E-4</v>
      </c>
      <c r="CT6" s="94">
        <v>2.90108E-5</v>
      </c>
      <c r="CU6" s="93">
        <v>0</v>
      </c>
      <c r="CV6" s="94">
        <v>0</v>
      </c>
      <c r="CW6" s="6" t="s">
        <v>76</v>
      </c>
      <c r="CX6" s="13">
        <v>0</v>
      </c>
      <c r="CY6" s="7" t="s">
        <v>76</v>
      </c>
      <c r="CZ6" s="15">
        <v>0</v>
      </c>
      <c r="DA6" s="93">
        <v>5.37114089E-2</v>
      </c>
      <c r="DB6" s="94">
        <v>1.6948705E-3</v>
      </c>
      <c r="DC6" s="93">
        <v>0</v>
      </c>
      <c r="DD6" s="94">
        <v>3.5759898E-6</v>
      </c>
      <c r="DE6" s="93">
        <v>1.7907367600000001E-2</v>
      </c>
      <c r="DF6" s="94">
        <v>4.7742560000000001E-4</v>
      </c>
      <c r="DG6" s="93">
        <v>2.8209653E-3</v>
      </c>
      <c r="DH6" s="94">
        <v>2.9512599999999999E-5</v>
      </c>
      <c r="DI6" s="188">
        <v>0</v>
      </c>
      <c r="DJ6" s="189">
        <v>0</v>
      </c>
      <c r="DK6" s="189">
        <v>0</v>
      </c>
      <c r="DL6" s="189">
        <v>0</v>
      </c>
      <c r="DM6" s="189">
        <v>0</v>
      </c>
      <c r="DN6" s="189">
        <v>0</v>
      </c>
      <c r="DO6" s="189">
        <v>0</v>
      </c>
      <c r="DP6" s="189">
        <v>0</v>
      </c>
      <c r="DQ6" s="189">
        <v>0</v>
      </c>
      <c r="DR6" s="190">
        <v>0</v>
      </c>
      <c r="DS6" s="112">
        <v>4.2072258699999997E-2</v>
      </c>
      <c r="DT6" s="13">
        <v>6.0191606999999998E-3</v>
      </c>
      <c r="DU6" s="79">
        <v>1.4769852E-3</v>
      </c>
      <c r="DV6" s="13">
        <v>2.8781208999999999E-3</v>
      </c>
      <c r="DW6" s="79">
        <v>3.6892822000000002E-6</v>
      </c>
      <c r="DX6" s="13">
        <v>2.2843175999999999E-3</v>
      </c>
      <c r="DY6" s="79">
        <v>0</v>
      </c>
      <c r="DZ6" s="13">
        <v>1.8952834999999999E-3</v>
      </c>
      <c r="EA6" s="79">
        <v>0</v>
      </c>
      <c r="EB6" s="13">
        <v>1.5415267999999999E-3</v>
      </c>
      <c r="EC6" s="79">
        <v>0</v>
      </c>
      <c r="ED6" s="13">
        <v>1.2077219E-3</v>
      </c>
      <c r="EE6" s="79">
        <v>0</v>
      </c>
      <c r="EF6" s="13">
        <v>8.8157980000000001E-4</v>
      </c>
      <c r="EG6" s="79">
        <v>0</v>
      </c>
      <c r="EH6" s="13">
        <v>5.6310050000000003E-4</v>
      </c>
      <c r="EI6" s="79">
        <v>0</v>
      </c>
      <c r="EJ6" s="13">
        <v>2.7005600000000002E-4</v>
      </c>
      <c r="EK6" s="79">
        <v>0</v>
      </c>
      <c r="EL6" s="15">
        <v>1.656793E-4</v>
      </c>
      <c r="EM6" s="79"/>
      <c r="EN6" s="13"/>
      <c r="EO6" s="79"/>
      <c r="EP6" s="13"/>
      <c r="EQ6" s="79"/>
      <c r="ER6" s="13"/>
      <c r="ES6" s="79"/>
      <c r="ET6" s="13"/>
      <c r="EU6" s="79"/>
      <c r="EV6" s="15"/>
    </row>
    <row r="7" spans="1:152" x14ac:dyDescent="0.2">
      <c r="A7" s="8">
        <v>200</v>
      </c>
      <c r="B7" s="82">
        <v>48887</v>
      </c>
      <c r="C7" s="83">
        <v>174.91242201</v>
      </c>
      <c r="D7" s="93">
        <v>150.56568677999999</v>
      </c>
      <c r="E7" s="93">
        <v>6.9661407199999997E-2</v>
      </c>
      <c r="F7" s="94">
        <v>6.9262809999999996E-4</v>
      </c>
      <c r="G7" s="83">
        <v>0</v>
      </c>
      <c r="H7" s="94">
        <v>0</v>
      </c>
      <c r="I7" s="93">
        <v>13.300398263</v>
      </c>
      <c r="J7" s="94">
        <v>0.22794668970000001</v>
      </c>
      <c r="K7" s="93">
        <v>6.8649615996</v>
      </c>
      <c r="L7" s="94">
        <v>0.1121317195</v>
      </c>
      <c r="M7" s="93">
        <v>1.4970415000000001E-2</v>
      </c>
      <c r="N7" s="94">
        <v>1.4855550000000001E-4</v>
      </c>
      <c r="O7" s="37">
        <v>0</v>
      </c>
      <c r="P7" s="13">
        <v>0</v>
      </c>
      <c r="Q7" s="93">
        <v>0.14200987170000001</v>
      </c>
      <c r="R7" s="94">
        <v>1.7405381000000001E-3</v>
      </c>
      <c r="S7" s="37" t="s">
        <v>76</v>
      </c>
      <c r="T7" s="13">
        <v>0</v>
      </c>
      <c r="U7" s="37" t="s">
        <v>76</v>
      </c>
      <c r="V7" s="13">
        <v>0</v>
      </c>
      <c r="W7" s="93">
        <v>0</v>
      </c>
      <c r="X7" s="94">
        <v>0</v>
      </c>
      <c r="Y7" s="93">
        <v>1.06907038E-2</v>
      </c>
      <c r="Z7" s="94">
        <v>0</v>
      </c>
      <c r="AA7" s="37" t="s">
        <v>76</v>
      </c>
      <c r="AB7" s="13">
        <v>0</v>
      </c>
      <c r="AC7" s="93">
        <v>0</v>
      </c>
      <c r="AD7" s="94">
        <v>0</v>
      </c>
      <c r="AE7" s="37" t="s">
        <v>76</v>
      </c>
      <c r="AF7" s="13">
        <v>0</v>
      </c>
      <c r="AG7" s="37" t="s">
        <v>76</v>
      </c>
      <c r="AH7" s="13">
        <v>0</v>
      </c>
      <c r="AI7" s="93">
        <v>0</v>
      </c>
      <c r="AJ7" s="94">
        <v>0</v>
      </c>
      <c r="AK7" s="93">
        <v>12.035536955</v>
      </c>
      <c r="AL7" s="94">
        <v>0.1262409025</v>
      </c>
      <c r="AM7" s="37" t="s">
        <v>76</v>
      </c>
      <c r="AN7" s="13">
        <v>0</v>
      </c>
      <c r="AO7" s="37" t="s">
        <v>76</v>
      </c>
      <c r="AP7" s="13">
        <v>0</v>
      </c>
      <c r="AQ7" s="37" t="s">
        <v>76</v>
      </c>
      <c r="AR7" s="13">
        <v>0</v>
      </c>
      <c r="AS7" s="93">
        <v>0.30854174239999999</v>
      </c>
      <c r="AT7" s="94">
        <v>2.03437585E-2</v>
      </c>
      <c r="AU7" s="93">
        <v>0.77726609189999996</v>
      </c>
      <c r="AV7" s="94">
        <v>1.0424179800000001E-2</v>
      </c>
      <c r="AW7" s="93">
        <v>0.44997023759999999</v>
      </c>
      <c r="AX7" s="94">
        <v>4.8391544000000002E-3</v>
      </c>
      <c r="AY7" s="93">
        <v>0.2257265608</v>
      </c>
      <c r="AZ7" s="94">
        <v>1.8451658E-3</v>
      </c>
      <c r="BA7" s="79">
        <v>0.1015692936</v>
      </c>
      <c r="BB7" s="13">
        <v>3.7398596000000001E-3</v>
      </c>
      <c r="BC7" s="93">
        <v>0</v>
      </c>
      <c r="BD7" s="86">
        <v>0</v>
      </c>
      <c r="BE7" s="93">
        <v>0.1608903002</v>
      </c>
      <c r="BF7" s="94">
        <v>2.4923328000000002E-3</v>
      </c>
      <c r="BG7" s="94">
        <v>0</v>
      </c>
      <c r="BH7" s="86">
        <v>0</v>
      </c>
      <c r="BI7" s="93">
        <v>6.8801153348000001</v>
      </c>
      <c r="BJ7" s="94">
        <v>0.43804321010000002</v>
      </c>
      <c r="BK7" s="93">
        <v>1.9985798050000001</v>
      </c>
      <c r="BL7" s="94">
        <v>2.72040949E-2</v>
      </c>
      <c r="BM7" s="93">
        <v>0.74505222969999996</v>
      </c>
      <c r="BN7" s="94">
        <v>8.1201156999999996E-3</v>
      </c>
      <c r="BO7" s="93">
        <v>9.5246570000000006E-3</v>
      </c>
      <c r="BP7" s="94">
        <v>5.9052399999999997E-5</v>
      </c>
      <c r="BQ7" s="93">
        <v>0</v>
      </c>
      <c r="BR7" s="88">
        <v>0</v>
      </c>
      <c r="BS7" s="37" t="s">
        <v>76</v>
      </c>
      <c r="BT7" s="13">
        <v>0</v>
      </c>
      <c r="BU7" s="93">
        <v>9.8697164000000007E-3</v>
      </c>
      <c r="BV7" s="94">
        <v>1.0985550000000001E-4</v>
      </c>
      <c r="BW7" s="93">
        <v>0</v>
      </c>
      <c r="BX7" s="94">
        <v>0</v>
      </c>
      <c r="BY7" s="7" t="s">
        <v>76</v>
      </c>
      <c r="BZ7" s="13">
        <v>0</v>
      </c>
      <c r="CA7" s="7" t="s">
        <v>76</v>
      </c>
      <c r="CB7" s="13">
        <v>0</v>
      </c>
      <c r="CC7" s="93">
        <v>0.13702265869999999</v>
      </c>
      <c r="CD7" s="94">
        <v>1.6973673999999999E-3</v>
      </c>
      <c r="CE7" s="93">
        <v>0</v>
      </c>
      <c r="CF7" s="94">
        <v>0</v>
      </c>
      <c r="CG7" s="7" t="s">
        <v>76</v>
      </c>
      <c r="CH7" s="13">
        <v>0</v>
      </c>
      <c r="CI7" s="7" t="s">
        <v>76</v>
      </c>
      <c r="CJ7" s="13">
        <v>0</v>
      </c>
      <c r="CK7" s="7" t="s">
        <v>76</v>
      </c>
      <c r="CL7" s="13">
        <v>0</v>
      </c>
      <c r="CM7" s="7" t="s">
        <v>76</v>
      </c>
      <c r="CN7" s="13">
        <v>0</v>
      </c>
      <c r="CO7" s="93">
        <v>0</v>
      </c>
      <c r="CP7" s="94">
        <v>0</v>
      </c>
      <c r="CQ7" s="93">
        <v>0</v>
      </c>
      <c r="CR7" s="94">
        <v>0</v>
      </c>
      <c r="CS7" s="93">
        <v>4.0628010000000004E-3</v>
      </c>
      <c r="CT7" s="94">
        <v>9.6050099999999997E-5</v>
      </c>
      <c r="CU7" s="93">
        <v>0</v>
      </c>
      <c r="CV7" s="94">
        <v>5.8654806999999999E-6</v>
      </c>
      <c r="CW7" s="6" t="s">
        <v>76</v>
      </c>
      <c r="CX7" s="13">
        <v>0</v>
      </c>
      <c r="CY7" s="7" t="s">
        <v>76</v>
      </c>
      <c r="CZ7" s="15">
        <v>0</v>
      </c>
      <c r="DA7" s="93">
        <v>0.2133329226</v>
      </c>
      <c r="DB7" s="94">
        <v>5.0147702000000001E-3</v>
      </c>
      <c r="DC7" s="93">
        <v>0</v>
      </c>
      <c r="DD7" s="94">
        <v>2.7767760999999999E-6</v>
      </c>
      <c r="DE7" s="93">
        <v>7.6083784299999999E-2</v>
      </c>
      <c r="DF7" s="94">
        <v>1.1746082E-3</v>
      </c>
      <c r="DG7" s="93">
        <v>6.3487817000000002E-3</v>
      </c>
      <c r="DH7" s="94">
        <v>6.5998899999999996E-5</v>
      </c>
      <c r="DI7" s="188">
        <v>0</v>
      </c>
      <c r="DJ7" s="189">
        <v>0</v>
      </c>
      <c r="DK7" s="189">
        <v>0</v>
      </c>
      <c r="DL7" s="189">
        <v>0</v>
      </c>
      <c r="DM7" s="189">
        <v>0</v>
      </c>
      <c r="DN7" s="189">
        <v>0</v>
      </c>
      <c r="DO7" s="189">
        <v>0</v>
      </c>
      <c r="DP7" s="189">
        <v>0</v>
      </c>
      <c r="DQ7" s="189">
        <v>0</v>
      </c>
      <c r="DR7" s="190">
        <v>0</v>
      </c>
      <c r="DS7" s="112">
        <v>0.83258301680000002</v>
      </c>
      <c r="DT7" s="13">
        <v>3.2283385400000003E-2</v>
      </c>
      <c r="DU7" s="79">
        <v>4.2771430800000003E-2</v>
      </c>
      <c r="DV7" s="13">
        <v>7.1670772999999997E-3</v>
      </c>
      <c r="DW7" s="79">
        <v>6.9420198000000001E-3</v>
      </c>
      <c r="DX7" s="13">
        <v>4.6374162000000002E-3</v>
      </c>
      <c r="DY7" s="79">
        <v>3.8153493000000001E-3</v>
      </c>
      <c r="DZ7" s="13">
        <v>3.7751411000000001E-3</v>
      </c>
      <c r="EA7" s="79">
        <v>2.7307485E-3</v>
      </c>
      <c r="EB7" s="13">
        <v>3.1151713E-3</v>
      </c>
      <c r="EC7" s="79">
        <v>1.9913074E-3</v>
      </c>
      <c r="ED7" s="13">
        <v>2.5010649000000002E-3</v>
      </c>
      <c r="EE7" s="79">
        <v>1.5282347000000001E-3</v>
      </c>
      <c r="EF7" s="13">
        <v>1.9257765999999999E-3</v>
      </c>
      <c r="EG7" s="79">
        <v>1.0651619000000001E-3</v>
      </c>
      <c r="EH7" s="13">
        <v>1.3622192999999999E-3</v>
      </c>
      <c r="EI7" s="79">
        <v>6.484851E-4</v>
      </c>
      <c r="EJ7" s="13">
        <v>8.299612E-4</v>
      </c>
      <c r="EK7" s="79">
        <v>2.9361790000000001E-4</v>
      </c>
      <c r="EL7" s="15">
        <v>5.1296559999999998E-4</v>
      </c>
      <c r="EM7" s="79"/>
      <c r="EN7" s="13"/>
      <c r="EO7" s="79"/>
      <c r="EP7" s="13"/>
      <c r="EQ7" s="79"/>
      <c r="ER7" s="13"/>
      <c r="ES7" s="79"/>
      <c r="ET7" s="13"/>
      <c r="EU7" s="79"/>
      <c r="EV7" s="15"/>
    </row>
    <row r="8" spans="1:152" x14ac:dyDescent="0.2">
      <c r="A8" s="8">
        <v>300</v>
      </c>
      <c r="B8" s="82">
        <v>46926</v>
      </c>
      <c r="C8" s="83">
        <v>256.97690834999997</v>
      </c>
      <c r="D8" s="93">
        <v>249.16493327000001</v>
      </c>
      <c r="E8" s="93">
        <v>0.19380892729999999</v>
      </c>
      <c r="F8" s="94">
        <v>1.4712244000000001E-3</v>
      </c>
      <c r="G8" s="83">
        <v>0</v>
      </c>
      <c r="H8" s="94">
        <v>0</v>
      </c>
      <c r="I8" s="93">
        <v>23.287808536</v>
      </c>
      <c r="J8" s="94">
        <v>0.38609765600000001</v>
      </c>
      <c r="K8" s="93">
        <v>12.518367072</v>
      </c>
      <c r="L8" s="94">
        <v>0.1819186089</v>
      </c>
      <c r="M8" s="93">
        <v>2.6881920399999999E-2</v>
      </c>
      <c r="N8" s="94">
        <v>2.2761170000000001E-4</v>
      </c>
      <c r="O8" s="37">
        <v>0</v>
      </c>
      <c r="P8" s="13">
        <v>0</v>
      </c>
      <c r="Q8" s="93">
        <v>0.45002694859999998</v>
      </c>
      <c r="R8" s="94">
        <v>4.3943102999999999E-3</v>
      </c>
      <c r="S8" s="37" t="s">
        <v>76</v>
      </c>
      <c r="T8" s="13">
        <v>0</v>
      </c>
      <c r="U8" s="37" t="s">
        <v>76</v>
      </c>
      <c r="V8" s="13">
        <v>0</v>
      </c>
      <c r="W8" s="93">
        <v>9.3813580000000004E-4</v>
      </c>
      <c r="X8" s="94">
        <v>6.2247940000000004E-6</v>
      </c>
      <c r="Y8" s="93">
        <v>2.1269177600000001E-2</v>
      </c>
      <c r="Z8" s="94">
        <v>2.763067E-6</v>
      </c>
      <c r="AA8" s="37" t="s">
        <v>76</v>
      </c>
      <c r="AB8" s="13">
        <v>0</v>
      </c>
      <c r="AC8" s="93">
        <v>0</v>
      </c>
      <c r="AD8" s="94">
        <v>0</v>
      </c>
      <c r="AE8" s="37" t="s">
        <v>76</v>
      </c>
      <c r="AF8" s="13">
        <v>0</v>
      </c>
      <c r="AG8" s="37" t="s">
        <v>76</v>
      </c>
      <c r="AH8" s="13">
        <v>0</v>
      </c>
      <c r="AI8" s="93">
        <v>0</v>
      </c>
      <c r="AJ8" s="94">
        <v>0</v>
      </c>
      <c r="AK8" s="93">
        <v>25.827593888999999</v>
      </c>
      <c r="AL8" s="94">
        <v>0.22502570229999999</v>
      </c>
      <c r="AM8" s="37" t="s">
        <v>76</v>
      </c>
      <c r="AN8" s="13">
        <v>0</v>
      </c>
      <c r="AO8" s="37" t="s">
        <v>76</v>
      </c>
      <c r="AP8" s="13">
        <v>0</v>
      </c>
      <c r="AQ8" s="37" t="s">
        <v>76</v>
      </c>
      <c r="AR8" s="13">
        <v>0</v>
      </c>
      <c r="AS8" s="93">
        <v>0.67024544779999995</v>
      </c>
      <c r="AT8" s="94">
        <v>4.2090518E-2</v>
      </c>
      <c r="AU8" s="93">
        <v>1.9163360728000001</v>
      </c>
      <c r="AV8" s="94">
        <v>1.9259195100000001E-2</v>
      </c>
      <c r="AW8" s="93">
        <v>1.1576151092</v>
      </c>
      <c r="AX8" s="94">
        <v>9.5274069000000003E-3</v>
      </c>
      <c r="AY8" s="93">
        <v>0.57754437790000002</v>
      </c>
      <c r="AZ8" s="94">
        <v>3.7840768000000002E-3</v>
      </c>
      <c r="BA8" s="79">
        <v>0.1811765856</v>
      </c>
      <c r="BB8" s="13">
        <v>5.9477113999999998E-3</v>
      </c>
      <c r="BC8" s="93">
        <v>0</v>
      </c>
      <c r="BD8" s="86">
        <v>0</v>
      </c>
      <c r="BE8" s="93">
        <v>0.38836380380000002</v>
      </c>
      <c r="BF8" s="94">
        <v>4.6902654999999996E-3</v>
      </c>
      <c r="BG8" s="94">
        <v>0</v>
      </c>
      <c r="BH8" s="86">
        <v>0</v>
      </c>
      <c r="BI8" s="93">
        <v>10.549611718</v>
      </c>
      <c r="BJ8" s="94">
        <v>0.59521605249999998</v>
      </c>
      <c r="BK8" s="93">
        <v>4.0734386579999997</v>
      </c>
      <c r="BL8" s="94">
        <v>4.8228341100000002E-2</v>
      </c>
      <c r="BM8" s="93">
        <v>1.5832059585</v>
      </c>
      <c r="BN8" s="94">
        <v>1.5291307800000001E-2</v>
      </c>
      <c r="BO8" s="93">
        <v>1.7412920500000002E-2</v>
      </c>
      <c r="BP8" s="94">
        <v>9.2522200000000007E-5</v>
      </c>
      <c r="BQ8" s="93">
        <v>0</v>
      </c>
      <c r="BR8" s="88">
        <v>0</v>
      </c>
      <c r="BS8" s="37" t="s">
        <v>76</v>
      </c>
      <c r="BT8" s="13">
        <v>0</v>
      </c>
      <c r="BU8" s="93">
        <v>1.6711243099999998E-2</v>
      </c>
      <c r="BV8" s="94">
        <v>1.6138590000000001E-4</v>
      </c>
      <c r="BW8" s="93">
        <v>1.0516957999999999E-3</v>
      </c>
      <c r="BX8" s="94">
        <v>4.7383493999999996E-6</v>
      </c>
      <c r="BY8" s="7" t="s">
        <v>76</v>
      </c>
      <c r="BZ8" s="13">
        <v>0</v>
      </c>
      <c r="CA8" s="7" t="s">
        <v>76</v>
      </c>
      <c r="CB8" s="13">
        <v>0</v>
      </c>
      <c r="CC8" s="93">
        <v>0.43012829380000001</v>
      </c>
      <c r="CD8" s="94">
        <v>4.2770914000000004E-3</v>
      </c>
      <c r="CE8" s="93">
        <v>2.6661524999999999E-3</v>
      </c>
      <c r="CF8" s="94">
        <v>2.2917100000000001E-5</v>
      </c>
      <c r="CG8" s="7" t="s">
        <v>76</v>
      </c>
      <c r="CH8" s="13">
        <v>0</v>
      </c>
      <c r="CI8" s="7" t="s">
        <v>76</v>
      </c>
      <c r="CJ8" s="13">
        <v>0</v>
      </c>
      <c r="CK8" s="7" t="s">
        <v>76</v>
      </c>
      <c r="CL8" s="13">
        <v>0</v>
      </c>
      <c r="CM8" s="7" t="s">
        <v>76</v>
      </c>
      <c r="CN8" s="13">
        <v>0</v>
      </c>
      <c r="CO8" s="93">
        <v>0</v>
      </c>
      <c r="CP8" s="94">
        <v>0</v>
      </c>
      <c r="CQ8" s="93">
        <v>0</v>
      </c>
      <c r="CR8" s="94">
        <v>0</v>
      </c>
      <c r="CS8" s="93">
        <v>1.1005186700000001E-2</v>
      </c>
      <c r="CT8" s="94">
        <v>1.817733E-4</v>
      </c>
      <c r="CU8" s="93">
        <v>0</v>
      </c>
      <c r="CV8" s="94">
        <v>4.7383493999999996E-6</v>
      </c>
      <c r="CW8" s="6" t="s">
        <v>76</v>
      </c>
      <c r="CX8" s="13">
        <v>0</v>
      </c>
      <c r="CY8" s="7" t="s">
        <v>76</v>
      </c>
      <c r="CZ8" s="15">
        <v>0</v>
      </c>
      <c r="DA8" s="93">
        <v>0.4906695183</v>
      </c>
      <c r="DB8" s="94">
        <v>9.3941826000000003E-3</v>
      </c>
      <c r="DC8" s="93">
        <v>0</v>
      </c>
      <c r="DD8" s="94">
        <v>1.385E-5</v>
      </c>
      <c r="DE8" s="93">
        <v>0.19471727759999999</v>
      </c>
      <c r="DF8" s="94">
        <v>2.1519289999999999E-3</v>
      </c>
      <c r="DG8" s="93">
        <v>1.53830054E-2</v>
      </c>
      <c r="DH8" s="94">
        <v>9.91543E-5</v>
      </c>
      <c r="DI8" s="188">
        <v>0</v>
      </c>
      <c r="DJ8" s="189">
        <v>0</v>
      </c>
      <c r="DK8" s="189">
        <v>0</v>
      </c>
      <c r="DL8" s="189">
        <v>0</v>
      </c>
      <c r="DM8" s="189">
        <v>0</v>
      </c>
      <c r="DN8" s="189">
        <v>0</v>
      </c>
      <c r="DO8" s="189">
        <v>0</v>
      </c>
      <c r="DP8" s="189">
        <v>0</v>
      </c>
      <c r="DQ8" s="189">
        <v>0</v>
      </c>
      <c r="DR8" s="190">
        <v>0</v>
      </c>
      <c r="DS8" s="112">
        <v>3.3951716952000002</v>
      </c>
      <c r="DT8" s="13">
        <v>9.4572003500000001E-2</v>
      </c>
      <c r="DU8" s="79">
        <v>0.43857675870000001</v>
      </c>
      <c r="DV8" s="13">
        <v>1.9389660100000001E-2</v>
      </c>
      <c r="DW8" s="79">
        <v>4.4378754800000003E-2</v>
      </c>
      <c r="DX8" s="13">
        <v>6.4751449999999999E-3</v>
      </c>
      <c r="DY8" s="79">
        <v>1.1145251300000001E-2</v>
      </c>
      <c r="DZ8" s="13">
        <v>4.3897939000000002E-3</v>
      </c>
      <c r="EA8" s="79">
        <v>6.2900355E-3</v>
      </c>
      <c r="EB8" s="13">
        <v>3.5078370000000002E-3</v>
      </c>
      <c r="EC8" s="79">
        <v>4.4703043999999997E-3</v>
      </c>
      <c r="ED8" s="13">
        <v>2.7753869999999998E-3</v>
      </c>
      <c r="EE8" s="79">
        <v>3.3847623E-3</v>
      </c>
      <c r="EF8" s="13">
        <v>2.1292991999999999E-3</v>
      </c>
      <c r="EG8" s="79">
        <v>2.4998892E-3</v>
      </c>
      <c r="EH8" s="13">
        <v>1.5163798E-3</v>
      </c>
      <c r="EI8" s="79">
        <v>1.7068097999999999E-3</v>
      </c>
      <c r="EJ8" s="13">
        <v>9.3828339999999996E-4</v>
      </c>
      <c r="EK8" s="79">
        <v>9.9707529999999993E-4</v>
      </c>
      <c r="EL8" s="15">
        <v>5.8179610000000002E-4</v>
      </c>
      <c r="EM8" s="79"/>
      <c r="EN8" s="13"/>
      <c r="EO8" s="79"/>
      <c r="EP8" s="13"/>
      <c r="EQ8" s="79"/>
      <c r="ER8" s="13"/>
      <c r="ES8" s="79"/>
      <c r="ET8" s="13"/>
      <c r="EU8" s="79"/>
      <c r="EV8" s="15"/>
    </row>
    <row r="9" spans="1:152" x14ac:dyDescent="0.2">
      <c r="A9" s="8">
        <v>400</v>
      </c>
      <c r="B9" s="82">
        <v>43529</v>
      </c>
      <c r="C9" s="83">
        <v>335.48779955999998</v>
      </c>
      <c r="D9" s="93">
        <v>349.52427489000002</v>
      </c>
      <c r="E9" s="93">
        <v>0.36115274110000001</v>
      </c>
      <c r="F9" s="94">
        <v>2.3573213E-3</v>
      </c>
      <c r="G9" s="83">
        <v>8.1463610000000002E-4</v>
      </c>
      <c r="H9" s="94">
        <v>4.0042242000000003E-6</v>
      </c>
      <c r="I9" s="93">
        <v>32.960601752000002</v>
      </c>
      <c r="J9" s="94">
        <v>0.5324664536</v>
      </c>
      <c r="K9" s="93">
        <v>18.154825200000001</v>
      </c>
      <c r="L9" s="94">
        <v>0.2486488664</v>
      </c>
      <c r="M9" s="93">
        <v>3.5691398300000003E-2</v>
      </c>
      <c r="N9" s="94">
        <v>2.8347790000000001E-4</v>
      </c>
      <c r="O9" s="37">
        <v>0</v>
      </c>
      <c r="P9" s="13">
        <v>0</v>
      </c>
      <c r="Q9" s="93">
        <v>0.86448052580000001</v>
      </c>
      <c r="R9" s="94">
        <v>7.6652962999999999E-3</v>
      </c>
      <c r="S9" s="37" t="s">
        <v>76</v>
      </c>
      <c r="T9" s="13">
        <v>0</v>
      </c>
      <c r="U9" s="37" t="s">
        <v>76</v>
      </c>
      <c r="V9" s="13">
        <v>0</v>
      </c>
      <c r="W9" s="93">
        <v>1.9143119E-3</v>
      </c>
      <c r="X9" s="94">
        <v>1.9105799999999999E-5</v>
      </c>
      <c r="Y9" s="93">
        <v>4.515052E-2</v>
      </c>
      <c r="Z9" s="94">
        <v>5.6984027000000004E-6</v>
      </c>
      <c r="AA9" s="37" t="s">
        <v>76</v>
      </c>
      <c r="AB9" s="13">
        <v>0</v>
      </c>
      <c r="AC9" s="93">
        <v>0</v>
      </c>
      <c r="AD9" s="94">
        <v>0</v>
      </c>
      <c r="AE9" s="37" t="s">
        <v>76</v>
      </c>
      <c r="AF9" s="13">
        <v>0</v>
      </c>
      <c r="AG9" s="37" t="s">
        <v>76</v>
      </c>
      <c r="AH9" s="13">
        <v>0</v>
      </c>
      <c r="AI9" s="93">
        <v>0</v>
      </c>
      <c r="AJ9" s="94">
        <v>0</v>
      </c>
      <c r="AK9" s="93">
        <v>40.180984393000003</v>
      </c>
      <c r="AL9" s="94">
        <v>0.31697231250000002</v>
      </c>
      <c r="AM9" s="37" t="s">
        <v>76</v>
      </c>
      <c r="AN9" s="13">
        <v>0</v>
      </c>
      <c r="AO9" s="37" t="s">
        <v>76</v>
      </c>
      <c r="AP9" s="13">
        <v>0</v>
      </c>
      <c r="AQ9" s="37" t="s">
        <v>76</v>
      </c>
      <c r="AR9" s="13">
        <v>0</v>
      </c>
      <c r="AS9" s="93">
        <v>1.1828493053</v>
      </c>
      <c r="AT9" s="94">
        <v>6.5431157300000001E-2</v>
      </c>
      <c r="AU9" s="93">
        <v>3.1427666186000001</v>
      </c>
      <c r="AV9" s="94">
        <v>2.8475671599999999E-2</v>
      </c>
      <c r="AW9" s="93">
        <v>1.9092387519</v>
      </c>
      <c r="AX9" s="94">
        <v>1.42963845E-2</v>
      </c>
      <c r="AY9" s="93">
        <v>0.94644702520000001</v>
      </c>
      <c r="AZ9" s="94">
        <v>5.7458413000000003E-3</v>
      </c>
      <c r="BA9" s="79">
        <v>0.28708084150000002</v>
      </c>
      <c r="BB9" s="13">
        <v>8.4334457000000002E-3</v>
      </c>
      <c r="BC9" s="93">
        <v>0</v>
      </c>
      <c r="BD9" s="86">
        <v>0</v>
      </c>
      <c r="BE9" s="93">
        <v>0.67392398529999997</v>
      </c>
      <c r="BF9" s="94">
        <v>6.8840869999999997E-3</v>
      </c>
      <c r="BG9" s="94">
        <v>1.2012699999999999E-5</v>
      </c>
      <c r="BH9" s="86">
        <v>0</v>
      </c>
      <c r="BI9" s="93">
        <v>14.225826308</v>
      </c>
      <c r="BJ9" s="94">
        <v>0.74223624079999995</v>
      </c>
      <c r="BK9" s="93">
        <v>6.4769721352999996</v>
      </c>
      <c r="BL9" s="94">
        <v>7.1532593699999994E-2</v>
      </c>
      <c r="BM9" s="93">
        <v>2.6413404161999998</v>
      </c>
      <c r="BN9" s="94">
        <v>2.3709963600000002E-2</v>
      </c>
      <c r="BO9" s="93">
        <v>3.53244271E-2</v>
      </c>
      <c r="BP9" s="94">
        <v>1.8366850000000001E-4</v>
      </c>
      <c r="BQ9" s="93">
        <v>0</v>
      </c>
      <c r="BR9" s="88">
        <v>0</v>
      </c>
      <c r="BS9" s="37" t="s">
        <v>76</v>
      </c>
      <c r="BT9" s="13">
        <v>0</v>
      </c>
      <c r="BU9" s="93">
        <v>1.96181762E-2</v>
      </c>
      <c r="BV9" s="94">
        <v>1.7453210000000001E-4</v>
      </c>
      <c r="BW9" s="93">
        <v>8.8875369999999996E-4</v>
      </c>
      <c r="BX9" s="94">
        <v>4.0042242000000003E-6</v>
      </c>
      <c r="BY9" s="7" t="s">
        <v>76</v>
      </c>
      <c r="BZ9" s="13">
        <v>0</v>
      </c>
      <c r="CA9" s="7" t="s">
        <v>76</v>
      </c>
      <c r="CB9" s="13">
        <v>0</v>
      </c>
      <c r="CC9" s="93">
        <v>0.8262970557</v>
      </c>
      <c r="CD9" s="94">
        <v>7.4363600000000004E-3</v>
      </c>
      <c r="CE9" s="93">
        <v>5.5422411999999999E-3</v>
      </c>
      <c r="CF9" s="94">
        <v>5.22425E-5</v>
      </c>
      <c r="CG9" s="7" t="s">
        <v>76</v>
      </c>
      <c r="CH9" s="13">
        <v>0</v>
      </c>
      <c r="CI9" s="7" t="s">
        <v>76</v>
      </c>
      <c r="CJ9" s="13">
        <v>0</v>
      </c>
      <c r="CK9" s="7" t="s">
        <v>76</v>
      </c>
      <c r="CL9" s="13">
        <v>0</v>
      </c>
      <c r="CM9" s="7" t="s">
        <v>76</v>
      </c>
      <c r="CN9" s="13">
        <v>0</v>
      </c>
      <c r="CO9" s="93">
        <v>8.1995720000000002E-4</v>
      </c>
      <c r="CP9" s="94">
        <v>1.2012699999999999E-5</v>
      </c>
      <c r="CQ9" s="93">
        <v>0</v>
      </c>
      <c r="CR9" s="94">
        <v>0</v>
      </c>
      <c r="CS9" s="93">
        <v>2.3298399099999999E-2</v>
      </c>
      <c r="CT9" s="94">
        <v>2.395009E-4</v>
      </c>
      <c r="CU9" s="93">
        <v>0</v>
      </c>
      <c r="CV9" s="94">
        <v>8.0084485000000004E-6</v>
      </c>
      <c r="CW9" s="6" t="s">
        <v>76</v>
      </c>
      <c r="CX9" s="13">
        <v>0</v>
      </c>
      <c r="CY9" s="7" t="s">
        <v>76</v>
      </c>
      <c r="CZ9" s="15">
        <v>0</v>
      </c>
      <c r="DA9" s="93">
        <v>0.87035657629999996</v>
      </c>
      <c r="DB9" s="94">
        <v>1.44356759E-2</v>
      </c>
      <c r="DC9" s="93">
        <v>1.2694854E-3</v>
      </c>
      <c r="DD9" s="94">
        <v>3.81599E-5</v>
      </c>
      <c r="DE9" s="93">
        <v>0.3752134271</v>
      </c>
      <c r="DF9" s="94">
        <v>3.3146909999999998E-3</v>
      </c>
      <c r="DG9" s="93">
        <v>1.58889171E-2</v>
      </c>
      <c r="DH9" s="94">
        <v>1.185406E-4</v>
      </c>
      <c r="DI9" s="188">
        <v>4.0042242000000003E-6</v>
      </c>
      <c r="DJ9" s="189">
        <v>8.0084485000000004E-6</v>
      </c>
      <c r="DK9" s="189">
        <v>1.2012699999999999E-5</v>
      </c>
      <c r="DL9" s="189">
        <v>1.2012699999999999E-5</v>
      </c>
      <c r="DM9" s="189">
        <v>1.2012699999999999E-5</v>
      </c>
      <c r="DN9" s="189">
        <v>1.2012699999999999E-5</v>
      </c>
      <c r="DO9" s="189">
        <v>1.2012699999999999E-5</v>
      </c>
      <c r="DP9" s="189">
        <v>1.2012699999999999E-5</v>
      </c>
      <c r="DQ9" s="189">
        <v>1.2012699999999999E-5</v>
      </c>
      <c r="DR9" s="190">
        <v>1.2012699999999999E-5</v>
      </c>
      <c r="DS9" s="112">
        <v>6.9752636437</v>
      </c>
      <c r="DT9" s="13">
        <v>0.1720575231</v>
      </c>
      <c r="DU9" s="79">
        <v>1.484023766</v>
      </c>
      <c r="DV9" s="13">
        <v>4.5572645799999999E-2</v>
      </c>
      <c r="DW9" s="79">
        <v>0.2364379063</v>
      </c>
      <c r="DX9" s="13">
        <v>1.26031233E-2</v>
      </c>
      <c r="DY9" s="79">
        <v>3.8068626899999999E-2</v>
      </c>
      <c r="DZ9" s="13">
        <v>5.7946548000000001E-3</v>
      </c>
      <c r="EA9" s="79">
        <v>1.3891020800000001E-2</v>
      </c>
      <c r="EB9" s="13">
        <v>4.1636592999999998E-3</v>
      </c>
      <c r="EC9" s="79">
        <v>9.2061469E-3</v>
      </c>
      <c r="ED9" s="13">
        <v>3.2549058000000001E-3</v>
      </c>
      <c r="EE9" s="79">
        <v>6.6844744000000003E-3</v>
      </c>
      <c r="EF9" s="13">
        <v>2.5030657999999999E-3</v>
      </c>
      <c r="EG9" s="79">
        <v>4.7400738000000003E-3</v>
      </c>
      <c r="EH9" s="13">
        <v>1.8073E-3</v>
      </c>
      <c r="EI9" s="79">
        <v>3.2109217000000001E-3</v>
      </c>
      <c r="EJ9" s="13">
        <v>1.1544296E-3</v>
      </c>
      <c r="EK9" s="79">
        <v>2.0543290000000001E-3</v>
      </c>
      <c r="EL9" s="15">
        <v>7.266134E-4</v>
      </c>
      <c r="EM9" s="79"/>
      <c r="EN9" s="13"/>
      <c r="EO9" s="79"/>
      <c r="EP9" s="13"/>
      <c r="EQ9" s="79"/>
      <c r="ER9" s="13"/>
      <c r="ES9" s="79"/>
      <c r="ET9" s="13"/>
      <c r="EU9" s="79"/>
      <c r="EV9" s="15"/>
    </row>
    <row r="10" spans="1:152" x14ac:dyDescent="0.2">
      <c r="A10" s="8">
        <v>500</v>
      </c>
      <c r="B10" s="82">
        <v>40374</v>
      </c>
      <c r="C10" s="83">
        <v>410.67572035000001</v>
      </c>
      <c r="D10" s="93">
        <v>449.12886238999999</v>
      </c>
      <c r="E10" s="93">
        <v>0.58794553059999999</v>
      </c>
      <c r="F10" s="94">
        <v>3.4213960000000002E-3</v>
      </c>
      <c r="G10" s="83">
        <v>7.1086529999999997E-4</v>
      </c>
      <c r="H10" s="94">
        <v>3.4941539999999999E-6</v>
      </c>
      <c r="I10" s="93">
        <v>42.256863572</v>
      </c>
      <c r="J10" s="94">
        <v>0.66458809990000001</v>
      </c>
      <c r="K10" s="93">
        <v>23.938333562</v>
      </c>
      <c r="L10" s="94">
        <v>0.31476599840000002</v>
      </c>
      <c r="M10" s="93">
        <v>5.0973159099999998E-2</v>
      </c>
      <c r="N10" s="94">
        <v>3.8458619999999998E-4</v>
      </c>
      <c r="O10" s="37">
        <v>0</v>
      </c>
      <c r="P10" s="13">
        <v>0</v>
      </c>
      <c r="Q10" s="93">
        <v>1.4149298478000001</v>
      </c>
      <c r="R10" s="94">
        <v>1.1730429400000001E-2</v>
      </c>
      <c r="S10" s="37" t="s">
        <v>76</v>
      </c>
      <c r="T10" s="13">
        <v>0</v>
      </c>
      <c r="U10" s="37" t="s">
        <v>76</v>
      </c>
      <c r="V10" s="13">
        <v>0</v>
      </c>
      <c r="W10" s="93">
        <v>2.6839502000000001E-3</v>
      </c>
      <c r="X10" s="94">
        <v>2.4568900000000001E-5</v>
      </c>
      <c r="Y10" s="93">
        <v>6.4426068099999997E-2</v>
      </c>
      <c r="Z10" s="94">
        <v>1.9519100000000001E-5</v>
      </c>
      <c r="AA10" s="37" t="s">
        <v>76</v>
      </c>
      <c r="AB10" s="13">
        <v>0</v>
      </c>
      <c r="AC10" s="93">
        <v>0</v>
      </c>
      <c r="AD10" s="94">
        <v>0</v>
      </c>
      <c r="AE10" s="37" t="s">
        <v>76</v>
      </c>
      <c r="AF10" s="13">
        <v>0</v>
      </c>
      <c r="AG10" s="37" t="s">
        <v>76</v>
      </c>
      <c r="AH10" s="13">
        <v>0</v>
      </c>
      <c r="AI10" s="93">
        <v>0</v>
      </c>
      <c r="AJ10" s="94">
        <v>0</v>
      </c>
      <c r="AK10" s="93">
        <v>54.011978599000003</v>
      </c>
      <c r="AL10" s="94">
        <v>0.39876022929999999</v>
      </c>
      <c r="AM10" s="37" t="s">
        <v>76</v>
      </c>
      <c r="AN10" s="13">
        <v>0</v>
      </c>
      <c r="AO10" s="37" t="s">
        <v>76</v>
      </c>
      <c r="AP10" s="13">
        <v>0</v>
      </c>
      <c r="AQ10" s="37" t="s">
        <v>76</v>
      </c>
      <c r="AR10" s="13">
        <v>0</v>
      </c>
      <c r="AS10" s="93">
        <v>1.8253007649999999</v>
      </c>
      <c r="AT10" s="94">
        <v>8.8900513400000006E-2</v>
      </c>
      <c r="AU10" s="93">
        <v>4.2608316098000003</v>
      </c>
      <c r="AV10" s="94">
        <v>3.7083148599999997E-2</v>
      </c>
      <c r="AW10" s="93">
        <v>2.6083130640999999</v>
      </c>
      <c r="AX10" s="94">
        <v>1.8604051900000002E-2</v>
      </c>
      <c r="AY10" s="93">
        <v>1.2477792939000001</v>
      </c>
      <c r="AZ10" s="94">
        <v>7.4321784000000004E-3</v>
      </c>
      <c r="BA10" s="79">
        <v>0.40473925179999998</v>
      </c>
      <c r="BB10" s="13">
        <v>1.10469183E-2</v>
      </c>
      <c r="BC10" s="93">
        <v>0</v>
      </c>
      <c r="BD10" s="86">
        <v>0</v>
      </c>
      <c r="BE10" s="93">
        <v>1.0369457363000001</v>
      </c>
      <c r="BF10" s="94">
        <v>9.3380524999999992E-3</v>
      </c>
      <c r="BG10" s="94">
        <v>1.04825E-5</v>
      </c>
      <c r="BH10" s="86">
        <v>0</v>
      </c>
      <c r="BI10" s="93">
        <v>18.066202434000001</v>
      </c>
      <c r="BJ10" s="94">
        <v>0.88673705250000001</v>
      </c>
      <c r="BK10" s="93">
        <v>9.0010784027999993</v>
      </c>
      <c r="BL10" s="94">
        <v>9.4676620200000006E-2</v>
      </c>
      <c r="BM10" s="93">
        <v>3.8566083479</v>
      </c>
      <c r="BN10" s="94">
        <v>3.27256675E-2</v>
      </c>
      <c r="BO10" s="93">
        <v>6.3144476099999999E-2</v>
      </c>
      <c r="BP10" s="94">
        <v>3.0196820000000002E-4</v>
      </c>
      <c r="BQ10" s="93">
        <v>0</v>
      </c>
      <c r="BR10" s="88">
        <v>0</v>
      </c>
      <c r="BS10" s="37" t="s">
        <v>76</v>
      </c>
      <c r="BT10" s="13">
        <v>0</v>
      </c>
      <c r="BU10" s="93">
        <v>2.72181703E-2</v>
      </c>
      <c r="BV10" s="94">
        <v>2.1532849999999999E-4</v>
      </c>
      <c r="BW10" s="93">
        <v>1.0482099999999999E-3</v>
      </c>
      <c r="BX10" s="94">
        <v>5.5259614999999998E-6</v>
      </c>
      <c r="BY10" s="7" t="s">
        <v>76</v>
      </c>
      <c r="BZ10" s="13">
        <v>0</v>
      </c>
      <c r="CA10" s="7" t="s">
        <v>76</v>
      </c>
      <c r="CB10" s="13">
        <v>0</v>
      </c>
      <c r="CC10" s="93">
        <v>1.3503334389999999</v>
      </c>
      <c r="CD10" s="94">
        <v>1.13542607E-2</v>
      </c>
      <c r="CE10" s="93">
        <v>9.9252699000000003E-3</v>
      </c>
      <c r="CF10" s="94">
        <v>7.71416E-5</v>
      </c>
      <c r="CG10" s="7" t="s">
        <v>76</v>
      </c>
      <c r="CH10" s="13">
        <v>0</v>
      </c>
      <c r="CI10" s="7" t="s">
        <v>76</v>
      </c>
      <c r="CJ10" s="13">
        <v>0</v>
      </c>
      <c r="CK10" s="7" t="s">
        <v>76</v>
      </c>
      <c r="CL10" s="13">
        <v>0</v>
      </c>
      <c r="CM10" s="7" t="s">
        <v>76</v>
      </c>
      <c r="CN10" s="13">
        <v>0</v>
      </c>
      <c r="CO10" s="93">
        <v>1.7099122999999999E-3</v>
      </c>
      <c r="CP10" s="94">
        <v>1.8253700000000001E-5</v>
      </c>
      <c r="CQ10" s="93">
        <v>0</v>
      </c>
      <c r="CR10" s="94">
        <v>0</v>
      </c>
      <c r="CS10" s="93">
        <v>3.5931126600000002E-2</v>
      </c>
      <c r="CT10" s="94">
        <v>3.2600629999999999E-4</v>
      </c>
      <c r="CU10" s="93">
        <v>0</v>
      </c>
      <c r="CV10" s="94">
        <v>6.9883079999999999E-6</v>
      </c>
      <c r="CW10" s="6" t="s">
        <v>76</v>
      </c>
      <c r="CX10" s="13">
        <v>0</v>
      </c>
      <c r="CY10" s="7" t="s">
        <v>76</v>
      </c>
      <c r="CZ10" s="15">
        <v>0</v>
      </c>
      <c r="DA10" s="93">
        <v>1.3837716066000001</v>
      </c>
      <c r="DB10" s="94">
        <v>1.9917356600000002E-2</v>
      </c>
      <c r="DC10" s="93">
        <v>2.0686168E-3</v>
      </c>
      <c r="DD10" s="94">
        <v>6.10468E-5</v>
      </c>
      <c r="DE10" s="93">
        <v>0.64093082970000004</v>
      </c>
      <c r="DF10" s="94">
        <v>4.8335655999999999E-3</v>
      </c>
      <c r="DG10" s="93">
        <v>1.54176942E-2</v>
      </c>
      <c r="DH10" s="94">
        <v>1.3399390000000001E-4</v>
      </c>
      <c r="DI10" s="188">
        <v>3.4941539999999999E-6</v>
      </c>
      <c r="DJ10" s="189">
        <v>6.9883079999999999E-6</v>
      </c>
      <c r="DK10" s="189">
        <v>1.04825E-5</v>
      </c>
      <c r="DL10" s="189">
        <v>1.04825E-5</v>
      </c>
      <c r="DM10" s="189">
        <v>1.04825E-5</v>
      </c>
      <c r="DN10" s="189">
        <v>1.04825E-5</v>
      </c>
      <c r="DO10" s="189">
        <v>1.04825E-5</v>
      </c>
      <c r="DP10" s="189">
        <v>1.04825E-5</v>
      </c>
      <c r="DQ10" s="189">
        <v>1.04825E-5</v>
      </c>
      <c r="DR10" s="190">
        <v>1.04825E-5</v>
      </c>
      <c r="DS10" s="112">
        <v>11.02730714</v>
      </c>
      <c r="DT10" s="13">
        <v>0.2521962532</v>
      </c>
      <c r="DU10" s="79">
        <v>3.0861038919000001</v>
      </c>
      <c r="DV10" s="13">
        <v>8.0373685200000003E-2</v>
      </c>
      <c r="DW10" s="79">
        <v>0.68889940979999997</v>
      </c>
      <c r="DX10" s="13">
        <v>2.3829625699999999E-2</v>
      </c>
      <c r="DY10" s="79">
        <v>0.12782195809999999</v>
      </c>
      <c r="DZ10" s="13">
        <v>8.7088723999999996E-3</v>
      </c>
      <c r="EA10" s="79">
        <v>3.4014934900000002E-2</v>
      </c>
      <c r="EB10" s="13">
        <v>5.2088396999999996E-3</v>
      </c>
      <c r="EC10" s="79">
        <v>1.82493585E-2</v>
      </c>
      <c r="ED10" s="13">
        <v>3.9240166E-3</v>
      </c>
      <c r="EE10" s="79">
        <v>1.3133770899999999E-2</v>
      </c>
      <c r="EF10" s="13">
        <v>3.037189E-3</v>
      </c>
      <c r="EG10" s="79">
        <v>9.5560804999999995E-3</v>
      </c>
      <c r="EH10" s="13">
        <v>2.2365753999999999E-3</v>
      </c>
      <c r="EI10" s="79">
        <v>6.8005310999999999E-3</v>
      </c>
      <c r="EJ10" s="13">
        <v>1.4936662999999999E-3</v>
      </c>
      <c r="EK10" s="79">
        <v>4.7063749999999996E-3</v>
      </c>
      <c r="EL10" s="15">
        <v>9.8523129999999993E-4</v>
      </c>
      <c r="EM10" s="79"/>
      <c r="EN10" s="13"/>
      <c r="EO10" s="79"/>
      <c r="EP10" s="13"/>
      <c r="EQ10" s="79"/>
      <c r="ER10" s="13"/>
      <c r="ES10" s="79"/>
      <c r="ET10" s="13"/>
      <c r="EU10" s="79"/>
      <c r="EV10" s="15"/>
    </row>
    <row r="11" spans="1:152" x14ac:dyDescent="0.2">
      <c r="A11" s="8">
        <v>600</v>
      </c>
      <c r="B11" s="82">
        <v>37137</v>
      </c>
      <c r="C11" s="83">
        <v>482.79567691</v>
      </c>
      <c r="D11" s="93">
        <v>549.17978858000004</v>
      </c>
      <c r="E11" s="93">
        <v>0.86760277330000002</v>
      </c>
      <c r="F11" s="94">
        <v>4.6195673999999999E-3</v>
      </c>
      <c r="G11" s="83">
        <v>6.355121E-4</v>
      </c>
      <c r="H11" s="94">
        <v>3.1237664000000001E-6</v>
      </c>
      <c r="I11" s="93">
        <v>50.950053294999996</v>
      </c>
      <c r="J11" s="94">
        <v>0.78373361050000001</v>
      </c>
      <c r="K11" s="93">
        <v>30.154576572</v>
      </c>
      <c r="L11" s="94">
        <v>0.38323282930000002</v>
      </c>
      <c r="M11" s="93">
        <v>6.26554956E-2</v>
      </c>
      <c r="N11" s="94">
        <v>5.0618020000000002E-4</v>
      </c>
      <c r="O11" s="37">
        <v>0</v>
      </c>
      <c r="P11" s="13">
        <v>0</v>
      </c>
      <c r="Q11" s="93">
        <v>2.0751001834</v>
      </c>
      <c r="R11" s="94">
        <v>1.6113004100000002E-2</v>
      </c>
      <c r="S11" s="37" t="s">
        <v>76</v>
      </c>
      <c r="T11" s="13">
        <v>0</v>
      </c>
      <c r="U11" s="37" t="s">
        <v>76</v>
      </c>
      <c r="V11" s="13">
        <v>0</v>
      </c>
      <c r="W11" s="93">
        <v>6.4874486999999996E-3</v>
      </c>
      <c r="X11" s="94">
        <v>3.6465899999999999E-5</v>
      </c>
      <c r="Y11" s="93">
        <v>7.8538861900000007E-2</v>
      </c>
      <c r="Z11" s="94">
        <v>2.49917E-5</v>
      </c>
      <c r="AA11" s="37" t="s">
        <v>76</v>
      </c>
      <c r="AB11" s="13">
        <v>0</v>
      </c>
      <c r="AC11" s="93">
        <v>0</v>
      </c>
      <c r="AD11" s="94">
        <v>0</v>
      </c>
      <c r="AE11" s="37" t="s">
        <v>76</v>
      </c>
      <c r="AF11" s="13">
        <v>0</v>
      </c>
      <c r="AG11" s="37" t="s">
        <v>76</v>
      </c>
      <c r="AH11" s="13">
        <v>0</v>
      </c>
      <c r="AI11" s="93">
        <v>0</v>
      </c>
      <c r="AJ11" s="94">
        <v>0</v>
      </c>
      <c r="AK11" s="93">
        <v>66.918323314000006</v>
      </c>
      <c r="AL11" s="94">
        <v>0.47395913449999999</v>
      </c>
      <c r="AM11" s="37" t="s">
        <v>76</v>
      </c>
      <c r="AN11" s="13">
        <v>0</v>
      </c>
      <c r="AO11" s="37" t="s">
        <v>76</v>
      </c>
      <c r="AP11" s="13">
        <v>0</v>
      </c>
      <c r="AQ11" s="37" t="s">
        <v>76</v>
      </c>
      <c r="AR11" s="13">
        <v>0</v>
      </c>
      <c r="AS11" s="93">
        <v>2.4967220047000001</v>
      </c>
      <c r="AT11" s="94">
        <v>0.1115430838</v>
      </c>
      <c r="AU11" s="93">
        <v>5.3997968243000001</v>
      </c>
      <c r="AV11" s="94">
        <v>4.5696632000000001E-2</v>
      </c>
      <c r="AW11" s="93">
        <v>3.3101803636999998</v>
      </c>
      <c r="AX11" s="94">
        <v>2.2946984600000001E-2</v>
      </c>
      <c r="AY11" s="93">
        <v>1.5605088381000001</v>
      </c>
      <c r="AZ11" s="94">
        <v>9.0275240999999999E-3</v>
      </c>
      <c r="BA11" s="79">
        <v>0.52910762249999999</v>
      </c>
      <c r="BB11" s="13">
        <v>1.37221233E-2</v>
      </c>
      <c r="BC11" s="93">
        <v>0</v>
      </c>
      <c r="BD11" s="86">
        <v>0</v>
      </c>
      <c r="BE11" s="93">
        <v>1.4101438024999999</v>
      </c>
      <c r="BF11" s="94">
        <v>1.1663684000000001E-2</v>
      </c>
      <c r="BG11" s="94">
        <v>9.3712991000000001E-6</v>
      </c>
      <c r="BH11" s="86">
        <v>0</v>
      </c>
      <c r="BI11" s="93">
        <v>21.975110762</v>
      </c>
      <c r="BJ11" s="94">
        <v>1.0261442326000001</v>
      </c>
      <c r="BK11" s="93">
        <v>11.685876988</v>
      </c>
      <c r="BL11" s="94">
        <v>0.1187124254</v>
      </c>
      <c r="BM11" s="93">
        <v>5.1079524413000001</v>
      </c>
      <c r="BN11" s="94">
        <v>4.1697891899999999E-2</v>
      </c>
      <c r="BO11" s="93">
        <v>0.1081878739</v>
      </c>
      <c r="BP11" s="94">
        <v>4.659291E-4</v>
      </c>
      <c r="BQ11" s="93">
        <v>0</v>
      </c>
      <c r="BR11" s="88">
        <v>0</v>
      </c>
      <c r="BS11" s="37" t="s">
        <v>76</v>
      </c>
      <c r="BT11" s="13">
        <v>0</v>
      </c>
      <c r="BU11" s="93">
        <v>3.1679948399999998E-2</v>
      </c>
      <c r="BV11" s="94">
        <v>2.7378979999999998E-4</v>
      </c>
      <c r="BW11" s="93">
        <v>1.2339809000000001E-3</v>
      </c>
      <c r="BX11" s="94">
        <v>6.5693905E-6</v>
      </c>
      <c r="BY11" s="7" t="s">
        <v>76</v>
      </c>
      <c r="BZ11" s="13">
        <v>0</v>
      </c>
      <c r="CA11" s="7" t="s">
        <v>76</v>
      </c>
      <c r="CB11" s="13">
        <v>0</v>
      </c>
      <c r="CC11" s="93">
        <v>1.9720986619</v>
      </c>
      <c r="CD11" s="94">
        <v>1.55386862E-2</v>
      </c>
      <c r="CE11" s="93">
        <v>1.4752281799999999E-2</v>
      </c>
      <c r="CF11" s="94">
        <v>9.5888699999999996E-5</v>
      </c>
      <c r="CG11" s="7" t="s">
        <v>76</v>
      </c>
      <c r="CH11" s="13">
        <v>0</v>
      </c>
      <c r="CI11" s="7" t="s">
        <v>76</v>
      </c>
      <c r="CJ11" s="13">
        <v>0</v>
      </c>
      <c r="CK11" s="7" t="s">
        <v>76</v>
      </c>
      <c r="CL11" s="13">
        <v>0</v>
      </c>
      <c r="CM11" s="7" t="s">
        <v>76</v>
      </c>
      <c r="CN11" s="13">
        <v>0</v>
      </c>
      <c r="CO11" s="93">
        <v>5.5996628999999999E-3</v>
      </c>
      <c r="CP11" s="94">
        <v>3.0708599999999999E-5</v>
      </c>
      <c r="CQ11" s="93">
        <v>0</v>
      </c>
      <c r="CR11" s="94">
        <v>0</v>
      </c>
      <c r="CS11" s="93">
        <v>4.6311783000000002E-2</v>
      </c>
      <c r="CT11" s="94">
        <v>3.5372160000000003E-4</v>
      </c>
      <c r="CU11" s="93">
        <v>0</v>
      </c>
      <c r="CV11" s="94">
        <v>6.2475327000000004E-6</v>
      </c>
      <c r="CW11" s="6" t="s">
        <v>76</v>
      </c>
      <c r="CX11" s="13">
        <v>0</v>
      </c>
      <c r="CY11" s="7" t="s">
        <v>76</v>
      </c>
      <c r="CZ11" s="15">
        <v>0</v>
      </c>
      <c r="DA11" s="93">
        <v>1.9097912543</v>
      </c>
      <c r="DB11" s="94">
        <v>2.4874087499999999E-2</v>
      </c>
      <c r="DC11" s="93">
        <v>7.5178288000000001E-3</v>
      </c>
      <c r="DD11" s="94">
        <v>8.0409900000000004E-5</v>
      </c>
      <c r="DE11" s="93">
        <v>0.91265736529999997</v>
      </c>
      <c r="DF11" s="94">
        <v>6.2969688000000003E-3</v>
      </c>
      <c r="DG11" s="93">
        <v>2.15059981E-2</v>
      </c>
      <c r="DH11" s="94">
        <v>1.5312060000000001E-4</v>
      </c>
      <c r="DI11" s="188">
        <v>3.1237664000000001E-6</v>
      </c>
      <c r="DJ11" s="189">
        <v>6.2475327000000004E-6</v>
      </c>
      <c r="DK11" s="189">
        <v>9.3712991000000001E-6</v>
      </c>
      <c r="DL11" s="189">
        <v>9.3712991000000001E-6</v>
      </c>
      <c r="DM11" s="189">
        <v>9.3712991000000001E-6</v>
      </c>
      <c r="DN11" s="189">
        <v>9.3712991000000001E-6</v>
      </c>
      <c r="DO11" s="189">
        <v>9.3712991000000001E-6</v>
      </c>
      <c r="DP11" s="189">
        <v>9.3712991000000001E-6</v>
      </c>
      <c r="DQ11" s="189">
        <v>9.3712991000000001E-6</v>
      </c>
      <c r="DR11" s="190">
        <v>9.3712991000000001E-6</v>
      </c>
      <c r="DS11" s="112">
        <v>15.186981156</v>
      </c>
      <c r="DT11" s="13">
        <v>0.33164996270000002</v>
      </c>
      <c r="DU11" s="79">
        <v>5.0903085298999997</v>
      </c>
      <c r="DV11" s="13">
        <v>0.12128178739999999</v>
      </c>
      <c r="DW11" s="79">
        <v>1.4326590222</v>
      </c>
      <c r="DX11" s="13">
        <v>4.0781490300000001E-2</v>
      </c>
      <c r="DY11" s="79">
        <v>0.34304732290000001</v>
      </c>
      <c r="DZ11" s="13">
        <v>1.4556498399999999E-2</v>
      </c>
      <c r="EA11" s="79">
        <v>8.5908598000000003E-2</v>
      </c>
      <c r="EB11" s="13">
        <v>7.1737312999999997E-3</v>
      </c>
      <c r="EC11" s="79">
        <v>3.3835100600000001E-2</v>
      </c>
      <c r="ED11" s="13">
        <v>4.8606311999999999E-3</v>
      </c>
      <c r="EE11" s="79">
        <v>2.0733556100000002E-2</v>
      </c>
      <c r="EF11" s="13">
        <v>3.645031E-3</v>
      </c>
      <c r="EG11" s="79">
        <v>1.45267785E-2</v>
      </c>
      <c r="EH11" s="13">
        <v>2.685134E-3</v>
      </c>
      <c r="EI11" s="79">
        <v>1.0626956999999999E-2</v>
      </c>
      <c r="EJ11" s="13">
        <v>1.8328573999999999E-3</v>
      </c>
      <c r="EK11" s="79">
        <v>7.4645596000000002E-3</v>
      </c>
      <c r="EL11" s="15">
        <v>1.2218439999999999E-3</v>
      </c>
      <c r="EM11" s="79"/>
      <c r="EN11" s="13"/>
      <c r="EO11" s="79"/>
      <c r="EP11" s="13"/>
      <c r="EQ11" s="79"/>
      <c r="ER11" s="13"/>
      <c r="ES11" s="79"/>
      <c r="ET11" s="13"/>
      <c r="EU11" s="79"/>
      <c r="EV11" s="15"/>
    </row>
    <row r="12" spans="1:152" x14ac:dyDescent="0.2">
      <c r="A12" s="8">
        <v>700</v>
      </c>
      <c r="B12" s="82">
        <v>34514</v>
      </c>
      <c r="C12" s="83">
        <v>552.06392003999997</v>
      </c>
      <c r="D12" s="93">
        <v>649.40947572000005</v>
      </c>
      <c r="E12" s="93">
        <v>1.2608118926</v>
      </c>
      <c r="F12" s="94">
        <v>6.1278210999999999E-3</v>
      </c>
      <c r="G12" s="83">
        <v>5.7790320000000001E-4</v>
      </c>
      <c r="H12" s="94">
        <v>2.8405986999999999E-6</v>
      </c>
      <c r="I12" s="93">
        <v>59.242027403000002</v>
      </c>
      <c r="J12" s="94">
        <v>0.8935130107</v>
      </c>
      <c r="K12" s="93">
        <v>36.398248049999999</v>
      </c>
      <c r="L12" s="94">
        <v>0.44866826430000001</v>
      </c>
      <c r="M12" s="93">
        <v>8.9868620100000005E-2</v>
      </c>
      <c r="N12" s="94">
        <v>6.6971100000000003E-4</v>
      </c>
      <c r="O12" s="37">
        <v>0</v>
      </c>
      <c r="P12" s="13">
        <v>0</v>
      </c>
      <c r="Q12" s="93">
        <v>2.8508441644000002</v>
      </c>
      <c r="R12" s="94">
        <v>2.0961392700000001E-2</v>
      </c>
      <c r="S12" s="37" t="s">
        <v>76</v>
      </c>
      <c r="T12" s="13">
        <v>0</v>
      </c>
      <c r="U12" s="37" t="s">
        <v>76</v>
      </c>
      <c r="V12" s="13">
        <v>0</v>
      </c>
      <c r="W12" s="93">
        <v>8.6434608000000007E-3</v>
      </c>
      <c r="X12" s="94">
        <v>5.07222E-5</v>
      </c>
      <c r="Y12" s="93">
        <v>0.1174136669</v>
      </c>
      <c r="Z12" s="94">
        <v>4.9386399999999999E-5</v>
      </c>
      <c r="AA12" s="37" t="s">
        <v>76</v>
      </c>
      <c r="AB12" s="13">
        <v>0</v>
      </c>
      <c r="AC12" s="93">
        <v>0</v>
      </c>
      <c r="AD12" s="94">
        <v>0</v>
      </c>
      <c r="AE12" s="37" t="s">
        <v>76</v>
      </c>
      <c r="AF12" s="13">
        <v>0</v>
      </c>
      <c r="AG12" s="37" t="s">
        <v>76</v>
      </c>
      <c r="AH12" s="13">
        <v>0</v>
      </c>
      <c r="AI12" s="93">
        <v>0</v>
      </c>
      <c r="AJ12" s="94">
        <v>0</v>
      </c>
      <c r="AK12" s="93">
        <v>78.90668033</v>
      </c>
      <c r="AL12" s="94">
        <v>0.54170378850000001</v>
      </c>
      <c r="AM12" s="37" t="s">
        <v>76</v>
      </c>
      <c r="AN12" s="13">
        <v>0</v>
      </c>
      <c r="AO12" s="37" t="s">
        <v>76</v>
      </c>
      <c r="AP12" s="13">
        <v>0</v>
      </c>
      <c r="AQ12" s="37" t="s">
        <v>76</v>
      </c>
      <c r="AR12" s="13">
        <v>0</v>
      </c>
      <c r="AS12" s="93">
        <v>3.1917245349000001</v>
      </c>
      <c r="AT12" s="94">
        <v>0.1334741519</v>
      </c>
      <c r="AU12" s="93">
        <v>6.5301500318999999</v>
      </c>
      <c r="AV12" s="94">
        <v>5.44293348E-2</v>
      </c>
      <c r="AW12" s="93">
        <v>3.9986037699999999</v>
      </c>
      <c r="AX12" s="94">
        <v>2.7337843099999998E-2</v>
      </c>
      <c r="AY12" s="93">
        <v>1.8684001018</v>
      </c>
      <c r="AZ12" s="94">
        <v>1.0637965100000001E-2</v>
      </c>
      <c r="BA12" s="79">
        <v>0.66314616010000005</v>
      </c>
      <c r="BB12" s="13">
        <v>1.6453526699999999E-2</v>
      </c>
      <c r="BC12" s="93">
        <v>0</v>
      </c>
      <c r="BD12" s="86">
        <v>0</v>
      </c>
      <c r="BE12" s="93">
        <v>1.9074495921000001</v>
      </c>
      <c r="BF12" s="94">
        <v>1.43968946E-2</v>
      </c>
      <c r="BG12" s="94">
        <v>8.5217960999999993E-6</v>
      </c>
      <c r="BH12" s="86">
        <v>0</v>
      </c>
      <c r="BI12" s="93">
        <v>25.919657405999999</v>
      </c>
      <c r="BJ12" s="94">
        <v>1.1593964934000001</v>
      </c>
      <c r="BK12" s="93">
        <v>14.525132438</v>
      </c>
      <c r="BL12" s="94">
        <v>0.14427528810000001</v>
      </c>
      <c r="BM12" s="93">
        <v>6.5243500831999999</v>
      </c>
      <c r="BN12" s="94">
        <v>5.12843651E-2</v>
      </c>
      <c r="BO12" s="93">
        <v>0.1574221187</v>
      </c>
      <c r="BP12" s="94">
        <v>6.4105230000000002E-4</v>
      </c>
      <c r="BQ12" s="93">
        <v>0</v>
      </c>
      <c r="BR12" s="88">
        <v>0</v>
      </c>
      <c r="BS12" s="37" t="s">
        <v>76</v>
      </c>
      <c r="BT12" s="13">
        <v>0</v>
      </c>
      <c r="BU12" s="93">
        <v>4.8832095200000002E-2</v>
      </c>
      <c r="BV12" s="94">
        <v>3.5749570000000001E-4</v>
      </c>
      <c r="BW12" s="93">
        <v>2.115539E-3</v>
      </c>
      <c r="BX12" s="94">
        <v>1.05202E-5</v>
      </c>
      <c r="BY12" s="7" t="s">
        <v>76</v>
      </c>
      <c r="BZ12" s="13">
        <v>0</v>
      </c>
      <c r="CA12" s="7" t="s">
        <v>76</v>
      </c>
      <c r="CB12" s="13">
        <v>0</v>
      </c>
      <c r="CC12" s="93">
        <v>2.7245990868000001</v>
      </c>
      <c r="CD12" s="94">
        <v>2.0287715599999999E-2</v>
      </c>
      <c r="CE12" s="93">
        <v>1.95058273E-2</v>
      </c>
      <c r="CF12" s="94">
        <v>1.2841830000000001E-4</v>
      </c>
      <c r="CG12" s="7" t="s">
        <v>76</v>
      </c>
      <c r="CH12" s="13">
        <v>0</v>
      </c>
      <c r="CI12" s="7" t="s">
        <v>76</v>
      </c>
      <c r="CJ12" s="13">
        <v>0</v>
      </c>
      <c r="CK12" s="7" t="s">
        <v>76</v>
      </c>
      <c r="CL12" s="13">
        <v>0</v>
      </c>
      <c r="CM12" s="7" t="s">
        <v>76</v>
      </c>
      <c r="CN12" s="13">
        <v>0</v>
      </c>
      <c r="CO12" s="93">
        <v>7.8208692999999999E-3</v>
      </c>
      <c r="CP12" s="94">
        <v>4.5386400000000003E-5</v>
      </c>
      <c r="CQ12" s="93">
        <v>0</v>
      </c>
      <c r="CR12" s="94">
        <v>0</v>
      </c>
      <c r="CS12" s="93">
        <v>6.7075317699999998E-2</v>
      </c>
      <c r="CT12" s="94">
        <v>4.8108109999999999E-4</v>
      </c>
      <c r="CU12" s="93">
        <v>0</v>
      </c>
      <c r="CV12" s="94">
        <v>5.6811973999999998E-6</v>
      </c>
      <c r="CW12" s="6" t="s">
        <v>76</v>
      </c>
      <c r="CX12" s="13">
        <v>0</v>
      </c>
      <c r="CY12" s="7" t="s">
        <v>76</v>
      </c>
      <c r="CZ12" s="15">
        <v>0</v>
      </c>
      <c r="DA12" s="93">
        <v>2.4645456939999999</v>
      </c>
      <c r="DB12" s="94">
        <v>3.00555609E-2</v>
      </c>
      <c r="DC12" s="93">
        <v>1.14970843E-2</v>
      </c>
      <c r="DD12" s="94">
        <v>9.8040400000000004E-5</v>
      </c>
      <c r="DE12" s="93">
        <v>1.2741931581999999</v>
      </c>
      <c r="DF12" s="94">
        <v>7.9875872999999997E-3</v>
      </c>
      <c r="DG12" s="93">
        <v>2.9700751599999999E-2</v>
      </c>
      <c r="DH12" s="94">
        <v>2.1145180000000001E-4</v>
      </c>
      <c r="DI12" s="188">
        <v>2.8405986999999999E-6</v>
      </c>
      <c r="DJ12" s="189">
        <v>5.6811973999999998E-6</v>
      </c>
      <c r="DK12" s="189">
        <v>8.5217960999999993E-6</v>
      </c>
      <c r="DL12" s="189">
        <v>8.5217960999999993E-6</v>
      </c>
      <c r="DM12" s="189">
        <v>8.5217960999999993E-6</v>
      </c>
      <c r="DN12" s="189">
        <v>8.5217960999999993E-6</v>
      </c>
      <c r="DO12" s="189">
        <v>8.5217960999999993E-6</v>
      </c>
      <c r="DP12" s="189">
        <v>8.5217960999999993E-6</v>
      </c>
      <c r="DQ12" s="189">
        <v>8.5217960999999993E-6</v>
      </c>
      <c r="DR12" s="190">
        <v>8.5217960999999993E-6</v>
      </c>
      <c r="DS12" s="112">
        <v>19.415253122999999</v>
      </c>
      <c r="DT12" s="13">
        <v>0.40962566340000001</v>
      </c>
      <c r="DU12" s="79">
        <v>7.4433020119000002</v>
      </c>
      <c r="DV12" s="13">
        <v>0.16680690610000001</v>
      </c>
      <c r="DW12" s="79">
        <v>2.4940254864</v>
      </c>
      <c r="DX12" s="13">
        <v>6.31020729E-2</v>
      </c>
      <c r="DY12" s="79">
        <v>0.72900254630000005</v>
      </c>
      <c r="DZ12" s="13">
        <v>2.3901396799999999E-2</v>
      </c>
      <c r="EA12" s="79">
        <v>0.2124438706</v>
      </c>
      <c r="EB12" s="13">
        <v>1.08983638E-2</v>
      </c>
      <c r="EC12" s="79">
        <v>7.4934695199999998E-2</v>
      </c>
      <c r="ED12" s="13">
        <v>6.4960783999999999E-3</v>
      </c>
      <c r="EE12" s="79">
        <v>3.9038382599999998E-2</v>
      </c>
      <c r="EF12" s="13">
        <v>4.585469E-3</v>
      </c>
      <c r="EG12" s="79">
        <v>2.6024600700000001E-2</v>
      </c>
      <c r="EH12" s="13">
        <v>3.3419806999999998E-3</v>
      </c>
      <c r="EI12" s="79">
        <v>1.8654052000000001E-2</v>
      </c>
      <c r="EJ12" s="13">
        <v>2.3047083E-3</v>
      </c>
      <c r="EK12" s="79">
        <v>1.32424994E-2</v>
      </c>
      <c r="EL12" s="15">
        <v>1.5517859000000001E-3</v>
      </c>
      <c r="EM12" s="79"/>
      <c r="EN12" s="13"/>
      <c r="EO12" s="79"/>
      <c r="EP12" s="13"/>
      <c r="EQ12" s="79"/>
      <c r="ER12" s="13"/>
      <c r="ES12" s="79"/>
      <c r="ET12" s="13"/>
      <c r="EU12" s="79"/>
      <c r="EV12" s="15"/>
    </row>
    <row r="13" spans="1:152" x14ac:dyDescent="0.2">
      <c r="A13" s="8">
        <v>800</v>
      </c>
      <c r="B13" s="82">
        <v>31445</v>
      </c>
      <c r="C13" s="83">
        <v>618.70555887</v>
      </c>
      <c r="D13" s="93">
        <v>749.44105100000002</v>
      </c>
      <c r="E13" s="93">
        <v>1.664628896</v>
      </c>
      <c r="F13" s="94">
        <v>7.5682099999999997E-3</v>
      </c>
      <c r="G13" s="83">
        <v>2.3440677999999999E-3</v>
      </c>
      <c r="H13" s="94">
        <v>5.1694709000000001E-6</v>
      </c>
      <c r="I13" s="93">
        <v>66.723795666000001</v>
      </c>
      <c r="J13" s="94">
        <v>0.99015713380000003</v>
      </c>
      <c r="K13" s="93">
        <v>42.902497216999997</v>
      </c>
      <c r="L13" s="94">
        <v>0.51288555950000003</v>
      </c>
      <c r="M13" s="93">
        <v>9.9871886000000007E-2</v>
      </c>
      <c r="N13" s="94">
        <v>7.2518829999999998E-4</v>
      </c>
      <c r="O13" s="37">
        <v>0</v>
      </c>
      <c r="P13" s="13">
        <v>0</v>
      </c>
      <c r="Q13" s="93">
        <v>3.7564027209000002</v>
      </c>
      <c r="R13" s="94">
        <v>2.6321166699999999E-2</v>
      </c>
      <c r="S13" s="37" t="s">
        <v>76</v>
      </c>
      <c r="T13" s="13">
        <v>0</v>
      </c>
      <c r="U13" s="37" t="s">
        <v>76</v>
      </c>
      <c r="V13" s="13">
        <v>0</v>
      </c>
      <c r="W13" s="93">
        <v>2.0590219600000001E-2</v>
      </c>
      <c r="X13" s="94">
        <v>1.5926570000000001E-4</v>
      </c>
      <c r="Y13" s="93">
        <v>0.15417729329999999</v>
      </c>
      <c r="Z13" s="94">
        <v>4.8588000000000003E-5</v>
      </c>
      <c r="AA13" s="37" t="s">
        <v>76</v>
      </c>
      <c r="AB13" s="13">
        <v>0</v>
      </c>
      <c r="AC13" s="93">
        <v>0</v>
      </c>
      <c r="AD13" s="94">
        <v>0</v>
      </c>
      <c r="AE13" s="37" t="s">
        <v>76</v>
      </c>
      <c r="AF13" s="13">
        <v>0</v>
      </c>
      <c r="AG13" s="37" t="s">
        <v>76</v>
      </c>
      <c r="AH13" s="13">
        <v>0</v>
      </c>
      <c r="AI13" s="93">
        <v>0</v>
      </c>
      <c r="AJ13" s="94">
        <v>0</v>
      </c>
      <c r="AK13" s="93">
        <v>89.599291617999995</v>
      </c>
      <c r="AL13" s="94">
        <v>0.60353911829999995</v>
      </c>
      <c r="AM13" s="37" t="s">
        <v>76</v>
      </c>
      <c r="AN13" s="13">
        <v>0</v>
      </c>
      <c r="AO13" s="37" t="s">
        <v>76</v>
      </c>
      <c r="AP13" s="13">
        <v>0</v>
      </c>
      <c r="AQ13" s="37" t="s">
        <v>76</v>
      </c>
      <c r="AR13" s="13">
        <v>0</v>
      </c>
      <c r="AS13" s="93">
        <v>3.9545829961000001</v>
      </c>
      <c r="AT13" s="94">
        <v>0.15482365240000001</v>
      </c>
      <c r="AU13" s="93">
        <v>7.5960442062000002</v>
      </c>
      <c r="AV13" s="94">
        <v>6.2283043099999998E-2</v>
      </c>
      <c r="AW13" s="93">
        <v>4.6848501803999998</v>
      </c>
      <c r="AX13" s="94">
        <v>3.1161133800000001E-2</v>
      </c>
      <c r="AY13" s="93">
        <v>2.1234449787999998</v>
      </c>
      <c r="AZ13" s="94">
        <v>1.1928323500000001E-2</v>
      </c>
      <c r="BA13" s="79">
        <v>0.78774904700000004</v>
      </c>
      <c r="BB13" s="13">
        <v>1.9193585799999999E-2</v>
      </c>
      <c r="BC13" s="93">
        <v>0</v>
      </c>
      <c r="BD13" s="86">
        <v>0</v>
      </c>
      <c r="BE13" s="93">
        <v>2.3700536996000001</v>
      </c>
      <c r="BF13" s="94">
        <v>1.7108785299999998E-2</v>
      </c>
      <c r="BG13" s="94">
        <v>1.04145E-5</v>
      </c>
      <c r="BH13" s="86">
        <v>0</v>
      </c>
      <c r="BI13" s="93">
        <v>29.800934170000001</v>
      </c>
      <c r="BJ13" s="94">
        <v>1.2870338477000001</v>
      </c>
      <c r="BK13" s="93">
        <v>17.540670119000001</v>
      </c>
      <c r="BL13" s="94">
        <v>0.17069433179999999</v>
      </c>
      <c r="BM13" s="93">
        <v>7.9764631019000003</v>
      </c>
      <c r="BN13" s="94">
        <v>6.1389085000000003E-2</v>
      </c>
      <c r="BO13" s="93">
        <v>0.22396275369999999</v>
      </c>
      <c r="BP13" s="94">
        <v>8.7662989999999995E-4</v>
      </c>
      <c r="BQ13" s="93">
        <v>0</v>
      </c>
      <c r="BR13" s="88">
        <v>0</v>
      </c>
      <c r="BS13" s="37" t="s">
        <v>76</v>
      </c>
      <c r="BT13" s="13">
        <v>0</v>
      </c>
      <c r="BU13" s="93">
        <v>5.2982084700000001E-2</v>
      </c>
      <c r="BV13" s="94">
        <v>3.5654060000000001E-4</v>
      </c>
      <c r="BW13" s="93">
        <v>2.6914663000000001E-3</v>
      </c>
      <c r="BX13" s="94">
        <v>1.11996E-5</v>
      </c>
      <c r="BY13" s="7" t="s">
        <v>76</v>
      </c>
      <c r="BZ13" s="13">
        <v>0</v>
      </c>
      <c r="CA13" s="7" t="s">
        <v>76</v>
      </c>
      <c r="CB13" s="13">
        <v>0</v>
      </c>
      <c r="CC13" s="93">
        <v>3.5938519665999999</v>
      </c>
      <c r="CD13" s="94">
        <v>2.5463260099999999E-2</v>
      </c>
      <c r="CE13" s="93">
        <v>2.28147091E-2</v>
      </c>
      <c r="CF13" s="94">
        <v>1.601176E-4</v>
      </c>
      <c r="CG13" s="7" t="s">
        <v>76</v>
      </c>
      <c r="CH13" s="13">
        <v>0</v>
      </c>
      <c r="CI13" s="7" t="s">
        <v>76</v>
      </c>
      <c r="CJ13" s="13">
        <v>0</v>
      </c>
      <c r="CK13" s="7" t="s">
        <v>76</v>
      </c>
      <c r="CL13" s="13">
        <v>0</v>
      </c>
      <c r="CM13" s="7" t="s">
        <v>76</v>
      </c>
      <c r="CN13" s="13">
        <v>0</v>
      </c>
      <c r="CO13" s="93">
        <v>1.6283298200000001E-2</v>
      </c>
      <c r="CP13" s="94">
        <v>1.218435E-4</v>
      </c>
      <c r="CQ13" s="93">
        <v>0</v>
      </c>
      <c r="CR13" s="94">
        <v>0</v>
      </c>
      <c r="CS13" s="93">
        <v>8.7571946100000006E-2</v>
      </c>
      <c r="CT13" s="94">
        <v>6.0118059999999997E-4</v>
      </c>
      <c r="CU13" s="93">
        <v>2.4723300000000002E-4</v>
      </c>
      <c r="CV13" s="94">
        <v>6.7744044999999997E-6</v>
      </c>
      <c r="CW13" s="6" t="s">
        <v>76</v>
      </c>
      <c r="CX13" s="13">
        <v>0</v>
      </c>
      <c r="CY13" s="7" t="s">
        <v>76</v>
      </c>
      <c r="CZ13" s="15">
        <v>0</v>
      </c>
      <c r="DA13" s="93">
        <v>3.0640328863000001</v>
      </c>
      <c r="DB13" s="94">
        <v>3.5020453100000001E-2</v>
      </c>
      <c r="DC13" s="93">
        <v>1.8938783800000001E-2</v>
      </c>
      <c r="DD13" s="94">
        <v>1.195623E-4</v>
      </c>
      <c r="DE13" s="93">
        <v>1.5944852881</v>
      </c>
      <c r="DF13" s="94">
        <v>9.5365243999999995E-3</v>
      </c>
      <c r="DG13" s="93">
        <v>3.1834854599999997E-2</v>
      </c>
      <c r="DH13" s="94">
        <v>2.301049E-4</v>
      </c>
      <c r="DI13" s="188">
        <v>5.1694709000000001E-6</v>
      </c>
      <c r="DJ13" s="189">
        <v>7.7919871000000003E-6</v>
      </c>
      <c r="DK13" s="189">
        <v>1.04145E-5</v>
      </c>
      <c r="DL13" s="189">
        <v>1.04145E-5</v>
      </c>
      <c r="DM13" s="189">
        <v>1.04145E-5</v>
      </c>
      <c r="DN13" s="189">
        <v>1.04145E-5</v>
      </c>
      <c r="DO13" s="189">
        <v>1.04145E-5</v>
      </c>
      <c r="DP13" s="189">
        <v>1.04145E-5</v>
      </c>
      <c r="DQ13" s="189">
        <v>1.04145E-5</v>
      </c>
      <c r="DR13" s="190">
        <v>1.04145E-5</v>
      </c>
      <c r="DS13" s="112">
        <v>23.375433248</v>
      </c>
      <c r="DT13" s="13">
        <v>0.48125725870000002</v>
      </c>
      <c r="DU13" s="79">
        <v>9.8166183304000008</v>
      </c>
      <c r="DV13" s="13">
        <v>0.21144696630000001</v>
      </c>
      <c r="DW13" s="79">
        <v>3.6867003092999999</v>
      </c>
      <c r="DX13" s="13">
        <v>8.7033525400000006E-2</v>
      </c>
      <c r="DY13" s="79">
        <v>1.2336419315</v>
      </c>
      <c r="DZ13" s="13">
        <v>3.5074638900000003E-2</v>
      </c>
      <c r="EA13" s="79">
        <v>0.39552588760000001</v>
      </c>
      <c r="EB13" s="13">
        <v>1.5656748599999999E-2</v>
      </c>
      <c r="EC13" s="79">
        <v>0.13658345820000001</v>
      </c>
      <c r="ED13" s="13">
        <v>8.5442114999999992E-3</v>
      </c>
      <c r="EE13" s="79">
        <v>6.17903302E-2</v>
      </c>
      <c r="EF13" s="13">
        <v>5.6356410000000003E-3</v>
      </c>
      <c r="EG13" s="79">
        <v>3.7478423800000001E-2</v>
      </c>
      <c r="EH13" s="13">
        <v>4.0345674999999999E-3</v>
      </c>
      <c r="EI13" s="79">
        <v>2.63970683E-2</v>
      </c>
      <c r="EJ13" s="13">
        <v>2.8266386E-3</v>
      </c>
      <c r="EK13" s="79">
        <v>1.8980428300000001E-2</v>
      </c>
      <c r="EL13" s="15">
        <v>1.9573574E-3</v>
      </c>
      <c r="EM13" s="79"/>
      <c r="EN13" s="13"/>
      <c r="EO13" s="79"/>
      <c r="EP13" s="13"/>
      <c r="EQ13" s="79"/>
      <c r="ER13" s="13"/>
      <c r="ES13" s="79"/>
      <c r="ET13" s="13"/>
      <c r="EU13" s="79"/>
      <c r="EV13" s="15"/>
    </row>
    <row r="14" spans="1:152" x14ac:dyDescent="0.2">
      <c r="A14" s="8">
        <v>900</v>
      </c>
      <c r="B14" s="82">
        <v>29375</v>
      </c>
      <c r="C14" s="83">
        <v>682.91501860999995</v>
      </c>
      <c r="D14" s="93">
        <v>849.30549865</v>
      </c>
      <c r="E14" s="93">
        <v>2.2357316380999999</v>
      </c>
      <c r="F14" s="94">
        <v>9.4726979999999999E-3</v>
      </c>
      <c r="G14" s="83">
        <v>7.6036454000000002E-3</v>
      </c>
      <c r="H14" s="94">
        <v>1.3513600000000001E-5</v>
      </c>
      <c r="I14" s="93">
        <v>73.595396945999994</v>
      </c>
      <c r="J14" s="94">
        <v>1.0752949477</v>
      </c>
      <c r="K14" s="93">
        <v>49.656857817999999</v>
      </c>
      <c r="L14" s="94">
        <v>0.57774977260000004</v>
      </c>
      <c r="M14" s="93">
        <v>0.1223944942</v>
      </c>
      <c r="N14" s="94">
        <v>8.7217730000000002E-4</v>
      </c>
      <c r="O14" s="37">
        <v>0</v>
      </c>
      <c r="P14" s="13">
        <v>0</v>
      </c>
      <c r="Q14" s="93">
        <v>4.6316098909000001</v>
      </c>
      <c r="R14" s="94">
        <v>3.15260791E-2</v>
      </c>
      <c r="S14" s="37" t="s">
        <v>76</v>
      </c>
      <c r="T14" s="13">
        <v>0</v>
      </c>
      <c r="U14" s="37" t="s">
        <v>76</v>
      </c>
      <c r="V14" s="13">
        <v>0</v>
      </c>
      <c r="W14" s="93">
        <v>3.07942215E-2</v>
      </c>
      <c r="X14" s="94">
        <v>1.7913909999999999E-4</v>
      </c>
      <c r="Y14" s="93">
        <v>0.21087556530000001</v>
      </c>
      <c r="Z14" s="94">
        <v>7.0687399999999997E-5</v>
      </c>
      <c r="AA14" s="37" t="s">
        <v>76</v>
      </c>
      <c r="AB14" s="13">
        <v>0</v>
      </c>
      <c r="AC14" s="93">
        <v>0</v>
      </c>
      <c r="AD14" s="94">
        <v>0</v>
      </c>
      <c r="AE14" s="37" t="s">
        <v>76</v>
      </c>
      <c r="AF14" s="13">
        <v>0</v>
      </c>
      <c r="AG14" s="37" t="s">
        <v>76</v>
      </c>
      <c r="AH14" s="13">
        <v>0</v>
      </c>
      <c r="AI14" s="93">
        <v>0</v>
      </c>
      <c r="AJ14" s="94">
        <v>0</v>
      </c>
      <c r="AK14" s="93">
        <v>99.294535758999999</v>
      </c>
      <c r="AL14" s="94">
        <v>0.65877590809999997</v>
      </c>
      <c r="AM14" s="37" t="s">
        <v>76</v>
      </c>
      <c r="AN14" s="13">
        <v>0</v>
      </c>
      <c r="AO14" s="37" t="s">
        <v>76</v>
      </c>
      <c r="AP14" s="13">
        <v>0</v>
      </c>
      <c r="AQ14" s="37" t="s">
        <v>76</v>
      </c>
      <c r="AR14" s="13">
        <v>0</v>
      </c>
      <c r="AS14" s="93">
        <v>4.7375536454000002</v>
      </c>
      <c r="AT14" s="94">
        <v>0.1745538619</v>
      </c>
      <c r="AU14" s="93">
        <v>8.6322793968999996</v>
      </c>
      <c r="AV14" s="94">
        <v>6.99420236E-2</v>
      </c>
      <c r="AW14" s="93">
        <v>5.3422728845999998</v>
      </c>
      <c r="AX14" s="94">
        <v>3.5004221199999998E-2</v>
      </c>
      <c r="AY14" s="93">
        <v>2.3929972678999998</v>
      </c>
      <c r="AZ14" s="94">
        <v>1.32451029E-2</v>
      </c>
      <c r="BA14" s="79">
        <v>0.89700924439999996</v>
      </c>
      <c r="BB14" s="13">
        <v>2.1692699400000001E-2</v>
      </c>
      <c r="BC14" s="93">
        <v>0</v>
      </c>
      <c r="BD14" s="86">
        <v>0</v>
      </c>
      <c r="BE14" s="93">
        <v>2.9150448248999998</v>
      </c>
      <c r="BF14" s="94">
        <v>1.9969341500000001E-2</v>
      </c>
      <c r="BG14" s="94">
        <v>2.6018300000000001E-5</v>
      </c>
      <c r="BH14" s="86">
        <v>0</v>
      </c>
      <c r="BI14" s="93">
        <v>33.707641774000002</v>
      </c>
      <c r="BJ14" s="94">
        <v>1.4121583878999999</v>
      </c>
      <c r="BK14" s="93">
        <v>20.814210081999999</v>
      </c>
      <c r="BL14" s="94">
        <v>0.1987391943</v>
      </c>
      <c r="BM14" s="93">
        <v>9.5983364919999996</v>
      </c>
      <c r="BN14" s="94">
        <v>7.1804915299999994E-2</v>
      </c>
      <c r="BO14" s="93">
        <v>0.30729287249999998</v>
      </c>
      <c r="BP14" s="94">
        <v>1.1206236E-3</v>
      </c>
      <c r="BQ14" s="93">
        <v>0</v>
      </c>
      <c r="BR14" s="88">
        <v>0</v>
      </c>
      <c r="BS14" s="37" t="s">
        <v>76</v>
      </c>
      <c r="BT14" s="13">
        <v>0</v>
      </c>
      <c r="BU14" s="93">
        <v>6.6770457399999997E-2</v>
      </c>
      <c r="BV14" s="94">
        <v>4.6986979999999999E-4</v>
      </c>
      <c r="BW14" s="93">
        <v>5.6379126000000003E-3</v>
      </c>
      <c r="BX14" s="94">
        <v>2.8294E-5</v>
      </c>
      <c r="BY14" s="7" t="s">
        <v>76</v>
      </c>
      <c r="BZ14" s="13">
        <v>0</v>
      </c>
      <c r="CA14" s="7" t="s">
        <v>76</v>
      </c>
      <c r="CB14" s="13">
        <v>0</v>
      </c>
      <c r="CC14" s="93">
        <v>4.4497997820000004</v>
      </c>
      <c r="CD14" s="94">
        <v>3.05817268E-2</v>
      </c>
      <c r="CE14" s="93">
        <v>2.6004245400000001E-2</v>
      </c>
      <c r="CF14" s="94">
        <v>1.8212029999999999E-4</v>
      </c>
      <c r="CG14" s="7" t="s">
        <v>76</v>
      </c>
      <c r="CH14" s="13">
        <v>0</v>
      </c>
      <c r="CI14" s="7" t="s">
        <v>76</v>
      </c>
      <c r="CJ14" s="13">
        <v>0</v>
      </c>
      <c r="CK14" s="7" t="s">
        <v>76</v>
      </c>
      <c r="CL14" s="13">
        <v>0</v>
      </c>
      <c r="CM14" s="7" t="s">
        <v>76</v>
      </c>
      <c r="CN14" s="13">
        <v>0</v>
      </c>
      <c r="CO14" s="93">
        <v>2.6757810699999999E-2</v>
      </c>
      <c r="CP14" s="94">
        <v>1.4407760000000001E-4</v>
      </c>
      <c r="CQ14" s="93">
        <v>0</v>
      </c>
      <c r="CR14" s="94">
        <v>0</v>
      </c>
      <c r="CS14" s="93">
        <v>0.12739046919999999</v>
      </c>
      <c r="CT14" s="94">
        <v>7.8085480000000004E-4</v>
      </c>
      <c r="CU14" s="93">
        <v>6.3570460000000005E-4</v>
      </c>
      <c r="CV14" s="94">
        <v>1.1647100000000001E-5</v>
      </c>
      <c r="CW14" s="6" t="s">
        <v>76</v>
      </c>
      <c r="CX14" s="13">
        <v>0</v>
      </c>
      <c r="CY14" s="7" t="s">
        <v>76</v>
      </c>
      <c r="CZ14" s="15">
        <v>0</v>
      </c>
      <c r="DA14" s="93">
        <v>3.7029078750000002</v>
      </c>
      <c r="DB14" s="94">
        <v>3.9823062399999998E-2</v>
      </c>
      <c r="DC14" s="93">
        <v>2.3042712699999999E-2</v>
      </c>
      <c r="DD14" s="94">
        <v>1.5155870000000001E-4</v>
      </c>
      <c r="DE14" s="93">
        <v>2.0069882301000002</v>
      </c>
      <c r="DF14" s="94">
        <v>1.13603235E-2</v>
      </c>
      <c r="DG14" s="93">
        <v>3.6657704300000003E-2</v>
      </c>
      <c r="DH14" s="94">
        <v>2.7051579999999998E-4</v>
      </c>
      <c r="DI14" s="188">
        <v>1.3513600000000001E-5</v>
      </c>
      <c r="DJ14" s="189">
        <v>2.3567800000000002E-5</v>
      </c>
      <c r="DK14" s="189">
        <v>2.6018300000000001E-5</v>
      </c>
      <c r="DL14" s="189">
        <v>2.6018300000000001E-5</v>
      </c>
      <c r="DM14" s="189">
        <v>2.6018300000000001E-5</v>
      </c>
      <c r="DN14" s="189">
        <v>2.6018300000000001E-5</v>
      </c>
      <c r="DO14" s="189">
        <v>2.6018300000000001E-5</v>
      </c>
      <c r="DP14" s="189">
        <v>2.6018300000000001E-5</v>
      </c>
      <c r="DQ14" s="189">
        <v>2.6018300000000001E-5</v>
      </c>
      <c r="DR14" s="190">
        <v>2.6018300000000001E-5</v>
      </c>
      <c r="DS14" s="112">
        <v>27.098572704999999</v>
      </c>
      <c r="DT14" s="13">
        <v>0.5462102821</v>
      </c>
      <c r="DU14" s="79">
        <v>12.151567864</v>
      </c>
      <c r="DV14" s="13">
        <v>0.25362855810000001</v>
      </c>
      <c r="DW14" s="79">
        <v>4.9424576058999996</v>
      </c>
      <c r="DX14" s="13">
        <v>0.11091691939999999</v>
      </c>
      <c r="DY14" s="79">
        <v>1.8268869314</v>
      </c>
      <c r="DZ14" s="13">
        <v>4.7202931900000002E-2</v>
      </c>
      <c r="EA14" s="79">
        <v>0.63906667900000003</v>
      </c>
      <c r="EB14" s="13">
        <v>2.1234613199999999E-2</v>
      </c>
      <c r="EC14" s="79">
        <v>0.2306174876</v>
      </c>
      <c r="ED14" s="13">
        <v>1.1043489700000001E-2</v>
      </c>
      <c r="EE14" s="79">
        <v>9.8851440400000004E-2</v>
      </c>
      <c r="EF14" s="13">
        <v>6.8355715000000001E-3</v>
      </c>
      <c r="EG14" s="79">
        <v>5.3886021399999998E-2</v>
      </c>
      <c r="EH14" s="13">
        <v>4.7001856999999998E-3</v>
      </c>
      <c r="EI14" s="79">
        <v>3.64078179E-2</v>
      </c>
      <c r="EJ14" s="13">
        <v>3.2769040000000002E-3</v>
      </c>
      <c r="EK14" s="79">
        <v>2.5405147999999999E-2</v>
      </c>
      <c r="EL14" s="15">
        <v>2.2683726E-3</v>
      </c>
      <c r="EM14" s="79"/>
      <c r="EN14" s="13"/>
      <c r="EO14" s="79"/>
      <c r="EP14" s="13"/>
      <c r="EQ14" s="79"/>
      <c r="ER14" s="13"/>
      <c r="ES14" s="79"/>
      <c r="ET14" s="13"/>
      <c r="EU14" s="79"/>
      <c r="EV14" s="15"/>
    </row>
    <row r="15" spans="1:152" x14ac:dyDescent="0.2">
      <c r="A15" s="8">
        <v>1000</v>
      </c>
      <c r="B15" s="82">
        <v>27039</v>
      </c>
      <c r="C15" s="83">
        <v>744.87735670999996</v>
      </c>
      <c r="D15" s="93">
        <v>949.33849028999998</v>
      </c>
      <c r="E15" s="93">
        <v>2.8240678140000002</v>
      </c>
      <c r="F15" s="94">
        <v>1.13895752E-2</v>
      </c>
      <c r="G15" s="83">
        <v>1.8976219200000002E-2</v>
      </c>
      <c r="H15" s="94">
        <v>2.8803399999999999E-5</v>
      </c>
      <c r="I15" s="93">
        <v>80.067715594000006</v>
      </c>
      <c r="J15" s="94">
        <v>1.1528981285</v>
      </c>
      <c r="K15" s="93">
        <v>56.315877415999999</v>
      </c>
      <c r="L15" s="94">
        <v>0.63757672190000003</v>
      </c>
      <c r="M15" s="93">
        <v>0.1366563559</v>
      </c>
      <c r="N15" s="94">
        <v>9.8898249999999997E-4</v>
      </c>
      <c r="O15" s="37">
        <v>0</v>
      </c>
      <c r="P15" s="13">
        <v>0</v>
      </c>
      <c r="Q15" s="93">
        <v>5.5522461778999999</v>
      </c>
      <c r="R15" s="94">
        <v>3.6645314599999999E-2</v>
      </c>
      <c r="S15" s="37" t="s">
        <v>76</v>
      </c>
      <c r="T15" s="13">
        <v>0</v>
      </c>
      <c r="U15" s="37" t="s">
        <v>76</v>
      </c>
      <c r="V15" s="13">
        <v>0</v>
      </c>
      <c r="W15" s="93">
        <v>3.817222E-2</v>
      </c>
      <c r="X15" s="94">
        <v>1.967774E-4</v>
      </c>
      <c r="Y15" s="93">
        <v>0.24334118839999999</v>
      </c>
      <c r="Z15" s="94">
        <v>7.7311200000000006E-5</v>
      </c>
      <c r="AA15" s="37" t="s">
        <v>76</v>
      </c>
      <c r="AB15" s="13">
        <v>0</v>
      </c>
      <c r="AC15" s="93">
        <v>0</v>
      </c>
      <c r="AD15" s="94">
        <v>0</v>
      </c>
      <c r="AE15" s="37" t="s">
        <v>76</v>
      </c>
      <c r="AF15" s="13">
        <v>0</v>
      </c>
      <c r="AG15" s="37" t="s">
        <v>76</v>
      </c>
      <c r="AH15" s="13">
        <v>0</v>
      </c>
      <c r="AI15" s="93">
        <v>0</v>
      </c>
      <c r="AJ15" s="94">
        <v>0</v>
      </c>
      <c r="AK15" s="93">
        <v>107.98113436</v>
      </c>
      <c r="AL15" s="94">
        <v>0.70881304229999997</v>
      </c>
      <c r="AM15" s="37" t="s">
        <v>76</v>
      </c>
      <c r="AN15" s="13">
        <v>0</v>
      </c>
      <c r="AO15" s="37" t="s">
        <v>76</v>
      </c>
      <c r="AP15" s="13">
        <v>0</v>
      </c>
      <c r="AQ15" s="37" t="s">
        <v>76</v>
      </c>
      <c r="AR15" s="13">
        <v>0</v>
      </c>
      <c r="AS15" s="93">
        <v>5.5354126160000003</v>
      </c>
      <c r="AT15" s="94">
        <v>0.19333616410000001</v>
      </c>
      <c r="AU15" s="93">
        <v>9.6497481701000005</v>
      </c>
      <c r="AV15" s="94">
        <v>7.6928911700000005E-2</v>
      </c>
      <c r="AW15" s="93">
        <v>6.0080141724000002</v>
      </c>
      <c r="AX15" s="94">
        <v>3.8560563200000002E-2</v>
      </c>
      <c r="AY15" s="93">
        <v>2.6281828209999998</v>
      </c>
      <c r="AZ15" s="94">
        <v>1.44009629E-2</v>
      </c>
      <c r="BA15" s="79">
        <v>1.0135511767000001</v>
      </c>
      <c r="BB15" s="13">
        <v>2.3967385599999998E-2</v>
      </c>
      <c r="BC15" s="93">
        <v>0</v>
      </c>
      <c r="BD15" s="86">
        <v>0</v>
      </c>
      <c r="BE15" s="93">
        <v>3.5059527400000001</v>
      </c>
      <c r="BF15" s="94">
        <v>2.29066471E-2</v>
      </c>
      <c r="BG15" s="94">
        <v>4.0586000000000001E-5</v>
      </c>
      <c r="BH15" s="86">
        <v>0</v>
      </c>
      <c r="BI15" s="93">
        <v>37.376519561000002</v>
      </c>
      <c r="BJ15" s="94">
        <v>1.5274835150999999</v>
      </c>
      <c r="BK15" s="93">
        <v>24.321225332000001</v>
      </c>
      <c r="BL15" s="94">
        <v>0.22822299300000001</v>
      </c>
      <c r="BM15" s="93">
        <v>11.335804676</v>
      </c>
      <c r="BN15" s="94">
        <v>8.28371673E-2</v>
      </c>
      <c r="BO15" s="93">
        <v>0.42137500119999999</v>
      </c>
      <c r="BP15" s="94">
        <v>1.4471135E-3</v>
      </c>
      <c r="BQ15" s="93">
        <v>0</v>
      </c>
      <c r="BR15" s="88">
        <v>0</v>
      </c>
      <c r="BS15" s="37" t="s">
        <v>76</v>
      </c>
      <c r="BT15" s="13">
        <v>0</v>
      </c>
      <c r="BU15" s="93">
        <v>6.8728373800000006E-2</v>
      </c>
      <c r="BV15" s="94">
        <v>4.8689790000000001E-4</v>
      </c>
      <c r="BW15" s="93">
        <v>5.3374653000000001E-3</v>
      </c>
      <c r="BX15" s="94">
        <v>2.6738899999999999E-5</v>
      </c>
      <c r="BY15" s="7" t="s">
        <v>76</v>
      </c>
      <c r="BZ15" s="13">
        <v>0</v>
      </c>
      <c r="CA15" s="7" t="s">
        <v>76</v>
      </c>
      <c r="CB15" s="13">
        <v>0</v>
      </c>
      <c r="CC15" s="93">
        <v>5.3492603347000003</v>
      </c>
      <c r="CD15" s="94">
        <v>3.5623391999999997E-2</v>
      </c>
      <c r="CE15" s="93">
        <v>3.3570095299999998E-2</v>
      </c>
      <c r="CF15" s="94">
        <v>2.402839E-4</v>
      </c>
      <c r="CG15" s="7" t="s">
        <v>76</v>
      </c>
      <c r="CH15" s="13">
        <v>0</v>
      </c>
      <c r="CI15" s="7" t="s">
        <v>76</v>
      </c>
      <c r="CJ15" s="13">
        <v>0</v>
      </c>
      <c r="CK15" s="7" t="s">
        <v>76</v>
      </c>
      <c r="CL15" s="13">
        <v>0</v>
      </c>
      <c r="CM15" s="7" t="s">
        <v>76</v>
      </c>
      <c r="CN15" s="13">
        <v>0</v>
      </c>
      <c r="CO15" s="93">
        <v>3.3974568599999998E-2</v>
      </c>
      <c r="CP15" s="94">
        <v>1.609638E-4</v>
      </c>
      <c r="CQ15" s="93">
        <v>0</v>
      </c>
      <c r="CR15" s="94">
        <v>0</v>
      </c>
      <c r="CS15" s="93">
        <v>0.1539905594</v>
      </c>
      <c r="CT15" s="94">
        <v>8.9835459999999996E-4</v>
      </c>
      <c r="CU15" s="93">
        <v>6.0245850000000001E-4</v>
      </c>
      <c r="CV15" s="94">
        <v>1.10148E-5</v>
      </c>
      <c r="CW15" s="6" t="s">
        <v>76</v>
      </c>
      <c r="CX15" s="13">
        <v>0</v>
      </c>
      <c r="CY15" s="7" t="s">
        <v>76</v>
      </c>
      <c r="CZ15" s="15">
        <v>0</v>
      </c>
      <c r="DA15" s="93">
        <v>4.3502157494000002</v>
      </c>
      <c r="DB15" s="94">
        <v>4.4528844800000002E-2</v>
      </c>
      <c r="DC15" s="93">
        <v>2.97135894E-2</v>
      </c>
      <c r="DD15" s="94">
        <v>1.9176659999999999E-4</v>
      </c>
      <c r="DE15" s="93">
        <v>2.4362629669999998</v>
      </c>
      <c r="DF15" s="94">
        <v>1.31524751E-2</v>
      </c>
      <c r="DG15" s="93">
        <v>4.2065613299999999E-2</v>
      </c>
      <c r="DH15" s="94">
        <v>3.1262089999999998E-4</v>
      </c>
      <c r="DI15" s="188">
        <v>2.8803399999999999E-5</v>
      </c>
      <c r="DJ15" s="189">
        <v>3.8278600000000003E-5</v>
      </c>
      <c r="DK15" s="189">
        <v>4.0586000000000001E-5</v>
      </c>
      <c r="DL15" s="189">
        <v>4.0586000000000001E-5</v>
      </c>
      <c r="DM15" s="189">
        <v>4.0586000000000001E-5</v>
      </c>
      <c r="DN15" s="189">
        <v>4.0586000000000001E-5</v>
      </c>
      <c r="DO15" s="189">
        <v>4.0586000000000001E-5</v>
      </c>
      <c r="DP15" s="189">
        <v>4.0586000000000001E-5</v>
      </c>
      <c r="DQ15" s="189">
        <v>4.0586000000000001E-5</v>
      </c>
      <c r="DR15" s="190">
        <v>4.0586000000000001E-5</v>
      </c>
      <c r="DS15" s="112">
        <v>30.694994633</v>
      </c>
      <c r="DT15" s="13">
        <v>0.60719308100000002</v>
      </c>
      <c r="DU15" s="79">
        <v>14.537133912</v>
      </c>
      <c r="DV15" s="13">
        <v>0.2954976708</v>
      </c>
      <c r="DW15" s="79">
        <v>6.3320423645000004</v>
      </c>
      <c r="DX15" s="13">
        <v>0.1364584489</v>
      </c>
      <c r="DY15" s="79">
        <v>2.5422809069999999</v>
      </c>
      <c r="DZ15" s="13">
        <v>6.1189054700000002E-2</v>
      </c>
      <c r="EA15" s="79">
        <v>0.97331122979999996</v>
      </c>
      <c r="EB15" s="13">
        <v>2.8314692700000001E-2</v>
      </c>
      <c r="EC15" s="79">
        <v>0.3735399921</v>
      </c>
      <c r="ED15" s="13">
        <v>1.4450566099999999E-2</v>
      </c>
      <c r="EE15" s="79">
        <v>0.15922675280000001</v>
      </c>
      <c r="EF15" s="13">
        <v>8.4967027000000007E-3</v>
      </c>
      <c r="EG15" s="79">
        <v>8.1235474399999993E-2</v>
      </c>
      <c r="EH15" s="13">
        <v>5.5624037000000003E-3</v>
      </c>
      <c r="EI15" s="79">
        <v>5.0247480099999998E-2</v>
      </c>
      <c r="EJ15" s="13">
        <v>3.7753297999999999E-3</v>
      </c>
      <c r="EK15" s="79">
        <v>3.3400377299999999E-2</v>
      </c>
      <c r="EL15" s="15">
        <v>2.5831674000000001E-3</v>
      </c>
      <c r="EM15" s="79"/>
      <c r="EN15" s="13"/>
      <c r="EO15" s="79"/>
      <c r="EP15" s="13"/>
      <c r="EQ15" s="79"/>
      <c r="ER15" s="13"/>
      <c r="ES15" s="79"/>
      <c r="ET15" s="13"/>
      <c r="EU15" s="79"/>
      <c r="EV15" s="15"/>
    </row>
    <row r="16" spans="1:152" x14ac:dyDescent="0.2">
      <c r="A16" s="8">
        <v>1100</v>
      </c>
      <c r="B16" s="82">
        <v>25609</v>
      </c>
      <c r="C16" s="83">
        <v>804.74530961999994</v>
      </c>
      <c r="D16" s="93">
        <v>1049.678719</v>
      </c>
      <c r="E16" s="93">
        <v>3.4706498946000002</v>
      </c>
      <c r="F16" s="94">
        <v>1.33659209E-2</v>
      </c>
      <c r="G16" s="83">
        <v>3.1217318099999999E-2</v>
      </c>
      <c r="H16" s="94">
        <v>5.0424899999999999E-5</v>
      </c>
      <c r="I16" s="93">
        <v>86.159163355999993</v>
      </c>
      <c r="J16" s="94">
        <v>1.2245646026000001</v>
      </c>
      <c r="K16" s="93">
        <v>63.380948007000001</v>
      </c>
      <c r="L16" s="94">
        <v>0.69949683939999996</v>
      </c>
      <c r="M16" s="93">
        <v>0.1546710345</v>
      </c>
      <c r="N16" s="94">
        <v>1.1420398999999999E-3</v>
      </c>
      <c r="O16" s="37">
        <v>0</v>
      </c>
      <c r="P16" s="13">
        <v>0</v>
      </c>
      <c r="Q16" s="93">
        <v>6.5146259808</v>
      </c>
      <c r="R16" s="94">
        <v>4.1693419600000003E-2</v>
      </c>
      <c r="S16" s="37" t="s">
        <v>76</v>
      </c>
      <c r="T16" s="13">
        <v>0</v>
      </c>
      <c r="U16" s="37" t="s">
        <v>76</v>
      </c>
      <c r="V16" s="13">
        <v>0</v>
      </c>
      <c r="W16" s="93">
        <v>4.7049691300000002E-2</v>
      </c>
      <c r="X16" s="94">
        <v>2.4509089999999998E-4</v>
      </c>
      <c r="Y16" s="93">
        <v>0.27977055849999999</v>
      </c>
      <c r="Z16" s="94">
        <v>8.6082900000000002E-5</v>
      </c>
      <c r="AA16" s="37" t="s">
        <v>76</v>
      </c>
      <c r="AB16" s="13">
        <v>0</v>
      </c>
      <c r="AC16" s="93">
        <v>0</v>
      </c>
      <c r="AD16" s="94">
        <v>0</v>
      </c>
      <c r="AE16" s="37" t="s">
        <v>76</v>
      </c>
      <c r="AF16" s="13">
        <v>0</v>
      </c>
      <c r="AG16" s="37" t="s">
        <v>76</v>
      </c>
      <c r="AH16" s="13">
        <v>0</v>
      </c>
      <c r="AI16" s="93">
        <v>0</v>
      </c>
      <c r="AJ16" s="94">
        <v>0</v>
      </c>
      <c r="AK16" s="93">
        <v>116.00072203000001</v>
      </c>
      <c r="AL16" s="94">
        <v>0.75580687319999995</v>
      </c>
      <c r="AM16" s="37" t="s">
        <v>76</v>
      </c>
      <c r="AN16" s="13">
        <v>0</v>
      </c>
      <c r="AO16" s="37" t="s">
        <v>76</v>
      </c>
      <c r="AP16" s="13">
        <v>0</v>
      </c>
      <c r="AQ16" s="37" t="s">
        <v>76</v>
      </c>
      <c r="AR16" s="13">
        <v>0</v>
      </c>
      <c r="AS16" s="93">
        <v>6.3075940678000002</v>
      </c>
      <c r="AT16" s="94">
        <v>0.2113134207</v>
      </c>
      <c r="AU16" s="93">
        <v>10.624493142</v>
      </c>
      <c r="AV16" s="94">
        <v>8.34704416E-2</v>
      </c>
      <c r="AW16" s="93">
        <v>6.6747812357000003</v>
      </c>
      <c r="AX16" s="94">
        <v>4.2132958200000001E-2</v>
      </c>
      <c r="AY16" s="93">
        <v>2.8341048972</v>
      </c>
      <c r="AZ16" s="94">
        <v>1.54309242E-2</v>
      </c>
      <c r="BA16" s="79">
        <v>1.1156070093999999</v>
      </c>
      <c r="BB16" s="13">
        <v>2.5906559199999998E-2</v>
      </c>
      <c r="BC16" s="93">
        <v>0</v>
      </c>
      <c r="BD16" s="86">
        <v>0</v>
      </c>
      <c r="BE16" s="93">
        <v>4.0905116304</v>
      </c>
      <c r="BF16" s="94">
        <v>2.5760855499999999E-2</v>
      </c>
      <c r="BG16" s="94">
        <v>6.9487399999999995E-5</v>
      </c>
      <c r="BH16" s="86">
        <v>0</v>
      </c>
      <c r="BI16" s="93">
        <v>41.187255948000001</v>
      </c>
      <c r="BJ16" s="94">
        <v>1.6428914733</v>
      </c>
      <c r="BK16" s="93">
        <v>27.983231249999999</v>
      </c>
      <c r="BL16" s="94">
        <v>0.25833176879999997</v>
      </c>
      <c r="BM16" s="93">
        <v>13.296554771</v>
      </c>
      <c r="BN16" s="94">
        <v>9.5192369099999993E-2</v>
      </c>
      <c r="BO16" s="93">
        <v>0.53500698859999996</v>
      </c>
      <c r="BP16" s="94">
        <v>1.7994364000000001E-3</v>
      </c>
      <c r="BQ16" s="93">
        <v>0</v>
      </c>
      <c r="BR16" s="88">
        <v>0</v>
      </c>
      <c r="BS16" s="37" t="s">
        <v>76</v>
      </c>
      <c r="BT16" s="13">
        <v>0</v>
      </c>
      <c r="BU16" s="93">
        <v>7.4788705100000005E-2</v>
      </c>
      <c r="BV16" s="94">
        <v>5.2140119999999996E-4</v>
      </c>
      <c r="BW16" s="93">
        <v>5.0814533000000002E-3</v>
      </c>
      <c r="BX16" s="94">
        <v>2.5414699999999999E-5</v>
      </c>
      <c r="BY16" s="7" t="s">
        <v>76</v>
      </c>
      <c r="BZ16" s="13">
        <v>0</v>
      </c>
      <c r="CA16" s="7" t="s">
        <v>76</v>
      </c>
      <c r="CB16" s="13">
        <v>0</v>
      </c>
      <c r="CC16" s="93">
        <v>6.2904992895999996</v>
      </c>
      <c r="CD16" s="94">
        <v>4.0576020999999997E-2</v>
      </c>
      <c r="CE16" s="93">
        <v>3.79019139E-2</v>
      </c>
      <c r="CF16" s="94">
        <v>2.7828139999999999E-4</v>
      </c>
      <c r="CG16" s="7" t="s">
        <v>76</v>
      </c>
      <c r="CH16" s="13">
        <v>0</v>
      </c>
      <c r="CI16" s="7" t="s">
        <v>76</v>
      </c>
      <c r="CJ16" s="13">
        <v>0</v>
      </c>
      <c r="CK16" s="7" t="s">
        <v>76</v>
      </c>
      <c r="CL16" s="13">
        <v>0</v>
      </c>
      <c r="CM16" s="7" t="s">
        <v>76</v>
      </c>
      <c r="CN16" s="13">
        <v>0</v>
      </c>
      <c r="CO16" s="93">
        <v>4.2931008100000001E-2</v>
      </c>
      <c r="CP16" s="94">
        <v>2.10082E-4</v>
      </c>
      <c r="CQ16" s="93">
        <v>0</v>
      </c>
      <c r="CR16" s="94">
        <v>0</v>
      </c>
      <c r="CS16" s="93">
        <v>0.18830134879999999</v>
      </c>
      <c r="CT16" s="94">
        <v>1.0474464E-3</v>
      </c>
      <c r="CU16" s="93">
        <v>5.7424129999999996E-4</v>
      </c>
      <c r="CV16" s="94">
        <v>1.48476E-5</v>
      </c>
      <c r="CW16" s="6" t="s">
        <v>76</v>
      </c>
      <c r="CX16" s="13">
        <v>0</v>
      </c>
      <c r="CY16" s="7" t="s">
        <v>76</v>
      </c>
      <c r="CZ16" s="15">
        <v>0</v>
      </c>
      <c r="DA16" s="93">
        <v>4.9680102246000004</v>
      </c>
      <c r="DB16" s="94">
        <v>4.8725406300000003E-2</v>
      </c>
      <c r="DC16" s="93">
        <v>3.0048966199999999E-2</v>
      </c>
      <c r="DD16" s="94">
        <v>2.021227E-4</v>
      </c>
      <c r="DE16" s="93">
        <v>2.8672101244000001</v>
      </c>
      <c r="DF16" s="94">
        <v>1.49161265E-2</v>
      </c>
      <c r="DG16" s="93">
        <v>4.5486707000000001E-2</v>
      </c>
      <c r="DH16" s="94">
        <v>3.4260239999999998E-4</v>
      </c>
      <c r="DI16" s="188">
        <v>4.9218899999999997E-5</v>
      </c>
      <c r="DJ16" s="189">
        <v>6.7302E-5</v>
      </c>
      <c r="DK16" s="189">
        <v>6.9487399999999995E-5</v>
      </c>
      <c r="DL16" s="189">
        <v>6.9487399999999995E-5</v>
      </c>
      <c r="DM16" s="189">
        <v>6.9487399999999995E-5</v>
      </c>
      <c r="DN16" s="189">
        <v>6.9487399999999995E-5</v>
      </c>
      <c r="DO16" s="189">
        <v>6.9487399999999995E-5</v>
      </c>
      <c r="DP16" s="189">
        <v>6.9487399999999995E-5</v>
      </c>
      <c r="DQ16" s="189">
        <v>6.9487399999999995E-5</v>
      </c>
      <c r="DR16" s="190">
        <v>6.9487399999999995E-5</v>
      </c>
      <c r="DS16" s="112">
        <v>34.107848926000003</v>
      </c>
      <c r="DT16" s="13">
        <v>0.66422707690000005</v>
      </c>
      <c r="DU16" s="79">
        <v>16.848761032999999</v>
      </c>
      <c r="DV16" s="13">
        <v>0.33578900360000002</v>
      </c>
      <c r="DW16" s="79">
        <v>7.7376689401999998</v>
      </c>
      <c r="DX16" s="13">
        <v>0.16220903710000001</v>
      </c>
      <c r="DY16" s="79">
        <v>3.3179879624000002</v>
      </c>
      <c r="DZ16" s="13">
        <v>7.6274360900000004E-2</v>
      </c>
      <c r="EA16" s="79">
        <v>1.3698144188000001</v>
      </c>
      <c r="EB16" s="13">
        <v>3.6575644999999997E-2</v>
      </c>
      <c r="EC16" s="79">
        <v>0.56023662320000001</v>
      </c>
      <c r="ED16" s="13">
        <v>1.8718885399999999E-2</v>
      </c>
      <c r="EE16" s="79">
        <v>0.24499229380000001</v>
      </c>
      <c r="EF16" s="13">
        <v>1.0745719900000001E-2</v>
      </c>
      <c r="EG16" s="79">
        <v>0.12217658989999999</v>
      </c>
      <c r="EH16" s="13">
        <v>6.8089509000000001E-3</v>
      </c>
      <c r="EI16" s="79">
        <v>6.9631428499999995E-2</v>
      </c>
      <c r="EJ16" s="13">
        <v>4.4757114000000004E-3</v>
      </c>
      <c r="EK16" s="79">
        <v>4.35885487E-2</v>
      </c>
      <c r="EL16" s="15">
        <v>3.0183943999999999E-3</v>
      </c>
      <c r="EM16" s="79"/>
      <c r="EN16" s="13"/>
      <c r="EO16" s="79"/>
      <c r="EP16" s="13"/>
      <c r="EQ16" s="79"/>
      <c r="ER16" s="13"/>
      <c r="ES16" s="79"/>
      <c r="ET16" s="13"/>
      <c r="EU16" s="79"/>
      <c r="EV16" s="15"/>
    </row>
    <row r="17" spans="1:152" x14ac:dyDescent="0.2">
      <c r="A17" s="8">
        <v>1200</v>
      </c>
      <c r="B17" s="82">
        <v>23905</v>
      </c>
      <c r="C17" s="83">
        <v>862.63262255999996</v>
      </c>
      <c r="D17" s="93">
        <v>1149.6136959999999</v>
      </c>
      <c r="E17" s="93">
        <v>4.1748229974999997</v>
      </c>
      <c r="F17" s="94">
        <v>1.5388974200000001E-2</v>
      </c>
      <c r="G17" s="83">
        <v>4.21100981E-2</v>
      </c>
      <c r="H17" s="94">
        <v>6.3747900000000007E-5</v>
      </c>
      <c r="I17" s="93">
        <v>91.731346638000005</v>
      </c>
      <c r="J17" s="94">
        <v>1.2885369866</v>
      </c>
      <c r="K17" s="93">
        <v>70.434957518000004</v>
      </c>
      <c r="L17" s="94">
        <v>0.75869739759999999</v>
      </c>
      <c r="M17" s="93">
        <v>0.1683138324</v>
      </c>
      <c r="N17" s="94">
        <v>1.2377961E-3</v>
      </c>
      <c r="O17" s="37">
        <v>0</v>
      </c>
      <c r="P17" s="13">
        <v>0</v>
      </c>
      <c r="Q17" s="93">
        <v>7.5009130626999996</v>
      </c>
      <c r="R17" s="94">
        <v>4.6774684499999997E-2</v>
      </c>
      <c r="S17" s="37" t="s">
        <v>76</v>
      </c>
      <c r="T17" s="13">
        <v>0</v>
      </c>
      <c r="U17" s="37" t="s">
        <v>76</v>
      </c>
      <c r="V17" s="13">
        <v>0</v>
      </c>
      <c r="W17" s="93">
        <v>5.25300712E-2</v>
      </c>
      <c r="X17" s="94">
        <v>2.602649E-4</v>
      </c>
      <c r="Y17" s="93">
        <v>0.32157168580000001</v>
      </c>
      <c r="Z17" s="94">
        <v>9.8123300000000003E-5</v>
      </c>
      <c r="AA17" s="37" t="s">
        <v>76</v>
      </c>
      <c r="AB17" s="13">
        <v>0</v>
      </c>
      <c r="AC17" s="93">
        <v>0</v>
      </c>
      <c r="AD17" s="94">
        <v>0</v>
      </c>
      <c r="AE17" s="37" t="s">
        <v>76</v>
      </c>
      <c r="AF17" s="13">
        <v>0</v>
      </c>
      <c r="AG17" s="37" t="s">
        <v>76</v>
      </c>
      <c r="AH17" s="13">
        <v>0</v>
      </c>
      <c r="AI17" s="93">
        <v>0</v>
      </c>
      <c r="AJ17" s="94">
        <v>0</v>
      </c>
      <c r="AK17" s="93">
        <v>123.4038784</v>
      </c>
      <c r="AL17" s="94">
        <v>0.79817615720000001</v>
      </c>
      <c r="AM17" s="37" t="s">
        <v>76</v>
      </c>
      <c r="AN17" s="13">
        <v>0</v>
      </c>
      <c r="AO17" s="37" t="s">
        <v>76</v>
      </c>
      <c r="AP17" s="13">
        <v>0</v>
      </c>
      <c r="AQ17" s="37" t="s">
        <v>76</v>
      </c>
      <c r="AR17" s="13">
        <v>0</v>
      </c>
      <c r="AS17" s="93">
        <v>7.1274322651000004</v>
      </c>
      <c r="AT17" s="94">
        <v>0.22853853599999999</v>
      </c>
      <c r="AU17" s="93">
        <v>11.555377388</v>
      </c>
      <c r="AV17" s="94">
        <v>8.9772047100000002E-2</v>
      </c>
      <c r="AW17" s="93">
        <v>7.3078745655999997</v>
      </c>
      <c r="AX17" s="94">
        <v>4.5380519699999997E-2</v>
      </c>
      <c r="AY17" s="93">
        <v>3.0315764556999998</v>
      </c>
      <c r="AZ17" s="94">
        <v>1.6464521999999999E-2</v>
      </c>
      <c r="BA17" s="79">
        <v>1.215926367</v>
      </c>
      <c r="BB17" s="13">
        <v>2.79270054E-2</v>
      </c>
      <c r="BC17" s="93">
        <v>0</v>
      </c>
      <c r="BD17" s="86">
        <v>0</v>
      </c>
      <c r="BE17" s="93">
        <v>4.6317026379000001</v>
      </c>
      <c r="BF17" s="94">
        <v>2.83314819E-2</v>
      </c>
      <c r="BG17" s="94">
        <v>8.1943100000000005E-5</v>
      </c>
      <c r="BH17" s="86">
        <v>0</v>
      </c>
      <c r="BI17" s="93">
        <v>44.707742713000002</v>
      </c>
      <c r="BJ17" s="94">
        <v>1.7465896428000001</v>
      </c>
      <c r="BK17" s="93">
        <v>31.882924293999999</v>
      </c>
      <c r="BL17" s="94">
        <v>0.29059137000000002</v>
      </c>
      <c r="BM17" s="93">
        <v>15.328107542</v>
      </c>
      <c r="BN17" s="94">
        <v>0.1074747123</v>
      </c>
      <c r="BO17" s="93">
        <v>0.68097408449999997</v>
      </c>
      <c r="BP17" s="94">
        <v>2.2260822E-3</v>
      </c>
      <c r="BQ17" s="93">
        <v>0</v>
      </c>
      <c r="BR17" s="88">
        <v>0</v>
      </c>
      <c r="BS17" s="37" t="s">
        <v>76</v>
      </c>
      <c r="BT17" s="13">
        <v>0</v>
      </c>
      <c r="BU17" s="93">
        <v>8.4289749499999997E-2</v>
      </c>
      <c r="BV17" s="94">
        <v>5.9168600000000001E-4</v>
      </c>
      <c r="BW17" s="93">
        <v>4.9611248000000002E-3</v>
      </c>
      <c r="BX17" s="94">
        <v>2.54615E-5</v>
      </c>
      <c r="BY17" s="7" t="s">
        <v>76</v>
      </c>
      <c r="BZ17" s="13">
        <v>0</v>
      </c>
      <c r="CA17" s="7" t="s">
        <v>76</v>
      </c>
      <c r="CB17" s="13">
        <v>0</v>
      </c>
      <c r="CC17" s="93">
        <v>7.2480377881000004</v>
      </c>
      <c r="CD17" s="94">
        <v>4.5549492599999998E-2</v>
      </c>
      <c r="CE17" s="93">
        <v>4.5995294800000003E-2</v>
      </c>
      <c r="CF17" s="94">
        <v>3.3220610000000002E-4</v>
      </c>
      <c r="CG17" s="7" t="s">
        <v>76</v>
      </c>
      <c r="CH17" s="13">
        <v>0</v>
      </c>
      <c r="CI17" s="7" t="s">
        <v>76</v>
      </c>
      <c r="CJ17" s="13">
        <v>0</v>
      </c>
      <c r="CK17" s="7" t="s">
        <v>76</v>
      </c>
      <c r="CL17" s="13">
        <v>0</v>
      </c>
      <c r="CM17" s="7" t="s">
        <v>76</v>
      </c>
      <c r="CN17" s="13">
        <v>0</v>
      </c>
      <c r="CO17" s="93">
        <v>4.66572694E-2</v>
      </c>
      <c r="CP17" s="94">
        <v>2.153201E-4</v>
      </c>
      <c r="CQ17" s="93">
        <v>0</v>
      </c>
      <c r="CR17" s="94">
        <v>0</v>
      </c>
      <c r="CS17" s="93">
        <v>0.21970908140000001</v>
      </c>
      <c r="CT17" s="94">
        <v>1.1448137E-3</v>
      </c>
      <c r="CU17" s="93">
        <v>5.5034720000000004E-4</v>
      </c>
      <c r="CV17" s="94">
        <v>1.4195100000000001E-5</v>
      </c>
      <c r="CW17" s="6" t="s">
        <v>76</v>
      </c>
      <c r="CX17" s="13">
        <v>0</v>
      </c>
      <c r="CY17" s="7" t="s">
        <v>76</v>
      </c>
      <c r="CZ17" s="15">
        <v>0</v>
      </c>
      <c r="DA17" s="93">
        <v>5.6385245555000001</v>
      </c>
      <c r="DB17" s="94">
        <v>5.3217208000000002E-2</v>
      </c>
      <c r="DC17" s="93">
        <v>2.9208583E-2</v>
      </c>
      <c r="DD17" s="94">
        <v>2.021576E-4</v>
      </c>
      <c r="DE17" s="93">
        <v>3.2579310911000001</v>
      </c>
      <c r="DF17" s="94">
        <v>1.64672529E-2</v>
      </c>
      <c r="DG17" s="93">
        <v>4.6652670299999997E-2</v>
      </c>
      <c r="DH17" s="94">
        <v>3.5732519999999999E-4</v>
      </c>
      <c r="DI17" s="188">
        <v>6.2589900000000002E-5</v>
      </c>
      <c r="DJ17" s="189">
        <v>7.9858399999999994E-5</v>
      </c>
      <c r="DK17" s="189">
        <v>8.1943100000000005E-5</v>
      </c>
      <c r="DL17" s="189">
        <v>8.1943100000000005E-5</v>
      </c>
      <c r="DM17" s="189">
        <v>8.1943100000000005E-5</v>
      </c>
      <c r="DN17" s="189">
        <v>8.1943100000000005E-5</v>
      </c>
      <c r="DO17" s="189">
        <v>8.1943100000000005E-5</v>
      </c>
      <c r="DP17" s="189">
        <v>8.1943100000000005E-5</v>
      </c>
      <c r="DQ17" s="189">
        <v>8.1943100000000005E-5</v>
      </c>
      <c r="DR17" s="190">
        <v>8.1943100000000005E-5</v>
      </c>
      <c r="DS17" s="112">
        <v>37.271752722000002</v>
      </c>
      <c r="DT17" s="13">
        <v>0.71576632399999995</v>
      </c>
      <c r="DU17" s="79">
        <v>19.042914326999998</v>
      </c>
      <c r="DV17" s="13">
        <v>0.37295676370000003</v>
      </c>
      <c r="DW17" s="79">
        <v>9.1184101769999995</v>
      </c>
      <c r="DX17" s="13">
        <v>0.18663667749999999</v>
      </c>
      <c r="DY17" s="79">
        <v>4.1254101344</v>
      </c>
      <c r="DZ17" s="13">
        <v>9.1251949900000004E-2</v>
      </c>
      <c r="EA17" s="79">
        <v>1.7987868219000001</v>
      </c>
      <c r="EB17" s="13">
        <v>4.50544415E-2</v>
      </c>
      <c r="EC17" s="79">
        <v>0.7739411437</v>
      </c>
      <c r="ED17" s="13">
        <v>2.3318077600000001E-2</v>
      </c>
      <c r="EE17" s="79">
        <v>0.34976710729999999</v>
      </c>
      <c r="EF17" s="13">
        <v>1.3281163699999999E-2</v>
      </c>
      <c r="EG17" s="79">
        <v>0.17471060669999999</v>
      </c>
      <c r="EH17" s="13">
        <v>8.2610806999999994E-3</v>
      </c>
      <c r="EI17" s="79">
        <v>9.7048252799999998E-2</v>
      </c>
      <c r="EJ17" s="13">
        <v>5.3528619999999999E-3</v>
      </c>
      <c r="EK17" s="79">
        <v>6.0051306700000001E-2</v>
      </c>
      <c r="EL17" s="15">
        <v>3.6056351999999999E-3</v>
      </c>
      <c r="EM17" s="79"/>
      <c r="EN17" s="13"/>
      <c r="EO17" s="79"/>
      <c r="EP17" s="13"/>
      <c r="EQ17" s="79"/>
      <c r="ER17" s="13"/>
      <c r="ES17" s="79"/>
      <c r="ET17" s="13"/>
      <c r="EU17" s="79"/>
      <c r="EV17" s="15"/>
    </row>
    <row r="18" spans="1:152" x14ac:dyDescent="0.2">
      <c r="A18" s="8">
        <v>1300</v>
      </c>
      <c r="B18" s="82">
        <v>22407</v>
      </c>
      <c r="C18" s="83">
        <v>918.67326103000005</v>
      </c>
      <c r="D18" s="93">
        <v>1249.6730646000001</v>
      </c>
      <c r="E18" s="93">
        <v>4.9232354472999997</v>
      </c>
      <c r="F18" s="94">
        <v>1.73392804E-2</v>
      </c>
      <c r="G18" s="83">
        <v>6.80871319E-2</v>
      </c>
      <c r="H18" s="94">
        <v>9.6320600000000001E-5</v>
      </c>
      <c r="I18" s="93">
        <v>97.032722796000002</v>
      </c>
      <c r="J18" s="94">
        <v>1.3492939160999999</v>
      </c>
      <c r="K18" s="93">
        <v>77.520880360000007</v>
      </c>
      <c r="L18" s="94">
        <v>0.81692320330000001</v>
      </c>
      <c r="M18" s="93">
        <v>0.18775109919999999</v>
      </c>
      <c r="N18" s="94">
        <v>1.3448220000000001E-3</v>
      </c>
      <c r="O18" s="37">
        <v>0</v>
      </c>
      <c r="P18" s="13">
        <v>0</v>
      </c>
      <c r="Q18" s="93">
        <v>8.5250121130000007</v>
      </c>
      <c r="R18" s="94">
        <v>5.1569884000000003E-2</v>
      </c>
      <c r="S18" s="37" t="s">
        <v>76</v>
      </c>
      <c r="T18" s="13">
        <v>0</v>
      </c>
      <c r="U18" s="37" t="s">
        <v>76</v>
      </c>
      <c r="V18" s="13">
        <v>0</v>
      </c>
      <c r="W18" s="93">
        <v>5.3820657399999999E-2</v>
      </c>
      <c r="X18" s="94">
        <v>2.6805070000000001E-4</v>
      </c>
      <c r="Y18" s="93">
        <v>0.36773682530000001</v>
      </c>
      <c r="Z18" s="94">
        <v>1.033172E-4</v>
      </c>
      <c r="AA18" s="37" t="s">
        <v>76</v>
      </c>
      <c r="AB18" s="13">
        <v>0</v>
      </c>
      <c r="AC18" s="93">
        <v>0</v>
      </c>
      <c r="AD18" s="94">
        <v>0</v>
      </c>
      <c r="AE18" s="37" t="s">
        <v>76</v>
      </c>
      <c r="AF18" s="13">
        <v>0</v>
      </c>
      <c r="AG18" s="37" t="s">
        <v>76</v>
      </c>
      <c r="AH18" s="13">
        <v>0</v>
      </c>
      <c r="AI18" s="93">
        <v>0</v>
      </c>
      <c r="AJ18" s="94">
        <v>0</v>
      </c>
      <c r="AK18" s="93">
        <v>130.30896204999999</v>
      </c>
      <c r="AL18" s="94">
        <v>0.83805078909999997</v>
      </c>
      <c r="AM18" s="37" t="s">
        <v>76</v>
      </c>
      <c r="AN18" s="13">
        <v>0</v>
      </c>
      <c r="AO18" s="37" t="s">
        <v>76</v>
      </c>
      <c r="AP18" s="13">
        <v>0</v>
      </c>
      <c r="AQ18" s="37" t="s">
        <v>76</v>
      </c>
      <c r="AR18" s="13">
        <v>0</v>
      </c>
      <c r="AS18" s="93">
        <v>7.8913519991000003</v>
      </c>
      <c r="AT18" s="94">
        <v>0.244512707</v>
      </c>
      <c r="AU18" s="93">
        <v>12.441692743999999</v>
      </c>
      <c r="AV18" s="94">
        <v>9.5871775199999995E-2</v>
      </c>
      <c r="AW18" s="93">
        <v>7.9137213699000002</v>
      </c>
      <c r="AX18" s="94">
        <v>4.8542595000000001E-2</v>
      </c>
      <c r="AY18" s="93">
        <v>3.2111747892000002</v>
      </c>
      <c r="AZ18" s="94">
        <v>1.73863938E-2</v>
      </c>
      <c r="BA18" s="79">
        <v>1.3167965848000001</v>
      </c>
      <c r="BB18" s="13">
        <v>2.9942786400000001E-2</v>
      </c>
      <c r="BC18" s="93">
        <v>0</v>
      </c>
      <c r="BD18" s="86">
        <v>0</v>
      </c>
      <c r="BE18" s="93">
        <v>5.2791699152999998</v>
      </c>
      <c r="BF18" s="94">
        <v>3.1059124099999998E-2</v>
      </c>
      <c r="BG18" s="94">
        <v>1.15763E-4</v>
      </c>
      <c r="BH18" s="86">
        <v>0</v>
      </c>
      <c r="BI18" s="93">
        <v>48.106499847999999</v>
      </c>
      <c r="BJ18" s="94">
        <v>1.8457304737</v>
      </c>
      <c r="BK18" s="93">
        <v>35.836114434999999</v>
      </c>
      <c r="BL18" s="94">
        <v>0.32318007110000002</v>
      </c>
      <c r="BM18" s="93">
        <v>17.493105524000001</v>
      </c>
      <c r="BN18" s="94">
        <v>0.1204629547</v>
      </c>
      <c r="BO18" s="93">
        <v>0.84216116590000001</v>
      </c>
      <c r="BP18" s="94">
        <v>2.7094284E-3</v>
      </c>
      <c r="BQ18" s="93">
        <v>0</v>
      </c>
      <c r="BR18" s="88">
        <v>0</v>
      </c>
      <c r="BS18" s="37" t="s">
        <v>76</v>
      </c>
      <c r="BT18" s="13">
        <v>0</v>
      </c>
      <c r="BU18" s="93">
        <v>9.1902342999999997E-2</v>
      </c>
      <c r="BV18" s="94">
        <v>6.4012740000000002E-4</v>
      </c>
      <c r="BW18" s="93">
        <v>5.2983370000000002E-3</v>
      </c>
      <c r="BX18" s="94">
        <v>2.6682500000000001E-5</v>
      </c>
      <c r="BY18" s="7" t="s">
        <v>76</v>
      </c>
      <c r="BZ18" s="13">
        <v>0</v>
      </c>
      <c r="CA18" s="7" t="s">
        <v>76</v>
      </c>
      <c r="CB18" s="13">
        <v>0</v>
      </c>
      <c r="CC18" s="93">
        <v>8.2422507376999992</v>
      </c>
      <c r="CD18" s="94">
        <v>5.02236878E-2</v>
      </c>
      <c r="CE18" s="93">
        <v>4.9528398100000003E-2</v>
      </c>
      <c r="CF18" s="94">
        <v>3.6697679999999998E-4</v>
      </c>
      <c r="CG18" s="7" t="s">
        <v>76</v>
      </c>
      <c r="CH18" s="13">
        <v>0</v>
      </c>
      <c r="CI18" s="7" t="s">
        <v>76</v>
      </c>
      <c r="CJ18" s="13">
        <v>0</v>
      </c>
      <c r="CK18" s="7" t="s">
        <v>76</v>
      </c>
      <c r="CL18" s="13">
        <v>0</v>
      </c>
      <c r="CM18" s="7" t="s">
        <v>76</v>
      </c>
      <c r="CN18" s="13">
        <v>0</v>
      </c>
      <c r="CO18" s="93">
        <v>4.8059667600000001E-2</v>
      </c>
      <c r="CP18" s="94">
        <v>2.2291920000000001E-4</v>
      </c>
      <c r="CQ18" s="93">
        <v>0</v>
      </c>
      <c r="CR18" s="94">
        <v>0</v>
      </c>
      <c r="CS18" s="93">
        <v>0.26053283020000001</v>
      </c>
      <c r="CT18" s="94">
        <v>1.4535119999999999E-3</v>
      </c>
      <c r="CU18" s="93">
        <v>5.2962850000000004E-4</v>
      </c>
      <c r="CV18" s="94">
        <v>1.36301E-5</v>
      </c>
      <c r="CW18" s="6" t="s">
        <v>76</v>
      </c>
      <c r="CX18" s="13">
        <v>0</v>
      </c>
      <c r="CY18" s="7" t="s">
        <v>76</v>
      </c>
      <c r="CZ18" s="15">
        <v>0</v>
      </c>
      <c r="DA18" s="93">
        <v>6.2567025539000003</v>
      </c>
      <c r="DB18" s="94">
        <v>5.72433049E-2</v>
      </c>
      <c r="DC18" s="93">
        <v>2.87096729E-2</v>
      </c>
      <c r="DD18" s="94">
        <v>2.1973850000000001E-4</v>
      </c>
      <c r="DE18" s="93">
        <v>3.7522200217999999</v>
      </c>
      <c r="DF18" s="94">
        <v>1.82733876E-2</v>
      </c>
      <c r="DG18" s="93">
        <v>4.8064017299999998E-2</v>
      </c>
      <c r="DH18" s="94">
        <v>3.7340220000000001E-4</v>
      </c>
      <c r="DI18" s="188">
        <v>9.2103799999999997E-5</v>
      </c>
      <c r="DJ18" s="189">
        <v>1.1376520000000001E-4</v>
      </c>
      <c r="DK18" s="189">
        <v>1.15763E-4</v>
      </c>
      <c r="DL18" s="189">
        <v>1.15763E-4</v>
      </c>
      <c r="DM18" s="189">
        <v>1.15763E-4</v>
      </c>
      <c r="DN18" s="189">
        <v>1.15763E-4</v>
      </c>
      <c r="DO18" s="189">
        <v>1.15763E-4</v>
      </c>
      <c r="DP18" s="189">
        <v>1.15763E-4</v>
      </c>
      <c r="DQ18" s="189">
        <v>1.15763E-4</v>
      </c>
      <c r="DR18" s="190">
        <v>1.15763E-4</v>
      </c>
      <c r="DS18" s="112">
        <v>40.339118104000001</v>
      </c>
      <c r="DT18" s="13">
        <v>0.76555891190000003</v>
      </c>
      <c r="DU18" s="79">
        <v>21.233509595000001</v>
      </c>
      <c r="DV18" s="13">
        <v>0.40982655150000002</v>
      </c>
      <c r="DW18" s="79">
        <v>10.542616675</v>
      </c>
      <c r="DX18" s="13">
        <v>0.21178172510000001</v>
      </c>
      <c r="DY18" s="79">
        <v>4.9902954013</v>
      </c>
      <c r="DZ18" s="13">
        <v>0.1074129201</v>
      </c>
      <c r="EA18" s="79">
        <v>2.2963337143999998</v>
      </c>
      <c r="EB18" s="13">
        <v>5.49332508E-2</v>
      </c>
      <c r="EC18" s="79">
        <v>1.0441243657999999</v>
      </c>
      <c r="ED18" s="13">
        <v>2.9089110200000001E-2</v>
      </c>
      <c r="EE18" s="79">
        <v>0.49028902930000001</v>
      </c>
      <c r="EF18" s="13">
        <v>1.6621383300000001E-2</v>
      </c>
      <c r="EG18" s="79">
        <v>0.24690611439999999</v>
      </c>
      <c r="EH18" s="13">
        <v>1.0225861899999999E-2</v>
      </c>
      <c r="EI18" s="79">
        <v>0.13573164630000001</v>
      </c>
      <c r="EJ18" s="13">
        <v>6.575333E-3</v>
      </c>
      <c r="EK18" s="79">
        <v>8.2740316800000005E-2</v>
      </c>
      <c r="EL18" s="15">
        <v>4.4203751999999999E-3</v>
      </c>
      <c r="EM18" s="79"/>
      <c r="EN18" s="13"/>
      <c r="EO18" s="79"/>
      <c r="EP18" s="13"/>
      <c r="EQ18" s="79"/>
      <c r="ER18" s="13"/>
      <c r="ES18" s="79"/>
      <c r="ET18" s="13"/>
      <c r="EU18" s="79"/>
      <c r="EV18" s="15"/>
    </row>
    <row r="19" spans="1:152" x14ac:dyDescent="0.2">
      <c r="A19" s="8">
        <v>1400</v>
      </c>
      <c r="B19" s="82">
        <v>21101</v>
      </c>
      <c r="C19" s="83">
        <v>972.97725068</v>
      </c>
      <c r="D19" s="93">
        <v>1349.6666298</v>
      </c>
      <c r="E19" s="93">
        <v>5.6821020376</v>
      </c>
      <c r="F19" s="94">
        <v>1.9408712099999999E-2</v>
      </c>
      <c r="G19" s="83">
        <v>9.7232466500000003E-2</v>
      </c>
      <c r="H19" s="94">
        <v>1.333439E-4</v>
      </c>
      <c r="I19" s="93">
        <v>101.96738874</v>
      </c>
      <c r="J19" s="94">
        <v>1.4043382382</v>
      </c>
      <c r="K19" s="93">
        <v>84.739857061999999</v>
      </c>
      <c r="L19" s="94">
        <v>0.87435901110000003</v>
      </c>
      <c r="M19" s="93">
        <v>0.1973705808</v>
      </c>
      <c r="N19" s="94">
        <v>1.4275927999999999E-3</v>
      </c>
      <c r="O19" s="37">
        <v>0</v>
      </c>
      <c r="P19" s="13">
        <v>0</v>
      </c>
      <c r="Q19" s="93">
        <v>9.4889218203999999</v>
      </c>
      <c r="R19" s="94">
        <v>5.62732019E-2</v>
      </c>
      <c r="S19" s="37" t="s">
        <v>76</v>
      </c>
      <c r="T19" s="13">
        <v>0</v>
      </c>
      <c r="U19" s="37" t="s">
        <v>76</v>
      </c>
      <c r="V19" s="13">
        <v>0</v>
      </c>
      <c r="W19" s="93">
        <v>6.3704313999999998E-2</v>
      </c>
      <c r="X19" s="94">
        <v>3.1136320000000001E-4</v>
      </c>
      <c r="Y19" s="93">
        <v>0.42134351060000003</v>
      </c>
      <c r="Z19" s="94">
        <v>1.206577E-4</v>
      </c>
      <c r="AA19" s="37" t="s">
        <v>76</v>
      </c>
      <c r="AB19" s="13">
        <v>0</v>
      </c>
      <c r="AC19" s="93">
        <v>0</v>
      </c>
      <c r="AD19" s="94">
        <v>0</v>
      </c>
      <c r="AE19" s="37" t="s">
        <v>76</v>
      </c>
      <c r="AF19" s="13">
        <v>0</v>
      </c>
      <c r="AG19" s="37" t="s">
        <v>76</v>
      </c>
      <c r="AH19" s="13">
        <v>0</v>
      </c>
      <c r="AI19" s="93">
        <v>0</v>
      </c>
      <c r="AJ19" s="94">
        <v>0</v>
      </c>
      <c r="AK19" s="93">
        <v>136.76633931999999</v>
      </c>
      <c r="AL19" s="94">
        <v>0.87409794649999994</v>
      </c>
      <c r="AM19" s="37" t="s">
        <v>76</v>
      </c>
      <c r="AN19" s="13">
        <v>0</v>
      </c>
      <c r="AO19" s="37" t="s">
        <v>76</v>
      </c>
      <c r="AP19" s="13">
        <v>0</v>
      </c>
      <c r="AQ19" s="37" t="s">
        <v>76</v>
      </c>
      <c r="AR19" s="13">
        <v>0</v>
      </c>
      <c r="AS19" s="93">
        <v>8.6992279408000002</v>
      </c>
      <c r="AT19" s="94">
        <v>0.2591838125</v>
      </c>
      <c r="AU19" s="93">
        <v>13.244341658</v>
      </c>
      <c r="AV19" s="94">
        <v>0.10132791720000001</v>
      </c>
      <c r="AW19" s="93">
        <v>8.4602806750999999</v>
      </c>
      <c r="AX19" s="94">
        <v>5.1444057199999997E-2</v>
      </c>
      <c r="AY19" s="93">
        <v>3.3771213324999998</v>
      </c>
      <c r="AZ19" s="94">
        <v>1.82177073E-2</v>
      </c>
      <c r="BA19" s="79">
        <v>1.4069396505</v>
      </c>
      <c r="BB19" s="13">
        <v>3.1666152699999998E-2</v>
      </c>
      <c r="BC19" s="93">
        <v>0</v>
      </c>
      <c r="BD19" s="86">
        <v>0</v>
      </c>
      <c r="BE19" s="93">
        <v>5.8973250184000001</v>
      </c>
      <c r="BF19" s="94">
        <v>3.3683523799999997E-2</v>
      </c>
      <c r="BG19" s="94">
        <v>1.7190550000000001E-4</v>
      </c>
      <c r="BH19" s="86">
        <v>0</v>
      </c>
      <c r="BI19" s="93">
        <v>51.285999490999998</v>
      </c>
      <c r="BJ19" s="94">
        <v>1.9383317239</v>
      </c>
      <c r="BK19" s="93">
        <v>39.871013529000003</v>
      </c>
      <c r="BL19" s="94">
        <v>0.35541309840000002</v>
      </c>
      <c r="BM19" s="93">
        <v>19.739453340000001</v>
      </c>
      <c r="BN19" s="94">
        <v>0.13354688219999999</v>
      </c>
      <c r="BO19" s="93">
        <v>0.99810081709999998</v>
      </c>
      <c r="BP19" s="94">
        <v>3.1027847000000002E-3</v>
      </c>
      <c r="BQ19" s="93">
        <v>0</v>
      </c>
      <c r="BR19" s="88">
        <v>0</v>
      </c>
      <c r="BS19" s="37" t="s">
        <v>76</v>
      </c>
      <c r="BT19" s="13">
        <v>0</v>
      </c>
      <c r="BU19" s="93">
        <v>9.6170403200000004E-2</v>
      </c>
      <c r="BV19" s="94">
        <v>6.8127059999999998E-4</v>
      </c>
      <c r="BW19" s="93">
        <v>5.1141969000000004E-3</v>
      </c>
      <c r="BX19" s="94">
        <v>2.57318E-5</v>
      </c>
      <c r="BY19" s="7" t="s">
        <v>76</v>
      </c>
      <c r="BZ19" s="13">
        <v>0</v>
      </c>
      <c r="CA19" s="7" t="s">
        <v>76</v>
      </c>
      <c r="CB19" s="13">
        <v>0</v>
      </c>
      <c r="CC19" s="93">
        <v>9.1646306623000005</v>
      </c>
      <c r="CD19" s="94">
        <v>5.4722694400000001E-2</v>
      </c>
      <c r="CE19" s="93">
        <v>5.83795613E-2</v>
      </c>
      <c r="CF19" s="94">
        <v>4.260604E-4</v>
      </c>
      <c r="CG19" s="7" t="s">
        <v>76</v>
      </c>
      <c r="CH19" s="13">
        <v>0</v>
      </c>
      <c r="CI19" s="7" t="s">
        <v>76</v>
      </c>
      <c r="CJ19" s="13">
        <v>0</v>
      </c>
      <c r="CK19" s="7" t="s">
        <v>76</v>
      </c>
      <c r="CL19" s="13">
        <v>0</v>
      </c>
      <c r="CM19" s="7" t="s">
        <v>76</v>
      </c>
      <c r="CN19" s="13">
        <v>0</v>
      </c>
      <c r="CO19" s="93">
        <v>5.7206963200000002E-2</v>
      </c>
      <c r="CP19" s="94">
        <v>2.5956219999999998E-4</v>
      </c>
      <c r="CQ19" s="93">
        <v>0</v>
      </c>
      <c r="CR19" s="94">
        <v>0</v>
      </c>
      <c r="CS19" s="93">
        <v>0.29335743930000002</v>
      </c>
      <c r="CT19" s="94">
        <v>1.6046383999999999E-3</v>
      </c>
      <c r="CU19" s="93">
        <v>5.114745E-4</v>
      </c>
      <c r="CV19" s="94">
        <v>1.5057E-5</v>
      </c>
      <c r="CW19" s="6" t="s">
        <v>76</v>
      </c>
      <c r="CX19" s="13">
        <v>0</v>
      </c>
      <c r="CY19" s="7" t="s">
        <v>76</v>
      </c>
      <c r="CZ19" s="15">
        <v>0</v>
      </c>
      <c r="DA19" s="93">
        <v>6.9192418510999998</v>
      </c>
      <c r="DB19" s="94">
        <v>6.1369186200000002E-2</v>
      </c>
      <c r="DC19" s="93">
        <v>3.0117890800000002E-2</v>
      </c>
      <c r="DD19" s="94">
        <v>2.4051000000000001E-4</v>
      </c>
      <c r="DE19" s="93">
        <v>4.1864329804000002</v>
      </c>
      <c r="DF19" s="94">
        <v>1.9795819199999998E-2</v>
      </c>
      <c r="DG19" s="93">
        <v>5.0404636500000002E-2</v>
      </c>
      <c r="DH19" s="94">
        <v>4.1155009999999998E-4</v>
      </c>
      <c r="DI19" s="188">
        <v>1.2927070000000001E-4</v>
      </c>
      <c r="DJ19" s="189">
        <v>1.658982E-4</v>
      </c>
      <c r="DK19" s="189">
        <v>1.708266E-4</v>
      </c>
      <c r="DL19" s="189">
        <v>1.7190550000000001E-4</v>
      </c>
      <c r="DM19" s="189">
        <v>1.7190550000000001E-4</v>
      </c>
      <c r="DN19" s="189">
        <v>1.7190550000000001E-4</v>
      </c>
      <c r="DO19" s="189">
        <v>1.7190550000000001E-4</v>
      </c>
      <c r="DP19" s="189">
        <v>1.7190550000000001E-4</v>
      </c>
      <c r="DQ19" s="189">
        <v>1.7190550000000001E-4</v>
      </c>
      <c r="DR19" s="190">
        <v>1.7190550000000001E-4</v>
      </c>
      <c r="DS19" s="112">
        <v>43.210961586000003</v>
      </c>
      <c r="DT19" s="13">
        <v>0.81109628330000005</v>
      </c>
      <c r="DU19" s="79">
        <v>23.298036809999999</v>
      </c>
      <c r="DV19" s="13">
        <v>0.44382349789999997</v>
      </c>
      <c r="DW19" s="79">
        <v>11.899923265</v>
      </c>
      <c r="DX19" s="13">
        <v>0.23521800370000001</v>
      </c>
      <c r="DY19" s="79">
        <v>5.8174761612000001</v>
      </c>
      <c r="DZ19" s="13">
        <v>0.12251544070000001</v>
      </c>
      <c r="EA19" s="79">
        <v>2.7771135080999998</v>
      </c>
      <c r="EB19" s="13">
        <v>6.4207239400000005E-2</v>
      </c>
      <c r="EC19" s="79">
        <v>1.3115273709999999</v>
      </c>
      <c r="ED19" s="13">
        <v>3.4600431100000002E-2</v>
      </c>
      <c r="EE19" s="79">
        <v>0.63011817920000002</v>
      </c>
      <c r="EF19" s="13">
        <v>1.97418527E-2</v>
      </c>
      <c r="EG19" s="79">
        <v>0.31836998420000001</v>
      </c>
      <c r="EH19" s="13">
        <v>1.19986973E-2</v>
      </c>
      <c r="EI19" s="79">
        <v>0.17198269590000001</v>
      </c>
      <c r="EJ19" s="13">
        <v>7.5948424999999998E-3</v>
      </c>
      <c r="EK19" s="79">
        <v>0.1022389224</v>
      </c>
      <c r="EL19" s="15">
        <v>5.0447627000000002E-3</v>
      </c>
      <c r="EM19" s="79"/>
      <c r="EN19" s="13"/>
      <c r="EO19" s="79"/>
      <c r="EP19" s="13"/>
      <c r="EQ19" s="79"/>
      <c r="ER19" s="13"/>
      <c r="ES19" s="79"/>
      <c r="ET19" s="13"/>
      <c r="EU19" s="79"/>
      <c r="EV19" s="15"/>
    </row>
    <row r="20" spans="1:152" x14ac:dyDescent="0.2">
      <c r="A20" s="8">
        <v>1500</v>
      </c>
      <c r="B20" s="82">
        <v>19941</v>
      </c>
      <c r="C20" s="83">
        <v>1025.6351113000001</v>
      </c>
      <c r="D20" s="93">
        <v>1449.848757</v>
      </c>
      <c r="E20" s="93">
        <v>6.5014021172999996</v>
      </c>
      <c r="F20" s="94">
        <v>2.1432308800000001E-2</v>
      </c>
      <c r="G20" s="83">
        <v>0.1238364488</v>
      </c>
      <c r="H20" s="94">
        <v>1.594799E-4</v>
      </c>
      <c r="I20" s="93">
        <v>106.82309352999999</v>
      </c>
      <c r="J20" s="94">
        <v>1.4570357304999999</v>
      </c>
      <c r="K20" s="93">
        <v>91.676134243999996</v>
      </c>
      <c r="L20" s="94">
        <v>0.92862668150000005</v>
      </c>
      <c r="M20" s="93">
        <v>0.21366480130000001</v>
      </c>
      <c r="N20" s="94">
        <v>1.5146089000000001E-3</v>
      </c>
      <c r="O20" s="37">
        <v>0</v>
      </c>
      <c r="P20" s="13">
        <v>0</v>
      </c>
      <c r="Q20" s="93">
        <v>10.474111291</v>
      </c>
      <c r="R20" s="94">
        <v>6.0779057599999999E-2</v>
      </c>
      <c r="S20" s="37" t="s">
        <v>76</v>
      </c>
      <c r="T20" s="13">
        <v>0</v>
      </c>
      <c r="U20" s="37" t="s">
        <v>76</v>
      </c>
      <c r="V20" s="13">
        <v>0</v>
      </c>
      <c r="W20" s="93">
        <v>7.0751615899999995E-2</v>
      </c>
      <c r="X20" s="94">
        <v>3.5962229999999997E-4</v>
      </c>
      <c r="Y20" s="93">
        <v>0.49285134920000001</v>
      </c>
      <c r="Z20" s="94">
        <v>1.368028E-4</v>
      </c>
      <c r="AA20" s="37" t="s">
        <v>76</v>
      </c>
      <c r="AB20" s="13">
        <v>0</v>
      </c>
      <c r="AC20" s="93">
        <v>0</v>
      </c>
      <c r="AD20" s="94">
        <v>0</v>
      </c>
      <c r="AE20" s="37" t="s">
        <v>76</v>
      </c>
      <c r="AF20" s="13">
        <v>0</v>
      </c>
      <c r="AG20" s="37" t="s">
        <v>76</v>
      </c>
      <c r="AH20" s="13">
        <v>0</v>
      </c>
      <c r="AI20" s="93">
        <v>0</v>
      </c>
      <c r="AJ20" s="94">
        <v>0</v>
      </c>
      <c r="AK20" s="93">
        <v>142.82021660999999</v>
      </c>
      <c r="AL20" s="94">
        <v>0.90825111749999998</v>
      </c>
      <c r="AM20" s="37" t="s">
        <v>76</v>
      </c>
      <c r="AN20" s="13">
        <v>0</v>
      </c>
      <c r="AO20" s="37" t="s">
        <v>76</v>
      </c>
      <c r="AP20" s="13">
        <v>0</v>
      </c>
      <c r="AQ20" s="37" t="s">
        <v>76</v>
      </c>
      <c r="AR20" s="13">
        <v>0</v>
      </c>
      <c r="AS20" s="93">
        <v>9.4799808986999992</v>
      </c>
      <c r="AT20" s="94">
        <v>0.2732514237</v>
      </c>
      <c r="AU20" s="93">
        <v>14.009543339</v>
      </c>
      <c r="AV20" s="94">
        <v>0.1061943919</v>
      </c>
      <c r="AW20" s="93">
        <v>8.9579195068999997</v>
      </c>
      <c r="AX20" s="94">
        <v>5.3808140999999997E-2</v>
      </c>
      <c r="AY20" s="93">
        <v>3.5499033395000001</v>
      </c>
      <c r="AZ20" s="94">
        <v>1.9000336699999999E-2</v>
      </c>
      <c r="BA20" s="79">
        <v>1.5017204928000001</v>
      </c>
      <c r="BB20" s="13">
        <v>3.33859143E-2</v>
      </c>
      <c r="BC20" s="93">
        <v>0</v>
      </c>
      <c r="BD20" s="86">
        <v>0</v>
      </c>
      <c r="BE20" s="93">
        <v>6.544870607</v>
      </c>
      <c r="BF20" s="94">
        <v>3.66119455E-2</v>
      </c>
      <c r="BG20" s="94">
        <v>2.174272E-4</v>
      </c>
      <c r="BH20" s="86">
        <v>0</v>
      </c>
      <c r="BI20" s="93">
        <v>54.56611419</v>
      </c>
      <c r="BJ20" s="94">
        <v>2.0309937696000002</v>
      </c>
      <c r="BK20" s="93">
        <v>44.094921810999999</v>
      </c>
      <c r="BL20" s="94">
        <v>0.38921778829999998</v>
      </c>
      <c r="BM20" s="93">
        <v>22.102330585000001</v>
      </c>
      <c r="BN20" s="94">
        <v>0.14712135600000001</v>
      </c>
      <c r="BO20" s="93">
        <v>1.1447505869000001</v>
      </c>
      <c r="BP20" s="94">
        <v>3.4128703999999998E-3</v>
      </c>
      <c r="BQ20" s="93">
        <v>0</v>
      </c>
      <c r="BR20" s="88">
        <v>0</v>
      </c>
      <c r="BS20" s="37" t="s">
        <v>76</v>
      </c>
      <c r="BT20" s="13">
        <v>0</v>
      </c>
      <c r="BU20" s="93">
        <v>0.1063754992</v>
      </c>
      <c r="BV20" s="94">
        <v>7.2489660000000004E-4</v>
      </c>
      <c r="BW20" s="93">
        <v>4.9527470000000004E-3</v>
      </c>
      <c r="BX20" s="94">
        <v>2.4899700000000001E-5</v>
      </c>
      <c r="BY20" s="7" t="s">
        <v>76</v>
      </c>
      <c r="BZ20" s="13">
        <v>0</v>
      </c>
      <c r="CA20" s="7" t="s">
        <v>76</v>
      </c>
      <c r="CB20" s="13">
        <v>0</v>
      </c>
      <c r="CC20" s="93">
        <v>10.128882529</v>
      </c>
      <c r="CD20" s="94">
        <v>5.9141898900000003E-2</v>
      </c>
      <c r="CE20" s="93">
        <v>6.4433927599999996E-2</v>
      </c>
      <c r="CF20" s="94">
        <v>4.6253750000000001E-4</v>
      </c>
      <c r="CG20" s="7" t="s">
        <v>76</v>
      </c>
      <c r="CH20" s="13">
        <v>0</v>
      </c>
      <c r="CI20" s="7" t="s">
        <v>76</v>
      </c>
      <c r="CJ20" s="13">
        <v>0</v>
      </c>
      <c r="CK20" s="7" t="s">
        <v>76</v>
      </c>
      <c r="CL20" s="13">
        <v>0</v>
      </c>
      <c r="CM20" s="7" t="s">
        <v>76</v>
      </c>
      <c r="CN20" s="13">
        <v>0</v>
      </c>
      <c r="CO20" s="93">
        <v>6.3414372600000005E-2</v>
      </c>
      <c r="CP20" s="94">
        <v>2.8626740000000002E-4</v>
      </c>
      <c r="CQ20" s="93">
        <v>0</v>
      </c>
      <c r="CR20" s="94">
        <v>0</v>
      </c>
      <c r="CS20" s="93">
        <v>0.35476376720000002</v>
      </c>
      <c r="CT20" s="94">
        <v>1.8963737E-3</v>
      </c>
      <c r="CU20" s="93">
        <v>6.7233470000000004E-4</v>
      </c>
      <c r="CV20" s="94">
        <v>1.5653499999999998E-5</v>
      </c>
      <c r="CW20" s="6" t="s">
        <v>76</v>
      </c>
      <c r="CX20" s="13">
        <v>0</v>
      </c>
      <c r="CY20" s="7" t="s">
        <v>76</v>
      </c>
      <c r="CZ20" s="15">
        <v>0</v>
      </c>
      <c r="DA20" s="93">
        <v>7.5639868965000003</v>
      </c>
      <c r="DB20" s="94">
        <v>6.5185958700000005E-2</v>
      </c>
      <c r="DC20" s="93">
        <v>3.5060453999999998E-2</v>
      </c>
      <c r="DD20" s="94">
        <v>2.5768459999999998E-4</v>
      </c>
      <c r="DE20" s="93">
        <v>4.6252344953</v>
      </c>
      <c r="DF20" s="94">
        <v>2.1350272E-2</v>
      </c>
      <c r="DG20" s="93">
        <v>5.4102889500000001E-2</v>
      </c>
      <c r="DH20" s="94">
        <v>4.4243359999999999E-4</v>
      </c>
      <c r="DI20" s="188">
        <v>1.5552839999999999E-4</v>
      </c>
      <c r="DJ20" s="189">
        <v>2.0093810000000001E-4</v>
      </c>
      <c r="DK20" s="189">
        <v>2.1145450000000001E-4</v>
      </c>
      <c r="DL20" s="189">
        <v>2.174272E-4</v>
      </c>
      <c r="DM20" s="189">
        <v>2.174272E-4</v>
      </c>
      <c r="DN20" s="189">
        <v>2.174272E-4</v>
      </c>
      <c r="DO20" s="189">
        <v>2.174272E-4</v>
      </c>
      <c r="DP20" s="189">
        <v>2.174272E-4</v>
      </c>
      <c r="DQ20" s="189">
        <v>2.174272E-4</v>
      </c>
      <c r="DR20" s="190">
        <v>2.174272E-4</v>
      </c>
      <c r="DS20" s="112">
        <v>46.05611305</v>
      </c>
      <c r="DT20" s="13">
        <v>0.85510430749999999</v>
      </c>
      <c r="DU20" s="79">
        <v>25.378482900000002</v>
      </c>
      <c r="DV20" s="13">
        <v>0.47732942049999999</v>
      </c>
      <c r="DW20" s="79">
        <v>13.307455099</v>
      </c>
      <c r="DX20" s="13">
        <v>0.25892961689999999</v>
      </c>
      <c r="DY20" s="79">
        <v>6.7081725911000003</v>
      </c>
      <c r="DZ20" s="13">
        <v>0.1383502717</v>
      </c>
      <c r="EA20" s="79">
        <v>3.3190325049</v>
      </c>
      <c r="EB20" s="13">
        <v>7.4394166299999995E-2</v>
      </c>
      <c r="EC20" s="79">
        <v>1.6250084719</v>
      </c>
      <c r="ED20" s="13">
        <v>4.0953909300000001E-2</v>
      </c>
      <c r="EE20" s="79">
        <v>0.80790325659999995</v>
      </c>
      <c r="EF20" s="13">
        <v>2.3657214100000001E-2</v>
      </c>
      <c r="EG20" s="79">
        <v>0.4193860915</v>
      </c>
      <c r="EH20" s="13">
        <v>1.44668075E-2</v>
      </c>
      <c r="EI20" s="79">
        <v>0.2290778151</v>
      </c>
      <c r="EJ20" s="13">
        <v>9.1789438000000004E-3</v>
      </c>
      <c r="EK20" s="79">
        <v>0.1360702215</v>
      </c>
      <c r="EL20" s="15">
        <v>6.1038654000000001E-3</v>
      </c>
      <c r="EM20" s="79"/>
      <c r="EN20" s="13"/>
      <c r="EO20" s="79"/>
      <c r="EP20" s="13"/>
      <c r="EQ20" s="79"/>
      <c r="ER20" s="13"/>
      <c r="ES20" s="79"/>
      <c r="ET20" s="13"/>
      <c r="EU20" s="79"/>
      <c r="EV20" s="15"/>
    </row>
    <row r="21" spans="1:152" x14ac:dyDescent="0.2">
      <c r="A21" s="8">
        <v>1600</v>
      </c>
      <c r="B21" s="82">
        <v>18999</v>
      </c>
      <c r="C21" s="83">
        <v>1076.733438</v>
      </c>
      <c r="D21" s="93">
        <v>1549.5548676999999</v>
      </c>
      <c r="E21" s="93">
        <v>7.3201529582999996</v>
      </c>
      <c r="F21" s="94">
        <v>2.3442365100000001E-2</v>
      </c>
      <c r="G21" s="83">
        <v>0.18320132289999999</v>
      </c>
      <c r="H21" s="94">
        <v>2.156591E-4</v>
      </c>
      <c r="I21" s="93">
        <v>111.30918642</v>
      </c>
      <c r="J21" s="94">
        <v>1.5062834236</v>
      </c>
      <c r="K21" s="93">
        <v>98.764390719000005</v>
      </c>
      <c r="L21" s="94">
        <v>0.98324853209999996</v>
      </c>
      <c r="M21" s="93">
        <v>0.23724663260000001</v>
      </c>
      <c r="N21" s="94">
        <v>1.6735408999999999E-3</v>
      </c>
      <c r="O21" s="37">
        <v>0</v>
      </c>
      <c r="P21" s="13">
        <v>0</v>
      </c>
      <c r="Q21" s="93">
        <v>11.505025401999999</v>
      </c>
      <c r="R21" s="94">
        <v>6.5434677799999993E-2</v>
      </c>
      <c r="S21" s="37" t="s">
        <v>76</v>
      </c>
      <c r="T21" s="13">
        <v>0</v>
      </c>
      <c r="U21" s="37" t="s">
        <v>76</v>
      </c>
      <c r="V21" s="13">
        <v>0</v>
      </c>
      <c r="W21" s="93">
        <v>7.9047895899999998E-2</v>
      </c>
      <c r="X21" s="94">
        <v>4.0411640000000002E-4</v>
      </c>
      <c r="Y21" s="93">
        <v>0.57512281099999996</v>
      </c>
      <c r="Z21" s="94">
        <v>1.564883E-4</v>
      </c>
      <c r="AA21" s="37" t="s">
        <v>76</v>
      </c>
      <c r="AB21" s="13">
        <v>0</v>
      </c>
      <c r="AC21" s="93">
        <v>0</v>
      </c>
      <c r="AD21" s="94">
        <v>0</v>
      </c>
      <c r="AE21" s="37" t="s">
        <v>76</v>
      </c>
      <c r="AF21" s="13">
        <v>0</v>
      </c>
      <c r="AG21" s="37" t="s">
        <v>76</v>
      </c>
      <c r="AH21" s="13">
        <v>0</v>
      </c>
      <c r="AI21" s="93">
        <v>0</v>
      </c>
      <c r="AJ21" s="94">
        <v>0</v>
      </c>
      <c r="AK21" s="93">
        <v>148.62055931</v>
      </c>
      <c r="AL21" s="94">
        <v>0.94051597109999996</v>
      </c>
      <c r="AM21" s="37" t="s">
        <v>76</v>
      </c>
      <c r="AN21" s="13">
        <v>0</v>
      </c>
      <c r="AO21" s="37" t="s">
        <v>76</v>
      </c>
      <c r="AP21" s="13">
        <v>0</v>
      </c>
      <c r="AQ21" s="37" t="s">
        <v>76</v>
      </c>
      <c r="AR21" s="13">
        <v>0</v>
      </c>
      <c r="AS21" s="93">
        <v>10.267061791</v>
      </c>
      <c r="AT21" s="94">
        <v>0.28680723270000003</v>
      </c>
      <c r="AU21" s="93">
        <v>14.811306489</v>
      </c>
      <c r="AV21" s="94">
        <v>0.111380034</v>
      </c>
      <c r="AW21" s="93">
        <v>9.4992558594999998</v>
      </c>
      <c r="AX21" s="94">
        <v>5.6528989199999997E-2</v>
      </c>
      <c r="AY21" s="93">
        <v>3.7135521132</v>
      </c>
      <c r="AZ21" s="94">
        <v>1.9743160199999998E-2</v>
      </c>
      <c r="BA21" s="79">
        <v>1.5984985165000001</v>
      </c>
      <c r="BB21" s="13">
        <v>3.5107884499999999E-2</v>
      </c>
      <c r="BC21" s="93">
        <v>0</v>
      </c>
      <c r="BD21" s="86">
        <v>0</v>
      </c>
      <c r="BE21" s="93">
        <v>7.2354026453999998</v>
      </c>
      <c r="BF21" s="94">
        <v>3.9287416999999998E-2</v>
      </c>
      <c r="BG21" s="94">
        <v>3.02522E-4</v>
      </c>
      <c r="BH21" s="86">
        <v>0</v>
      </c>
      <c r="BI21" s="93">
        <v>57.561091810999997</v>
      </c>
      <c r="BJ21" s="94">
        <v>2.1163936695999999</v>
      </c>
      <c r="BK21" s="93">
        <v>48.206364737000001</v>
      </c>
      <c r="BL21" s="94">
        <v>0.42081017520000003</v>
      </c>
      <c r="BM21" s="93">
        <v>24.480481655999998</v>
      </c>
      <c r="BN21" s="94">
        <v>0.1602077435</v>
      </c>
      <c r="BO21" s="93">
        <v>1.3340132947000001</v>
      </c>
      <c r="BP21" s="94">
        <v>3.8494253000000002E-3</v>
      </c>
      <c r="BQ21" s="93">
        <v>0</v>
      </c>
      <c r="BR21" s="88">
        <v>0</v>
      </c>
      <c r="BS21" s="37" t="s">
        <v>76</v>
      </c>
      <c r="BT21" s="13">
        <v>0</v>
      </c>
      <c r="BU21" s="93">
        <v>0.1165010336</v>
      </c>
      <c r="BV21" s="94">
        <v>7.9704590000000001E-4</v>
      </c>
      <c r="BW21" s="93">
        <v>7.2085159000000003E-3</v>
      </c>
      <c r="BX21" s="94">
        <v>3.3903799999999999E-5</v>
      </c>
      <c r="BY21" s="7" t="s">
        <v>76</v>
      </c>
      <c r="BZ21" s="13">
        <v>0</v>
      </c>
      <c r="CA21" s="7" t="s">
        <v>76</v>
      </c>
      <c r="CB21" s="13">
        <v>0</v>
      </c>
      <c r="CC21" s="93">
        <v>11.12993165</v>
      </c>
      <c r="CD21" s="94">
        <v>6.3660207799999993E-2</v>
      </c>
      <c r="CE21" s="93">
        <v>6.9554690899999994E-2</v>
      </c>
      <c r="CF21" s="94">
        <v>5.0257229999999995E-4</v>
      </c>
      <c r="CG21" s="7" t="s">
        <v>76</v>
      </c>
      <c r="CH21" s="13">
        <v>0</v>
      </c>
      <c r="CI21" s="7" t="s">
        <v>76</v>
      </c>
      <c r="CJ21" s="13">
        <v>0</v>
      </c>
      <c r="CK21" s="7" t="s">
        <v>76</v>
      </c>
      <c r="CL21" s="13">
        <v>0</v>
      </c>
      <c r="CM21" s="7" t="s">
        <v>76</v>
      </c>
      <c r="CN21" s="13">
        <v>0</v>
      </c>
      <c r="CO21" s="93">
        <v>6.9416701499999997E-2</v>
      </c>
      <c r="CP21" s="94">
        <v>2.9536770000000001E-4</v>
      </c>
      <c r="CQ21" s="93">
        <v>0</v>
      </c>
      <c r="CR21" s="94">
        <v>0</v>
      </c>
      <c r="CS21" s="93">
        <v>0.41688826039999999</v>
      </c>
      <c r="CT21" s="94">
        <v>2.1313779000000001E-3</v>
      </c>
      <c r="CU21" s="93">
        <v>6.5259900000000002E-4</v>
      </c>
      <c r="CV21" s="94">
        <v>1.5162E-5</v>
      </c>
      <c r="CW21" s="6" t="s">
        <v>76</v>
      </c>
      <c r="CX21" s="13">
        <v>0</v>
      </c>
      <c r="CY21" s="7" t="s">
        <v>76</v>
      </c>
      <c r="CZ21" s="15">
        <v>0</v>
      </c>
      <c r="DA21" s="93">
        <v>8.2274758635000005</v>
      </c>
      <c r="DB21" s="94">
        <v>6.9034282700000005E-2</v>
      </c>
      <c r="DC21" s="93">
        <v>3.5092653600000003E-2</v>
      </c>
      <c r="DD21" s="94">
        <v>2.6874720000000002E-4</v>
      </c>
      <c r="DE21" s="93">
        <v>5.1168571910000002</v>
      </c>
      <c r="DF21" s="94">
        <v>2.2956111099999999E-2</v>
      </c>
      <c r="DG21" s="93">
        <v>5.5957216400000002E-2</v>
      </c>
      <c r="DH21" s="94">
        <v>4.7057799999999998E-4</v>
      </c>
      <c r="DI21" s="188">
        <v>2.1101400000000001E-4</v>
      </c>
      <c r="DJ21" s="189">
        <v>2.8496430000000001E-4</v>
      </c>
      <c r="DK21" s="189">
        <v>2.9594469999999999E-4</v>
      </c>
      <c r="DL21" s="189">
        <v>3.02522E-4</v>
      </c>
      <c r="DM21" s="189">
        <v>3.02522E-4</v>
      </c>
      <c r="DN21" s="189">
        <v>3.02522E-4</v>
      </c>
      <c r="DO21" s="189">
        <v>3.02522E-4</v>
      </c>
      <c r="DP21" s="189">
        <v>3.02522E-4</v>
      </c>
      <c r="DQ21" s="189">
        <v>3.02522E-4</v>
      </c>
      <c r="DR21" s="190">
        <v>3.02522E-4</v>
      </c>
      <c r="DS21" s="112">
        <v>48.703517140999999</v>
      </c>
      <c r="DT21" s="13">
        <v>0.89648068589999996</v>
      </c>
      <c r="DU21" s="79">
        <v>27.331139503999999</v>
      </c>
      <c r="DV21" s="13">
        <v>0.50895067429999996</v>
      </c>
      <c r="DW21" s="79">
        <v>14.642905266</v>
      </c>
      <c r="DX21" s="13">
        <v>0.28153283000000001</v>
      </c>
      <c r="DY21" s="79">
        <v>7.5850372376999999</v>
      </c>
      <c r="DZ21" s="13">
        <v>0.15383586260000001</v>
      </c>
      <c r="EA21" s="79">
        <v>3.8739647332999998</v>
      </c>
      <c r="EB21" s="13">
        <v>8.4661709900000007E-2</v>
      </c>
      <c r="EC21" s="79">
        <v>1.9646192446999999</v>
      </c>
      <c r="ED21" s="13">
        <v>4.7597173700000002E-2</v>
      </c>
      <c r="EE21" s="79">
        <v>1.0092957434000001</v>
      </c>
      <c r="EF21" s="13">
        <v>2.7862302299999999E-2</v>
      </c>
      <c r="EG21" s="79">
        <v>0.53742241410000002</v>
      </c>
      <c r="EH21" s="13">
        <v>1.71167601E-2</v>
      </c>
      <c r="EI21" s="79">
        <v>0.29847284660000001</v>
      </c>
      <c r="EJ21" s="13">
        <v>1.08903066E-2</v>
      </c>
      <c r="EK21" s="79">
        <v>0.17957562860000001</v>
      </c>
      <c r="EL21" s="15">
        <v>7.2701320999999999E-3</v>
      </c>
      <c r="EM21" s="79"/>
      <c r="EN21" s="13"/>
      <c r="EO21" s="79"/>
      <c r="EP21" s="13"/>
      <c r="EQ21" s="79"/>
      <c r="ER21" s="13"/>
      <c r="ES21" s="79"/>
      <c r="ET21" s="13"/>
      <c r="EU21" s="79"/>
      <c r="EV21" s="15"/>
    </row>
    <row r="22" spans="1:152" x14ac:dyDescent="0.2">
      <c r="A22" s="8">
        <v>1700</v>
      </c>
      <c r="B22" s="82">
        <v>17936</v>
      </c>
      <c r="C22" s="83">
        <v>1126.3633248000001</v>
      </c>
      <c r="D22" s="93">
        <v>1649.7266946</v>
      </c>
      <c r="E22" s="93">
        <v>8.1773104712000002</v>
      </c>
      <c r="F22" s="94">
        <v>2.55419827E-2</v>
      </c>
      <c r="G22" s="83">
        <v>0.2355238606</v>
      </c>
      <c r="H22" s="94">
        <v>2.6646109999999999E-4</v>
      </c>
      <c r="I22" s="93">
        <v>115.55058438</v>
      </c>
      <c r="J22" s="94">
        <v>1.5526567576000001</v>
      </c>
      <c r="K22" s="93">
        <v>105.78322819</v>
      </c>
      <c r="L22" s="94">
        <v>1.0367149023</v>
      </c>
      <c r="M22" s="93">
        <v>0.25063040669999997</v>
      </c>
      <c r="N22" s="94">
        <v>1.7638434000000001E-3</v>
      </c>
      <c r="O22" s="37">
        <v>0</v>
      </c>
      <c r="P22" s="13">
        <v>0</v>
      </c>
      <c r="Q22" s="93">
        <v>12.565404669999999</v>
      </c>
      <c r="R22" s="94">
        <v>6.9894541099999999E-2</v>
      </c>
      <c r="S22" s="37" t="s">
        <v>76</v>
      </c>
      <c r="T22" s="13">
        <v>0</v>
      </c>
      <c r="U22" s="37" t="s">
        <v>76</v>
      </c>
      <c r="V22" s="13">
        <v>0</v>
      </c>
      <c r="W22" s="93">
        <v>9.1058593600000001E-2</v>
      </c>
      <c r="X22" s="94">
        <v>4.9148010000000001E-4</v>
      </c>
      <c r="Y22" s="93">
        <v>0.63361864980000004</v>
      </c>
      <c r="Z22" s="94">
        <v>1.7784260000000001E-4</v>
      </c>
      <c r="AA22" s="37" t="s">
        <v>76</v>
      </c>
      <c r="AB22" s="13">
        <v>0</v>
      </c>
      <c r="AC22" s="93">
        <v>0</v>
      </c>
      <c r="AD22" s="94">
        <v>0</v>
      </c>
      <c r="AE22" s="37" t="s">
        <v>76</v>
      </c>
      <c r="AF22" s="13">
        <v>0</v>
      </c>
      <c r="AG22" s="37" t="s">
        <v>76</v>
      </c>
      <c r="AH22" s="13">
        <v>0</v>
      </c>
      <c r="AI22" s="93">
        <v>0</v>
      </c>
      <c r="AJ22" s="94">
        <v>0</v>
      </c>
      <c r="AK22" s="93">
        <v>153.87753648</v>
      </c>
      <c r="AL22" s="94">
        <v>0.97044051340000004</v>
      </c>
      <c r="AM22" s="37" t="s">
        <v>76</v>
      </c>
      <c r="AN22" s="13">
        <v>0</v>
      </c>
      <c r="AO22" s="37" t="s">
        <v>76</v>
      </c>
      <c r="AP22" s="13">
        <v>0</v>
      </c>
      <c r="AQ22" s="37" t="s">
        <v>76</v>
      </c>
      <c r="AR22" s="13">
        <v>0</v>
      </c>
      <c r="AS22" s="93">
        <v>11.047799421000001</v>
      </c>
      <c r="AT22" s="94">
        <v>0.29949591330000003</v>
      </c>
      <c r="AU22" s="93">
        <v>15.558251724</v>
      </c>
      <c r="AV22" s="94">
        <v>0.11608588240000001</v>
      </c>
      <c r="AW22" s="93">
        <v>9.9996501078000009</v>
      </c>
      <c r="AX22" s="94">
        <v>5.9078320199999999E-2</v>
      </c>
      <c r="AY22" s="93">
        <v>3.8763371841000001</v>
      </c>
      <c r="AZ22" s="94">
        <v>2.0454614900000001E-2</v>
      </c>
      <c r="BA22" s="79">
        <v>1.6822644318</v>
      </c>
      <c r="BB22" s="13">
        <v>3.6552947400000001E-2</v>
      </c>
      <c r="BC22" s="93">
        <v>0</v>
      </c>
      <c r="BD22" s="86">
        <v>0</v>
      </c>
      <c r="BE22" s="93">
        <v>7.9468375079999998</v>
      </c>
      <c r="BF22" s="94">
        <v>4.1911509999999999E-2</v>
      </c>
      <c r="BG22" s="94">
        <v>3.5266589999999998E-4</v>
      </c>
      <c r="BH22" s="86">
        <v>0</v>
      </c>
      <c r="BI22" s="93">
        <v>60.642623520000001</v>
      </c>
      <c r="BJ22" s="94">
        <v>2.1997128341000001</v>
      </c>
      <c r="BK22" s="93">
        <v>52.324868700000003</v>
      </c>
      <c r="BL22" s="94">
        <v>0.45151850710000002</v>
      </c>
      <c r="BM22" s="93">
        <v>26.909825458</v>
      </c>
      <c r="BN22" s="94">
        <v>0.1733452043</v>
      </c>
      <c r="BO22" s="93">
        <v>1.5393814914999999</v>
      </c>
      <c r="BP22" s="94">
        <v>4.3255502000000001E-3</v>
      </c>
      <c r="BQ22" s="93">
        <v>0</v>
      </c>
      <c r="BR22" s="88">
        <v>0</v>
      </c>
      <c r="BS22" s="37" t="s">
        <v>76</v>
      </c>
      <c r="BT22" s="13">
        <v>0</v>
      </c>
      <c r="BU22" s="93">
        <v>0.1195178519</v>
      </c>
      <c r="BV22" s="94">
        <v>8.1356859999999996E-4</v>
      </c>
      <c r="BW22" s="93">
        <v>1.0395359599999999E-2</v>
      </c>
      <c r="BX22" s="94">
        <v>4.4350900000000003E-5</v>
      </c>
      <c r="BY22" s="7" t="s">
        <v>76</v>
      </c>
      <c r="BZ22" s="13">
        <v>0</v>
      </c>
      <c r="CA22" s="7" t="s">
        <v>76</v>
      </c>
      <c r="CB22" s="13">
        <v>0</v>
      </c>
      <c r="CC22" s="93">
        <v>12.140901667</v>
      </c>
      <c r="CD22" s="94">
        <v>6.7950235299999995E-2</v>
      </c>
      <c r="CE22" s="93">
        <v>7.8885389E-2</v>
      </c>
      <c r="CF22" s="94">
        <v>5.4489359999999995E-4</v>
      </c>
      <c r="CG22" s="7" t="s">
        <v>76</v>
      </c>
      <c r="CH22" s="13">
        <v>0</v>
      </c>
      <c r="CI22" s="7" t="s">
        <v>76</v>
      </c>
      <c r="CJ22" s="13">
        <v>0</v>
      </c>
      <c r="CK22" s="7" t="s">
        <v>76</v>
      </c>
      <c r="CL22" s="13">
        <v>0</v>
      </c>
      <c r="CM22" s="7" t="s">
        <v>76</v>
      </c>
      <c r="CN22" s="13">
        <v>0</v>
      </c>
      <c r="CO22" s="93">
        <v>7.9241028099999999E-2</v>
      </c>
      <c r="CP22" s="94">
        <v>3.5019640000000002E-4</v>
      </c>
      <c r="CQ22" s="93">
        <v>0</v>
      </c>
      <c r="CR22" s="94">
        <v>0</v>
      </c>
      <c r="CS22" s="93">
        <v>0.4710591811</v>
      </c>
      <c r="CT22" s="94">
        <v>2.2915104000000002E-3</v>
      </c>
      <c r="CU22" s="93">
        <v>6.3480510000000004E-4</v>
      </c>
      <c r="CV22" s="94">
        <v>1.47318E-5</v>
      </c>
      <c r="CW22" s="6" t="s">
        <v>76</v>
      </c>
      <c r="CX22" s="13">
        <v>0</v>
      </c>
      <c r="CY22" s="7" t="s">
        <v>76</v>
      </c>
      <c r="CZ22" s="15">
        <v>0</v>
      </c>
      <c r="DA22" s="93">
        <v>8.8684163230999999</v>
      </c>
      <c r="DB22" s="94">
        <v>7.2790898699999995E-2</v>
      </c>
      <c r="DC22" s="93">
        <v>3.5818505600000002E-2</v>
      </c>
      <c r="DD22" s="94">
        <v>2.7571179999999999E-4</v>
      </c>
      <c r="DE22" s="93">
        <v>5.6049597551000003</v>
      </c>
      <c r="DF22" s="94">
        <v>2.4568659E-2</v>
      </c>
      <c r="DG22" s="93">
        <v>5.5573740400000002E-2</v>
      </c>
      <c r="DH22" s="94">
        <v>4.813323E-4</v>
      </c>
      <c r="DI22" s="188">
        <v>2.5916760000000002E-4</v>
      </c>
      <c r="DJ22" s="189">
        <v>3.3561590000000003E-4</v>
      </c>
      <c r="DK22" s="189">
        <v>3.462804E-4</v>
      </c>
      <c r="DL22" s="189">
        <v>3.5266589999999998E-4</v>
      </c>
      <c r="DM22" s="189">
        <v>3.5266589999999998E-4</v>
      </c>
      <c r="DN22" s="189">
        <v>3.5266589999999998E-4</v>
      </c>
      <c r="DO22" s="189">
        <v>3.5266589999999998E-4</v>
      </c>
      <c r="DP22" s="189">
        <v>3.5266589999999998E-4</v>
      </c>
      <c r="DQ22" s="189">
        <v>3.5266589999999998E-4</v>
      </c>
      <c r="DR22" s="190">
        <v>3.5266589999999998E-4</v>
      </c>
      <c r="DS22" s="112">
        <v>51.217685392999996</v>
      </c>
      <c r="DT22" s="13">
        <v>0.93582567559999996</v>
      </c>
      <c r="DU22" s="79">
        <v>29.214662325999999</v>
      </c>
      <c r="DV22" s="13">
        <v>0.53960872680000005</v>
      </c>
      <c r="DW22" s="79">
        <v>15.95933264</v>
      </c>
      <c r="DX22" s="13">
        <v>0.30394235829999999</v>
      </c>
      <c r="DY22" s="79">
        <v>8.4649753625000006</v>
      </c>
      <c r="DZ22" s="13">
        <v>0.16950839949999999</v>
      </c>
      <c r="EA22" s="79">
        <v>4.4424245731000003</v>
      </c>
      <c r="EB22" s="13">
        <v>9.5313019799999996E-2</v>
      </c>
      <c r="EC22" s="79">
        <v>2.3163210229</v>
      </c>
      <c r="ED22" s="13">
        <v>5.4637573299999999E-2</v>
      </c>
      <c r="EE22" s="79">
        <v>1.2242001404</v>
      </c>
      <c r="EF22" s="13">
        <v>3.2458501000000001E-2</v>
      </c>
      <c r="EG22" s="79">
        <v>0.66842734189999997</v>
      </c>
      <c r="EH22" s="13">
        <v>2.01287814E-2</v>
      </c>
      <c r="EI22" s="79">
        <v>0.37762168759999998</v>
      </c>
      <c r="EJ22" s="13">
        <v>1.28861814E-2</v>
      </c>
      <c r="EK22" s="79">
        <v>0.228016046</v>
      </c>
      <c r="EL22" s="15">
        <v>8.6093543999999998E-3</v>
      </c>
      <c r="EM22" s="79"/>
      <c r="EN22" s="13"/>
      <c r="EO22" s="79"/>
      <c r="EP22" s="13"/>
      <c r="EQ22" s="79"/>
      <c r="ER22" s="13"/>
      <c r="ES22" s="79"/>
      <c r="ET22" s="13"/>
      <c r="EU22" s="79"/>
      <c r="EV22" s="15"/>
    </row>
    <row r="23" spans="1:152" x14ac:dyDescent="0.2">
      <c r="A23" s="8">
        <v>1800</v>
      </c>
      <c r="B23" s="82">
        <v>17057</v>
      </c>
      <c r="C23" s="83">
        <v>1174.5963947</v>
      </c>
      <c r="D23" s="93">
        <v>1749.6978107</v>
      </c>
      <c r="E23" s="93">
        <v>9.0572212780000001</v>
      </c>
      <c r="F23" s="94">
        <v>2.75539975E-2</v>
      </c>
      <c r="G23" s="83">
        <v>0.27942601849999998</v>
      </c>
      <c r="H23" s="94">
        <v>3.0951559999999999E-4</v>
      </c>
      <c r="I23" s="93">
        <v>119.63549786</v>
      </c>
      <c r="J23" s="94">
        <v>1.5955933894000001</v>
      </c>
      <c r="K23" s="93">
        <v>112.704757</v>
      </c>
      <c r="L23" s="94">
        <v>1.0885964616999999</v>
      </c>
      <c r="M23" s="93">
        <v>0.27542999019999997</v>
      </c>
      <c r="N23" s="94">
        <v>1.9523791E-3</v>
      </c>
      <c r="O23" s="37">
        <v>0</v>
      </c>
      <c r="P23" s="13">
        <v>0</v>
      </c>
      <c r="Q23" s="93">
        <v>13.626967565999999</v>
      </c>
      <c r="R23" s="94">
        <v>7.4240053400000006E-2</v>
      </c>
      <c r="S23" s="37" t="s">
        <v>76</v>
      </c>
      <c r="T23" s="13">
        <v>0</v>
      </c>
      <c r="U23" s="37" t="s">
        <v>76</v>
      </c>
      <c r="V23" s="13">
        <v>0</v>
      </c>
      <c r="W23" s="93">
        <v>0.10816329550000001</v>
      </c>
      <c r="X23" s="94">
        <v>5.9288839999999999E-4</v>
      </c>
      <c r="Y23" s="93">
        <v>0.71494245359999997</v>
      </c>
      <c r="Z23" s="94">
        <v>1.9357670000000001E-4</v>
      </c>
      <c r="AA23" s="37" t="s">
        <v>76</v>
      </c>
      <c r="AB23" s="13">
        <v>0</v>
      </c>
      <c r="AC23" s="93">
        <v>0</v>
      </c>
      <c r="AD23" s="94">
        <v>0</v>
      </c>
      <c r="AE23" s="37" t="s">
        <v>76</v>
      </c>
      <c r="AF23" s="13">
        <v>0</v>
      </c>
      <c r="AG23" s="37" t="s">
        <v>76</v>
      </c>
      <c r="AH23" s="13">
        <v>0</v>
      </c>
      <c r="AI23" s="93">
        <v>0</v>
      </c>
      <c r="AJ23" s="94">
        <v>0</v>
      </c>
      <c r="AK23" s="93">
        <v>158.98660447</v>
      </c>
      <c r="AL23" s="94">
        <v>0.99845939419999996</v>
      </c>
      <c r="AM23" s="37" t="s">
        <v>76</v>
      </c>
      <c r="AN23" s="13">
        <v>0</v>
      </c>
      <c r="AO23" s="37" t="s">
        <v>76</v>
      </c>
      <c r="AP23" s="13">
        <v>0</v>
      </c>
      <c r="AQ23" s="37" t="s">
        <v>76</v>
      </c>
      <c r="AR23" s="13">
        <v>0</v>
      </c>
      <c r="AS23" s="93">
        <v>11.715341264999999</v>
      </c>
      <c r="AT23" s="94">
        <v>0.31134854699999998</v>
      </c>
      <c r="AU23" s="93">
        <v>16.328015953000001</v>
      </c>
      <c r="AV23" s="94">
        <v>0.1208347132</v>
      </c>
      <c r="AW23" s="93">
        <v>10.555460375999999</v>
      </c>
      <c r="AX23" s="94">
        <v>6.1668052700000003E-2</v>
      </c>
      <c r="AY23" s="93">
        <v>4.0016398020999997</v>
      </c>
      <c r="AZ23" s="94">
        <v>2.1046100200000001E-2</v>
      </c>
      <c r="BA23" s="79">
        <v>1.7709157745999999</v>
      </c>
      <c r="BB23" s="13">
        <v>3.8120560400000003E-2</v>
      </c>
      <c r="BC23" s="93">
        <v>0</v>
      </c>
      <c r="BD23" s="86">
        <v>0</v>
      </c>
      <c r="BE23" s="93">
        <v>8.6655026594999995</v>
      </c>
      <c r="BF23" s="94">
        <v>4.4508104999999999E-2</v>
      </c>
      <c r="BG23" s="94">
        <v>4.1860310000000001E-4</v>
      </c>
      <c r="BH23" s="86">
        <v>0</v>
      </c>
      <c r="BI23" s="93">
        <v>63.474719297</v>
      </c>
      <c r="BJ23" s="94">
        <v>2.2787191201999999</v>
      </c>
      <c r="BK23" s="93">
        <v>56.538856961</v>
      </c>
      <c r="BL23" s="94">
        <v>0.48154859950000001</v>
      </c>
      <c r="BM23" s="93">
        <v>29.389207967000001</v>
      </c>
      <c r="BN23" s="94">
        <v>0.18679986439999999</v>
      </c>
      <c r="BO23" s="93">
        <v>1.7281534689</v>
      </c>
      <c r="BP23" s="94">
        <v>4.7556834999999999E-3</v>
      </c>
      <c r="BQ23" s="93">
        <v>0</v>
      </c>
      <c r="BR23" s="88">
        <v>0</v>
      </c>
      <c r="BS23" s="37" t="s">
        <v>76</v>
      </c>
      <c r="BT23" s="13">
        <v>0</v>
      </c>
      <c r="BU23" s="93">
        <v>0.12751636899999999</v>
      </c>
      <c r="BV23" s="94">
        <v>8.6403890000000001E-4</v>
      </c>
      <c r="BW23" s="93">
        <v>1.0752340000000001E-2</v>
      </c>
      <c r="BX23" s="94">
        <v>4.4203999999999999E-5</v>
      </c>
      <c r="BY23" s="7" t="s">
        <v>76</v>
      </c>
      <c r="BZ23" s="13">
        <v>0</v>
      </c>
      <c r="CA23" s="7" t="s">
        <v>76</v>
      </c>
      <c r="CB23" s="13">
        <v>0</v>
      </c>
      <c r="CC23" s="93">
        <v>13.166797177999999</v>
      </c>
      <c r="CD23" s="94">
        <v>7.2152290899999999E-2</v>
      </c>
      <c r="CE23" s="93">
        <v>8.7605925599999995E-2</v>
      </c>
      <c r="CF23" s="94">
        <v>5.9524879999999999E-4</v>
      </c>
      <c r="CG23" s="7" t="s">
        <v>76</v>
      </c>
      <c r="CH23" s="13">
        <v>0</v>
      </c>
      <c r="CI23" s="7" t="s">
        <v>76</v>
      </c>
      <c r="CJ23" s="13">
        <v>0</v>
      </c>
      <c r="CK23" s="7" t="s">
        <v>76</v>
      </c>
      <c r="CL23" s="13">
        <v>0</v>
      </c>
      <c r="CM23" s="7" t="s">
        <v>76</v>
      </c>
      <c r="CN23" s="13">
        <v>0</v>
      </c>
      <c r="CO23" s="93">
        <v>9.5094258099999995E-2</v>
      </c>
      <c r="CP23" s="94">
        <v>4.3926410000000001E-4</v>
      </c>
      <c r="CQ23" s="93">
        <v>0</v>
      </c>
      <c r="CR23" s="94">
        <v>0</v>
      </c>
      <c r="CS23" s="93">
        <v>0.5452627954</v>
      </c>
      <c r="CT23" s="94">
        <v>2.5595460000000002E-3</v>
      </c>
      <c r="CU23" s="93">
        <v>6.6034310000000001E-4</v>
      </c>
      <c r="CV23" s="94">
        <v>1.88479E-5</v>
      </c>
      <c r="CW23" s="6" t="s">
        <v>76</v>
      </c>
      <c r="CX23" s="13">
        <v>0</v>
      </c>
      <c r="CY23" s="7" t="s">
        <v>76</v>
      </c>
      <c r="CZ23" s="15">
        <v>0</v>
      </c>
      <c r="DA23" s="93">
        <v>9.4162774957999993</v>
      </c>
      <c r="DB23" s="94">
        <v>7.6180376999999994E-2</v>
      </c>
      <c r="DC23" s="93">
        <v>3.6679081600000003E-2</v>
      </c>
      <c r="DD23" s="94">
        <v>2.8333649999999998E-4</v>
      </c>
      <c r="DE23" s="93">
        <v>6.0960799498</v>
      </c>
      <c r="DF23" s="94">
        <v>2.6110086899999999E-2</v>
      </c>
      <c r="DG23" s="93">
        <v>5.4607394900000002E-2</v>
      </c>
      <c r="DH23" s="94">
        <v>4.8193200000000002E-4</v>
      </c>
      <c r="DI23" s="188">
        <v>3.0239230000000001E-4</v>
      </c>
      <c r="DJ23" s="189">
        <v>3.9917860000000002E-4</v>
      </c>
      <c r="DK23" s="189">
        <v>4.1238640000000002E-4</v>
      </c>
      <c r="DL23" s="189">
        <v>4.1860310000000001E-4</v>
      </c>
      <c r="DM23" s="189">
        <v>4.1860310000000001E-4</v>
      </c>
      <c r="DN23" s="189">
        <v>4.1860310000000001E-4</v>
      </c>
      <c r="DO23" s="189">
        <v>4.1860310000000001E-4</v>
      </c>
      <c r="DP23" s="189">
        <v>4.1860310000000001E-4</v>
      </c>
      <c r="DQ23" s="189">
        <v>4.1860310000000001E-4</v>
      </c>
      <c r="DR23" s="190">
        <v>4.1860310000000001E-4</v>
      </c>
      <c r="DS23" s="112">
        <v>53.652053356000003</v>
      </c>
      <c r="DT23" s="13">
        <v>0.97245700030000004</v>
      </c>
      <c r="DU23" s="79">
        <v>31.038869727000002</v>
      </c>
      <c r="DV23" s="13">
        <v>0.56829574760000001</v>
      </c>
      <c r="DW23" s="79">
        <v>17.242210625999999</v>
      </c>
      <c r="DX23" s="13">
        <v>0.32505522939999998</v>
      </c>
      <c r="DY23" s="79">
        <v>9.3203445058999996</v>
      </c>
      <c r="DZ23" s="13">
        <v>0.1842828712</v>
      </c>
      <c r="EA23" s="79">
        <v>4.9970379376</v>
      </c>
      <c r="EB23" s="13">
        <v>0.1053818193</v>
      </c>
      <c r="EC23" s="79">
        <v>2.6728062946</v>
      </c>
      <c r="ED23" s="13">
        <v>6.1385972099999998E-2</v>
      </c>
      <c r="EE23" s="79">
        <v>1.4457421612000001</v>
      </c>
      <c r="EF23" s="13">
        <v>3.6884336400000002E-2</v>
      </c>
      <c r="EG23" s="79">
        <v>0.80549080640000004</v>
      </c>
      <c r="EH23" s="13">
        <v>2.3025348500000001E-2</v>
      </c>
      <c r="EI23" s="79">
        <v>0.46031025819999999</v>
      </c>
      <c r="EJ23" s="13">
        <v>1.4763839900000001E-2</v>
      </c>
      <c r="EK23" s="79">
        <v>0.27781932079999999</v>
      </c>
      <c r="EL23" s="15">
        <v>9.8389041000000003E-3</v>
      </c>
      <c r="EM23" s="79"/>
      <c r="EN23" s="13"/>
      <c r="EO23" s="79"/>
      <c r="EP23" s="13"/>
      <c r="EQ23" s="79"/>
      <c r="ER23" s="13"/>
      <c r="ES23" s="79"/>
      <c r="ET23" s="13"/>
      <c r="EU23" s="79"/>
      <c r="EV23" s="15"/>
    </row>
    <row r="24" spans="1:152" x14ac:dyDescent="0.2">
      <c r="A24" s="8">
        <v>1900</v>
      </c>
      <c r="B24" s="82">
        <v>16183</v>
      </c>
      <c r="C24" s="83">
        <v>1221.5011420999999</v>
      </c>
      <c r="D24" s="93">
        <v>1849.318164</v>
      </c>
      <c r="E24" s="93">
        <v>9.8348071729999997</v>
      </c>
      <c r="F24" s="94">
        <v>2.94218186E-2</v>
      </c>
      <c r="G24" s="83">
        <v>0.36830900379999998</v>
      </c>
      <c r="H24" s="94">
        <v>3.798656E-4</v>
      </c>
      <c r="I24" s="93">
        <v>123.64937577000001</v>
      </c>
      <c r="J24" s="94">
        <v>1.6378254974999999</v>
      </c>
      <c r="K24" s="93">
        <v>119.50637331</v>
      </c>
      <c r="L24" s="94">
        <v>1.1380642702999999</v>
      </c>
      <c r="M24" s="93">
        <v>0.29400697650000002</v>
      </c>
      <c r="N24" s="94">
        <v>2.1066211E-3</v>
      </c>
      <c r="O24" s="37">
        <v>0</v>
      </c>
      <c r="P24" s="13">
        <v>0</v>
      </c>
      <c r="Q24" s="93">
        <v>14.593318295</v>
      </c>
      <c r="R24" s="94">
        <v>7.8161624599999993E-2</v>
      </c>
      <c r="S24" s="37" t="s">
        <v>76</v>
      </c>
      <c r="T24" s="13">
        <v>0</v>
      </c>
      <c r="U24" s="37" t="s">
        <v>76</v>
      </c>
      <c r="V24" s="13">
        <v>0</v>
      </c>
      <c r="W24" s="93">
        <v>0.1199822443</v>
      </c>
      <c r="X24" s="94">
        <v>6.2028829999999997E-4</v>
      </c>
      <c r="Y24" s="93">
        <v>0.80520758510000001</v>
      </c>
      <c r="Z24" s="94">
        <v>2.2462839999999999E-4</v>
      </c>
      <c r="AA24" s="37" t="s">
        <v>76</v>
      </c>
      <c r="AB24" s="13">
        <v>0</v>
      </c>
      <c r="AC24" s="93">
        <v>0</v>
      </c>
      <c r="AD24" s="94">
        <v>0</v>
      </c>
      <c r="AE24" s="37" t="s">
        <v>76</v>
      </c>
      <c r="AF24" s="13">
        <v>0</v>
      </c>
      <c r="AG24" s="37" t="s">
        <v>76</v>
      </c>
      <c r="AH24" s="13">
        <v>0</v>
      </c>
      <c r="AI24" s="93">
        <v>0</v>
      </c>
      <c r="AJ24" s="94">
        <v>0</v>
      </c>
      <c r="AK24" s="93">
        <v>164.07317845</v>
      </c>
      <c r="AL24" s="94">
        <v>1.0252627780000001</v>
      </c>
      <c r="AM24" s="37" t="s">
        <v>76</v>
      </c>
      <c r="AN24" s="13">
        <v>0</v>
      </c>
      <c r="AO24" s="37" t="s">
        <v>76</v>
      </c>
      <c r="AP24" s="13">
        <v>0</v>
      </c>
      <c r="AQ24" s="37" t="s">
        <v>76</v>
      </c>
      <c r="AR24" s="13">
        <v>0</v>
      </c>
      <c r="AS24" s="93">
        <v>12.559646581000001</v>
      </c>
      <c r="AT24" s="94">
        <v>0.32335644590000001</v>
      </c>
      <c r="AU24" s="93">
        <v>17.104699373999999</v>
      </c>
      <c r="AV24" s="94">
        <v>0.1255115238</v>
      </c>
      <c r="AW24" s="93">
        <v>11.109279275</v>
      </c>
      <c r="AX24" s="94">
        <v>6.4220844400000004E-2</v>
      </c>
      <c r="AY24" s="93">
        <v>4.1369140787000003</v>
      </c>
      <c r="AZ24" s="94">
        <v>2.1734488999999999E-2</v>
      </c>
      <c r="BA24" s="79">
        <v>1.8585060203999999</v>
      </c>
      <c r="BB24" s="13">
        <v>3.9556190300000002E-2</v>
      </c>
      <c r="BC24" s="93">
        <v>0</v>
      </c>
      <c r="BD24" s="86">
        <v>0</v>
      </c>
      <c r="BE24" s="93">
        <v>9.3939391674999992</v>
      </c>
      <c r="BF24" s="94">
        <v>4.6974083700000002E-2</v>
      </c>
      <c r="BG24" s="94">
        <v>5.2936750000000005E-4</v>
      </c>
      <c r="BH24" s="86">
        <v>0</v>
      </c>
      <c r="BI24" s="93">
        <v>66.247162842999998</v>
      </c>
      <c r="BJ24" s="94">
        <v>2.3547516264000001</v>
      </c>
      <c r="BK24" s="93">
        <v>60.552508351999997</v>
      </c>
      <c r="BL24" s="94">
        <v>0.51099991349999996</v>
      </c>
      <c r="BM24" s="93">
        <v>31.870656857</v>
      </c>
      <c r="BN24" s="94">
        <v>0.1995924077</v>
      </c>
      <c r="BO24" s="93">
        <v>2.0012037172000001</v>
      </c>
      <c r="BP24" s="94">
        <v>5.3439074000000003E-3</v>
      </c>
      <c r="BQ24" s="93">
        <v>0</v>
      </c>
      <c r="BR24" s="88">
        <v>0</v>
      </c>
      <c r="BS24" s="37" t="s">
        <v>76</v>
      </c>
      <c r="BT24" s="13">
        <v>0</v>
      </c>
      <c r="BU24" s="93">
        <v>0.14097759570000001</v>
      </c>
      <c r="BV24" s="94">
        <v>9.7923999999999993E-4</v>
      </c>
      <c r="BW24" s="93">
        <v>1.20840237E-2</v>
      </c>
      <c r="BX24" s="94">
        <v>4.6910199999999997E-5</v>
      </c>
      <c r="BY24" s="7" t="s">
        <v>76</v>
      </c>
      <c r="BZ24" s="13">
        <v>0</v>
      </c>
      <c r="CA24" s="7" t="s">
        <v>76</v>
      </c>
      <c r="CB24" s="13">
        <v>0</v>
      </c>
      <c r="CC24" s="93">
        <v>14.088883137</v>
      </c>
      <c r="CD24" s="94">
        <v>7.5915021700000002E-2</v>
      </c>
      <c r="CE24" s="93">
        <v>9.5072719400000005E-2</v>
      </c>
      <c r="CF24" s="94">
        <v>6.5067800000000002E-4</v>
      </c>
      <c r="CG24" s="7" t="s">
        <v>76</v>
      </c>
      <c r="CH24" s="13">
        <v>0</v>
      </c>
      <c r="CI24" s="7" t="s">
        <v>76</v>
      </c>
      <c r="CJ24" s="13">
        <v>0</v>
      </c>
      <c r="CK24" s="7" t="s">
        <v>76</v>
      </c>
      <c r="CL24" s="13">
        <v>0</v>
      </c>
      <c r="CM24" s="7" t="s">
        <v>76</v>
      </c>
      <c r="CN24" s="13">
        <v>0</v>
      </c>
      <c r="CO24" s="93">
        <v>0.1071447255</v>
      </c>
      <c r="CP24" s="94">
        <v>4.7047240000000002E-4</v>
      </c>
      <c r="CQ24" s="93">
        <v>9.3160700000000004E-5</v>
      </c>
      <c r="CR24" s="94">
        <v>9.4439130000000001E-7</v>
      </c>
      <c r="CS24" s="93">
        <v>0.60879844279999995</v>
      </c>
      <c r="CT24" s="94">
        <v>2.8427741999999998E-3</v>
      </c>
      <c r="CU24" s="93">
        <v>6.4511270000000001E-4</v>
      </c>
      <c r="CV24" s="94">
        <v>1.83828E-5</v>
      </c>
      <c r="CW24" s="6" t="s">
        <v>76</v>
      </c>
      <c r="CX24" s="13">
        <v>0</v>
      </c>
      <c r="CY24" s="7" t="s">
        <v>76</v>
      </c>
      <c r="CZ24" s="15">
        <v>0</v>
      </c>
      <c r="DA24" s="93">
        <v>10.114954775999999</v>
      </c>
      <c r="DB24" s="94">
        <v>7.9739927299999999E-2</v>
      </c>
      <c r="DC24" s="93">
        <v>3.9372302200000001E-2</v>
      </c>
      <c r="DD24" s="94">
        <v>2.9791380000000002E-4</v>
      </c>
      <c r="DE24" s="93">
        <v>6.5864141789000001</v>
      </c>
      <c r="DF24" s="94">
        <v>2.7595914700000002E-2</v>
      </c>
      <c r="DG24" s="93">
        <v>6.1429873199999999E-2</v>
      </c>
      <c r="DH24" s="94">
        <v>5.1823289999999996E-4</v>
      </c>
      <c r="DI24" s="188">
        <v>3.7290110000000001E-4</v>
      </c>
      <c r="DJ24" s="189">
        <v>5.0301299999999996E-4</v>
      </c>
      <c r="DK24" s="189">
        <v>5.2070809999999997E-4</v>
      </c>
      <c r="DL24" s="189">
        <v>5.2936750000000005E-4</v>
      </c>
      <c r="DM24" s="189">
        <v>5.2936750000000005E-4</v>
      </c>
      <c r="DN24" s="189">
        <v>5.2936750000000005E-4</v>
      </c>
      <c r="DO24" s="189">
        <v>5.2936750000000005E-4</v>
      </c>
      <c r="DP24" s="189">
        <v>5.2936750000000005E-4</v>
      </c>
      <c r="DQ24" s="189">
        <v>5.2936750000000005E-4</v>
      </c>
      <c r="DR24" s="190">
        <v>5.2936750000000005E-4</v>
      </c>
      <c r="DS24" s="112">
        <v>56.066374803999999</v>
      </c>
      <c r="DT24" s="13">
        <v>1.0088845027</v>
      </c>
      <c r="DU24" s="79">
        <v>32.887321739000001</v>
      </c>
      <c r="DV24" s="13">
        <v>0.59729064129999998</v>
      </c>
      <c r="DW24" s="79">
        <v>18.568858695999999</v>
      </c>
      <c r="DX24" s="13">
        <v>0.34675451629999998</v>
      </c>
      <c r="DY24" s="79">
        <v>10.227001623</v>
      </c>
      <c r="DZ24" s="13">
        <v>0.19986734019999999</v>
      </c>
      <c r="EA24" s="79">
        <v>5.6013371268999999</v>
      </c>
      <c r="EB24" s="13">
        <v>0.1163111814</v>
      </c>
      <c r="EC24" s="79">
        <v>3.0717982147999998</v>
      </c>
      <c r="ED24" s="13">
        <v>6.8967588100000005E-2</v>
      </c>
      <c r="EE24" s="79">
        <v>1.6993143131999999</v>
      </c>
      <c r="EF24" s="13">
        <v>4.2009391700000003E-2</v>
      </c>
      <c r="EG24" s="79">
        <v>0.96324185380000005</v>
      </c>
      <c r="EH24" s="13">
        <v>2.6459204699999999E-2</v>
      </c>
      <c r="EI24" s="79">
        <v>0.55991462619999999</v>
      </c>
      <c r="EJ24" s="13">
        <v>1.7093191000000001E-2</v>
      </c>
      <c r="EK24" s="79">
        <v>0.34072178219999999</v>
      </c>
      <c r="EL24" s="15">
        <v>1.14255008E-2</v>
      </c>
      <c r="EM24" s="79"/>
      <c r="EN24" s="13"/>
      <c r="EO24" s="79"/>
      <c r="EP24" s="13"/>
      <c r="EQ24" s="79"/>
      <c r="ER24" s="13"/>
      <c r="ES24" s="79"/>
      <c r="ET24" s="13"/>
      <c r="EU24" s="79"/>
      <c r="EV24" s="15"/>
    </row>
    <row r="25" spans="1:152" x14ac:dyDescent="0.2">
      <c r="A25" s="8">
        <v>2000</v>
      </c>
      <c r="B25" s="82">
        <v>15554</v>
      </c>
      <c r="C25" s="83">
        <v>1267.1506105999999</v>
      </c>
      <c r="D25" s="93">
        <v>1950.0221176</v>
      </c>
      <c r="E25" s="93">
        <v>10.688630570000001</v>
      </c>
      <c r="F25" s="94">
        <v>3.1243524000000002E-2</v>
      </c>
      <c r="G25" s="83">
        <v>0.46214212119999998</v>
      </c>
      <c r="H25" s="94">
        <v>4.5430479999999999E-4</v>
      </c>
      <c r="I25" s="93">
        <v>127.31989622</v>
      </c>
      <c r="J25" s="94">
        <v>1.6758983146999999</v>
      </c>
      <c r="K25" s="93">
        <v>126.27195881</v>
      </c>
      <c r="L25" s="94">
        <v>1.1874667785999999</v>
      </c>
      <c r="M25" s="93">
        <v>0.3159055791</v>
      </c>
      <c r="N25" s="94">
        <v>2.2457963000000001E-3</v>
      </c>
      <c r="O25" s="37">
        <v>0</v>
      </c>
      <c r="P25" s="13">
        <v>0</v>
      </c>
      <c r="Q25" s="93">
        <v>15.695827739</v>
      </c>
      <c r="R25" s="94">
        <v>8.2351388600000006E-2</v>
      </c>
      <c r="S25" s="37" t="s">
        <v>76</v>
      </c>
      <c r="T25" s="13">
        <v>0</v>
      </c>
      <c r="U25" s="37" t="s">
        <v>76</v>
      </c>
      <c r="V25" s="13">
        <v>0</v>
      </c>
      <c r="W25" s="93">
        <v>0.13367252360000001</v>
      </c>
      <c r="X25" s="94">
        <v>6.6085109999999999E-4</v>
      </c>
      <c r="Y25" s="93">
        <v>0.89725016889999998</v>
      </c>
      <c r="Z25" s="94">
        <v>2.397054E-4</v>
      </c>
      <c r="AA25" s="37" t="s">
        <v>76</v>
      </c>
      <c r="AB25" s="13">
        <v>0</v>
      </c>
      <c r="AC25" s="93">
        <v>0</v>
      </c>
      <c r="AD25" s="94">
        <v>0</v>
      </c>
      <c r="AE25" s="37" t="s">
        <v>76</v>
      </c>
      <c r="AF25" s="13">
        <v>0</v>
      </c>
      <c r="AG25" s="37" t="s">
        <v>76</v>
      </c>
      <c r="AH25" s="13">
        <v>0</v>
      </c>
      <c r="AI25" s="93">
        <v>0</v>
      </c>
      <c r="AJ25" s="94">
        <v>0</v>
      </c>
      <c r="AK25" s="93">
        <v>168.87932226999999</v>
      </c>
      <c r="AL25" s="94">
        <v>1.0502077264</v>
      </c>
      <c r="AM25" s="37" t="s">
        <v>76</v>
      </c>
      <c r="AN25" s="13">
        <v>0</v>
      </c>
      <c r="AO25" s="37" t="s">
        <v>76</v>
      </c>
      <c r="AP25" s="13">
        <v>0</v>
      </c>
      <c r="AQ25" s="37" t="s">
        <v>76</v>
      </c>
      <c r="AR25" s="13">
        <v>0</v>
      </c>
      <c r="AS25" s="93">
        <v>13.317083933999999</v>
      </c>
      <c r="AT25" s="94">
        <v>0.33428068249999998</v>
      </c>
      <c r="AU25" s="93">
        <v>17.804003610999999</v>
      </c>
      <c r="AV25" s="94">
        <v>0.1297804089</v>
      </c>
      <c r="AW25" s="93">
        <v>11.594835703999999</v>
      </c>
      <c r="AX25" s="94">
        <v>6.6432150100000004E-2</v>
      </c>
      <c r="AY25" s="93">
        <v>4.2678488854000003</v>
      </c>
      <c r="AZ25" s="94">
        <v>2.23478501E-2</v>
      </c>
      <c r="BA25" s="79">
        <v>1.9413190220000001</v>
      </c>
      <c r="BB25" s="13">
        <v>4.1000408600000003E-2</v>
      </c>
      <c r="BC25" s="93">
        <v>0</v>
      </c>
      <c r="BD25" s="86">
        <v>0</v>
      </c>
      <c r="BE25" s="93">
        <v>10.178884740999999</v>
      </c>
      <c r="BF25" s="94">
        <v>4.9704772600000002E-2</v>
      </c>
      <c r="BG25" s="94">
        <v>6.6348920000000003E-4</v>
      </c>
      <c r="BH25" s="86">
        <v>0</v>
      </c>
      <c r="BI25" s="93">
        <v>68.882156894999994</v>
      </c>
      <c r="BJ25" s="94">
        <v>2.4257182850999999</v>
      </c>
      <c r="BK25" s="93">
        <v>64.668576096999999</v>
      </c>
      <c r="BL25" s="94">
        <v>0.53957039929999995</v>
      </c>
      <c r="BM25" s="93">
        <v>34.488601076999998</v>
      </c>
      <c r="BN25" s="94">
        <v>0.2126558157</v>
      </c>
      <c r="BO25" s="93">
        <v>2.2305425233</v>
      </c>
      <c r="BP25" s="94">
        <v>5.8505739999999999E-3</v>
      </c>
      <c r="BQ25" s="93">
        <v>0</v>
      </c>
      <c r="BR25" s="88">
        <v>0</v>
      </c>
      <c r="BS25" s="37" t="s">
        <v>76</v>
      </c>
      <c r="BT25" s="13">
        <v>0</v>
      </c>
      <c r="BU25" s="93">
        <v>0.15438949499999999</v>
      </c>
      <c r="BV25" s="94">
        <v>1.0559386E-3</v>
      </c>
      <c r="BW25" s="93">
        <v>1.3313614E-2</v>
      </c>
      <c r="BX25" s="94">
        <v>5.1851000000000002E-5</v>
      </c>
      <c r="BY25" s="7" t="s">
        <v>76</v>
      </c>
      <c r="BZ25" s="13">
        <v>0</v>
      </c>
      <c r="CA25" s="7" t="s">
        <v>76</v>
      </c>
      <c r="CB25" s="13">
        <v>0</v>
      </c>
      <c r="CC25" s="93">
        <v>15.160214435</v>
      </c>
      <c r="CD25" s="94">
        <v>7.9982546799999998E-2</v>
      </c>
      <c r="CE25" s="93">
        <v>0.10279214139999999</v>
      </c>
      <c r="CF25" s="94">
        <v>6.8762439999999999E-4</v>
      </c>
      <c r="CG25" s="7" t="s">
        <v>76</v>
      </c>
      <c r="CH25" s="13">
        <v>0</v>
      </c>
      <c r="CI25" s="7" t="s">
        <v>76</v>
      </c>
      <c r="CJ25" s="13">
        <v>0</v>
      </c>
      <c r="CK25" s="7" t="s">
        <v>76</v>
      </c>
      <c r="CL25" s="13">
        <v>0</v>
      </c>
      <c r="CM25" s="7" t="s">
        <v>76</v>
      </c>
      <c r="CN25" s="13">
        <v>0</v>
      </c>
      <c r="CO25" s="93">
        <v>0.1192330325</v>
      </c>
      <c r="CP25" s="94">
        <v>4.9651359999999996E-4</v>
      </c>
      <c r="CQ25" s="93">
        <v>9.1165899999999994E-5</v>
      </c>
      <c r="CR25" s="94">
        <v>9.2417004999999997E-7</v>
      </c>
      <c r="CS25" s="93">
        <v>0.69869050290000001</v>
      </c>
      <c r="CT25" s="94">
        <v>3.2655054999999999E-3</v>
      </c>
      <c r="CU25" s="93">
        <v>6.308482E-4</v>
      </c>
      <c r="CV25" s="94">
        <v>1.7960599999999999E-5</v>
      </c>
      <c r="CW25" s="6" t="s">
        <v>76</v>
      </c>
      <c r="CX25" s="13">
        <v>0</v>
      </c>
      <c r="CY25" s="7" t="s">
        <v>76</v>
      </c>
      <c r="CZ25" s="15">
        <v>0</v>
      </c>
      <c r="DA25" s="93">
        <v>10.744660863</v>
      </c>
      <c r="DB25" s="94">
        <v>8.3186317400000001E-2</v>
      </c>
      <c r="DC25" s="93">
        <v>3.9550774300000001E-2</v>
      </c>
      <c r="DD25" s="94">
        <v>3.2028550000000002E-4</v>
      </c>
      <c r="DE25" s="93">
        <v>7.1061331811999997</v>
      </c>
      <c r="DF25" s="94">
        <v>2.9087196900000001E-2</v>
      </c>
      <c r="DG25" s="93">
        <v>6.2918065100000004E-2</v>
      </c>
      <c r="DH25" s="94">
        <v>5.480808E-4</v>
      </c>
      <c r="DI25" s="188">
        <v>4.474735E-4</v>
      </c>
      <c r="DJ25" s="189">
        <v>6.075249E-4</v>
      </c>
      <c r="DK25" s="189">
        <v>6.2976809999999999E-4</v>
      </c>
      <c r="DL25" s="189">
        <v>6.4052529999999996E-4</v>
      </c>
      <c r="DM25" s="189">
        <v>6.4282170000000004E-4</v>
      </c>
      <c r="DN25" s="189">
        <v>6.4511799999999997E-4</v>
      </c>
      <c r="DO25" s="189">
        <v>6.4741440000000005E-4</v>
      </c>
      <c r="DP25" s="189">
        <v>6.4971080000000001E-4</v>
      </c>
      <c r="DQ25" s="189">
        <v>6.5200719999999998E-4</v>
      </c>
      <c r="DR25" s="190">
        <v>6.5430359999999995E-4</v>
      </c>
      <c r="DS25" s="112">
        <v>58.276022703999999</v>
      </c>
      <c r="DT25" s="13">
        <v>1.0417654391</v>
      </c>
      <c r="DU25" s="79">
        <v>34.581697626999997</v>
      </c>
      <c r="DV25" s="13">
        <v>0.62353233509999995</v>
      </c>
      <c r="DW25" s="79">
        <v>19.795659249</v>
      </c>
      <c r="DX25" s="13">
        <v>0.36659647099999998</v>
      </c>
      <c r="DY25" s="79">
        <v>11.072992864</v>
      </c>
      <c r="DZ25" s="13">
        <v>0.21424724919999999</v>
      </c>
      <c r="EA25" s="79">
        <v>6.1729467947999996</v>
      </c>
      <c r="EB25" s="13">
        <v>0.12653287890000001</v>
      </c>
      <c r="EC25" s="79">
        <v>3.4484878084999999</v>
      </c>
      <c r="ED25" s="13">
        <v>7.6056327699999995E-2</v>
      </c>
      <c r="EE25" s="79">
        <v>1.9434009768</v>
      </c>
      <c r="EF25" s="13">
        <v>4.68276756E-2</v>
      </c>
      <c r="EG25" s="79">
        <v>1.1207774551</v>
      </c>
      <c r="EH25" s="13">
        <v>2.9718438600000001E-2</v>
      </c>
      <c r="EI25" s="79">
        <v>0.66002276650000002</v>
      </c>
      <c r="EJ25" s="13">
        <v>1.92573402E-2</v>
      </c>
      <c r="EK25" s="79">
        <v>0.4060928077</v>
      </c>
      <c r="EL25" s="15">
        <v>1.28862621E-2</v>
      </c>
      <c r="EM25" s="79"/>
      <c r="EN25" s="13"/>
      <c r="EO25" s="79"/>
      <c r="EP25" s="13"/>
      <c r="EQ25" s="79"/>
      <c r="ER25" s="13"/>
      <c r="ES25" s="79"/>
      <c r="ET25" s="13"/>
      <c r="EU25" s="79"/>
      <c r="EV25" s="15"/>
    </row>
    <row r="26" spans="1:152" x14ac:dyDescent="0.2">
      <c r="A26" s="8">
        <v>2100</v>
      </c>
      <c r="B26" s="82">
        <v>14753</v>
      </c>
      <c r="C26" s="83">
        <v>1311.5991818</v>
      </c>
      <c r="D26" s="93">
        <v>2050.0515909000001</v>
      </c>
      <c r="E26" s="93">
        <v>11.501250623000001</v>
      </c>
      <c r="F26" s="94">
        <v>3.3114803700000001E-2</v>
      </c>
      <c r="G26" s="83">
        <v>0.56810156540000001</v>
      </c>
      <c r="H26" s="94">
        <v>5.4158020000000002E-4</v>
      </c>
      <c r="I26" s="93">
        <v>130.93078408</v>
      </c>
      <c r="J26" s="94">
        <v>1.7128637431</v>
      </c>
      <c r="K26" s="93">
        <v>133.00914356999999</v>
      </c>
      <c r="L26" s="94">
        <v>1.2362614908</v>
      </c>
      <c r="M26" s="93">
        <v>0.34158314029999998</v>
      </c>
      <c r="N26" s="94">
        <v>2.4116302000000002E-3</v>
      </c>
      <c r="O26" s="37">
        <v>0</v>
      </c>
      <c r="P26" s="13">
        <v>0</v>
      </c>
      <c r="Q26" s="93">
        <v>16.698307194000002</v>
      </c>
      <c r="R26" s="94">
        <v>8.6256391700000004E-2</v>
      </c>
      <c r="S26" s="37" t="s">
        <v>76</v>
      </c>
      <c r="T26" s="13">
        <v>0</v>
      </c>
      <c r="U26" s="37" t="s">
        <v>76</v>
      </c>
      <c r="V26" s="13">
        <v>0</v>
      </c>
      <c r="W26" s="93">
        <v>0.14240617829999999</v>
      </c>
      <c r="X26" s="94">
        <v>7.5816420000000004E-4</v>
      </c>
      <c r="Y26" s="93">
        <v>0.98872030919999998</v>
      </c>
      <c r="Z26" s="94">
        <v>2.5336420000000002E-4</v>
      </c>
      <c r="AA26" s="37" t="s">
        <v>76</v>
      </c>
      <c r="AB26" s="13">
        <v>0</v>
      </c>
      <c r="AC26" s="93">
        <v>0</v>
      </c>
      <c r="AD26" s="94">
        <v>0</v>
      </c>
      <c r="AE26" s="37" t="s">
        <v>76</v>
      </c>
      <c r="AF26" s="13">
        <v>0</v>
      </c>
      <c r="AG26" s="37" t="s">
        <v>76</v>
      </c>
      <c r="AH26" s="13">
        <v>0</v>
      </c>
      <c r="AI26" s="93">
        <v>0</v>
      </c>
      <c r="AJ26" s="94">
        <v>0</v>
      </c>
      <c r="AK26" s="93">
        <v>173.29006709000001</v>
      </c>
      <c r="AL26" s="94">
        <v>1.0738337563</v>
      </c>
      <c r="AM26" s="37" t="s">
        <v>76</v>
      </c>
      <c r="AN26" s="13">
        <v>0</v>
      </c>
      <c r="AO26" s="37" t="s">
        <v>76</v>
      </c>
      <c r="AP26" s="13">
        <v>0</v>
      </c>
      <c r="AQ26" s="37" t="s">
        <v>76</v>
      </c>
      <c r="AR26" s="13">
        <v>0</v>
      </c>
      <c r="AS26" s="93">
        <v>14.071795693</v>
      </c>
      <c r="AT26" s="94">
        <v>0.345127038</v>
      </c>
      <c r="AU26" s="93">
        <v>18.520057995999998</v>
      </c>
      <c r="AV26" s="94">
        <v>0.13398933499999999</v>
      </c>
      <c r="AW26" s="93">
        <v>12.113033608</v>
      </c>
      <c r="AX26" s="94">
        <v>6.8795740399999999E-2</v>
      </c>
      <c r="AY26" s="93">
        <v>4.3877907152000004</v>
      </c>
      <c r="AZ26" s="94">
        <v>2.2931816000000001E-2</v>
      </c>
      <c r="BA26" s="79">
        <v>2.0192336726</v>
      </c>
      <c r="BB26" s="13">
        <v>4.2261778700000002E-2</v>
      </c>
      <c r="BC26" s="93">
        <v>0</v>
      </c>
      <c r="BD26" s="86">
        <v>0</v>
      </c>
      <c r="BE26" s="93">
        <v>11.011261742</v>
      </c>
      <c r="BF26" s="94">
        <v>5.2517069999999999E-2</v>
      </c>
      <c r="BG26" s="94">
        <v>7.8554549999999997E-4</v>
      </c>
      <c r="BH26" s="86">
        <v>0</v>
      </c>
      <c r="BI26" s="93">
        <v>71.526527119999997</v>
      </c>
      <c r="BJ26" s="94">
        <v>2.4975291578999999</v>
      </c>
      <c r="BK26" s="93">
        <v>68.775167534000005</v>
      </c>
      <c r="BL26" s="94">
        <v>0.56819804249999994</v>
      </c>
      <c r="BM26" s="93">
        <v>37.046730334999999</v>
      </c>
      <c r="BN26" s="94">
        <v>0.2254288575</v>
      </c>
      <c r="BO26" s="93">
        <v>2.4644091275000002</v>
      </c>
      <c r="BP26" s="94">
        <v>6.3781295000000003E-3</v>
      </c>
      <c r="BQ26" s="93">
        <v>0</v>
      </c>
      <c r="BR26" s="88">
        <v>0</v>
      </c>
      <c r="BS26" s="37" t="s">
        <v>76</v>
      </c>
      <c r="BT26" s="13">
        <v>0</v>
      </c>
      <c r="BU26" s="93">
        <v>0.16839205290000001</v>
      </c>
      <c r="BV26" s="94">
        <v>1.1365594E-3</v>
      </c>
      <c r="BW26" s="93">
        <v>1.6196510500000001E-2</v>
      </c>
      <c r="BX26" s="94">
        <v>6.1481000000000003E-5</v>
      </c>
      <c r="BY26" s="7" t="s">
        <v>76</v>
      </c>
      <c r="BZ26" s="13">
        <v>0</v>
      </c>
      <c r="CA26" s="7" t="s">
        <v>76</v>
      </c>
      <c r="CB26" s="13">
        <v>0</v>
      </c>
      <c r="CC26" s="93">
        <v>16.125808811999999</v>
      </c>
      <c r="CD26" s="94">
        <v>8.3762166299999996E-2</v>
      </c>
      <c r="CE26" s="93">
        <v>0.109915705</v>
      </c>
      <c r="CF26" s="94">
        <v>7.3145570000000002E-4</v>
      </c>
      <c r="CG26" s="7" t="s">
        <v>76</v>
      </c>
      <c r="CH26" s="13">
        <v>0</v>
      </c>
      <c r="CI26" s="7" t="s">
        <v>76</v>
      </c>
      <c r="CJ26" s="13">
        <v>0</v>
      </c>
      <c r="CK26" s="7" t="s">
        <v>76</v>
      </c>
      <c r="CL26" s="13">
        <v>0</v>
      </c>
      <c r="CM26" s="7" t="s">
        <v>76</v>
      </c>
      <c r="CN26" s="13">
        <v>0</v>
      </c>
      <c r="CO26" s="93">
        <v>0.12818365370000001</v>
      </c>
      <c r="CP26" s="94">
        <v>5.9731910000000005E-4</v>
      </c>
      <c r="CQ26" s="93">
        <v>1.812443E-4</v>
      </c>
      <c r="CR26" s="94">
        <v>2.4836547E-6</v>
      </c>
      <c r="CS26" s="93">
        <v>0.77873725029999996</v>
      </c>
      <c r="CT26" s="94">
        <v>3.5729369E-3</v>
      </c>
      <c r="CU26" s="93">
        <v>7.1587349999999996E-4</v>
      </c>
      <c r="CV26" s="94">
        <v>1.8484100000000001E-5</v>
      </c>
      <c r="CW26" s="6" t="s">
        <v>76</v>
      </c>
      <c r="CX26" s="13">
        <v>0</v>
      </c>
      <c r="CY26" s="7" t="s">
        <v>76</v>
      </c>
      <c r="CZ26" s="15">
        <v>0</v>
      </c>
      <c r="DA26" s="93">
        <v>11.387237378</v>
      </c>
      <c r="DB26" s="94">
        <v>8.6606354499999996E-2</v>
      </c>
      <c r="DC26" s="93">
        <v>3.9270980699999999E-2</v>
      </c>
      <c r="DD26" s="94">
        <v>3.3134190000000001E-4</v>
      </c>
      <c r="DE26" s="93">
        <v>7.6591345731000002</v>
      </c>
      <c r="DF26" s="94">
        <v>3.0746841699999999E-2</v>
      </c>
      <c r="DG26" s="93">
        <v>6.7958691700000004E-2</v>
      </c>
      <c r="DH26" s="94">
        <v>5.7998689999999998E-4</v>
      </c>
      <c r="DI26" s="188">
        <v>5.3487059999999999E-4</v>
      </c>
      <c r="DJ26" s="189">
        <v>7.2795970000000005E-4</v>
      </c>
      <c r="DK26" s="189">
        <v>7.5113830000000004E-4</v>
      </c>
      <c r="DL26" s="189">
        <v>7.6237039999999998E-4</v>
      </c>
      <c r="DM26" s="189">
        <v>7.6532130000000001E-4</v>
      </c>
      <c r="DN26" s="189">
        <v>7.6756839999999997E-4</v>
      </c>
      <c r="DO26" s="189">
        <v>7.6981559999999996E-4</v>
      </c>
      <c r="DP26" s="189">
        <v>7.7206270000000003E-4</v>
      </c>
      <c r="DQ26" s="189">
        <v>7.7430979999999999E-4</v>
      </c>
      <c r="DR26" s="190">
        <v>7.7655699999999999E-4</v>
      </c>
      <c r="DS26" s="112">
        <v>60.466516075000001</v>
      </c>
      <c r="DT26" s="13">
        <v>1.0739218381</v>
      </c>
      <c r="DU26" s="79">
        <v>36.274384165999997</v>
      </c>
      <c r="DV26" s="13">
        <v>0.64939822120000001</v>
      </c>
      <c r="DW26" s="79">
        <v>21.032552646999999</v>
      </c>
      <c r="DX26" s="13">
        <v>0.38628838090000001</v>
      </c>
      <c r="DY26" s="79">
        <v>11.940776774</v>
      </c>
      <c r="DZ26" s="13">
        <v>0.22868911019999999</v>
      </c>
      <c r="EA26" s="79">
        <v>6.7676330932999997</v>
      </c>
      <c r="EB26" s="13">
        <v>0.13692608440000001</v>
      </c>
      <c r="EC26" s="79">
        <v>3.8517420345</v>
      </c>
      <c r="ED26" s="13">
        <v>8.3405865199999998E-2</v>
      </c>
      <c r="EE26" s="79">
        <v>2.2125008474999999</v>
      </c>
      <c r="EF26" s="13">
        <v>5.1922715699999997E-2</v>
      </c>
      <c r="EG26" s="79">
        <v>1.2987582274</v>
      </c>
      <c r="EH26" s="13">
        <v>3.3216885299999999E-2</v>
      </c>
      <c r="EI26" s="79">
        <v>0.77690483389999998</v>
      </c>
      <c r="EJ26" s="13">
        <v>2.1657342999999999E-2</v>
      </c>
      <c r="EK26" s="79">
        <v>0.48295334480000002</v>
      </c>
      <c r="EL26" s="15">
        <v>1.45280036E-2</v>
      </c>
      <c r="EM26" s="79"/>
      <c r="EN26" s="13"/>
      <c r="EO26" s="79"/>
      <c r="EP26" s="13"/>
      <c r="EQ26" s="79"/>
      <c r="ER26" s="13"/>
      <c r="ES26" s="79"/>
      <c r="ET26" s="13"/>
      <c r="EU26" s="79"/>
      <c r="EV26" s="15"/>
    </row>
    <row r="27" spans="1:152" x14ac:dyDescent="0.2">
      <c r="A27" s="8">
        <v>2200</v>
      </c>
      <c r="B27" s="82">
        <v>13958</v>
      </c>
      <c r="C27" s="83">
        <v>1354.9080603</v>
      </c>
      <c r="D27" s="93">
        <v>2149.8318340999999</v>
      </c>
      <c r="E27" s="93">
        <v>12.295398514</v>
      </c>
      <c r="F27" s="94">
        <v>3.4788423499999999E-2</v>
      </c>
      <c r="G27" s="83">
        <v>0.70197119959999998</v>
      </c>
      <c r="H27" s="94">
        <v>6.4912789999999998E-4</v>
      </c>
      <c r="I27" s="93">
        <v>134.35106056000001</v>
      </c>
      <c r="J27" s="94">
        <v>1.7479367640000001</v>
      </c>
      <c r="K27" s="93">
        <v>139.56107041000001</v>
      </c>
      <c r="L27" s="94">
        <v>1.2829668476</v>
      </c>
      <c r="M27" s="93">
        <v>0.37029321879999999</v>
      </c>
      <c r="N27" s="94">
        <v>2.6215282999999998E-3</v>
      </c>
      <c r="O27" s="37">
        <v>0</v>
      </c>
      <c r="P27" s="13">
        <v>0</v>
      </c>
      <c r="Q27" s="93">
        <v>17.735249354</v>
      </c>
      <c r="R27" s="94">
        <v>9.0154624000000003E-2</v>
      </c>
      <c r="S27" s="37" t="s">
        <v>76</v>
      </c>
      <c r="T27" s="13">
        <v>0</v>
      </c>
      <c r="U27" s="37" t="s">
        <v>76</v>
      </c>
      <c r="V27" s="13">
        <v>0</v>
      </c>
      <c r="W27" s="93">
        <v>0.15450219909999999</v>
      </c>
      <c r="X27" s="94">
        <v>8.0225170000000005E-4</v>
      </c>
      <c r="Y27" s="93">
        <v>1.0605291489999999</v>
      </c>
      <c r="Z27" s="94">
        <v>2.586318E-4</v>
      </c>
      <c r="AA27" s="37" t="s">
        <v>76</v>
      </c>
      <c r="AB27" s="13">
        <v>0</v>
      </c>
      <c r="AC27" s="93">
        <v>0</v>
      </c>
      <c r="AD27" s="94">
        <v>0</v>
      </c>
      <c r="AE27" s="37" t="s">
        <v>76</v>
      </c>
      <c r="AF27" s="13">
        <v>0</v>
      </c>
      <c r="AG27" s="37" t="s">
        <v>76</v>
      </c>
      <c r="AH27" s="13">
        <v>0</v>
      </c>
      <c r="AI27" s="93">
        <v>0</v>
      </c>
      <c r="AJ27" s="94">
        <v>0</v>
      </c>
      <c r="AK27" s="93">
        <v>177.72768611000001</v>
      </c>
      <c r="AL27" s="94">
        <v>1.0967018167</v>
      </c>
      <c r="AM27" s="37" t="s">
        <v>76</v>
      </c>
      <c r="AN27" s="13">
        <v>0</v>
      </c>
      <c r="AO27" s="37" t="s">
        <v>76</v>
      </c>
      <c r="AP27" s="13">
        <v>0</v>
      </c>
      <c r="AQ27" s="37" t="s">
        <v>76</v>
      </c>
      <c r="AR27" s="13">
        <v>0</v>
      </c>
      <c r="AS27" s="93">
        <v>14.782774088</v>
      </c>
      <c r="AT27" s="94">
        <v>0.3552145612</v>
      </c>
      <c r="AU27" s="93">
        <v>19.237102885999999</v>
      </c>
      <c r="AV27" s="94">
        <v>0.13816912470000001</v>
      </c>
      <c r="AW27" s="93">
        <v>12.621496508</v>
      </c>
      <c r="AX27" s="94">
        <v>7.1141885399999993E-2</v>
      </c>
      <c r="AY27" s="93">
        <v>4.5042073047000004</v>
      </c>
      <c r="AZ27" s="94">
        <v>2.3476899900000001E-2</v>
      </c>
      <c r="BA27" s="79">
        <v>2.1113990735999999</v>
      </c>
      <c r="BB27" s="13">
        <v>4.3550339399999999E-2</v>
      </c>
      <c r="BC27" s="93">
        <v>0</v>
      </c>
      <c r="BD27" s="86">
        <v>0</v>
      </c>
      <c r="BE27" s="93">
        <v>11.702987738999999</v>
      </c>
      <c r="BF27" s="94">
        <v>5.4761730199999997E-2</v>
      </c>
      <c r="BG27" s="94">
        <v>9.4060780000000004E-4</v>
      </c>
      <c r="BH27" s="86">
        <v>0</v>
      </c>
      <c r="BI27" s="93">
        <v>73.934498495</v>
      </c>
      <c r="BJ27" s="94">
        <v>2.5602489373999999</v>
      </c>
      <c r="BK27" s="93">
        <v>72.835059959000006</v>
      </c>
      <c r="BL27" s="94">
        <v>0.5962368253</v>
      </c>
      <c r="BM27" s="93">
        <v>39.51657213</v>
      </c>
      <c r="BN27" s="94">
        <v>0.2372909171</v>
      </c>
      <c r="BO27" s="93">
        <v>2.6747263893</v>
      </c>
      <c r="BP27" s="94">
        <v>6.8240970999999999E-3</v>
      </c>
      <c r="BQ27" s="93">
        <v>0</v>
      </c>
      <c r="BR27" s="88">
        <v>0</v>
      </c>
      <c r="BS27" s="37" t="s">
        <v>76</v>
      </c>
      <c r="BT27" s="13">
        <v>0</v>
      </c>
      <c r="BU27" s="93">
        <v>0.1760007076</v>
      </c>
      <c r="BV27" s="94">
        <v>1.2037912999999999E-3</v>
      </c>
      <c r="BW27" s="93">
        <v>1.71861505E-2</v>
      </c>
      <c r="BX27" s="94">
        <v>6.2959400000000006E-5</v>
      </c>
      <c r="BY27" s="7" t="s">
        <v>76</v>
      </c>
      <c r="BZ27" s="13">
        <v>0</v>
      </c>
      <c r="CA27" s="7" t="s">
        <v>76</v>
      </c>
      <c r="CB27" s="13">
        <v>0</v>
      </c>
      <c r="CC27" s="93">
        <v>17.128172385999999</v>
      </c>
      <c r="CD27" s="94">
        <v>8.7504490800000001E-2</v>
      </c>
      <c r="CE27" s="93">
        <v>0.1184039746</v>
      </c>
      <c r="CF27" s="94">
        <v>7.6729390000000004E-4</v>
      </c>
      <c r="CG27" s="7" t="s">
        <v>76</v>
      </c>
      <c r="CH27" s="13">
        <v>0</v>
      </c>
      <c r="CI27" s="7" t="s">
        <v>76</v>
      </c>
      <c r="CJ27" s="13">
        <v>0</v>
      </c>
      <c r="CK27" s="7" t="s">
        <v>76</v>
      </c>
      <c r="CL27" s="13">
        <v>0</v>
      </c>
      <c r="CM27" s="7" t="s">
        <v>76</v>
      </c>
      <c r="CN27" s="13">
        <v>0</v>
      </c>
      <c r="CO27" s="93">
        <v>0.13909556940000001</v>
      </c>
      <c r="CP27" s="94">
        <v>6.2615770000000004E-4</v>
      </c>
      <c r="CQ27" s="93">
        <v>8.6013859999999997E-4</v>
      </c>
      <c r="CR27" s="94">
        <v>4.9402811000000004E-6</v>
      </c>
      <c r="CS27" s="93">
        <v>0.8437676408</v>
      </c>
      <c r="CT27" s="94">
        <v>3.7919968E-3</v>
      </c>
      <c r="CU27" s="93">
        <v>2.0694626E-3</v>
      </c>
      <c r="CV27" s="94">
        <v>2.2505199999999999E-5</v>
      </c>
      <c r="CW27" s="6" t="s">
        <v>76</v>
      </c>
      <c r="CX27" s="13">
        <v>0</v>
      </c>
      <c r="CY27" s="7" t="s">
        <v>76</v>
      </c>
      <c r="CZ27" s="15">
        <v>0</v>
      </c>
      <c r="DA27" s="93">
        <v>11.999689244000001</v>
      </c>
      <c r="DB27" s="94">
        <v>8.9807561800000005E-2</v>
      </c>
      <c r="DC27" s="93">
        <v>3.8455562499999998E-2</v>
      </c>
      <c r="DD27" s="94">
        <v>3.3897160000000002E-4</v>
      </c>
      <c r="DE27" s="93">
        <v>8.1132761720000008</v>
      </c>
      <c r="DF27" s="94">
        <v>3.2039917899999999E-2</v>
      </c>
      <c r="DG27" s="93">
        <v>6.9555922100000001E-2</v>
      </c>
      <c r="DH27" s="94">
        <v>5.9435059999999999E-4</v>
      </c>
      <c r="DI27" s="188">
        <v>6.4023590000000005E-4</v>
      </c>
      <c r="DJ27" s="189">
        <v>8.7043739999999997E-4</v>
      </c>
      <c r="DK27" s="189">
        <v>9.0408760000000002E-4</v>
      </c>
      <c r="DL27" s="189">
        <v>9.1648350000000001E-4</v>
      </c>
      <c r="DM27" s="189">
        <v>9.2006919999999999E-4</v>
      </c>
      <c r="DN27" s="189">
        <v>9.2296469999999999E-4</v>
      </c>
      <c r="DO27" s="189">
        <v>9.2517010000000004E-4</v>
      </c>
      <c r="DP27" s="189">
        <v>9.2737549999999998E-4</v>
      </c>
      <c r="DQ27" s="189">
        <v>9.2958090000000004E-4</v>
      </c>
      <c r="DR27" s="190">
        <v>9.3178629999999998E-4</v>
      </c>
      <c r="DS27" s="112">
        <v>62.558992975999999</v>
      </c>
      <c r="DT27" s="13">
        <v>1.1046606081999999</v>
      </c>
      <c r="DU27" s="79">
        <v>37.905210898</v>
      </c>
      <c r="DV27" s="13">
        <v>0.67438106229999994</v>
      </c>
      <c r="DW27" s="79">
        <v>22.240894444999999</v>
      </c>
      <c r="DX27" s="13">
        <v>0.40549679319999998</v>
      </c>
      <c r="DY27" s="79">
        <v>12.798858323999999</v>
      </c>
      <c r="DZ27" s="13">
        <v>0.242941515</v>
      </c>
      <c r="EA27" s="79">
        <v>7.3573189516999999</v>
      </c>
      <c r="EB27" s="13">
        <v>0.1471936277</v>
      </c>
      <c r="EC27" s="79">
        <v>4.2511794437999999</v>
      </c>
      <c r="ED27" s="13">
        <v>9.0679802800000001E-2</v>
      </c>
      <c r="EE27" s="79">
        <v>2.4769489928000001</v>
      </c>
      <c r="EF27" s="13">
        <v>5.6951022400000002E-2</v>
      </c>
      <c r="EG27" s="79">
        <v>1.4713103219999999</v>
      </c>
      <c r="EH27" s="13">
        <v>3.6668186200000001E-2</v>
      </c>
      <c r="EI27" s="79">
        <v>0.88836875530000003</v>
      </c>
      <c r="EJ27" s="13">
        <v>2.4025194100000001E-2</v>
      </c>
      <c r="EK27" s="79">
        <v>0.55492036479999995</v>
      </c>
      <c r="EL27" s="15">
        <v>1.6156915800000001E-2</v>
      </c>
      <c r="EM27" s="79"/>
      <c r="EN27" s="13"/>
      <c r="EO27" s="79"/>
      <c r="EP27" s="13"/>
      <c r="EQ27" s="79"/>
      <c r="ER27" s="13"/>
      <c r="ES27" s="79"/>
      <c r="ET27" s="13"/>
      <c r="EU27" s="79"/>
      <c r="EV27" s="15"/>
    </row>
    <row r="28" spans="1:152" x14ac:dyDescent="0.2">
      <c r="A28" s="8">
        <v>2300</v>
      </c>
      <c r="B28" s="82">
        <v>13460</v>
      </c>
      <c r="C28" s="83">
        <v>1397.1285983</v>
      </c>
      <c r="D28" s="93">
        <v>2249.6459101</v>
      </c>
      <c r="E28" s="93">
        <v>13.164960236000001</v>
      </c>
      <c r="F28" s="94">
        <v>3.6549342700000001E-2</v>
      </c>
      <c r="G28" s="83">
        <v>0.81133101480000003</v>
      </c>
      <c r="H28" s="94">
        <v>7.3894569999999999E-4</v>
      </c>
      <c r="I28" s="93">
        <v>137.61795468</v>
      </c>
      <c r="J28" s="94">
        <v>1.7815779392</v>
      </c>
      <c r="K28" s="93">
        <v>146.19736380000001</v>
      </c>
      <c r="L28" s="94">
        <v>1.3298874533</v>
      </c>
      <c r="M28" s="93">
        <v>0.40029214099999999</v>
      </c>
      <c r="N28" s="94">
        <v>2.8147390000000001E-3</v>
      </c>
      <c r="O28" s="37">
        <v>0</v>
      </c>
      <c r="P28" s="13">
        <v>0</v>
      </c>
      <c r="Q28" s="93">
        <v>18.840266230000001</v>
      </c>
      <c r="R28" s="94">
        <v>9.3924358599999994E-2</v>
      </c>
      <c r="S28" s="37" t="s">
        <v>76</v>
      </c>
      <c r="T28" s="13">
        <v>0</v>
      </c>
      <c r="U28" s="37" t="s">
        <v>76</v>
      </c>
      <c r="V28" s="13">
        <v>0</v>
      </c>
      <c r="W28" s="93">
        <v>0.16888742009999999</v>
      </c>
      <c r="X28" s="94">
        <v>8.8072930000000001E-4</v>
      </c>
      <c r="Y28" s="93">
        <v>1.1628920619000001</v>
      </c>
      <c r="Z28" s="94">
        <v>3.3089069999999999E-4</v>
      </c>
      <c r="AA28" s="37" t="s">
        <v>76</v>
      </c>
      <c r="AB28" s="13">
        <v>0</v>
      </c>
      <c r="AC28" s="93">
        <v>0</v>
      </c>
      <c r="AD28" s="94">
        <v>0</v>
      </c>
      <c r="AE28" s="37" t="s">
        <v>76</v>
      </c>
      <c r="AF28" s="13">
        <v>0</v>
      </c>
      <c r="AG28" s="37" t="s">
        <v>76</v>
      </c>
      <c r="AH28" s="13">
        <v>0</v>
      </c>
      <c r="AI28" s="93">
        <v>0</v>
      </c>
      <c r="AJ28" s="94">
        <v>0</v>
      </c>
      <c r="AK28" s="93">
        <v>181.90133372</v>
      </c>
      <c r="AL28" s="94">
        <v>1.1184896747999999</v>
      </c>
      <c r="AM28" s="37" t="s">
        <v>76</v>
      </c>
      <c r="AN28" s="13">
        <v>0</v>
      </c>
      <c r="AO28" s="37" t="s">
        <v>76</v>
      </c>
      <c r="AP28" s="13">
        <v>0</v>
      </c>
      <c r="AQ28" s="37" t="s">
        <v>76</v>
      </c>
      <c r="AR28" s="13">
        <v>0</v>
      </c>
      <c r="AS28" s="93">
        <v>15.450163276</v>
      </c>
      <c r="AT28" s="94">
        <v>0.3645191418</v>
      </c>
      <c r="AU28" s="93">
        <v>19.853912171000001</v>
      </c>
      <c r="AV28" s="94">
        <v>0.1418642212</v>
      </c>
      <c r="AW28" s="93">
        <v>13.040918183</v>
      </c>
      <c r="AX28" s="94">
        <v>7.3161451399999994E-2</v>
      </c>
      <c r="AY28" s="93">
        <v>4.6171620295000002</v>
      </c>
      <c r="AZ28" s="94">
        <v>2.4052415600000002E-2</v>
      </c>
      <c r="BA28" s="79">
        <v>2.1958319578999999</v>
      </c>
      <c r="BB28" s="13">
        <v>4.4650354199999999E-2</v>
      </c>
      <c r="BC28" s="93">
        <v>0</v>
      </c>
      <c r="BD28" s="86">
        <v>0</v>
      </c>
      <c r="BE28" s="93">
        <v>12.503216825999999</v>
      </c>
      <c r="BF28" s="94">
        <v>5.7495890100000002E-2</v>
      </c>
      <c r="BG28" s="94">
        <v>1.0970985999999999E-3</v>
      </c>
      <c r="BH28" s="86">
        <v>0</v>
      </c>
      <c r="BI28" s="93">
        <v>76.492868612999999</v>
      </c>
      <c r="BJ28" s="94">
        <v>2.6246048376000002</v>
      </c>
      <c r="BK28" s="93">
        <v>76.949553734999995</v>
      </c>
      <c r="BL28" s="94">
        <v>0.62399912869999996</v>
      </c>
      <c r="BM28" s="93">
        <v>42.193147263999997</v>
      </c>
      <c r="BN28" s="94">
        <v>0.2497869499</v>
      </c>
      <c r="BO28" s="93">
        <v>2.8984687329000001</v>
      </c>
      <c r="BP28" s="94">
        <v>7.2746983999999997E-3</v>
      </c>
      <c r="BQ28" s="93">
        <v>0</v>
      </c>
      <c r="BR28" s="88">
        <v>0</v>
      </c>
      <c r="BS28" s="37" t="s">
        <v>76</v>
      </c>
      <c r="BT28" s="13">
        <v>0</v>
      </c>
      <c r="BU28" s="93">
        <v>0.1882298604</v>
      </c>
      <c r="BV28" s="94">
        <v>1.2678603000000001E-3</v>
      </c>
      <c r="BW28" s="93">
        <v>1.95048006E-2</v>
      </c>
      <c r="BX28" s="94">
        <v>7.2678700000000006E-5</v>
      </c>
      <c r="BY28" s="7" t="s">
        <v>76</v>
      </c>
      <c r="BZ28" s="13">
        <v>0</v>
      </c>
      <c r="CA28" s="7" t="s">
        <v>76</v>
      </c>
      <c r="CB28" s="13">
        <v>0</v>
      </c>
      <c r="CC28" s="93">
        <v>18.198798822000001</v>
      </c>
      <c r="CD28" s="94">
        <v>9.11156984E-2</v>
      </c>
      <c r="CE28" s="93">
        <v>0.12455412289999999</v>
      </c>
      <c r="CF28" s="94">
        <v>7.951926E-4</v>
      </c>
      <c r="CG28" s="7" t="s">
        <v>76</v>
      </c>
      <c r="CH28" s="13">
        <v>0</v>
      </c>
      <c r="CI28" s="7" t="s">
        <v>76</v>
      </c>
      <c r="CJ28" s="13">
        <v>0</v>
      </c>
      <c r="CK28" s="7" t="s">
        <v>76</v>
      </c>
      <c r="CL28" s="13">
        <v>0</v>
      </c>
      <c r="CM28" s="7" t="s">
        <v>76</v>
      </c>
      <c r="CN28" s="13">
        <v>0</v>
      </c>
      <c r="CO28" s="93">
        <v>0.15206514209999999</v>
      </c>
      <c r="CP28" s="94">
        <v>6.7525889999999996E-4</v>
      </c>
      <c r="CQ28" s="93">
        <v>8.4530569999999999E-4</v>
      </c>
      <c r="CR28" s="94">
        <v>4.8528899999999999E-6</v>
      </c>
      <c r="CS28" s="93">
        <v>0.92841543169999996</v>
      </c>
      <c r="CT28" s="94">
        <v>4.2093505999999999E-3</v>
      </c>
      <c r="CU28" s="93">
        <v>2.0589896E-3</v>
      </c>
      <c r="CV28" s="94">
        <v>2.3676099999999999E-5</v>
      </c>
      <c r="CW28" s="6" t="s">
        <v>76</v>
      </c>
      <c r="CX28" s="13">
        <v>0</v>
      </c>
      <c r="CY28" s="7" t="s">
        <v>76</v>
      </c>
      <c r="CZ28" s="15">
        <v>0</v>
      </c>
      <c r="DA28" s="93">
        <v>12.536634222</v>
      </c>
      <c r="DB28" s="94">
        <v>9.2690278900000006E-2</v>
      </c>
      <c r="DC28" s="93">
        <v>4.4299660800000001E-2</v>
      </c>
      <c r="DD28" s="94">
        <v>3.5674280000000001E-4</v>
      </c>
      <c r="DE28" s="93">
        <v>8.6225016705000002</v>
      </c>
      <c r="DF28" s="94">
        <v>3.3437081799999997E-2</v>
      </c>
      <c r="DG28" s="93">
        <v>7.3142250199999995E-2</v>
      </c>
      <c r="DH28" s="94">
        <v>6.2397050000000001E-4</v>
      </c>
      <c r="DI28" s="188">
        <v>7.2428930000000002E-4</v>
      </c>
      <c r="DJ28" s="189">
        <v>1.000562E-3</v>
      </c>
      <c r="DK28" s="189">
        <v>1.0487700999999999E-3</v>
      </c>
      <c r="DL28" s="189">
        <v>1.0703205E-3</v>
      </c>
      <c r="DM28" s="189">
        <v>1.0753920999999999E-3</v>
      </c>
      <c r="DN28" s="189">
        <v>1.0797859999999999E-3</v>
      </c>
      <c r="DO28" s="189">
        <v>1.0819499999999999E-3</v>
      </c>
      <c r="DP28" s="189">
        <v>1.0841141E-3</v>
      </c>
      <c r="DQ28" s="189">
        <v>1.0862782000000001E-3</v>
      </c>
      <c r="DR28" s="190">
        <v>1.0884422999999999E-3</v>
      </c>
      <c r="DS28" s="112">
        <v>64.566479733999998</v>
      </c>
      <c r="DT28" s="13">
        <v>1.1341972145999999</v>
      </c>
      <c r="DU28" s="79">
        <v>39.486158695</v>
      </c>
      <c r="DV28" s="13">
        <v>0.69854628679999997</v>
      </c>
      <c r="DW28" s="79">
        <v>23.409649247000001</v>
      </c>
      <c r="DX28" s="13">
        <v>0.42418350040000002</v>
      </c>
      <c r="DY28" s="79">
        <v>13.635749412999999</v>
      </c>
      <c r="DZ28" s="13">
        <v>0.25695310710000002</v>
      </c>
      <c r="EA28" s="79">
        <v>7.9396250142999998</v>
      </c>
      <c r="EB28" s="13">
        <v>0.15741380899999999</v>
      </c>
      <c r="EC28" s="79">
        <v>4.6528514257999998</v>
      </c>
      <c r="ED28" s="13">
        <v>9.8068642100000006E-2</v>
      </c>
      <c r="EE28" s="79">
        <v>2.7524593833000002</v>
      </c>
      <c r="EF28" s="13">
        <v>6.2242178400000001E-2</v>
      </c>
      <c r="EG28" s="79">
        <v>1.6565227849999999</v>
      </c>
      <c r="EH28" s="13">
        <v>4.0385513900000003E-2</v>
      </c>
      <c r="EI28" s="79">
        <v>1.0124071585000001</v>
      </c>
      <c r="EJ28" s="13">
        <v>2.6612173499999999E-2</v>
      </c>
      <c r="EK28" s="79">
        <v>0.63653923320000005</v>
      </c>
      <c r="EL28" s="15">
        <v>1.79443624E-2</v>
      </c>
      <c r="EM28" s="79"/>
      <c r="EN28" s="13"/>
      <c r="EO28" s="79"/>
      <c r="EP28" s="13"/>
      <c r="EQ28" s="79"/>
      <c r="ER28" s="13"/>
      <c r="ES28" s="79"/>
      <c r="ET28" s="13"/>
      <c r="EU28" s="79"/>
      <c r="EV28" s="15"/>
    </row>
    <row r="29" spans="1:152" x14ac:dyDescent="0.2">
      <c r="A29" s="8">
        <v>2400</v>
      </c>
      <c r="B29" s="82">
        <v>12924</v>
      </c>
      <c r="C29" s="83">
        <v>1438.2991258</v>
      </c>
      <c r="D29" s="93">
        <v>2349.4960941999998</v>
      </c>
      <c r="E29" s="93">
        <v>14.053638546</v>
      </c>
      <c r="F29" s="94">
        <v>3.8241235999999998E-2</v>
      </c>
      <c r="G29" s="83">
        <v>0.96824688489999999</v>
      </c>
      <c r="H29" s="94">
        <v>8.4859979999999996E-4</v>
      </c>
      <c r="I29" s="93">
        <v>140.77153745000001</v>
      </c>
      <c r="J29" s="94">
        <v>1.8128604612999999</v>
      </c>
      <c r="K29" s="93">
        <v>152.65585096000001</v>
      </c>
      <c r="L29" s="94">
        <v>1.3744294364</v>
      </c>
      <c r="M29" s="93">
        <v>0.42737409100000001</v>
      </c>
      <c r="N29" s="94">
        <v>2.9363868999999999E-3</v>
      </c>
      <c r="O29" s="37">
        <v>0</v>
      </c>
      <c r="P29" s="13">
        <v>0</v>
      </c>
      <c r="Q29" s="93">
        <v>19.888270106</v>
      </c>
      <c r="R29" s="94">
        <v>9.7501413300000006E-2</v>
      </c>
      <c r="S29" s="37" t="s">
        <v>76</v>
      </c>
      <c r="T29" s="13">
        <v>0</v>
      </c>
      <c r="U29" s="37" t="s">
        <v>76</v>
      </c>
      <c r="V29" s="13">
        <v>0</v>
      </c>
      <c r="W29" s="93">
        <v>0.18722638799999999</v>
      </c>
      <c r="X29" s="94">
        <v>1.0137434E-3</v>
      </c>
      <c r="Y29" s="93">
        <v>1.2462651262</v>
      </c>
      <c r="Z29" s="94">
        <v>3.505343E-4</v>
      </c>
      <c r="AA29" s="37" t="s">
        <v>76</v>
      </c>
      <c r="AB29" s="13">
        <v>0</v>
      </c>
      <c r="AC29" s="93">
        <v>0</v>
      </c>
      <c r="AD29" s="94">
        <v>0</v>
      </c>
      <c r="AE29" s="37" t="s">
        <v>76</v>
      </c>
      <c r="AF29" s="13">
        <v>0</v>
      </c>
      <c r="AG29" s="37" t="s">
        <v>76</v>
      </c>
      <c r="AH29" s="13">
        <v>0</v>
      </c>
      <c r="AI29" s="93">
        <v>0</v>
      </c>
      <c r="AJ29" s="94">
        <v>0</v>
      </c>
      <c r="AK29" s="93">
        <v>185.82124371</v>
      </c>
      <c r="AL29" s="94">
        <v>1.1380618399</v>
      </c>
      <c r="AM29" s="37" t="s">
        <v>76</v>
      </c>
      <c r="AN29" s="13">
        <v>0</v>
      </c>
      <c r="AO29" s="37" t="s">
        <v>76</v>
      </c>
      <c r="AP29" s="13">
        <v>0</v>
      </c>
      <c r="AQ29" s="37" t="s">
        <v>76</v>
      </c>
      <c r="AR29" s="13">
        <v>0</v>
      </c>
      <c r="AS29" s="93">
        <v>16.127689684</v>
      </c>
      <c r="AT29" s="94">
        <v>0.37325599030000001</v>
      </c>
      <c r="AU29" s="93">
        <v>20.48189932</v>
      </c>
      <c r="AV29" s="94">
        <v>0.14553397439999999</v>
      </c>
      <c r="AW29" s="93">
        <v>13.520240648</v>
      </c>
      <c r="AX29" s="94">
        <v>7.5256729100000003E-2</v>
      </c>
      <c r="AY29" s="93">
        <v>4.7035389274000003</v>
      </c>
      <c r="AZ29" s="94">
        <v>2.4480338899999999E-2</v>
      </c>
      <c r="BA29" s="79">
        <v>2.2581197441</v>
      </c>
      <c r="BB29" s="13">
        <v>4.5796906399999997E-2</v>
      </c>
      <c r="BC29" s="93">
        <v>0</v>
      </c>
      <c r="BD29" s="86">
        <v>0</v>
      </c>
      <c r="BE29" s="93">
        <v>13.286352645999999</v>
      </c>
      <c r="BF29" s="94">
        <v>6.0024525199999998E-2</v>
      </c>
      <c r="BG29" s="94">
        <v>1.2700959E-3</v>
      </c>
      <c r="BH29" s="86">
        <v>0</v>
      </c>
      <c r="BI29" s="93">
        <v>78.945102473999995</v>
      </c>
      <c r="BJ29" s="94">
        <v>2.6876842276000001</v>
      </c>
      <c r="BK29" s="93">
        <v>80.861873016999994</v>
      </c>
      <c r="BL29" s="94">
        <v>0.64974959210000005</v>
      </c>
      <c r="BM29" s="93">
        <v>44.852978743999998</v>
      </c>
      <c r="BN29" s="94">
        <v>0.26186431259999998</v>
      </c>
      <c r="BO29" s="93">
        <v>3.1597816003000001</v>
      </c>
      <c r="BP29" s="94">
        <v>7.7665870000000001E-3</v>
      </c>
      <c r="BQ29" s="93">
        <v>0</v>
      </c>
      <c r="BR29" s="88">
        <v>0</v>
      </c>
      <c r="BS29" s="37" t="s">
        <v>76</v>
      </c>
      <c r="BT29" s="13">
        <v>0</v>
      </c>
      <c r="BU29" s="93">
        <v>0.2068534101</v>
      </c>
      <c r="BV29" s="94">
        <v>1.3915100999999999E-3</v>
      </c>
      <c r="BW29" s="93">
        <v>1.9770092199999999E-2</v>
      </c>
      <c r="BX29" s="94">
        <v>7.3131600000000003E-5</v>
      </c>
      <c r="BY29" s="7" t="s">
        <v>76</v>
      </c>
      <c r="BZ29" s="13">
        <v>0</v>
      </c>
      <c r="CA29" s="7" t="s">
        <v>76</v>
      </c>
      <c r="CB29" s="13">
        <v>0</v>
      </c>
      <c r="CC29" s="93">
        <v>19.215558553000001</v>
      </c>
      <c r="CD29" s="94">
        <v>9.4572669799999995E-2</v>
      </c>
      <c r="CE29" s="93">
        <v>0.1354505704</v>
      </c>
      <c r="CF29" s="94">
        <v>8.4343410000000004E-4</v>
      </c>
      <c r="CG29" s="7" t="s">
        <v>76</v>
      </c>
      <c r="CH29" s="13">
        <v>0</v>
      </c>
      <c r="CI29" s="7" t="s">
        <v>76</v>
      </c>
      <c r="CJ29" s="13">
        <v>0</v>
      </c>
      <c r="CK29" s="7" t="s">
        <v>76</v>
      </c>
      <c r="CL29" s="13">
        <v>0</v>
      </c>
      <c r="CM29" s="7" t="s">
        <v>76</v>
      </c>
      <c r="CN29" s="13">
        <v>0</v>
      </c>
      <c r="CO29" s="93">
        <v>0.16058535500000001</v>
      </c>
      <c r="CP29" s="94">
        <v>6.987009E-4</v>
      </c>
      <c r="CQ29" s="93">
        <v>8.3231139999999999E-4</v>
      </c>
      <c r="CR29" s="94">
        <v>4.7741007000000002E-6</v>
      </c>
      <c r="CS29" s="93">
        <v>0.99900413509999997</v>
      </c>
      <c r="CT29" s="94">
        <v>4.4414561000000003E-3</v>
      </c>
      <c r="CU29" s="93">
        <v>2.1009511999999998E-3</v>
      </c>
      <c r="CV29" s="94">
        <v>2.4819100000000001E-5</v>
      </c>
      <c r="CW29" s="6" t="s">
        <v>76</v>
      </c>
      <c r="CX29" s="13">
        <v>0</v>
      </c>
      <c r="CY29" s="7" t="s">
        <v>76</v>
      </c>
      <c r="CZ29" s="15">
        <v>0</v>
      </c>
      <c r="DA29" s="93">
        <v>13.081265875</v>
      </c>
      <c r="DB29" s="94">
        <v>9.5551577200000001E-2</v>
      </c>
      <c r="DC29" s="93">
        <v>4.5312260399999998E-2</v>
      </c>
      <c r="DD29" s="94">
        <v>3.6969459999999999E-4</v>
      </c>
      <c r="DE29" s="93">
        <v>9.1315579510999996</v>
      </c>
      <c r="DF29" s="94">
        <v>3.4843792399999997E-2</v>
      </c>
      <c r="DG29" s="93">
        <v>7.5726647999999994E-2</v>
      </c>
      <c r="DH29" s="94">
        <v>6.4244360000000002E-4</v>
      </c>
      <c r="DI29" s="188">
        <v>8.2956309999999999E-4</v>
      </c>
      <c r="DJ29" s="189">
        <v>1.1583235999999999E-3</v>
      </c>
      <c r="DK29" s="189">
        <v>1.2197200999999999E-3</v>
      </c>
      <c r="DL29" s="189">
        <v>1.2437664E-3</v>
      </c>
      <c r="DM29" s="189">
        <v>1.2487514999999999E-3</v>
      </c>
      <c r="DN29" s="189">
        <v>1.2530709999999999E-3</v>
      </c>
      <c r="DO29" s="189">
        <v>1.2551991000000001E-3</v>
      </c>
      <c r="DP29" s="189">
        <v>1.2573273E-3</v>
      </c>
      <c r="DQ29" s="189">
        <v>1.2594554E-3</v>
      </c>
      <c r="DR29" s="190">
        <v>1.2615835000000001E-3</v>
      </c>
      <c r="DS29" s="112">
        <v>66.485066122000006</v>
      </c>
      <c r="DT29" s="13">
        <v>1.1616392169</v>
      </c>
      <c r="DU29" s="79">
        <v>41.000371387000001</v>
      </c>
      <c r="DV29" s="13">
        <v>0.72107789789999999</v>
      </c>
      <c r="DW29" s="79">
        <v>24.549279341999998</v>
      </c>
      <c r="DX29" s="13">
        <v>0.4418229461</v>
      </c>
      <c r="DY29" s="79">
        <v>14.459490056</v>
      </c>
      <c r="DZ29" s="13">
        <v>0.27031757249999999</v>
      </c>
      <c r="EA29" s="79">
        <v>8.5187338462</v>
      </c>
      <c r="EB29" s="13">
        <v>0.1672975068</v>
      </c>
      <c r="EC29" s="79">
        <v>5.0523065186</v>
      </c>
      <c r="ED29" s="13">
        <v>0.10522674849999999</v>
      </c>
      <c r="EE29" s="79">
        <v>3.0214534989000001</v>
      </c>
      <c r="EF29" s="13">
        <v>6.7290422200000005E-2</v>
      </c>
      <c r="EG29" s="79">
        <v>1.8379659924</v>
      </c>
      <c r="EH29" s="13">
        <v>4.3948961100000003E-2</v>
      </c>
      <c r="EI29" s="79">
        <v>1.1345465886999999</v>
      </c>
      <c r="EJ29" s="13">
        <v>2.9103600399999999E-2</v>
      </c>
      <c r="EK29" s="79">
        <v>0.71888463960000004</v>
      </c>
      <c r="EL29" s="15">
        <v>1.968924E-2</v>
      </c>
      <c r="EM29" s="79"/>
      <c r="EN29" s="13"/>
      <c r="EO29" s="79"/>
      <c r="EP29" s="13"/>
      <c r="EQ29" s="79"/>
      <c r="ER29" s="13"/>
      <c r="ES29" s="79"/>
      <c r="ET29" s="13"/>
      <c r="EU29" s="79"/>
      <c r="EV29" s="15"/>
    </row>
    <row r="30" spans="1:152" x14ac:dyDescent="0.2">
      <c r="A30" s="8">
        <v>2500</v>
      </c>
      <c r="B30" s="82">
        <v>12339</v>
      </c>
      <c r="C30" s="83">
        <v>1478.4718855000001</v>
      </c>
      <c r="D30" s="93">
        <v>2449.6397169000002</v>
      </c>
      <c r="E30" s="93">
        <v>14.919357794</v>
      </c>
      <c r="F30" s="94">
        <v>3.9797602299999998E-2</v>
      </c>
      <c r="G30" s="83">
        <v>1.1539156078999999</v>
      </c>
      <c r="H30" s="94">
        <v>9.7354620000000001E-4</v>
      </c>
      <c r="I30" s="93">
        <v>143.8752977</v>
      </c>
      <c r="J30" s="94">
        <v>1.8441909835000001</v>
      </c>
      <c r="K30" s="93">
        <v>158.83172117999999</v>
      </c>
      <c r="L30" s="94">
        <v>1.4181683046</v>
      </c>
      <c r="M30" s="93">
        <v>0.44752939489999999</v>
      </c>
      <c r="N30" s="94">
        <v>3.0748157000000001E-3</v>
      </c>
      <c r="O30" s="37">
        <v>0</v>
      </c>
      <c r="P30" s="13">
        <v>0</v>
      </c>
      <c r="Q30" s="93">
        <v>20.946387052999999</v>
      </c>
      <c r="R30" s="94">
        <v>0.1009615006</v>
      </c>
      <c r="S30" s="37" t="s">
        <v>76</v>
      </c>
      <c r="T30" s="13">
        <v>0</v>
      </c>
      <c r="U30" s="37" t="s">
        <v>76</v>
      </c>
      <c r="V30" s="13">
        <v>0</v>
      </c>
      <c r="W30" s="93">
        <v>0.2022968886</v>
      </c>
      <c r="X30" s="94">
        <v>1.2311214999999999E-3</v>
      </c>
      <c r="Y30" s="93">
        <v>1.3418310854</v>
      </c>
      <c r="Z30" s="94">
        <v>3.5750730000000001E-4</v>
      </c>
      <c r="AA30" s="37" t="s">
        <v>76</v>
      </c>
      <c r="AB30" s="13">
        <v>0</v>
      </c>
      <c r="AC30" s="93">
        <v>0</v>
      </c>
      <c r="AD30" s="94">
        <v>0</v>
      </c>
      <c r="AE30" s="37" t="s">
        <v>76</v>
      </c>
      <c r="AF30" s="13">
        <v>0</v>
      </c>
      <c r="AG30" s="37" t="s">
        <v>76</v>
      </c>
      <c r="AH30" s="13">
        <v>0</v>
      </c>
      <c r="AI30" s="93">
        <v>0</v>
      </c>
      <c r="AJ30" s="94">
        <v>0</v>
      </c>
      <c r="AK30" s="93">
        <v>189.85165337999999</v>
      </c>
      <c r="AL30" s="94">
        <v>1.1581925771999999</v>
      </c>
      <c r="AM30" s="37" t="s">
        <v>76</v>
      </c>
      <c r="AN30" s="13">
        <v>0</v>
      </c>
      <c r="AO30" s="37" t="s">
        <v>76</v>
      </c>
      <c r="AP30" s="13">
        <v>0</v>
      </c>
      <c r="AQ30" s="37" t="s">
        <v>76</v>
      </c>
      <c r="AR30" s="13">
        <v>0</v>
      </c>
      <c r="AS30" s="93">
        <v>16.802627904000001</v>
      </c>
      <c r="AT30" s="94">
        <v>0.38230568840000001</v>
      </c>
      <c r="AU30" s="93">
        <v>21.111086437000001</v>
      </c>
      <c r="AV30" s="94">
        <v>0.14925663889999999</v>
      </c>
      <c r="AW30" s="93">
        <v>13.981014469</v>
      </c>
      <c r="AX30" s="94">
        <v>7.7357555999999994E-2</v>
      </c>
      <c r="AY30" s="93">
        <v>4.7871902487</v>
      </c>
      <c r="AZ30" s="94">
        <v>2.4875744700000001E-2</v>
      </c>
      <c r="BA30" s="79">
        <v>2.3428817197999998</v>
      </c>
      <c r="BB30" s="13">
        <v>4.7023338200000001E-2</v>
      </c>
      <c r="BC30" s="93">
        <v>0</v>
      </c>
      <c r="BD30" s="86">
        <v>0</v>
      </c>
      <c r="BE30" s="93">
        <v>14.155338732000001</v>
      </c>
      <c r="BF30" s="94">
        <v>6.2689695300000001E-2</v>
      </c>
      <c r="BG30" s="94">
        <v>1.4907200000000001E-3</v>
      </c>
      <c r="BH30" s="86">
        <v>0</v>
      </c>
      <c r="BI30" s="93">
        <v>81.333029439000001</v>
      </c>
      <c r="BJ30" s="94">
        <v>2.7486919928</v>
      </c>
      <c r="BK30" s="93">
        <v>84.856832272000005</v>
      </c>
      <c r="BL30" s="94">
        <v>0.67636641620000004</v>
      </c>
      <c r="BM30" s="93">
        <v>47.566201485000001</v>
      </c>
      <c r="BN30" s="94">
        <v>0.2744154667</v>
      </c>
      <c r="BO30" s="93">
        <v>3.4575555928999999</v>
      </c>
      <c r="BP30" s="94">
        <v>8.2813242000000006E-3</v>
      </c>
      <c r="BQ30" s="93">
        <v>0</v>
      </c>
      <c r="BR30" s="88">
        <v>0</v>
      </c>
      <c r="BS30" s="37" t="s">
        <v>76</v>
      </c>
      <c r="BT30" s="13">
        <v>0</v>
      </c>
      <c r="BU30" s="93">
        <v>0.21617973809999999</v>
      </c>
      <c r="BV30" s="94">
        <v>1.4469362999999999E-3</v>
      </c>
      <c r="BW30" s="93">
        <v>2.02125121E-2</v>
      </c>
      <c r="BX30" s="94">
        <v>7.5341399999999997E-5</v>
      </c>
      <c r="BY30" s="7" t="s">
        <v>76</v>
      </c>
      <c r="BZ30" s="13">
        <v>0</v>
      </c>
      <c r="CA30" s="7" t="s">
        <v>76</v>
      </c>
      <c r="CB30" s="13">
        <v>0</v>
      </c>
      <c r="CC30" s="93">
        <v>20.241950991</v>
      </c>
      <c r="CD30" s="94">
        <v>9.7913460699999996E-2</v>
      </c>
      <c r="CE30" s="93">
        <v>0.13996821340000001</v>
      </c>
      <c r="CF30" s="94">
        <v>8.7808540000000005E-4</v>
      </c>
      <c r="CG30" s="7" t="s">
        <v>76</v>
      </c>
      <c r="CH30" s="13">
        <v>0</v>
      </c>
      <c r="CI30" s="7" t="s">
        <v>76</v>
      </c>
      <c r="CJ30" s="13">
        <v>0</v>
      </c>
      <c r="CK30" s="7" t="s">
        <v>76</v>
      </c>
      <c r="CL30" s="13">
        <v>0</v>
      </c>
      <c r="CM30" s="7" t="s">
        <v>76</v>
      </c>
      <c r="CN30" s="13">
        <v>0</v>
      </c>
      <c r="CO30" s="93">
        <v>0.17415791389999999</v>
      </c>
      <c r="CP30" s="94">
        <v>8.745383E-4</v>
      </c>
      <c r="CQ30" s="93">
        <v>9.7096309999999996E-4</v>
      </c>
      <c r="CR30" s="94">
        <v>6.1652986000000001E-6</v>
      </c>
      <c r="CS30" s="93">
        <v>1.0746323027</v>
      </c>
      <c r="CT30" s="94">
        <v>4.8038318999999996E-3</v>
      </c>
      <c r="CU30" s="93">
        <v>2.0678623999999999E-3</v>
      </c>
      <c r="CV30" s="94">
        <v>2.5868200000000001E-5</v>
      </c>
      <c r="CW30" s="6" t="s">
        <v>76</v>
      </c>
      <c r="CX30" s="13">
        <v>0</v>
      </c>
      <c r="CY30" s="7" t="s">
        <v>76</v>
      </c>
      <c r="CZ30" s="15">
        <v>0</v>
      </c>
      <c r="DA30" s="93">
        <v>13.62647486</v>
      </c>
      <c r="DB30" s="94">
        <v>9.8306235399999997E-2</v>
      </c>
      <c r="DC30" s="93">
        <v>4.4700237800000001E-2</v>
      </c>
      <c r="DD30" s="94">
        <v>3.7034299999999997E-4</v>
      </c>
      <c r="DE30" s="93">
        <v>9.6895825072000008</v>
      </c>
      <c r="DF30" s="94">
        <v>3.6332259800000002E-2</v>
      </c>
      <c r="DG30" s="93">
        <v>7.7343932700000007E-2</v>
      </c>
      <c r="DH30" s="94">
        <v>6.6347379999999998E-4</v>
      </c>
      <c r="DI30" s="188">
        <v>9.5174669999999997E-4</v>
      </c>
      <c r="DJ30" s="189">
        <v>1.3473674000000001E-3</v>
      </c>
      <c r="DK30" s="189">
        <v>1.4303248E-3</v>
      </c>
      <c r="DL30" s="189">
        <v>1.4648122000000001E-3</v>
      </c>
      <c r="DM30" s="189">
        <v>1.4697179E-3</v>
      </c>
      <c r="DN30" s="189">
        <v>1.4739687E-3</v>
      </c>
      <c r="DO30" s="189">
        <v>1.4760626E-3</v>
      </c>
      <c r="DP30" s="189">
        <v>1.4781565E-3</v>
      </c>
      <c r="DQ30" s="189">
        <v>1.4802505E-3</v>
      </c>
      <c r="DR30" s="190">
        <v>1.4823443999999999E-3</v>
      </c>
      <c r="DS30" s="112">
        <v>68.393950188999995</v>
      </c>
      <c r="DT30" s="13">
        <v>1.1893605211</v>
      </c>
      <c r="DU30" s="79">
        <v>42.518010752999999</v>
      </c>
      <c r="DV30" s="13">
        <v>0.74403605780000004</v>
      </c>
      <c r="DW30" s="79">
        <v>25.703835996999999</v>
      </c>
      <c r="DX30" s="13">
        <v>0.45999593649999998</v>
      </c>
      <c r="DY30" s="79">
        <v>15.304373901</v>
      </c>
      <c r="DZ30" s="13">
        <v>0.28421634550000002</v>
      </c>
      <c r="EA30" s="79">
        <v>9.1227035232000002</v>
      </c>
      <c r="EB30" s="13">
        <v>0.17772623940000001</v>
      </c>
      <c r="EC30" s="79">
        <v>5.4800134486000003</v>
      </c>
      <c r="ED30" s="13">
        <v>0.1129618812</v>
      </c>
      <c r="EE30" s="79">
        <v>3.324039499</v>
      </c>
      <c r="EF30" s="13">
        <v>7.2992615799999994E-2</v>
      </c>
      <c r="EG30" s="79">
        <v>2.0512258985999998</v>
      </c>
      <c r="EH30" s="13">
        <v>4.8129479099999997E-2</v>
      </c>
      <c r="EI30" s="79">
        <v>1.2851363614</v>
      </c>
      <c r="EJ30" s="13">
        <v>3.2155684099999998E-2</v>
      </c>
      <c r="EK30" s="79">
        <v>0.82510208549999997</v>
      </c>
      <c r="EL30" s="15">
        <v>2.1915458499999999E-2</v>
      </c>
      <c r="EM30" s="79"/>
      <c r="EN30" s="13"/>
      <c r="EO30" s="79"/>
      <c r="EP30" s="13"/>
      <c r="EQ30" s="79"/>
      <c r="ER30" s="13"/>
      <c r="ES30" s="79"/>
      <c r="ET30" s="13"/>
      <c r="EU30" s="79"/>
      <c r="EV30" s="15"/>
    </row>
    <row r="31" spans="1:152" x14ac:dyDescent="0.2">
      <c r="A31" s="8">
        <v>2600</v>
      </c>
      <c r="B31" s="82">
        <v>11770</v>
      </c>
      <c r="C31" s="83">
        <v>1517.6859088000001</v>
      </c>
      <c r="D31" s="93">
        <v>2549.7300647000002</v>
      </c>
      <c r="E31" s="93">
        <v>15.764434681999999</v>
      </c>
      <c r="F31" s="94">
        <v>4.1316995699999998E-2</v>
      </c>
      <c r="G31" s="83">
        <v>1.3619275320999999</v>
      </c>
      <c r="H31" s="94">
        <v>1.1085681999999999E-3</v>
      </c>
      <c r="I31" s="93">
        <v>146.79650187999999</v>
      </c>
      <c r="J31" s="94">
        <v>1.8731567973000001</v>
      </c>
      <c r="K31" s="93">
        <v>165.18890924999999</v>
      </c>
      <c r="L31" s="94">
        <v>1.4618058201999999</v>
      </c>
      <c r="M31" s="93">
        <v>0.47295569770000001</v>
      </c>
      <c r="N31" s="94">
        <v>3.2247533E-3</v>
      </c>
      <c r="O31" s="37">
        <v>0</v>
      </c>
      <c r="P31" s="13">
        <v>0</v>
      </c>
      <c r="Q31" s="93">
        <v>21.932364516</v>
      </c>
      <c r="R31" s="94">
        <v>0.1043380496</v>
      </c>
      <c r="S31" s="37" t="s">
        <v>76</v>
      </c>
      <c r="T31" s="13">
        <v>0</v>
      </c>
      <c r="U31" s="37" t="s">
        <v>76</v>
      </c>
      <c r="V31" s="13">
        <v>0</v>
      </c>
      <c r="W31" s="93">
        <v>0.2175280359</v>
      </c>
      <c r="X31" s="94">
        <v>1.3209372E-3</v>
      </c>
      <c r="Y31" s="93">
        <v>1.4260006465999999</v>
      </c>
      <c r="Z31" s="94">
        <v>3.5840230000000001E-4</v>
      </c>
      <c r="AA31" s="37" t="s">
        <v>76</v>
      </c>
      <c r="AB31" s="13">
        <v>0</v>
      </c>
      <c r="AC31" s="93">
        <v>0</v>
      </c>
      <c r="AD31" s="94">
        <v>0</v>
      </c>
      <c r="AE31" s="37" t="s">
        <v>76</v>
      </c>
      <c r="AF31" s="13">
        <v>0</v>
      </c>
      <c r="AG31" s="37" t="s">
        <v>76</v>
      </c>
      <c r="AH31" s="13">
        <v>0</v>
      </c>
      <c r="AI31" s="93">
        <v>0</v>
      </c>
      <c r="AJ31" s="94">
        <v>0</v>
      </c>
      <c r="AK31" s="93">
        <v>193.57517745000001</v>
      </c>
      <c r="AL31" s="94">
        <v>1.1768390019999999</v>
      </c>
      <c r="AM31" s="37" t="s">
        <v>76</v>
      </c>
      <c r="AN31" s="13">
        <v>0</v>
      </c>
      <c r="AO31" s="37" t="s">
        <v>76</v>
      </c>
      <c r="AP31" s="13">
        <v>0</v>
      </c>
      <c r="AQ31" s="37" t="s">
        <v>76</v>
      </c>
      <c r="AR31" s="13">
        <v>0</v>
      </c>
      <c r="AS31" s="93">
        <v>17.469431697000001</v>
      </c>
      <c r="AT31" s="94">
        <v>0.3905385482</v>
      </c>
      <c r="AU31" s="93">
        <v>21.659426672999999</v>
      </c>
      <c r="AV31" s="94">
        <v>0.15239612720000001</v>
      </c>
      <c r="AW31" s="93">
        <v>14.361700121</v>
      </c>
      <c r="AX31" s="94">
        <v>7.9021464099999994E-2</v>
      </c>
      <c r="AY31" s="93">
        <v>4.8820999131000002</v>
      </c>
      <c r="AZ31" s="94">
        <v>2.53049846E-2</v>
      </c>
      <c r="BA31" s="79">
        <v>2.4156266389000001</v>
      </c>
      <c r="BB31" s="13">
        <v>4.8069678499999997E-2</v>
      </c>
      <c r="BC31" s="93">
        <v>0</v>
      </c>
      <c r="BD31" s="86">
        <v>0</v>
      </c>
      <c r="BE31" s="93">
        <v>15.01726566</v>
      </c>
      <c r="BF31" s="94">
        <v>6.52591961E-2</v>
      </c>
      <c r="BG31" s="94">
        <v>1.7187948000000001E-3</v>
      </c>
      <c r="BH31" s="86">
        <v>0</v>
      </c>
      <c r="BI31" s="93">
        <v>83.671068953000002</v>
      </c>
      <c r="BJ31" s="94">
        <v>2.8091153273999998</v>
      </c>
      <c r="BK31" s="93">
        <v>88.839107467000005</v>
      </c>
      <c r="BL31" s="94">
        <v>0.70166756200000002</v>
      </c>
      <c r="BM31" s="93">
        <v>50.073339445999999</v>
      </c>
      <c r="BN31" s="94">
        <v>0.28608596720000001</v>
      </c>
      <c r="BO31" s="93">
        <v>3.7465492579999999</v>
      </c>
      <c r="BP31" s="94">
        <v>8.8043125999999992E-3</v>
      </c>
      <c r="BQ31" s="93">
        <v>0</v>
      </c>
      <c r="BR31" s="88">
        <v>0</v>
      </c>
      <c r="BS31" s="37" t="s">
        <v>76</v>
      </c>
      <c r="BT31" s="13">
        <v>0</v>
      </c>
      <c r="BU31" s="93">
        <v>0.23329662900000001</v>
      </c>
      <c r="BV31" s="94">
        <v>1.5426280999999999E-3</v>
      </c>
      <c r="BW31" s="93">
        <v>2.1432904799999999E-2</v>
      </c>
      <c r="BX31" s="94">
        <v>8.1078699999999993E-5</v>
      </c>
      <c r="BY31" s="7" t="s">
        <v>76</v>
      </c>
      <c r="BZ31" s="13">
        <v>0</v>
      </c>
      <c r="CA31" s="7" t="s">
        <v>76</v>
      </c>
      <c r="CB31" s="13">
        <v>0</v>
      </c>
      <c r="CC31" s="93">
        <v>21.19263625</v>
      </c>
      <c r="CD31" s="94">
        <v>0.101155231</v>
      </c>
      <c r="CE31" s="93">
        <v>0.14424338919999999</v>
      </c>
      <c r="CF31" s="94">
        <v>9.1096549999999997E-4</v>
      </c>
      <c r="CG31" s="7" t="s">
        <v>76</v>
      </c>
      <c r="CH31" s="13">
        <v>0</v>
      </c>
      <c r="CI31" s="7" t="s">
        <v>76</v>
      </c>
      <c r="CJ31" s="13">
        <v>0</v>
      </c>
      <c r="CK31" s="7" t="s">
        <v>76</v>
      </c>
      <c r="CL31" s="13">
        <v>0</v>
      </c>
      <c r="CM31" s="7" t="s">
        <v>76</v>
      </c>
      <c r="CN31" s="13">
        <v>0</v>
      </c>
      <c r="CO31" s="93">
        <v>0.18572284850000001</v>
      </c>
      <c r="CP31" s="94">
        <v>9.1464360000000002E-4</v>
      </c>
      <c r="CQ31" s="93">
        <v>1.460481E-3</v>
      </c>
      <c r="CR31" s="94">
        <v>1.4711200000000001E-5</v>
      </c>
      <c r="CS31" s="93">
        <v>1.1564292694</v>
      </c>
      <c r="CT31" s="94">
        <v>5.0954212000000002E-3</v>
      </c>
      <c r="CU31" s="93">
        <v>2.0374542999999998E-3</v>
      </c>
      <c r="CV31" s="94">
        <v>2.5466999999999999E-5</v>
      </c>
      <c r="CW31" s="6" t="s">
        <v>76</v>
      </c>
      <c r="CX31" s="13">
        <v>0</v>
      </c>
      <c r="CY31" s="7" t="s">
        <v>76</v>
      </c>
      <c r="CZ31" s="15">
        <v>0</v>
      </c>
      <c r="DA31" s="93">
        <v>14.177161178</v>
      </c>
      <c r="DB31" s="94">
        <v>0.1011192959</v>
      </c>
      <c r="DC31" s="93">
        <v>4.68336959E-2</v>
      </c>
      <c r="DD31" s="94">
        <v>3.8360329999999999E-4</v>
      </c>
      <c r="DE31" s="93">
        <v>10.260811691000001</v>
      </c>
      <c r="DF31" s="94">
        <v>3.7715641600000002E-2</v>
      </c>
      <c r="DG31" s="93">
        <v>8.35197315E-2</v>
      </c>
      <c r="DH31" s="94">
        <v>7.0062270000000005E-4</v>
      </c>
      <c r="DI31" s="188">
        <v>1.0837228999999999E-3</v>
      </c>
      <c r="DJ31" s="189">
        <v>1.5561786000000001E-3</v>
      </c>
      <c r="DK31" s="189">
        <v>1.6539479000000001E-3</v>
      </c>
      <c r="DL31" s="189">
        <v>1.6906992E-3</v>
      </c>
      <c r="DM31" s="189">
        <v>1.6968203E-3</v>
      </c>
      <c r="DN31" s="189">
        <v>1.7022965E-3</v>
      </c>
      <c r="DO31" s="189">
        <v>1.7043588000000001E-3</v>
      </c>
      <c r="DP31" s="189">
        <v>1.7064211000000001E-3</v>
      </c>
      <c r="DQ31" s="189">
        <v>1.7084833999999999E-3</v>
      </c>
      <c r="DR31" s="190">
        <v>1.7105457E-3</v>
      </c>
      <c r="DS31" s="112">
        <v>70.185329792000005</v>
      </c>
      <c r="DT31" s="13">
        <v>1.2149997722999999</v>
      </c>
      <c r="DU31" s="79">
        <v>43.936831920000003</v>
      </c>
      <c r="DV31" s="13">
        <v>0.76523679060000005</v>
      </c>
      <c r="DW31" s="79">
        <v>26.773416643000001</v>
      </c>
      <c r="DX31" s="13">
        <v>0.47669663979999999</v>
      </c>
      <c r="DY31" s="79">
        <v>16.080970603000001</v>
      </c>
      <c r="DZ31" s="13">
        <v>0.29686714870000003</v>
      </c>
      <c r="EA31" s="79">
        <v>9.6747900294000004</v>
      </c>
      <c r="EB31" s="13">
        <v>0.1871398785</v>
      </c>
      <c r="EC31" s="79">
        <v>5.8650677717999997</v>
      </c>
      <c r="ED31" s="13">
        <v>0.11986745090000001</v>
      </c>
      <c r="EE31" s="79">
        <v>3.5867610843</v>
      </c>
      <c r="EF31" s="13">
        <v>7.7979054300000003E-2</v>
      </c>
      <c r="EG31" s="79">
        <v>2.2322376086000002</v>
      </c>
      <c r="EH31" s="13">
        <v>5.1752721600000003E-2</v>
      </c>
      <c r="EI31" s="79">
        <v>1.4092760997</v>
      </c>
      <c r="EJ31" s="13">
        <v>3.4765789800000002E-2</v>
      </c>
      <c r="EK31" s="79">
        <v>0.91047838349999999</v>
      </c>
      <c r="EL31" s="15">
        <v>2.3798814000000001E-2</v>
      </c>
      <c r="EM31" s="79"/>
      <c r="EN31" s="13"/>
      <c r="EO31" s="79"/>
      <c r="EP31" s="13"/>
      <c r="EQ31" s="79"/>
      <c r="ER31" s="13"/>
      <c r="ES31" s="79"/>
      <c r="ET31" s="13"/>
      <c r="EU31" s="79"/>
      <c r="EV31" s="15"/>
    </row>
    <row r="32" spans="1:152" x14ac:dyDescent="0.2">
      <c r="A32" s="8">
        <v>2700</v>
      </c>
      <c r="B32" s="82">
        <v>11720</v>
      </c>
      <c r="C32" s="83">
        <v>1555.9683689000001</v>
      </c>
      <c r="D32" s="93">
        <v>2649.4030984999999</v>
      </c>
      <c r="E32" s="93">
        <v>16.706385484999998</v>
      </c>
      <c r="F32" s="94">
        <v>4.29099493E-2</v>
      </c>
      <c r="G32" s="83">
        <v>1.5717667928000001</v>
      </c>
      <c r="H32" s="94">
        <v>1.2450605E-3</v>
      </c>
      <c r="I32" s="93">
        <v>149.64325026</v>
      </c>
      <c r="J32" s="94">
        <v>1.9019793926999999</v>
      </c>
      <c r="K32" s="93">
        <v>171.47811086999999</v>
      </c>
      <c r="L32" s="94">
        <v>1.5041754329999999</v>
      </c>
      <c r="M32" s="93">
        <v>0.50635040470000003</v>
      </c>
      <c r="N32" s="94">
        <v>3.3828179000000001E-3</v>
      </c>
      <c r="O32" s="37">
        <v>0</v>
      </c>
      <c r="P32" s="13">
        <v>0</v>
      </c>
      <c r="Q32" s="93">
        <v>23.060870439999999</v>
      </c>
      <c r="R32" s="94">
        <v>0.1079059964</v>
      </c>
      <c r="S32" s="37" t="s">
        <v>76</v>
      </c>
      <c r="T32" s="13">
        <v>0</v>
      </c>
      <c r="U32" s="37" t="s">
        <v>76</v>
      </c>
      <c r="V32" s="13">
        <v>0</v>
      </c>
      <c r="W32" s="93">
        <v>0.22543986830000001</v>
      </c>
      <c r="X32" s="94">
        <v>1.3436607E-3</v>
      </c>
      <c r="Y32" s="93">
        <v>1.4934927956999999</v>
      </c>
      <c r="Z32" s="94">
        <v>3.7034699999999998E-4</v>
      </c>
      <c r="AA32" s="37" t="s">
        <v>76</v>
      </c>
      <c r="AB32" s="13">
        <v>0</v>
      </c>
      <c r="AC32" s="93">
        <v>0</v>
      </c>
      <c r="AD32" s="94">
        <v>0</v>
      </c>
      <c r="AE32" s="37" t="s">
        <v>76</v>
      </c>
      <c r="AF32" s="13">
        <v>0</v>
      </c>
      <c r="AG32" s="37" t="s">
        <v>76</v>
      </c>
      <c r="AH32" s="13">
        <v>0</v>
      </c>
      <c r="AI32" s="93">
        <v>0</v>
      </c>
      <c r="AJ32" s="94">
        <v>0</v>
      </c>
      <c r="AK32" s="93">
        <v>197.37813679999999</v>
      </c>
      <c r="AL32" s="94">
        <v>1.1954830378000001</v>
      </c>
      <c r="AM32" s="37" t="s">
        <v>76</v>
      </c>
      <c r="AN32" s="13">
        <v>0</v>
      </c>
      <c r="AO32" s="37" t="s">
        <v>76</v>
      </c>
      <c r="AP32" s="13">
        <v>0</v>
      </c>
      <c r="AQ32" s="37" t="s">
        <v>76</v>
      </c>
      <c r="AR32" s="13">
        <v>0</v>
      </c>
      <c r="AS32" s="93">
        <v>18.126797156999999</v>
      </c>
      <c r="AT32" s="94">
        <v>0.39888823020000003</v>
      </c>
      <c r="AU32" s="93">
        <v>22.276324889000001</v>
      </c>
      <c r="AV32" s="94">
        <v>0.155915109</v>
      </c>
      <c r="AW32" s="93">
        <v>14.800459411</v>
      </c>
      <c r="AX32" s="94">
        <v>8.1010293499999997E-2</v>
      </c>
      <c r="AY32" s="93">
        <v>4.9738976611999997</v>
      </c>
      <c r="AZ32" s="94">
        <v>2.5738629700000001E-2</v>
      </c>
      <c r="BA32" s="79">
        <v>2.5019678166000001</v>
      </c>
      <c r="BB32" s="13">
        <v>4.9166185799999998E-2</v>
      </c>
      <c r="BC32" s="93">
        <v>0</v>
      </c>
      <c r="BD32" s="86">
        <v>0</v>
      </c>
      <c r="BE32" s="93">
        <v>15.825467006</v>
      </c>
      <c r="BF32" s="94">
        <v>6.7553347499999999E-2</v>
      </c>
      <c r="BG32" s="94">
        <v>1.9194631E-3</v>
      </c>
      <c r="BH32" s="86">
        <v>0</v>
      </c>
      <c r="BI32" s="93">
        <v>86.100934566999996</v>
      </c>
      <c r="BJ32" s="94">
        <v>2.8682721963</v>
      </c>
      <c r="BK32" s="93">
        <v>92.954938411000001</v>
      </c>
      <c r="BL32" s="94">
        <v>0.72756669510000005</v>
      </c>
      <c r="BM32" s="93">
        <v>52.668449074000002</v>
      </c>
      <c r="BN32" s="94">
        <v>0.29769800540000002</v>
      </c>
      <c r="BO32" s="93">
        <v>4.0346949228</v>
      </c>
      <c r="BP32" s="94">
        <v>9.2953285999999996E-3</v>
      </c>
      <c r="BQ32" s="93">
        <v>0</v>
      </c>
      <c r="BR32" s="88">
        <v>0</v>
      </c>
      <c r="BS32" s="37" t="s">
        <v>76</v>
      </c>
      <c r="BT32" s="13">
        <v>0</v>
      </c>
      <c r="BU32" s="93">
        <v>0.25400315309999999</v>
      </c>
      <c r="BV32" s="94">
        <v>1.5927843E-3</v>
      </c>
      <c r="BW32" s="93">
        <v>2.26693177E-2</v>
      </c>
      <c r="BX32" s="94">
        <v>9.1203600000000002E-5</v>
      </c>
      <c r="BY32" s="7" t="s">
        <v>76</v>
      </c>
      <c r="BZ32" s="13">
        <v>0</v>
      </c>
      <c r="CA32" s="7" t="s">
        <v>76</v>
      </c>
      <c r="CB32" s="13">
        <v>0</v>
      </c>
      <c r="CC32" s="93">
        <v>22.274672301999999</v>
      </c>
      <c r="CD32" s="94">
        <v>0.104535936</v>
      </c>
      <c r="CE32" s="93">
        <v>0.15424433909999999</v>
      </c>
      <c r="CF32" s="94">
        <v>9.5652560000000005E-4</v>
      </c>
      <c r="CG32" s="7" t="s">
        <v>76</v>
      </c>
      <c r="CH32" s="13">
        <v>0</v>
      </c>
      <c r="CI32" s="7" t="s">
        <v>76</v>
      </c>
      <c r="CJ32" s="13">
        <v>0</v>
      </c>
      <c r="CK32" s="7" t="s">
        <v>76</v>
      </c>
      <c r="CL32" s="13">
        <v>0</v>
      </c>
      <c r="CM32" s="7" t="s">
        <v>76</v>
      </c>
      <c r="CN32" s="13">
        <v>0</v>
      </c>
      <c r="CO32" s="93">
        <v>0.19412088869999999</v>
      </c>
      <c r="CP32" s="94">
        <v>9.5638709999999998E-4</v>
      </c>
      <c r="CQ32" s="93">
        <v>1.4389507000000001E-3</v>
      </c>
      <c r="CR32" s="94">
        <v>1.44852E-5</v>
      </c>
      <c r="CS32" s="93">
        <v>1.2091567374000001</v>
      </c>
      <c r="CT32" s="94">
        <v>5.3281724999999997E-3</v>
      </c>
      <c r="CU32" s="93">
        <v>2.0081637000000001E-3</v>
      </c>
      <c r="CV32" s="94">
        <v>2.5084199999999999E-5</v>
      </c>
      <c r="CW32" s="6" t="s">
        <v>76</v>
      </c>
      <c r="CX32" s="13">
        <v>0</v>
      </c>
      <c r="CY32" s="7" t="s">
        <v>76</v>
      </c>
      <c r="CZ32" s="15">
        <v>0</v>
      </c>
      <c r="DA32" s="93">
        <v>14.719547106</v>
      </c>
      <c r="DB32" s="94">
        <v>0.1038996787</v>
      </c>
      <c r="DC32" s="93">
        <v>5.28634485E-2</v>
      </c>
      <c r="DD32" s="94">
        <v>4.0593729999999998E-4</v>
      </c>
      <c r="DE32" s="93">
        <v>10.789156385</v>
      </c>
      <c r="DF32" s="94">
        <v>3.9075497899999999E-2</v>
      </c>
      <c r="DG32" s="93">
        <v>9.0212019800000001E-2</v>
      </c>
      <c r="DH32" s="94">
        <v>7.2732109999999999E-4</v>
      </c>
      <c r="DI32" s="188">
        <v>1.2193014E-3</v>
      </c>
      <c r="DJ32" s="189">
        <v>1.7486562E-3</v>
      </c>
      <c r="DK32" s="189">
        <v>1.8534809000000001E-3</v>
      </c>
      <c r="DL32" s="189">
        <v>1.8917834999999999E-3</v>
      </c>
      <c r="DM32" s="189">
        <v>1.8978132E-3</v>
      </c>
      <c r="DN32" s="189">
        <v>1.9032078999999999E-3</v>
      </c>
      <c r="DO32" s="189">
        <v>1.9052398E-3</v>
      </c>
      <c r="DP32" s="189">
        <v>1.9072716999999999E-3</v>
      </c>
      <c r="DQ32" s="189">
        <v>1.9093036E-3</v>
      </c>
      <c r="DR32" s="190">
        <v>1.9113355000000001E-3</v>
      </c>
      <c r="DS32" s="112">
        <v>71.941945204000007</v>
      </c>
      <c r="DT32" s="13">
        <v>1.2405336809</v>
      </c>
      <c r="DU32" s="79">
        <v>45.345952914999998</v>
      </c>
      <c r="DV32" s="13">
        <v>0.78647166739999996</v>
      </c>
      <c r="DW32" s="79">
        <v>27.848892291999999</v>
      </c>
      <c r="DX32" s="13">
        <v>0.49355965559999998</v>
      </c>
      <c r="DY32" s="79">
        <v>16.872234027000001</v>
      </c>
      <c r="DZ32" s="13">
        <v>0.30986517120000001</v>
      </c>
      <c r="EA32" s="79">
        <v>10.242502052000001</v>
      </c>
      <c r="EB32" s="13">
        <v>0.1969476101</v>
      </c>
      <c r="EC32" s="79">
        <v>6.2693077293000004</v>
      </c>
      <c r="ED32" s="13">
        <v>0.12721121539999999</v>
      </c>
      <c r="EE32" s="79">
        <v>3.8728778809</v>
      </c>
      <c r="EF32" s="13">
        <v>8.34259361E-2</v>
      </c>
      <c r="EG32" s="79">
        <v>2.4326174697999998</v>
      </c>
      <c r="EH32" s="13">
        <v>5.5750041200000003E-2</v>
      </c>
      <c r="EI32" s="79">
        <v>1.5513429624999999</v>
      </c>
      <c r="EJ32" s="13">
        <v>3.7711140499999997E-2</v>
      </c>
      <c r="EK32" s="79">
        <v>1.0116040825999999</v>
      </c>
      <c r="EL32" s="15">
        <v>2.5987593199999999E-2</v>
      </c>
      <c r="EM32" s="79"/>
      <c r="EN32" s="13"/>
      <c r="EO32" s="79"/>
      <c r="EP32" s="13"/>
      <c r="EQ32" s="79"/>
      <c r="ER32" s="13"/>
      <c r="ES32" s="79"/>
      <c r="ET32" s="13"/>
      <c r="EU32" s="79"/>
      <c r="EV32" s="15"/>
    </row>
    <row r="33" spans="1:152" x14ac:dyDescent="0.2">
      <c r="A33" s="8">
        <v>2800</v>
      </c>
      <c r="B33" s="82">
        <v>11019</v>
      </c>
      <c r="C33" s="83">
        <v>1593.3555448</v>
      </c>
      <c r="D33" s="93">
        <v>2749.9469082000001</v>
      </c>
      <c r="E33" s="93">
        <v>17.705595699</v>
      </c>
      <c r="F33" s="94">
        <v>4.4499114899999997E-2</v>
      </c>
      <c r="G33" s="83">
        <v>1.7867436414</v>
      </c>
      <c r="H33" s="94">
        <v>1.3752845E-3</v>
      </c>
      <c r="I33" s="93">
        <v>152.41486667000001</v>
      </c>
      <c r="J33" s="94">
        <v>1.9290870508</v>
      </c>
      <c r="K33" s="93">
        <v>177.75160416</v>
      </c>
      <c r="L33" s="94">
        <v>1.5471746743999999</v>
      </c>
      <c r="M33" s="93">
        <v>0.52593126400000001</v>
      </c>
      <c r="N33" s="94">
        <v>3.5064382999999998E-3</v>
      </c>
      <c r="O33" s="37">
        <v>0</v>
      </c>
      <c r="P33" s="13">
        <v>0</v>
      </c>
      <c r="Q33" s="93">
        <v>24.138941250999999</v>
      </c>
      <c r="R33" s="94">
        <v>0.1112110402</v>
      </c>
      <c r="S33" s="37" t="s">
        <v>76</v>
      </c>
      <c r="T33" s="13">
        <v>0</v>
      </c>
      <c r="U33" s="37" t="s">
        <v>76</v>
      </c>
      <c r="V33" s="13">
        <v>0</v>
      </c>
      <c r="W33" s="93">
        <v>0.23070141760000001</v>
      </c>
      <c r="X33" s="94">
        <v>1.3807382999999999E-3</v>
      </c>
      <c r="Y33" s="93">
        <v>1.5820525598999999</v>
      </c>
      <c r="Z33" s="94">
        <v>3.7740810000000001E-4</v>
      </c>
      <c r="AA33" s="37" t="s">
        <v>76</v>
      </c>
      <c r="AB33" s="13">
        <v>0</v>
      </c>
      <c r="AC33" s="93">
        <v>0</v>
      </c>
      <c r="AD33" s="94">
        <v>0</v>
      </c>
      <c r="AE33" s="37" t="s">
        <v>76</v>
      </c>
      <c r="AF33" s="13">
        <v>0</v>
      </c>
      <c r="AG33" s="37" t="s">
        <v>76</v>
      </c>
      <c r="AH33" s="13">
        <v>0</v>
      </c>
      <c r="AI33" s="93">
        <v>0</v>
      </c>
      <c r="AJ33" s="94">
        <v>0</v>
      </c>
      <c r="AK33" s="93">
        <v>200.90602507</v>
      </c>
      <c r="AL33" s="94">
        <v>1.2129548122</v>
      </c>
      <c r="AM33" s="37" t="s">
        <v>76</v>
      </c>
      <c r="AN33" s="13">
        <v>0</v>
      </c>
      <c r="AO33" s="37" t="s">
        <v>76</v>
      </c>
      <c r="AP33" s="13">
        <v>0</v>
      </c>
      <c r="AQ33" s="37" t="s">
        <v>76</v>
      </c>
      <c r="AR33" s="13">
        <v>0</v>
      </c>
      <c r="AS33" s="93">
        <v>18.764203322</v>
      </c>
      <c r="AT33" s="94">
        <v>0.40714669339999998</v>
      </c>
      <c r="AU33" s="93">
        <v>22.858362216</v>
      </c>
      <c r="AV33" s="94">
        <v>0.15916833010000001</v>
      </c>
      <c r="AW33" s="93">
        <v>15.217843451</v>
      </c>
      <c r="AX33" s="94">
        <v>8.2809590200000005E-2</v>
      </c>
      <c r="AY33" s="93">
        <v>5.0747451992999997</v>
      </c>
      <c r="AZ33" s="94">
        <v>2.6180005999999999E-2</v>
      </c>
      <c r="BA33" s="79">
        <v>2.5657735658999998</v>
      </c>
      <c r="BB33" s="13">
        <v>5.01787338E-2</v>
      </c>
      <c r="BC33" s="93">
        <v>0</v>
      </c>
      <c r="BD33" s="86">
        <v>0</v>
      </c>
      <c r="BE33" s="93">
        <v>16.712400749</v>
      </c>
      <c r="BF33" s="94">
        <v>7.0027145400000004E-2</v>
      </c>
      <c r="BG33" s="94">
        <v>2.1357609999999999E-3</v>
      </c>
      <c r="BH33" s="86">
        <v>0</v>
      </c>
      <c r="BI33" s="93">
        <v>88.391623573000004</v>
      </c>
      <c r="BJ33" s="94">
        <v>2.9242868425999999</v>
      </c>
      <c r="BK33" s="93">
        <v>96.798132464000005</v>
      </c>
      <c r="BL33" s="94">
        <v>0.75168332780000002</v>
      </c>
      <c r="BM33" s="93">
        <v>55.271429449999999</v>
      </c>
      <c r="BN33" s="94">
        <v>0.30933744439999999</v>
      </c>
      <c r="BO33" s="93">
        <v>4.3364337307999996</v>
      </c>
      <c r="BP33" s="94">
        <v>9.8164593999999997E-3</v>
      </c>
      <c r="BQ33" s="93">
        <v>0</v>
      </c>
      <c r="BR33" s="88">
        <v>0</v>
      </c>
      <c r="BS33" s="37" t="s">
        <v>76</v>
      </c>
      <c r="BT33" s="13">
        <v>0</v>
      </c>
      <c r="BU33" s="93">
        <v>0.26038608940000002</v>
      </c>
      <c r="BV33" s="94">
        <v>1.6602862E-3</v>
      </c>
      <c r="BW33" s="93">
        <v>2.57835329E-2</v>
      </c>
      <c r="BX33" s="94">
        <v>1.138665E-4</v>
      </c>
      <c r="BY33" s="7" t="s">
        <v>76</v>
      </c>
      <c r="BZ33" s="13">
        <v>0</v>
      </c>
      <c r="CA33" s="7" t="s">
        <v>76</v>
      </c>
      <c r="CB33" s="13">
        <v>0</v>
      </c>
      <c r="CC33" s="93">
        <v>23.311489482999999</v>
      </c>
      <c r="CD33" s="94">
        <v>0.1076920868</v>
      </c>
      <c r="CE33" s="93">
        <v>0.16185942740000001</v>
      </c>
      <c r="CF33" s="94">
        <v>9.9760150000000004E-4</v>
      </c>
      <c r="CG33" s="7" t="s">
        <v>76</v>
      </c>
      <c r="CH33" s="13">
        <v>0</v>
      </c>
      <c r="CI33" s="7" t="s">
        <v>76</v>
      </c>
      <c r="CJ33" s="13">
        <v>0</v>
      </c>
      <c r="CK33" s="7" t="s">
        <v>76</v>
      </c>
      <c r="CL33" s="13">
        <v>0</v>
      </c>
      <c r="CM33" s="7" t="s">
        <v>76</v>
      </c>
      <c r="CN33" s="13">
        <v>0</v>
      </c>
      <c r="CO33" s="93">
        <v>0.19547076229999999</v>
      </c>
      <c r="CP33" s="94">
        <v>9.6281999999999997E-4</v>
      </c>
      <c r="CQ33" s="93">
        <v>1.4193998000000001E-3</v>
      </c>
      <c r="CR33" s="94">
        <v>1.42775E-5</v>
      </c>
      <c r="CS33" s="93">
        <v>1.2834620879</v>
      </c>
      <c r="CT33" s="94">
        <v>5.6200848999999999E-3</v>
      </c>
      <c r="CU33" s="93">
        <v>1.9815319999999998E-3</v>
      </c>
      <c r="CV33" s="94">
        <v>2.4728399999999999E-5</v>
      </c>
      <c r="CW33" s="6" t="s">
        <v>76</v>
      </c>
      <c r="CX33" s="13">
        <v>0</v>
      </c>
      <c r="CY33" s="7" t="s">
        <v>76</v>
      </c>
      <c r="CZ33" s="15">
        <v>0</v>
      </c>
      <c r="DA33" s="93">
        <v>15.257536323</v>
      </c>
      <c r="DB33" s="94">
        <v>0.1066687196</v>
      </c>
      <c r="DC33" s="93">
        <v>5.7894243599999999E-2</v>
      </c>
      <c r="DD33" s="94">
        <v>4.2875619999999999E-4</v>
      </c>
      <c r="DE33" s="93">
        <v>11.365240632000001</v>
      </c>
      <c r="DF33" s="94">
        <v>4.0525307699999999E-2</v>
      </c>
      <c r="DG33" s="93">
        <v>9.53899265E-2</v>
      </c>
      <c r="DH33" s="94">
        <v>7.6199299999999998E-4</v>
      </c>
      <c r="DI33" s="188">
        <v>1.3498632E-3</v>
      </c>
      <c r="DJ33" s="189">
        <v>1.9510580000000001E-3</v>
      </c>
      <c r="DK33" s="189">
        <v>2.0674112E-3</v>
      </c>
      <c r="DL33" s="189">
        <v>2.1072061E-3</v>
      </c>
      <c r="DM33" s="189">
        <v>2.1137783999999999E-3</v>
      </c>
      <c r="DN33" s="189">
        <v>2.1197248000000002E-3</v>
      </c>
      <c r="DO33" s="189">
        <v>2.1217292999999998E-3</v>
      </c>
      <c r="DP33" s="189">
        <v>2.1237337999999999E-3</v>
      </c>
      <c r="DQ33" s="189">
        <v>2.1257382999999999E-3</v>
      </c>
      <c r="DR33" s="190">
        <v>2.1277429E-3</v>
      </c>
      <c r="DS33" s="112">
        <v>73.652545988</v>
      </c>
      <c r="DT33" s="13">
        <v>1.2646336046</v>
      </c>
      <c r="DU33" s="79">
        <v>46.717587533</v>
      </c>
      <c r="DV33" s="13">
        <v>0.80666965940000002</v>
      </c>
      <c r="DW33" s="79">
        <v>28.898395131000001</v>
      </c>
      <c r="DX33" s="13">
        <v>0.50971669890000004</v>
      </c>
      <c r="DY33" s="79">
        <v>17.652457044999998</v>
      </c>
      <c r="DZ33" s="13">
        <v>0.32246086029999999</v>
      </c>
      <c r="EA33" s="79">
        <v>10.809335373</v>
      </c>
      <c r="EB33" s="13">
        <v>0.2065925263</v>
      </c>
      <c r="EC33" s="79">
        <v>6.6788780653000002</v>
      </c>
      <c r="ED33" s="13">
        <v>0.13453820080000001</v>
      </c>
      <c r="EE33" s="79">
        <v>4.1689003094999997</v>
      </c>
      <c r="EF33" s="13">
        <v>8.8968422000000005E-2</v>
      </c>
      <c r="EG33" s="79">
        <v>2.6449201844000001</v>
      </c>
      <c r="EH33" s="13">
        <v>5.9928268299999997E-2</v>
      </c>
      <c r="EI33" s="79">
        <v>1.7045163203</v>
      </c>
      <c r="EJ33" s="13">
        <v>4.0868377099999999E-2</v>
      </c>
      <c r="EK33" s="79">
        <v>1.122346914</v>
      </c>
      <c r="EL33" s="15">
        <v>2.8350241000000002E-2</v>
      </c>
      <c r="EM33" s="79"/>
      <c r="EN33" s="13"/>
      <c r="EO33" s="79"/>
      <c r="EP33" s="13"/>
      <c r="EQ33" s="79"/>
      <c r="ER33" s="13"/>
      <c r="ES33" s="79"/>
      <c r="ET33" s="13"/>
      <c r="EU33" s="79"/>
      <c r="EV33" s="15"/>
    </row>
    <row r="34" spans="1:152" x14ac:dyDescent="0.2">
      <c r="A34" s="8">
        <v>2900</v>
      </c>
      <c r="B34" s="82">
        <v>10603</v>
      </c>
      <c r="C34" s="83">
        <v>1629.8796554</v>
      </c>
      <c r="D34" s="93">
        <v>2849.5483669</v>
      </c>
      <c r="E34" s="93">
        <v>18.598288174</v>
      </c>
      <c r="F34" s="94">
        <v>4.59840631E-2</v>
      </c>
      <c r="G34" s="83">
        <v>2.0659937258999999</v>
      </c>
      <c r="H34" s="94">
        <v>1.5438596000000001E-3</v>
      </c>
      <c r="I34" s="93">
        <v>155.08076079</v>
      </c>
      <c r="J34" s="94">
        <v>1.9549596755</v>
      </c>
      <c r="K34" s="93">
        <v>183.81027495999999</v>
      </c>
      <c r="L34" s="94">
        <v>1.5877301116</v>
      </c>
      <c r="M34" s="93">
        <v>0.54635666370000002</v>
      </c>
      <c r="N34" s="94">
        <v>3.6622641000000002E-3</v>
      </c>
      <c r="O34" s="37">
        <v>0</v>
      </c>
      <c r="P34" s="13">
        <v>0</v>
      </c>
      <c r="Q34" s="93">
        <v>25.148762951999998</v>
      </c>
      <c r="R34" s="94">
        <v>0.1142560302</v>
      </c>
      <c r="S34" s="37" t="s">
        <v>76</v>
      </c>
      <c r="T34" s="13">
        <v>0</v>
      </c>
      <c r="U34" s="37" t="s">
        <v>76</v>
      </c>
      <c r="V34" s="13">
        <v>0</v>
      </c>
      <c r="W34" s="93">
        <v>0.2459924644</v>
      </c>
      <c r="X34" s="94">
        <v>1.5199953E-3</v>
      </c>
      <c r="Y34" s="93">
        <v>1.6711792189000001</v>
      </c>
      <c r="Z34" s="94">
        <v>3.9349950000000002E-4</v>
      </c>
      <c r="AA34" s="37" t="s">
        <v>76</v>
      </c>
      <c r="AB34" s="13">
        <v>0</v>
      </c>
      <c r="AC34" s="93">
        <v>0</v>
      </c>
      <c r="AD34" s="94">
        <v>0</v>
      </c>
      <c r="AE34" s="37" t="s">
        <v>76</v>
      </c>
      <c r="AF34" s="13">
        <v>0</v>
      </c>
      <c r="AG34" s="37" t="s">
        <v>76</v>
      </c>
      <c r="AH34" s="13">
        <v>0</v>
      </c>
      <c r="AI34" s="93">
        <v>0</v>
      </c>
      <c r="AJ34" s="94">
        <v>0</v>
      </c>
      <c r="AK34" s="93">
        <v>204.29866572</v>
      </c>
      <c r="AL34" s="94">
        <v>1.2298921918000001</v>
      </c>
      <c r="AM34" s="37" t="s">
        <v>76</v>
      </c>
      <c r="AN34" s="13">
        <v>0</v>
      </c>
      <c r="AO34" s="37" t="s">
        <v>76</v>
      </c>
      <c r="AP34" s="13">
        <v>0</v>
      </c>
      <c r="AQ34" s="37" t="s">
        <v>76</v>
      </c>
      <c r="AR34" s="13">
        <v>0</v>
      </c>
      <c r="AS34" s="93">
        <v>19.428568155000001</v>
      </c>
      <c r="AT34" s="94">
        <v>0.41532398860000003</v>
      </c>
      <c r="AU34" s="93">
        <v>23.409842015999999</v>
      </c>
      <c r="AV34" s="94">
        <v>0.1622004329</v>
      </c>
      <c r="AW34" s="93">
        <v>15.641979159</v>
      </c>
      <c r="AX34" s="94">
        <v>8.4600273899999995E-2</v>
      </c>
      <c r="AY34" s="93">
        <v>5.1553957654999998</v>
      </c>
      <c r="AZ34" s="94">
        <v>2.6548934400000002E-2</v>
      </c>
      <c r="BA34" s="79">
        <v>2.6124670913000001</v>
      </c>
      <c r="BB34" s="13">
        <v>5.10512246E-2</v>
      </c>
      <c r="BC34" s="93">
        <v>0</v>
      </c>
      <c r="BD34" s="86">
        <v>0</v>
      </c>
      <c r="BE34" s="93">
        <v>17.583488318000001</v>
      </c>
      <c r="BF34" s="94">
        <v>7.2404232200000002E-2</v>
      </c>
      <c r="BG34" s="94">
        <v>2.4132537E-3</v>
      </c>
      <c r="BH34" s="86">
        <v>0</v>
      </c>
      <c r="BI34" s="93">
        <v>90.690872463999995</v>
      </c>
      <c r="BJ34" s="94">
        <v>2.9792656626</v>
      </c>
      <c r="BK34" s="93">
        <v>100.94291027</v>
      </c>
      <c r="BL34" s="94">
        <v>0.77733830780000002</v>
      </c>
      <c r="BM34" s="93">
        <v>57.914165818000001</v>
      </c>
      <c r="BN34" s="94">
        <v>0.321045097</v>
      </c>
      <c r="BO34" s="93">
        <v>4.664532189</v>
      </c>
      <c r="BP34" s="94">
        <v>1.03744313E-2</v>
      </c>
      <c r="BQ34" s="93">
        <v>0</v>
      </c>
      <c r="BR34" s="88">
        <v>0</v>
      </c>
      <c r="BS34" s="37" t="s">
        <v>76</v>
      </c>
      <c r="BT34" s="13">
        <v>0</v>
      </c>
      <c r="BU34" s="93">
        <v>0.27097449870000001</v>
      </c>
      <c r="BV34" s="94">
        <v>1.7500581999999999E-3</v>
      </c>
      <c r="BW34" s="93">
        <v>2.71179283E-2</v>
      </c>
      <c r="BX34" s="94">
        <v>1.211693E-4</v>
      </c>
      <c r="BY34" s="7" t="s">
        <v>76</v>
      </c>
      <c r="BZ34" s="13">
        <v>0</v>
      </c>
      <c r="CA34" s="7" t="s">
        <v>76</v>
      </c>
      <c r="CB34" s="13">
        <v>0</v>
      </c>
      <c r="CC34" s="93">
        <v>24.271113101000001</v>
      </c>
      <c r="CD34" s="94">
        <v>0.1105777553</v>
      </c>
      <c r="CE34" s="93">
        <v>0.17445692430000001</v>
      </c>
      <c r="CF34" s="94">
        <v>1.0404692999999999E-3</v>
      </c>
      <c r="CG34" s="7" t="s">
        <v>76</v>
      </c>
      <c r="CH34" s="13">
        <v>0</v>
      </c>
      <c r="CI34" s="7" t="s">
        <v>76</v>
      </c>
      <c r="CJ34" s="13">
        <v>0</v>
      </c>
      <c r="CK34" s="7" t="s">
        <v>76</v>
      </c>
      <c r="CL34" s="13">
        <v>0</v>
      </c>
      <c r="CM34" s="7" t="s">
        <v>76</v>
      </c>
      <c r="CN34" s="13">
        <v>0</v>
      </c>
      <c r="CO34" s="93">
        <v>0.21017638390000001</v>
      </c>
      <c r="CP34" s="94">
        <v>1.0939005E-3</v>
      </c>
      <c r="CQ34" s="93">
        <v>1.4011509E-3</v>
      </c>
      <c r="CR34" s="94">
        <v>1.40889E-5</v>
      </c>
      <c r="CS34" s="93">
        <v>1.3620127141</v>
      </c>
      <c r="CT34" s="94">
        <v>5.9513023999999996E-3</v>
      </c>
      <c r="CU34" s="93">
        <v>2.0620543999999999E-3</v>
      </c>
      <c r="CV34" s="94">
        <v>2.5222200000000001E-5</v>
      </c>
      <c r="CW34" s="6" t="s">
        <v>76</v>
      </c>
      <c r="CX34" s="13">
        <v>0</v>
      </c>
      <c r="CY34" s="7" t="s">
        <v>76</v>
      </c>
      <c r="CZ34" s="15">
        <v>0</v>
      </c>
      <c r="DA34" s="93">
        <v>15.823139458</v>
      </c>
      <c r="DB34" s="94">
        <v>0.1094433878</v>
      </c>
      <c r="DC34" s="93">
        <v>5.7637575699999999E-2</v>
      </c>
      <c r="DD34" s="94">
        <v>4.3175260000000002E-4</v>
      </c>
      <c r="DE34" s="93">
        <v>11.910770166000001</v>
      </c>
      <c r="DF34" s="94">
        <v>4.1809090600000001E-2</v>
      </c>
      <c r="DG34" s="93">
        <v>9.73601261E-2</v>
      </c>
      <c r="DH34" s="94">
        <v>7.7091680000000002E-4</v>
      </c>
      <c r="DI34" s="188">
        <v>1.516702E-3</v>
      </c>
      <c r="DJ34" s="189">
        <v>2.2000927000000001E-3</v>
      </c>
      <c r="DK34" s="189">
        <v>2.3332676999999998E-3</v>
      </c>
      <c r="DL34" s="189">
        <v>2.3814846999999999E-3</v>
      </c>
      <c r="DM34" s="189">
        <v>2.3909410000000002E-3</v>
      </c>
      <c r="DN34" s="189">
        <v>2.3974267E-3</v>
      </c>
      <c r="DO34" s="189">
        <v>2.3994050999999999E-3</v>
      </c>
      <c r="DP34" s="189">
        <v>2.4013835000000002E-3</v>
      </c>
      <c r="DQ34" s="189">
        <v>2.4033618E-3</v>
      </c>
      <c r="DR34" s="190">
        <v>2.4053401999999998E-3</v>
      </c>
      <c r="DS34" s="112">
        <v>75.299719284000005</v>
      </c>
      <c r="DT34" s="13">
        <v>1.2875626490000001</v>
      </c>
      <c r="DU34" s="79">
        <v>48.039051766999997</v>
      </c>
      <c r="DV34" s="13">
        <v>0.82578825899999997</v>
      </c>
      <c r="DW34" s="79">
        <v>29.916375964</v>
      </c>
      <c r="DX34" s="13">
        <v>0.52496003209999997</v>
      </c>
      <c r="DY34" s="79">
        <v>18.412953143999999</v>
      </c>
      <c r="DZ34" s="13">
        <v>0.3343139369</v>
      </c>
      <c r="EA34" s="79">
        <v>11.366005804</v>
      </c>
      <c r="EB34" s="13">
        <v>0.2156521757</v>
      </c>
      <c r="EC34" s="79">
        <v>7.0840241912000002</v>
      </c>
      <c r="ED34" s="13">
        <v>0.14142136659999999</v>
      </c>
      <c r="EE34" s="79">
        <v>4.4646573076999996</v>
      </c>
      <c r="EF34" s="13">
        <v>9.4207513300000004E-2</v>
      </c>
      <c r="EG34" s="79">
        <v>2.8580529099</v>
      </c>
      <c r="EH34" s="13">
        <v>6.3878212399999995E-2</v>
      </c>
      <c r="EI34" s="79">
        <v>1.8585505365999999</v>
      </c>
      <c r="EJ34" s="13">
        <v>4.3839479399999999E-2</v>
      </c>
      <c r="EK34" s="79">
        <v>1.2340994019</v>
      </c>
      <c r="EL34" s="15">
        <v>3.0587740400000001E-2</v>
      </c>
      <c r="EM34" s="79"/>
      <c r="EN34" s="13"/>
      <c r="EO34" s="79"/>
      <c r="EP34" s="13"/>
      <c r="EQ34" s="79"/>
      <c r="ER34" s="13"/>
      <c r="ES34" s="79"/>
      <c r="ET34" s="13"/>
      <c r="EU34" s="79"/>
      <c r="EV34" s="15"/>
    </row>
    <row r="35" spans="1:152" x14ac:dyDescent="0.2">
      <c r="A35" s="8">
        <v>3000</v>
      </c>
      <c r="B35" s="82">
        <v>10179</v>
      </c>
      <c r="C35" s="83">
        <v>1665.5737005000001</v>
      </c>
      <c r="D35" s="93">
        <v>2949.3432441999998</v>
      </c>
      <c r="E35" s="93">
        <v>19.647507872999999</v>
      </c>
      <c r="F35" s="94">
        <v>4.7568937800000002E-2</v>
      </c>
      <c r="G35" s="83">
        <v>2.3520445140000001</v>
      </c>
      <c r="H35" s="94">
        <v>1.7070589000000001E-3</v>
      </c>
      <c r="I35" s="93">
        <v>157.75398916</v>
      </c>
      <c r="J35" s="94">
        <v>1.9805955333</v>
      </c>
      <c r="K35" s="93">
        <v>189.59046979999999</v>
      </c>
      <c r="L35" s="94">
        <v>1.6267156414999999</v>
      </c>
      <c r="M35" s="93">
        <v>0.56545288510000002</v>
      </c>
      <c r="N35" s="94">
        <v>3.7873772999999999E-3</v>
      </c>
      <c r="O35" s="37">
        <v>0</v>
      </c>
      <c r="P35" s="13">
        <v>0</v>
      </c>
      <c r="Q35" s="93">
        <v>26.203061825999999</v>
      </c>
      <c r="R35" s="94">
        <v>0.11739787159999999</v>
      </c>
      <c r="S35" s="37" t="s">
        <v>76</v>
      </c>
      <c r="T35" s="13">
        <v>0</v>
      </c>
      <c r="U35" s="37" t="s">
        <v>76</v>
      </c>
      <c r="V35" s="13">
        <v>0</v>
      </c>
      <c r="W35" s="93">
        <v>0.25869988659999998</v>
      </c>
      <c r="X35" s="94">
        <v>1.5654886000000001E-3</v>
      </c>
      <c r="Y35" s="93">
        <v>1.7811573376000001</v>
      </c>
      <c r="Z35" s="94">
        <v>4.2075599999999999E-4</v>
      </c>
      <c r="AA35" s="37" t="s">
        <v>76</v>
      </c>
      <c r="AB35" s="13">
        <v>0</v>
      </c>
      <c r="AC35" s="93">
        <v>0</v>
      </c>
      <c r="AD35" s="94">
        <v>0</v>
      </c>
      <c r="AE35" s="37" t="s">
        <v>76</v>
      </c>
      <c r="AF35" s="13">
        <v>0</v>
      </c>
      <c r="AG35" s="37" t="s">
        <v>76</v>
      </c>
      <c r="AH35" s="13">
        <v>0</v>
      </c>
      <c r="AI35" s="93">
        <v>0</v>
      </c>
      <c r="AJ35" s="94">
        <v>0</v>
      </c>
      <c r="AK35" s="93">
        <v>207.64861685</v>
      </c>
      <c r="AL35" s="94">
        <v>1.2461135598999999</v>
      </c>
      <c r="AM35" s="37" t="s">
        <v>76</v>
      </c>
      <c r="AN35" s="13">
        <v>0</v>
      </c>
      <c r="AO35" s="37" t="s">
        <v>76</v>
      </c>
      <c r="AP35" s="13">
        <v>0</v>
      </c>
      <c r="AQ35" s="37" t="s">
        <v>76</v>
      </c>
      <c r="AR35" s="13">
        <v>0</v>
      </c>
      <c r="AS35" s="93">
        <v>20.109842476000001</v>
      </c>
      <c r="AT35" s="94">
        <v>0.42256737109999998</v>
      </c>
      <c r="AU35" s="93">
        <v>23.890869238000001</v>
      </c>
      <c r="AV35" s="94">
        <v>0.16504456479999999</v>
      </c>
      <c r="AW35" s="93">
        <v>15.989288373000001</v>
      </c>
      <c r="AX35" s="94">
        <v>8.6144732500000001E-2</v>
      </c>
      <c r="AY35" s="93">
        <v>5.2251044880000004</v>
      </c>
      <c r="AZ35" s="94">
        <v>2.6881163400000001E-2</v>
      </c>
      <c r="BA35" s="79">
        <v>2.6764763776999998</v>
      </c>
      <c r="BB35" s="13">
        <v>5.2018668900000002E-2</v>
      </c>
      <c r="BC35" s="93">
        <v>0</v>
      </c>
      <c r="BD35" s="86">
        <v>0</v>
      </c>
      <c r="BE35" s="93">
        <v>18.496245858999998</v>
      </c>
      <c r="BF35" s="94">
        <v>7.4893094300000004E-2</v>
      </c>
      <c r="BG35" s="94">
        <v>2.6826254999999999E-3</v>
      </c>
      <c r="BH35" s="86">
        <v>0</v>
      </c>
      <c r="BI35" s="93">
        <v>92.768915964000001</v>
      </c>
      <c r="BJ35" s="94">
        <v>3.0304675318999998</v>
      </c>
      <c r="BK35" s="93">
        <v>104.79164290999999</v>
      </c>
      <c r="BL35" s="94">
        <v>0.80090681720000001</v>
      </c>
      <c r="BM35" s="93">
        <v>60.440419458000001</v>
      </c>
      <c r="BN35" s="94">
        <v>0.33196572569999999</v>
      </c>
      <c r="BO35" s="93">
        <v>4.9422561416999997</v>
      </c>
      <c r="BP35" s="94">
        <v>1.0859791299999999E-2</v>
      </c>
      <c r="BQ35" s="93">
        <v>0</v>
      </c>
      <c r="BR35" s="88">
        <v>0</v>
      </c>
      <c r="BS35" s="37" t="s">
        <v>76</v>
      </c>
      <c r="BT35" s="13">
        <v>0</v>
      </c>
      <c r="BU35" s="93">
        <v>0.27786172479999999</v>
      </c>
      <c r="BV35" s="94">
        <v>1.7852452E-3</v>
      </c>
      <c r="BW35" s="93">
        <v>3.0030406400000001E-2</v>
      </c>
      <c r="BX35" s="94">
        <v>1.2891660000000001E-4</v>
      </c>
      <c r="BY35" s="7" t="s">
        <v>76</v>
      </c>
      <c r="BZ35" s="13">
        <v>0</v>
      </c>
      <c r="CA35" s="7" t="s">
        <v>76</v>
      </c>
      <c r="CB35" s="13">
        <v>0</v>
      </c>
      <c r="CC35" s="93">
        <v>25.287799738</v>
      </c>
      <c r="CD35" s="94">
        <v>0.11361796840000001</v>
      </c>
      <c r="CE35" s="93">
        <v>0.18022465630000001</v>
      </c>
      <c r="CF35" s="94">
        <v>1.077436E-3</v>
      </c>
      <c r="CG35" s="7" t="s">
        <v>76</v>
      </c>
      <c r="CH35" s="13">
        <v>0</v>
      </c>
      <c r="CI35" s="7" t="s">
        <v>76</v>
      </c>
      <c r="CJ35" s="13">
        <v>0</v>
      </c>
      <c r="CK35" s="7" t="s">
        <v>76</v>
      </c>
      <c r="CL35" s="13">
        <v>0</v>
      </c>
      <c r="CM35" s="7" t="s">
        <v>76</v>
      </c>
      <c r="CN35" s="13">
        <v>0</v>
      </c>
      <c r="CO35" s="93">
        <v>0.2204134677</v>
      </c>
      <c r="CP35" s="94">
        <v>1.1274868000000001E-3</v>
      </c>
      <c r="CQ35" s="93">
        <v>1.3838266000000001E-3</v>
      </c>
      <c r="CR35" s="94">
        <v>1.39075E-5</v>
      </c>
      <c r="CS35" s="93">
        <v>1.4594042265</v>
      </c>
      <c r="CT35" s="94">
        <v>6.3284496000000001E-3</v>
      </c>
      <c r="CU35" s="93">
        <v>2.2017616000000002E-3</v>
      </c>
      <c r="CV35" s="94">
        <v>2.55108E-5</v>
      </c>
      <c r="CW35" s="6" t="s">
        <v>76</v>
      </c>
      <c r="CX35" s="13">
        <v>0</v>
      </c>
      <c r="CY35" s="7" t="s">
        <v>76</v>
      </c>
      <c r="CZ35" s="15">
        <v>0</v>
      </c>
      <c r="DA35" s="93">
        <v>16.398166516</v>
      </c>
      <c r="DB35" s="94">
        <v>0.112044745</v>
      </c>
      <c r="DC35" s="93">
        <v>5.9269687500000001E-2</v>
      </c>
      <c r="DD35" s="94">
        <v>4.4307390000000003E-4</v>
      </c>
      <c r="DE35" s="93">
        <v>12.494846096</v>
      </c>
      <c r="DF35" s="94">
        <v>4.3165174100000002E-2</v>
      </c>
      <c r="DG35" s="93">
        <v>9.9454433800000006E-2</v>
      </c>
      <c r="DH35" s="94">
        <v>7.9031109999999996E-4</v>
      </c>
      <c r="DI35" s="188">
        <v>1.6794295E-3</v>
      </c>
      <c r="DJ35" s="189">
        <v>2.4401722000000001E-3</v>
      </c>
      <c r="DK35" s="189">
        <v>2.5964440999999999E-3</v>
      </c>
      <c r="DL35" s="189">
        <v>2.6482340000000002E-3</v>
      </c>
      <c r="DM35" s="189">
        <v>2.6597834999999999E-3</v>
      </c>
      <c r="DN35" s="189">
        <v>2.6669823000000001E-3</v>
      </c>
      <c r="DO35" s="189">
        <v>2.6689376999999999E-3</v>
      </c>
      <c r="DP35" s="189">
        <v>2.6708931000000002E-3</v>
      </c>
      <c r="DQ35" s="189">
        <v>2.6728485E-3</v>
      </c>
      <c r="DR35" s="190">
        <v>2.6748039000000002E-3</v>
      </c>
      <c r="DS35" s="112">
        <v>76.960505009000002</v>
      </c>
      <c r="DT35" s="13">
        <v>1.3105057393999999</v>
      </c>
      <c r="DU35" s="79">
        <v>49.374277470999999</v>
      </c>
      <c r="DV35" s="13">
        <v>0.84503649030000005</v>
      </c>
      <c r="DW35" s="79">
        <v>30.944323283999999</v>
      </c>
      <c r="DX35" s="13">
        <v>0.54040890610000003</v>
      </c>
      <c r="DY35" s="79">
        <v>19.184067811999999</v>
      </c>
      <c r="DZ35" s="13">
        <v>0.34640439670000001</v>
      </c>
      <c r="EA35" s="79">
        <v>11.934179105</v>
      </c>
      <c r="EB35" s="13">
        <v>0.22496948350000001</v>
      </c>
      <c r="EC35" s="79">
        <v>7.4989034082000003</v>
      </c>
      <c r="ED35" s="13">
        <v>0.14852905929999999</v>
      </c>
      <c r="EE35" s="79">
        <v>4.7637035977000002</v>
      </c>
      <c r="EF35" s="13">
        <v>9.9600525600000003E-2</v>
      </c>
      <c r="EG35" s="79">
        <v>3.0777412936999999</v>
      </c>
      <c r="EH35" s="13">
        <v>6.7987649499999997E-2</v>
      </c>
      <c r="EI35" s="79">
        <v>2.0180605835000001</v>
      </c>
      <c r="EJ35" s="13">
        <v>4.69308113E-2</v>
      </c>
      <c r="EK35" s="79">
        <v>1.3507108245999999</v>
      </c>
      <c r="EL35" s="15">
        <v>3.2913079099999999E-2</v>
      </c>
      <c r="EM35" s="79"/>
      <c r="EN35" s="13"/>
      <c r="EO35" s="79"/>
      <c r="EP35" s="13"/>
      <c r="EQ35" s="79"/>
      <c r="ER35" s="13"/>
      <c r="ES35" s="79"/>
      <c r="ET35" s="13"/>
      <c r="EU35" s="79"/>
      <c r="EV35" s="15"/>
    </row>
    <row r="36" spans="1:152" x14ac:dyDescent="0.2">
      <c r="A36" s="8">
        <v>3100</v>
      </c>
      <c r="B36" s="82">
        <v>9688</v>
      </c>
      <c r="C36" s="83">
        <v>1700.4866701999999</v>
      </c>
      <c r="D36" s="93">
        <v>3049.4247088000002</v>
      </c>
      <c r="E36" s="93">
        <v>20.607100035999999</v>
      </c>
      <c r="F36" s="94">
        <v>4.8983315299999997E-2</v>
      </c>
      <c r="G36" s="83">
        <v>2.6367617330000002</v>
      </c>
      <c r="H36" s="94">
        <v>1.8896923E-3</v>
      </c>
      <c r="I36" s="93">
        <v>160.13830383999999</v>
      </c>
      <c r="J36" s="94">
        <v>2.0041551614999999</v>
      </c>
      <c r="K36" s="93">
        <v>195.2795241</v>
      </c>
      <c r="L36" s="94">
        <v>1.6648267765</v>
      </c>
      <c r="M36" s="93">
        <v>0.59059805769999996</v>
      </c>
      <c r="N36" s="94">
        <v>3.9403830000000004E-3</v>
      </c>
      <c r="O36" s="37">
        <v>0</v>
      </c>
      <c r="P36" s="13">
        <v>0</v>
      </c>
      <c r="Q36" s="93">
        <v>27.306708926999999</v>
      </c>
      <c r="R36" s="94">
        <v>0.120487153</v>
      </c>
      <c r="S36" s="37" t="s">
        <v>76</v>
      </c>
      <c r="T36" s="13">
        <v>0</v>
      </c>
      <c r="U36" s="37" t="s">
        <v>76</v>
      </c>
      <c r="V36" s="13">
        <v>0</v>
      </c>
      <c r="W36" s="93">
        <v>0.26941830179999998</v>
      </c>
      <c r="X36" s="94">
        <v>1.5734582000000001E-3</v>
      </c>
      <c r="Y36" s="93">
        <v>1.8944508631000001</v>
      </c>
      <c r="Z36" s="94">
        <v>4.3065809999999998E-4</v>
      </c>
      <c r="AA36" s="37" t="s">
        <v>76</v>
      </c>
      <c r="AB36" s="13">
        <v>0</v>
      </c>
      <c r="AC36" s="93">
        <v>0</v>
      </c>
      <c r="AD36" s="94">
        <v>0</v>
      </c>
      <c r="AE36" s="37" t="s">
        <v>76</v>
      </c>
      <c r="AF36" s="13">
        <v>0</v>
      </c>
      <c r="AG36" s="37" t="s">
        <v>76</v>
      </c>
      <c r="AH36" s="13">
        <v>0</v>
      </c>
      <c r="AI36" s="93">
        <v>0</v>
      </c>
      <c r="AJ36" s="94">
        <v>0</v>
      </c>
      <c r="AK36" s="93">
        <v>210.7748498</v>
      </c>
      <c r="AL36" s="94">
        <v>1.2617953815</v>
      </c>
      <c r="AM36" s="37" t="s">
        <v>76</v>
      </c>
      <c r="AN36" s="13">
        <v>0</v>
      </c>
      <c r="AO36" s="37" t="s">
        <v>76</v>
      </c>
      <c r="AP36" s="13">
        <v>0</v>
      </c>
      <c r="AQ36" s="37" t="s">
        <v>76</v>
      </c>
      <c r="AR36" s="13">
        <v>0</v>
      </c>
      <c r="AS36" s="93">
        <v>20.705366526999999</v>
      </c>
      <c r="AT36" s="94">
        <v>0.42953915970000001</v>
      </c>
      <c r="AU36" s="93">
        <v>24.407077224999998</v>
      </c>
      <c r="AV36" s="94">
        <v>0.1678942226</v>
      </c>
      <c r="AW36" s="93">
        <v>16.353253209999998</v>
      </c>
      <c r="AX36" s="94">
        <v>8.7652516099999994E-2</v>
      </c>
      <c r="AY36" s="93">
        <v>5.3144748252999996</v>
      </c>
      <c r="AZ36" s="94">
        <v>2.72839663E-2</v>
      </c>
      <c r="BA36" s="79">
        <v>2.7393491893999999</v>
      </c>
      <c r="BB36" s="13">
        <v>5.2957740199999999E-2</v>
      </c>
      <c r="BC36" s="93">
        <v>0</v>
      </c>
      <c r="BD36" s="86">
        <v>0</v>
      </c>
      <c r="BE36" s="93">
        <v>19.429229876000001</v>
      </c>
      <c r="BF36" s="94">
        <v>7.7303326399999997E-2</v>
      </c>
      <c r="BG36" s="94">
        <v>3.0103309000000002E-3</v>
      </c>
      <c r="BH36" s="86">
        <v>0</v>
      </c>
      <c r="BI36" s="93">
        <v>94.819409977000007</v>
      </c>
      <c r="BJ36" s="94">
        <v>3.0799225431999999</v>
      </c>
      <c r="BK36" s="93">
        <v>108.6066977</v>
      </c>
      <c r="BL36" s="94">
        <v>0.82398481889999997</v>
      </c>
      <c r="BM36" s="93">
        <v>62.977330999000003</v>
      </c>
      <c r="BN36" s="94">
        <v>0.34267767850000003</v>
      </c>
      <c r="BO36" s="93">
        <v>5.2664124382999997</v>
      </c>
      <c r="BP36" s="94">
        <v>1.1365183100000001E-2</v>
      </c>
      <c r="BQ36" s="93">
        <v>0</v>
      </c>
      <c r="BR36" s="88">
        <v>0</v>
      </c>
      <c r="BS36" s="37" t="s">
        <v>76</v>
      </c>
      <c r="BT36" s="13">
        <v>0</v>
      </c>
      <c r="BU36" s="93">
        <v>0.29164993929999999</v>
      </c>
      <c r="BV36" s="94">
        <v>1.8658753E-3</v>
      </c>
      <c r="BW36" s="93">
        <v>3.11333006E-2</v>
      </c>
      <c r="BX36" s="94">
        <v>1.3148780000000001E-4</v>
      </c>
      <c r="BY36" s="7" t="s">
        <v>76</v>
      </c>
      <c r="BZ36" s="13">
        <v>0</v>
      </c>
      <c r="CA36" s="7" t="s">
        <v>76</v>
      </c>
      <c r="CB36" s="13">
        <v>0</v>
      </c>
      <c r="CC36" s="93">
        <v>26.348687116000001</v>
      </c>
      <c r="CD36" s="94">
        <v>0.1165690023</v>
      </c>
      <c r="CE36" s="93">
        <v>0.1952622691</v>
      </c>
      <c r="CF36" s="94">
        <v>1.1248895E-3</v>
      </c>
      <c r="CG36" s="7" t="s">
        <v>76</v>
      </c>
      <c r="CH36" s="13">
        <v>0</v>
      </c>
      <c r="CI36" s="7" t="s">
        <v>76</v>
      </c>
      <c r="CJ36" s="13">
        <v>0</v>
      </c>
      <c r="CK36" s="7" t="s">
        <v>76</v>
      </c>
      <c r="CL36" s="13">
        <v>0</v>
      </c>
      <c r="CM36" s="7" t="s">
        <v>76</v>
      </c>
      <c r="CN36" s="13">
        <v>0</v>
      </c>
      <c r="CO36" s="93">
        <v>0.23098208540000001</v>
      </c>
      <c r="CP36" s="94">
        <v>1.1366823000000001E-3</v>
      </c>
      <c r="CQ36" s="93">
        <v>1.3681761000000001E-3</v>
      </c>
      <c r="CR36" s="94">
        <v>1.3742499999999999E-5</v>
      </c>
      <c r="CS36" s="93">
        <v>1.5609502435</v>
      </c>
      <c r="CT36" s="94">
        <v>6.7039272999999998E-3</v>
      </c>
      <c r="CU36" s="93">
        <v>2.2647339E-3</v>
      </c>
      <c r="CV36" s="94">
        <v>2.7200799999999999E-5</v>
      </c>
      <c r="CW36" s="6" t="s">
        <v>76</v>
      </c>
      <c r="CX36" s="13">
        <v>0</v>
      </c>
      <c r="CY36" s="7" t="s">
        <v>76</v>
      </c>
      <c r="CZ36" s="15">
        <v>0</v>
      </c>
      <c r="DA36" s="93">
        <v>16.892465564999998</v>
      </c>
      <c r="DB36" s="94">
        <v>0.114380702</v>
      </c>
      <c r="DC36" s="93">
        <v>6.03983955E-2</v>
      </c>
      <c r="DD36" s="94">
        <v>4.5322679999999999E-4</v>
      </c>
      <c r="DE36" s="93">
        <v>13.087544853000001</v>
      </c>
      <c r="DF36" s="94">
        <v>4.4442347E-2</v>
      </c>
      <c r="DG36" s="93">
        <v>9.93709324E-2</v>
      </c>
      <c r="DH36" s="94">
        <v>8.0356570000000003E-4</v>
      </c>
      <c r="DI36" s="188">
        <v>1.8445288000000001E-3</v>
      </c>
      <c r="DJ36" s="189">
        <v>2.7056235000000001E-3</v>
      </c>
      <c r="DK36" s="189">
        <v>2.8872533999999999E-3</v>
      </c>
      <c r="DL36" s="189">
        <v>2.9457323000000001E-3</v>
      </c>
      <c r="DM36" s="189">
        <v>2.9598826999999999E-3</v>
      </c>
      <c r="DN36" s="189">
        <v>2.9683924E-3</v>
      </c>
      <c r="DO36" s="189">
        <v>2.9717197000000001E-3</v>
      </c>
      <c r="DP36" s="189">
        <v>2.9750470000000002E-3</v>
      </c>
      <c r="DQ36" s="189">
        <v>2.9783742999999999E-3</v>
      </c>
      <c r="DR36" s="190">
        <v>2.9817017E-3</v>
      </c>
      <c r="DS36" s="112">
        <v>78.447783438000002</v>
      </c>
      <c r="DT36" s="13">
        <v>1.3315917211999999</v>
      </c>
      <c r="DU36" s="79">
        <v>50.585482288999998</v>
      </c>
      <c r="DV36" s="13">
        <v>0.86281804500000003</v>
      </c>
      <c r="DW36" s="79">
        <v>31.890271379000001</v>
      </c>
      <c r="DX36" s="13">
        <v>0.55475971970000004</v>
      </c>
      <c r="DY36" s="79">
        <v>19.898390065000001</v>
      </c>
      <c r="DZ36" s="13">
        <v>0.35765342439999998</v>
      </c>
      <c r="EA36" s="79">
        <v>12.457053058</v>
      </c>
      <c r="EB36" s="13">
        <v>0.233568311</v>
      </c>
      <c r="EC36" s="79">
        <v>7.8753872077000002</v>
      </c>
      <c r="ED36" s="13">
        <v>0.15500920330000001</v>
      </c>
      <c r="EE36" s="79">
        <v>5.0351111587000004</v>
      </c>
      <c r="EF36" s="13">
        <v>0.1044750529</v>
      </c>
      <c r="EG36" s="79">
        <v>3.2775419940999999</v>
      </c>
      <c r="EH36" s="13">
        <v>7.1716403200000001E-2</v>
      </c>
      <c r="EI36" s="79">
        <v>2.1644848038000002</v>
      </c>
      <c r="EJ36" s="13">
        <v>4.9769209199999997E-2</v>
      </c>
      <c r="EK36" s="79">
        <v>1.4584076223</v>
      </c>
      <c r="EL36" s="15">
        <v>3.5062289000000003E-2</v>
      </c>
      <c r="EM36" s="79"/>
      <c r="EN36" s="13"/>
      <c r="EO36" s="79"/>
      <c r="EP36" s="13"/>
      <c r="EQ36" s="79"/>
      <c r="ER36" s="13"/>
      <c r="ES36" s="79"/>
      <c r="ET36" s="13"/>
      <c r="EU36" s="79"/>
      <c r="EV36" s="15"/>
    </row>
    <row r="37" spans="1:152" x14ac:dyDescent="0.2">
      <c r="A37" s="8">
        <v>3200</v>
      </c>
      <c r="B37" s="82">
        <v>9264</v>
      </c>
      <c r="C37" s="83">
        <v>1734.6513176000001</v>
      </c>
      <c r="D37" s="93">
        <v>3149.7672871999998</v>
      </c>
      <c r="E37" s="93">
        <v>21.587700644000002</v>
      </c>
      <c r="F37" s="94">
        <v>5.0476900700000001E-2</v>
      </c>
      <c r="G37" s="83">
        <v>2.9271451867999998</v>
      </c>
      <c r="H37" s="94">
        <v>2.0439613000000001E-3</v>
      </c>
      <c r="I37" s="93">
        <v>162.46177789000001</v>
      </c>
      <c r="J37" s="94">
        <v>2.0270263325000002</v>
      </c>
      <c r="K37" s="93">
        <v>201.19444289</v>
      </c>
      <c r="L37" s="94">
        <v>1.7018767616999999</v>
      </c>
      <c r="M37" s="93">
        <v>0.60172342729999995</v>
      </c>
      <c r="N37" s="94">
        <v>4.0126149999999998E-3</v>
      </c>
      <c r="O37" s="37">
        <v>0</v>
      </c>
      <c r="P37" s="13">
        <v>0</v>
      </c>
      <c r="Q37" s="93">
        <v>28.352636702000002</v>
      </c>
      <c r="R37" s="94">
        <v>0.12341364840000001</v>
      </c>
      <c r="S37" s="37" t="s">
        <v>76</v>
      </c>
      <c r="T37" s="13">
        <v>0</v>
      </c>
      <c r="U37" s="37" t="s">
        <v>76</v>
      </c>
      <c r="V37" s="13">
        <v>0</v>
      </c>
      <c r="W37" s="93">
        <v>0.27714430029999998</v>
      </c>
      <c r="X37" s="94">
        <v>1.5748088000000001E-3</v>
      </c>
      <c r="Y37" s="93">
        <v>1.9918434200999999</v>
      </c>
      <c r="Z37" s="94">
        <v>4.3843929999999999E-4</v>
      </c>
      <c r="AA37" s="37" t="s">
        <v>76</v>
      </c>
      <c r="AB37" s="13">
        <v>0</v>
      </c>
      <c r="AC37" s="93">
        <v>0</v>
      </c>
      <c r="AD37" s="94">
        <v>0</v>
      </c>
      <c r="AE37" s="37" t="s">
        <v>76</v>
      </c>
      <c r="AF37" s="13">
        <v>0</v>
      </c>
      <c r="AG37" s="37" t="s">
        <v>76</v>
      </c>
      <c r="AH37" s="13">
        <v>0</v>
      </c>
      <c r="AI37" s="93">
        <v>0</v>
      </c>
      <c r="AJ37" s="94">
        <v>0</v>
      </c>
      <c r="AK37" s="93">
        <v>213.77544756</v>
      </c>
      <c r="AL37" s="94">
        <v>1.2762923921</v>
      </c>
      <c r="AM37" s="37" t="s">
        <v>76</v>
      </c>
      <c r="AN37" s="13">
        <v>0</v>
      </c>
      <c r="AO37" s="37" t="s">
        <v>76</v>
      </c>
      <c r="AP37" s="13">
        <v>0</v>
      </c>
      <c r="AQ37" s="37" t="s">
        <v>76</v>
      </c>
      <c r="AR37" s="13">
        <v>0</v>
      </c>
      <c r="AS37" s="93">
        <v>21.326011016999999</v>
      </c>
      <c r="AT37" s="94">
        <v>0.43647710420000002</v>
      </c>
      <c r="AU37" s="93">
        <v>24.874288378999999</v>
      </c>
      <c r="AV37" s="94">
        <v>0.1705163881</v>
      </c>
      <c r="AW37" s="93">
        <v>16.682899268</v>
      </c>
      <c r="AX37" s="94">
        <v>8.9036459700000001E-2</v>
      </c>
      <c r="AY37" s="93">
        <v>5.3959963119000003</v>
      </c>
      <c r="AZ37" s="94">
        <v>2.7669217400000001E-2</v>
      </c>
      <c r="BA37" s="79">
        <v>2.7953927985</v>
      </c>
      <c r="BB37" s="13">
        <v>5.3810710999999997E-2</v>
      </c>
      <c r="BC37" s="93">
        <v>0</v>
      </c>
      <c r="BD37" s="86">
        <v>0</v>
      </c>
      <c r="BE37" s="93">
        <v>20.407213637000002</v>
      </c>
      <c r="BF37" s="94">
        <v>8.0018620799999995E-2</v>
      </c>
      <c r="BG37" s="94">
        <v>3.2909579E-3</v>
      </c>
      <c r="BH37" s="86">
        <v>0</v>
      </c>
      <c r="BI37" s="93">
        <v>96.881574396000005</v>
      </c>
      <c r="BJ37" s="94">
        <v>3.1290607446999998</v>
      </c>
      <c r="BK37" s="93">
        <v>112.26438174</v>
      </c>
      <c r="BL37" s="94">
        <v>0.84599729099999998</v>
      </c>
      <c r="BM37" s="93">
        <v>65.390901107999994</v>
      </c>
      <c r="BN37" s="94">
        <v>0.35296152400000003</v>
      </c>
      <c r="BO37" s="93">
        <v>5.6400450904000001</v>
      </c>
      <c r="BP37" s="94">
        <v>1.20012912E-2</v>
      </c>
      <c r="BQ37" s="93">
        <v>0</v>
      </c>
      <c r="BR37" s="88">
        <v>0</v>
      </c>
      <c r="BS37" s="37" t="s">
        <v>76</v>
      </c>
      <c r="BT37" s="13">
        <v>0</v>
      </c>
      <c r="BU37" s="93">
        <v>0.2960723603</v>
      </c>
      <c r="BV37" s="94">
        <v>1.8975305999999999E-3</v>
      </c>
      <c r="BW37" s="93">
        <v>3.1730855299999999E-2</v>
      </c>
      <c r="BX37" s="94">
        <v>1.3154409999999999E-4</v>
      </c>
      <c r="BY37" s="7" t="s">
        <v>76</v>
      </c>
      <c r="BZ37" s="13">
        <v>0</v>
      </c>
      <c r="CA37" s="7" t="s">
        <v>76</v>
      </c>
      <c r="CB37" s="13">
        <v>0</v>
      </c>
      <c r="CC37" s="93">
        <v>27.362134356999999</v>
      </c>
      <c r="CD37" s="94">
        <v>0.1193541747</v>
      </c>
      <c r="CE37" s="93">
        <v>0.20240017860000001</v>
      </c>
      <c r="CF37" s="94">
        <v>1.1657191E-3</v>
      </c>
      <c r="CG37" s="7" t="s">
        <v>76</v>
      </c>
      <c r="CH37" s="13">
        <v>0</v>
      </c>
      <c r="CI37" s="7" t="s">
        <v>76</v>
      </c>
      <c r="CJ37" s="13">
        <v>0</v>
      </c>
      <c r="CK37" s="7" t="s">
        <v>76</v>
      </c>
      <c r="CL37" s="13">
        <v>0</v>
      </c>
      <c r="CM37" s="7" t="s">
        <v>76</v>
      </c>
      <c r="CN37" s="13">
        <v>0</v>
      </c>
      <c r="CO37" s="93">
        <v>0.23914740079999999</v>
      </c>
      <c r="CP37" s="94">
        <v>1.1430587E-3</v>
      </c>
      <c r="CQ37" s="93">
        <v>1.3529019E-3</v>
      </c>
      <c r="CR37" s="94">
        <v>1.3584199999999999E-5</v>
      </c>
      <c r="CS37" s="93">
        <v>1.6513108642000001</v>
      </c>
      <c r="CT37" s="94">
        <v>7.0477659E-3</v>
      </c>
      <c r="CU37" s="93">
        <v>2.2405636999999999E-3</v>
      </c>
      <c r="CV37" s="94">
        <v>2.6894600000000002E-5</v>
      </c>
      <c r="CW37" s="6" t="s">
        <v>76</v>
      </c>
      <c r="CX37" s="13">
        <v>0</v>
      </c>
      <c r="CY37" s="7" t="s">
        <v>76</v>
      </c>
      <c r="CZ37" s="15">
        <v>0</v>
      </c>
      <c r="DA37" s="93">
        <v>17.386488498999999</v>
      </c>
      <c r="DB37" s="94">
        <v>0.1167024363</v>
      </c>
      <c r="DC37" s="93">
        <v>6.3277642699999997E-2</v>
      </c>
      <c r="DD37" s="94">
        <v>4.590622E-4</v>
      </c>
      <c r="DE37" s="93">
        <v>13.680010578999999</v>
      </c>
      <c r="DF37" s="94">
        <v>4.5855449999999999E-2</v>
      </c>
      <c r="DG37" s="93">
        <v>0.1041680534</v>
      </c>
      <c r="DH37" s="94">
        <v>8.3281819999999999E-4</v>
      </c>
      <c r="DI37" s="188">
        <v>1.9971755000000001E-3</v>
      </c>
      <c r="DJ37" s="189">
        <v>2.9477221999999999E-3</v>
      </c>
      <c r="DK37" s="189">
        <v>3.1558998E-3</v>
      </c>
      <c r="DL37" s="189">
        <v>3.2235713999999999E-3</v>
      </c>
      <c r="DM37" s="189">
        <v>3.2410967E-3</v>
      </c>
      <c r="DN37" s="189">
        <v>3.2495100000000002E-3</v>
      </c>
      <c r="DO37" s="189">
        <v>3.2527985000000001E-3</v>
      </c>
      <c r="DP37" s="189">
        <v>3.2560871E-3</v>
      </c>
      <c r="DQ37" s="189">
        <v>3.2593755999999999E-3</v>
      </c>
      <c r="DR37" s="190">
        <v>3.2626641999999998E-3</v>
      </c>
      <c r="DS37" s="112">
        <v>79.909404936000001</v>
      </c>
      <c r="DT37" s="13">
        <v>1.3521696025000001</v>
      </c>
      <c r="DU37" s="79">
        <v>51.779487721000002</v>
      </c>
      <c r="DV37" s="13">
        <v>0.88022845829999996</v>
      </c>
      <c r="DW37" s="79">
        <v>32.829172640000003</v>
      </c>
      <c r="DX37" s="13">
        <v>0.56888537760000002</v>
      </c>
      <c r="DY37" s="79">
        <v>20.616086225</v>
      </c>
      <c r="DZ37" s="13">
        <v>0.36888169910000002</v>
      </c>
      <c r="EA37" s="79">
        <v>12.997919779</v>
      </c>
      <c r="EB37" s="13">
        <v>0.24240188800000001</v>
      </c>
      <c r="EC37" s="79">
        <v>8.2826317059000001</v>
      </c>
      <c r="ED37" s="13">
        <v>0.1619344375</v>
      </c>
      <c r="EE37" s="79">
        <v>5.3434062497000001</v>
      </c>
      <c r="EF37" s="13">
        <v>0.10990807129999999</v>
      </c>
      <c r="EG37" s="79">
        <v>3.5100607751999999</v>
      </c>
      <c r="EH37" s="13">
        <v>7.5974549200000005E-2</v>
      </c>
      <c r="EI37" s="79">
        <v>2.3390609923999999</v>
      </c>
      <c r="EJ37" s="13">
        <v>5.3101756999999999E-2</v>
      </c>
      <c r="EK37" s="79">
        <v>1.5899342516999999</v>
      </c>
      <c r="EL37" s="15">
        <v>3.76731316E-2</v>
      </c>
      <c r="EM37" s="79"/>
      <c r="EN37" s="13"/>
      <c r="EO37" s="79"/>
      <c r="EP37" s="13"/>
      <c r="EQ37" s="79"/>
      <c r="ER37" s="13"/>
      <c r="ES37" s="79"/>
      <c r="ET37" s="13"/>
      <c r="EU37" s="79"/>
      <c r="EV37" s="15"/>
    </row>
    <row r="38" spans="1:152" x14ac:dyDescent="0.2">
      <c r="A38" s="8">
        <v>3300</v>
      </c>
      <c r="B38" s="82">
        <v>9057</v>
      </c>
      <c r="C38" s="83">
        <v>1768.0883300999999</v>
      </c>
      <c r="D38" s="93">
        <v>3249.2704626</v>
      </c>
      <c r="E38" s="93">
        <v>22.511319403000002</v>
      </c>
      <c r="F38" s="94">
        <v>5.1817786099999999E-2</v>
      </c>
      <c r="G38" s="83">
        <v>3.2571173932000002</v>
      </c>
      <c r="H38" s="94">
        <v>2.2349497000000002E-3</v>
      </c>
      <c r="I38" s="93">
        <v>164.77294209999999</v>
      </c>
      <c r="J38" s="94">
        <v>2.0485252292</v>
      </c>
      <c r="K38" s="93">
        <v>206.92612170999999</v>
      </c>
      <c r="L38" s="94">
        <v>1.7386077031</v>
      </c>
      <c r="M38" s="93">
        <v>0.62074769100000005</v>
      </c>
      <c r="N38" s="94">
        <v>4.0955541E-3</v>
      </c>
      <c r="O38" s="37">
        <v>0</v>
      </c>
      <c r="P38" s="13">
        <v>0</v>
      </c>
      <c r="Q38" s="93">
        <v>29.326507257999999</v>
      </c>
      <c r="R38" s="94">
        <v>0.1259887901</v>
      </c>
      <c r="S38" s="37" t="s">
        <v>76</v>
      </c>
      <c r="T38" s="13">
        <v>0</v>
      </c>
      <c r="U38" s="37" t="s">
        <v>76</v>
      </c>
      <c r="V38" s="13">
        <v>0</v>
      </c>
      <c r="W38" s="93">
        <v>0.28360382639999998</v>
      </c>
      <c r="X38" s="94">
        <v>1.5907969999999999E-3</v>
      </c>
      <c r="Y38" s="93">
        <v>2.0975964252999999</v>
      </c>
      <c r="Z38" s="94">
        <v>4.6356670000000002E-4</v>
      </c>
      <c r="AA38" s="37" t="s">
        <v>76</v>
      </c>
      <c r="AB38" s="13">
        <v>0</v>
      </c>
      <c r="AC38" s="93">
        <v>0</v>
      </c>
      <c r="AD38" s="94">
        <v>0</v>
      </c>
      <c r="AE38" s="37" t="s">
        <v>76</v>
      </c>
      <c r="AF38" s="13">
        <v>0</v>
      </c>
      <c r="AG38" s="37" t="s">
        <v>76</v>
      </c>
      <c r="AH38" s="13">
        <v>0</v>
      </c>
      <c r="AI38" s="93">
        <v>0</v>
      </c>
      <c r="AJ38" s="94">
        <v>0</v>
      </c>
      <c r="AK38" s="93">
        <v>216.72481414999999</v>
      </c>
      <c r="AL38" s="94">
        <v>1.2903579957</v>
      </c>
      <c r="AM38" s="37" t="s">
        <v>76</v>
      </c>
      <c r="AN38" s="13">
        <v>0</v>
      </c>
      <c r="AO38" s="37" t="s">
        <v>76</v>
      </c>
      <c r="AP38" s="13">
        <v>0</v>
      </c>
      <c r="AQ38" s="37" t="s">
        <v>76</v>
      </c>
      <c r="AR38" s="13">
        <v>0</v>
      </c>
      <c r="AS38" s="93">
        <v>21.909428025</v>
      </c>
      <c r="AT38" s="94">
        <v>0.44310242420000001</v>
      </c>
      <c r="AU38" s="93">
        <v>25.353268188000001</v>
      </c>
      <c r="AV38" s="94">
        <v>0.1731615661</v>
      </c>
      <c r="AW38" s="93">
        <v>17.018434072000002</v>
      </c>
      <c r="AX38" s="94">
        <v>9.0396197799999994E-2</v>
      </c>
      <c r="AY38" s="93">
        <v>5.4743898017000001</v>
      </c>
      <c r="AZ38" s="94">
        <v>2.8054492399999999E-2</v>
      </c>
      <c r="BA38" s="79">
        <v>2.8604443145</v>
      </c>
      <c r="BB38" s="13">
        <v>5.4710875999999999E-2</v>
      </c>
      <c r="BC38" s="93">
        <v>0</v>
      </c>
      <c r="BD38" s="86">
        <v>0</v>
      </c>
      <c r="BE38" s="93">
        <v>21.499881105</v>
      </c>
      <c r="BF38" s="94">
        <v>8.2649469899999994E-2</v>
      </c>
      <c r="BG38" s="94">
        <v>3.5912184999999999E-3</v>
      </c>
      <c r="BH38" s="86">
        <v>0</v>
      </c>
      <c r="BI38" s="93">
        <v>98.93015819</v>
      </c>
      <c r="BJ38" s="94">
        <v>3.1770881797000001</v>
      </c>
      <c r="BK38" s="93">
        <v>115.86674582000001</v>
      </c>
      <c r="BL38" s="94">
        <v>0.86728781529999999</v>
      </c>
      <c r="BM38" s="93">
        <v>67.834410825999996</v>
      </c>
      <c r="BN38" s="94">
        <v>0.36328244900000001</v>
      </c>
      <c r="BO38" s="93">
        <v>6.0174712549000002</v>
      </c>
      <c r="BP38" s="94">
        <v>1.2558233699999999E-2</v>
      </c>
      <c r="BQ38" s="93">
        <v>0</v>
      </c>
      <c r="BR38" s="88">
        <v>0</v>
      </c>
      <c r="BS38" s="37" t="s">
        <v>76</v>
      </c>
      <c r="BT38" s="13">
        <v>0</v>
      </c>
      <c r="BU38" s="93">
        <v>0.30648927580000002</v>
      </c>
      <c r="BV38" s="94">
        <v>1.9287537000000001E-3</v>
      </c>
      <c r="BW38" s="93">
        <v>3.1876836499999998E-2</v>
      </c>
      <c r="BX38" s="94">
        <v>1.32194E-4</v>
      </c>
      <c r="BY38" s="7" t="s">
        <v>76</v>
      </c>
      <c r="BZ38" s="13">
        <v>0</v>
      </c>
      <c r="CA38" s="7" t="s">
        <v>76</v>
      </c>
      <c r="CB38" s="13">
        <v>0</v>
      </c>
      <c r="CC38" s="93">
        <v>28.300063664</v>
      </c>
      <c r="CD38" s="94">
        <v>0.1218223663</v>
      </c>
      <c r="CE38" s="93">
        <v>0.2135728116</v>
      </c>
      <c r="CF38" s="94">
        <v>1.2040287E-3</v>
      </c>
      <c r="CG38" s="7" t="s">
        <v>76</v>
      </c>
      <c r="CH38" s="13">
        <v>0</v>
      </c>
      <c r="CI38" s="7" t="s">
        <v>76</v>
      </c>
      <c r="CJ38" s="13">
        <v>0</v>
      </c>
      <c r="CK38" s="7" t="s">
        <v>76</v>
      </c>
      <c r="CL38" s="13">
        <v>0</v>
      </c>
      <c r="CM38" s="7" t="s">
        <v>76</v>
      </c>
      <c r="CN38" s="13">
        <v>0</v>
      </c>
      <c r="CO38" s="93">
        <v>0.24602531459999999</v>
      </c>
      <c r="CP38" s="94">
        <v>1.1638338E-3</v>
      </c>
      <c r="CQ38" s="93">
        <v>1.3384416000000001E-3</v>
      </c>
      <c r="CR38" s="94">
        <v>1.34336E-5</v>
      </c>
      <c r="CS38" s="93">
        <v>1.7445510232999999</v>
      </c>
      <c r="CT38" s="94">
        <v>7.4173015999999996E-3</v>
      </c>
      <c r="CU38" s="93">
        <v>2.2178315000000001E-3</v>
      </c>
      <c r="CV38" s="94">
        <v>2.6600500000000001E-5</v>
      </c>
      <c r="CW38" s="6" t="s">
        <v>76</v>
      </c>
      <c r="CX38" s="13">
        <v>0</v>
      </c>
      <c r="CY38" s="7" t="s">
        <v>76</v>
      </c>
      <c r="CZ38" s="15">
        <v>0</v>
      </c>
      <c r="DA38" s="93">
        <v>17.870969273</v>
      </c>
      <c r="DB38" s="94">
        <v>0.1189910875</v>
      </c>
      <c r="DC38" s="93">
        <v>6.3992419100000003E-2</v>
      </c>
      <c r="DD38" s="94">
        <v>4.66238E-4</v>
      </c>
      <c r="DE38" s="93">
        <v>14.368464166000001</v>
      </c>
      <c r="DF38" s="94">
        <v>4.7246323999999999E-2</v>
      </c>
      <c r="DG38" s="93">
        <v>0.1056897914</v>
      </c>
      <c r="DH38" s="94">
        <v>8.5022329999999999E-4</v>
      </c>
      <c r="DI38" s="188">
        <v>2.1816327E-3</v>
      </c>
      <c r="DJ38" s="189">
        <v>3.2174816000000001E-3</v>
      </c>
      <c r="DK38" s="189">
        <v>3.4515508000000001E-3</v>
      </c>
      <c r="DL38" s="189">
        <v>3.5233948999999999E-3</v>
      </c>
      <c r="DM38" s="189">
        <v>3.5413208E-3</v>
      </c>
      <c r="DN38" s="189">
        <v>3.5502322E-3</v>
      </c>
      <c r="DO38" s="189">
        <v>3.5534855000000001E-3</v>
      </c>
      <c r="DP38" s="189">
        <v>3.5567388000000001E-3</v>
      </c>
      <c r="DQ38" s="189">
        <v>3.5599921000000001E-3</v>
      </c>
      <c r="DR38" s="190">
        <v>3.5632454000000002E-3</v>
      </c>
      <c r="DS38" s="112">
        <v>81.350086876000006</v>
      </c>
      <c r="DT38" s="13">
        <v>1.3714631567</v>
      </c>
      <c r="DU38" s="79">
        <v>52.945979342999998</v>
      </c>
      <c r="DV38" s="13">
        <v>0.89650241019999999</v>
      </c>
      <c r="DW38" s="79">
        <v>33.732588180999997</v>
      </c>
      <c r="DX38" s="13">
        <v>0.58201260880000005</v>
      </c>
      <c r="DY38" s="79">
        <v>21.300965742999999</v>
      </c>
      <c r="DZ38" s="13">
        <v>0.3792593111</v>
      </c>
      <c r="EA38" s="79">
        <v>13.505343191</v>
      </c>
      <c r="EB38" s="13">
        <v>0.25048575109999999</v>
      </c>
      <c r="EC38" s="79">
        <v>8.6540330174999998</v>
      </c>
      <c r="ED38" s="13">
        <v>0.16815327999999999</v>
      </c>
      <c r="EE38" s="79">
        <v>5.6151545336000002</v>
      </c>
      <c r="EF38" s="13">
        <v>0.11467331</v>
      </c>
      <c r="EG38" s="79">
        <v>3.7114892489</v>
      </c>
      <c r="EH38" s="13">
        <v>7.9637976299999996E-2</v>
      </c>
      <c r="EI38" s="79">
        <v>2.4885128614999998</v>
      </c>
      <c r="EJ38" s="13">
        <v>5.5894083099999999E-2</v>
      </c>
      <c r="EK38" s="79">
        <v>1.7010879069</v>
      </c>
      <c r="EL38" s="15">
        <v>3.9794845400000001E-2</v>
      </c>
      <c r="EM38" s="79"/>
      <c r="EN38" s="13"/>
      <c r="EO38" s="79"/>
      <c r="EP38" s="13"/>
      <c r="EQ38" s="79"/>
      <c r="ER38" s="13"/>
      <c r="ES38" s="79"/>
      <c r="ET38" s="13"/>
      <c r="EU38" s="79"/>
      <c r="EV38" s="15"/>
    </row>
    <row r="39" spans="1:152" x14ac:dyDescent="0.2">
      <c r="A39" s="8">
        <v>3400</v>
      </c>
      <c r="B39" s="82">
        <v>8682</v>
      </c>
      <c r="C39" s="83">
        <v>1800.8275552</v>
      </c>
      <c r="D39" s="93">
        <v>3349.7590334000001</v>
      </c>
      <c r="E39" s="93">
        <v>23.431107744999998</v>
      </c>
      <c r="F39" s="94">
        <v>5.3039712500000002E-2</v>
      </c>
      <c r="G39" s="83">
        <v>3.6059276181</v>
      </c>
      <c r="H39" s="94">
        <v>2.4197516000000001E-3</v>
      </c>
      <c r="I39" s="93">
        <v>167.02510036000001</v>
      </c>
      <c r="J39" s="94">
        <v>2.0699846322000002</v>
      </c>
      <c r="K39" s="93">
        <v>212.40784823999999</v>
      </c>
      <c r="L39" s="94">
        <v>1.7739501705</v>
      </c>
      <c r="M39" s="93">
        <v>0.66447351659999998</v>
      </c>
      <c r="N39" s="94">
        <v>4.4105111999999998E-3</v>
      </c>
      <c r="O39" s="37">
        <v>0</v>
      </c>
      <c r="P39" s="13">
        <v>0</v>
      </c>
      <c r="Q39" s="93">
        <v>30.447317082000001</v>
      </c>
      <c r="R39" s="94">
        <v>0.1288844643</v>
      </c>
      <c r="S39" s="37" t="s">
        <v>76</v>
      </c>
      <c r="T39" s="13">
        <v>0</v>
      </c>
      <c r="U39" s="37" t="s">
        <v>76</v>
      </c>
      <c r="V39" s="13">
        <v>0</v>
      </c>
      <c r="W39" s="93">
        <v>0.29371567929999998</v>
      </c>
      <c r="X39" s="94">
        <v>1.6713826000000001E-3</v>
      </c>
      <c r="Y39" s="93">
        <v>2.2218938489000002</v>
      </c>
      <c r="Z39" s="94">
        <v>5.1978910000000003E-4</v>
      </c>
      <c r="AA39" s="37" t="s">
        <v>76</v>
      </c>
      <c r="AB39" s="13">
        <v>0</v>
      </c>
      <c r="AC39" s="93">
        <v>0</v>
      </c>
      <c r="AD39" s="94">
        <v>0</v>
      </c>
      <c r="AE39" s="37" t="s">
        <v>76</v>
      </c>
      <c r="AF39" s="13">
        <v>0</v>
      </c>
      <c r="AG39" s="37" t="s">
        <v>76</v>
      </c>
      <c r="AH39" s="13">
        <v>0</v>
      </c>
      <c r="AI39" s="93">
        <v>0</v>
      </c>
      <c r="AJ39" s="94">
        <v>0</v>
      </c>
      <c r="AK39" s="93">
        <v>219.65185783999999</v>
      </c>
      <c r="AL39" s="94">
        <v>1.3043327886</v>
      </c>
      <c r="AM39" s="37" t="s">
        <v>76</v>
      </c>
      <c r="AN39" s="13">
        <v>0</v>
      </c>
      <c r="AO39" s="37" t="s">
        <v>76</v>
      </c>
      <c r="AP39" s="13">
        <v>0</v>
      </c>
      <c r="AQ39" s="37" t="s">
        <v>76</v>
      </c>
      <c r="AR39" s="13">
        <v>0</v>
      </c>
      <c r="AS39" s="93">
        <v>22.492761094999999</v>
      </c>
      <c r="AT39" s="94">
        <v>0.44966471990000001</v>
      </c>
      <c r="AU39" s="93">
        <v>25.783289233000001</v>
      </c>
      <c r="AV39" s="94">
        <v>0.1756818409</v>
      </c>
      <c r="AW39" s="93">
        <v>17.318388797000001</v>
      </c>
      <c r="AX39" s="94">
        <v>9.1701817199999994E-2</v>
      </c>
      <c r="AY39" s="93">
        <v>5.5516204025000002</v>
      </c>
      <c r="AZ39" s="94">
        <v>2.8379847499999999E-2</v>
      </c>
      <c r="BA39" s="79">
        <v>2.9132800334</v>
      </c>
      <c r="BB39" s="13">
        <v>5.5600176100000002E-2</v>
      </c>
      <c r="BC39" s="93">
        <v>0</v>
      </c>
      <c r="BD39" s="86">
        <v>0</v>
      </c>
      <c r="BE39" s="93">
        <v>22.455182097000002</v>
      </c>
      <c r="BF39" s="94">
        <v>8.4925151099999999E-2</v>
      </c>
      <c r="BG39" s="94">
        <v>3.9073492999999997E-3</v>
      </c>
      <c r="BH39" s="86">
        <v>0</v>
      </c>
      <c r="BI39" s="93">
        <v>100.83518522999999</v>
      </c>
      <c r="BJ39" s="94">
        <v>3.2239365383999998</v>
      </c>
      <c r="BK39" s="93">
        <v>119.59050842000001</v>
      </c>
      <c r="BL39" s="94">
        <v>0.88934527919999995</v>
      </c>
      <c r="BM39" s="93">
        <v>70.132373681999994</v>
      </c>
      <c r="BN39" s="94">
        <v>0.37299512930000001</v>
      </c>
      <c r="BO39" s="93">
        <v>6.3827516034</v>
      </c>
      <c r="BP39" s="94">
        <v>1.3110169E-2</v>
      </c>
      <c r="BQ39" s="93">
        <v>0</v>
      </c>
      <c r="BR39" s="88">
        <v>0</v>
      </c>
      <c r="BS39" s="37" t="s">
        <v>76</v>
      </c>
      <c r="BT39" s="13">
        <v>0</v>
      </c>
      <c r="BU39" s="93">
        <v>0.33582375860000002</v>
      </c>
      <c r="BV39" s="94">
        <v>2.1347550999999999E-3</v>
      </c>
      <c r="BW39" s="93">
        <v>3.5597443899999998E-2</v>
      </c>
      <c r="BX39" s="94">
        <v>1.4425279999999999E-4</v>
      </c>
      <c r="BY39" s="7" t="s">
        <v>76</v>
      </c>
      <c r="BZ39" s="13">
        <v>0</v>
      </c>
      <c r="CA39" s="7" t="s">
        <v>76</v>
      </c>
      <c r="CB39" s="13">
        <v>0</v>
      </c>
      <c r="CC39" s="93">
        <v>29.379880218</v>
      </c>
      <c r="CD39" s="94">
        <v>0.12457247270000001</v>
      </c>
      <c r="CE39" s="93">
        <v>0.22642436969999999</v>
      </c>
      <c r="CF39" s="94">
        <v>1.2692336E-3</v>
      </c>
      <c r="CG39" s="7" t="s">
        <v>76</v>
      </c>
      <c r="CH39" s="13">
        <v>0</v>
      </c>
      <c r="CI39" s="7" t="s">
        <v>76</v>
      </c>
      <c r="CJ39" s="13">
        <v>0</v>
      </c>
      <c r="CK39" s="7" t="s">
        <v>76</v>
      </c>
      <c r="CL39" s="13">
        <v>0</v>
      </c>
      <c r="CM39" s="7" t="s">
        <v>76</v>
      </c>
      <c r="CN39" s="13">
        <v>0</v>
      </c>
      <c r="CO39" s="93">
        <v>0.25440616290000001</v>
      </c>
      <c r="CP39" s="94">
        <v>1.2313888E-3</v>
      </c>
      <c r="CQ39" s="93">
        <v>1.3253226000000001E-3</v>
      </c>
      <c r="CR39" s="94">
        <v>1.3294200000000001E-5</v>
      </c>
      <c r="CS39" s="93">
        <v>1.8604290868</v>
      </c>
      <c r="CT39" s="94">
        <v>7.7247308999999998E-3</v>
      </c>
      <c r="CU39" s="93">
        <v>2.1959656E-3</v>
      </c>
      <c r="CV39" s="94">
        <v>2.6327300000000001E-5</v>
      </c>
      <c r="CW39" s="6" t="s">
        <v>76</v>
      </c>
      <c r="CX39" s="13">
        <v>0</v>
      </c>
      <c r="CY39" s="7" t="s">
        <v>76</v>
      </c>
      <c r="CZ39" s="15">
        <v>0</v>
      </c>
      <c r="DA39" s="93">
        <v>18.358536741999998</v>
      </c>
      <c r="DB39" s="94">
        <v>0.1211769685</v>
      </c>
      <c r="DC39" s="93">
        <v>6.4370105900000002E-2</v>
      </c>
      <c r="DD39" s="94">
        <v>4.7046069999999999E-4</v>
      </c>
      <c r="DE39" s="93">
        <v>14.947969473000001</v>
      </c>
      <c r="DF39" s="94">
        <v>4.8403118199999998E-2</v>
      </c>
      <c r="DG39" s="93">
        <v>0.10677600900000001</v>
      </c>
      <c r="DH39" s="94">
        <v>8.58893E-4</v>
      </c>
      <c r="DI39" s="188">
        <v>2.3652116000000001E-3</v>
      </c>
      <c r="DJ39" s="189">
        <v>3.5054630999999999E-3</v>
      </c>
      <c r="DK39" s="189">
        <v>3.7629642999999998E-3</v>
      </c>
      <c r="DL39" s="189">
        <v>3.8390607999999999E-3</v>
      </c>
      <c r="DM39" s="189">
        <v>3.8573866000000002E-3</v>
      </c>
      <c r="DN39" s="189">
        <v>3.8667887000000001E-3</v>
      </c>
      <c r="DO39" s="189">
        <v>3.8700080999999999E-3</v>
      </c>
      <c r="DP39" s="189">
        <v>3.8732275000000001E-3</v>
      </c>
      <c r="DQ39" s="189">
        <v>3.8764469999999999E-3</v>
      </c>
      <c r="DR39" s="190">
        <v>3.8796664000000001E-3</v>
      </c>
      <c r="DS39" s="112">
        <v>82.773207971000005</v>
      </c>
      <c r="DT39" s="13">
        <v>1.3908111468</v>
      </c>
      <c r="DU39" s="79">
        <v>54.117694037</v>
      </c>
      <c r="DV39" s="13">
        <v>0.91301111700000004</v>
      </c>
      <c r="DW39" s="79">
        <v>34.659065621000003</v>
      </c>
      <c r="DX39" s="13">
        <v>0.59550991330000003</v>
      </c>
      <c r="DY39" s="79">
        <v>22.012573506999999</v>
      </c>
      <c r="DZ39" s="13">
        <v>0.39000402839999998</v>
      </c>
      <c r="EA39" s="79">
        <v>14.03905567</v>
      </c>
      <c r="EB39" s="13">
        <v>0.25886727749999999</v>
      </c>
      <c r="EC39" s="79">
        <v>9.0516285699000001</v>
      </c>
      <c r="ED39" s="13">
        <v>0.1746492244</v>
      </c>
      <c r="EE39" s="79">
        <v>5.9105479759000001</v>
      </c>
      <c r="EF39" s="13">
        <v>0.1196759044</v>
      </c>
      <c r="EG39" s="79">
        <v>3.9313802507000002</v>
      </c>
      <c r="EH39" s="13">
        <v>8.3499906499999998E-2</v>
      </c>
      <c r="EI39" s="79">
        <v>2.6530678114000001</v>
      </c>
      <c r="EJ39" s="13">
        <v>5.8868891100000001E-2</v>
      </c>
      <c r="EK39" s="79">
        <v>1.8267088265</v>
      </c>
      <c r="EL39" s="15">
        <v>4.2108841600000002E-2</v>
      </c>
      <c r="EM39" s="79"/>
      <c r="EN39" s="13"/>
      <c r="EO39" s="79"/>
      <c r="EP39" s="13"/>
      <c r="EQ39" s="79"/>
      <c r="ER39" s="13"/>
      <c r="ES39" s="79"/>
      <c r="ET39" s="13"/>
      <c r="EU39" s="79"/>
      <c r="EV39" s="15"/>
    </row>
    <row r="40" spans="1:152" x14ac:dyDescent="0.2">
      <c r="A40" s="8">
        <v>3500</v>
      </c>
      <c r="B40" s="82">
        <v>8352</v>
      </c>
      <c r="C40" s="83">
        <v>1832.8947614000001</v>
      </c>
      <c r="D40" s="93">
        <v>3449.7914792000001</v>
      </c>
      <c r="E40" s="93">
        <v>24.401821309999999</v>
      </c>
      <c r="F40" s="94">
        <v>5.4368159499999999E-2</v>
      </c>
      <c r="G40" s="83">
        <v>3.9128757148000002</v>
      </c>
      <c r="H40" s="94">
        <v>2.5866238E-3</v>
      </c>
      <c r="I40" s="93">
        <v>169.21264287</v>
      </c>
      <c r="J40" s="94">
        <v>2.0902675844999998</v>
      </c>
      <c r="K40" s="93">
        <v>217.98002808000001</v>
      </c>
      <c r="L40" s="94">
        <v>1.8096435429</v>
      </c>
      <c r="M40" s="93">
        <v>0.68836583510000005</v>
      </c>
      <c r="N40" s="94">
        <v>4.5486614E-3</v>
      </c>
      <c r="O40" s="37">
        <v>0</v>
      </c>
      <c r="P40" s="13">
        <v>0</v>
      </c>
      <c r="Q40" s="93">
        <v>31.481329807000002</v>
      </c>
      <c r="R40" s="94">
        <v>0.13160087200000001</v>
      </c>
      <c r="S40" s="37" t="s">
        <v>76</v>
      </c>
      <c r="T40" s="13">
        <v>0</v>
      </c>
      <c r="U40" s="37" t="s">
        <v>76</v>
      </c>
      <c r="V40" s="13">
        <v>0</v>
      </c>
      <c r="W40" s="93">
        <v>0.30328276510000002</v>
      </c>
      <c r="X40" s="94">
        <v>1.7351141999999999E-3</v>
      </c>
      <c r="Y40" s="93">
        <v>2.3168976956999998</v>
      </c>
      <c r="Z40" s="94">
        <v>5.5119420000000004E-4</v>
      </c>
      <c r="AA40" s="37" t="s">
        <v>76</v>
      </c>
      <c r="AB40" s="13">
        <v>0</v>
      </c>
      <c r="AC40" s="93">
        <v>5.5957149999999998E-4</v>
      </c>
      <c r="AD40" s="94">
        <v>2.2536035999999998E-6</v>
      </c>
      <c r="AE40" s="37" t="s">
        <v>76</v>
      </c>
      <c r="AF40" s="13">
        <v>0</v>
      </c>
      <c r="AG40" s="37" t="s">
        <v>76</v>
      </c>
      <c r="AH40" s="13">
        <v>0</v>
      </c>
      <c r="AI40" s="93">
        <v>5.5957149999999998E-4</v>
      </c>
      <c r="AJ40" s="94">
        <v>2.2536035999999998E-6</v>
      </c>
      <c r="AK40" s="93">
        <v>222.38014197999999</v>
      </c>
      <c r="AL40" s="94">
        <v>1.3175515074999999</v>
      </c>
      <c r="AM40" s="37" t="s">
        <v>76</v>
      </c>
      <c r="AN40" s="13">
        <v>0</v>
      </c>
      <c r="AO40" s="37" t="s">
        <v>76</v>
      </c>
      <c r="AP40" s="13">
        <v>0</v>
      </c>
      <c r="AQ40" s="37" t="s">
        <v>76</v>
      </c>
      <c r="AR40" s="13">
        <v>0</v>
      </c>
      <c r="AS40" s="93">
        <v>23.100268631999999</v>
      </c>
      <c r="AT40" s="94">
        <v>0.45591542639999999</v>
      </c>
      <c r="AU40" s="93">
        <v>26.259380968999999</v>
      </c>
      <c r="AV40" s="94">
        <v>0.1782354414</v>
      </c>
      <c r="AW40" s="93">
        <v>17.652477251000001</v>
      </c>
      <c r="AX40" s="94">
        <v>9.3028011699999996E-2</v>
      </c>
      <c r="AY40" s="93">
        <v>5.6181376414999997</v>
      </c>
      <c r="AZ40" s="94">
        <v>2.86875841E-2</v>
      </c>
      <c r="BA40" s="79">
        <v>2.9887660766000002</v>
      </c>
      <c r="BB40" s="13">
        <v>5.6519845499999999E-2</v>
      </c>
      <c r="BC40" s="93">
        <v>0</v>
      </c>
      <c r="BD40" s="86">
        <v>0</v>
      </c>
      <c r="BE40" s="93">
        <v>23.427249848999999</v>
      </c>
      <c r="BF40" s="94">
        <v>8.7411187799999998E-2</v>
      </c>
      <c r="BG40" s="94">
        <v>4.2005502E-3</v>
      </c>
      <c r="BH40" s="86">
        <v>0</v>
      </c>
      <c r="BI40" s="93">
        <v>102.83980080000001</v>
      </c>
      <c r="BJ40" s="94">
        <v>3.2702765487000001</v>
      </c>
      <c r="BK40" s="93">
        <v>123.15674521</v>
      </c>
      <c r="BL40" s="94">
        <v>0.91040069619999997</v>
      </c>
      <c r="BM40" s="93">
        <v>72.558424372000005</v>
      </c>
      <c r="BN40" s="94">
        <v>0.38299007200000001</v>
      </c>
      <c r="BO40" s="93">
        <v>6.7963020035000001</v>
      </c>
      <c r="BP40" s="94">
        <v>1.3757649199999999E-2</v>
      </c>
      <c r="BQ40" s="93">
        <v>0</v>
      </c>
      <c r="BR40" s="88">
        <v>0</v>
      </c>
      <c r="BS40" s="37" t="s">
        <v>76</v>
      </c>
      <c r="BT40" s="13">
        <v>0</v>
      </c>
      <c r="BU40" s="93">
        <v>0.348736141</v>
      </c>
      <c r="BV40" s="94">
        <v>2.1903538999999998E-3</v>
      </c>
      <c r="BW40" s="93">
        <v>3.5856487399999998E-2</v>
      </c>
      <c r="BX40" s="94">
        <v>1.4507309999999999E-4</v>
      </c>
      <c r="BY40" s="7" t="s">
        <v>76</v>
      </c>
      <c r="BZ40" s="13">
        <v>0</v>
      </c>
      <c r="CA40" s="7" t="s">
        <v>76</v>
      </c>
      <c r="CB40" s="13">
        <v>0</v>
      </c>
      <c r="CC40" s="93">
        <v>30.365908487999999</v>
      </c>
      <c r="CD40" s="94">
        <v>0.1271369409</v>
      </c>
      <c r="CE40" s="93">
        <v>0.23400845949999999</v>
      </c>
      <c r="CF40" s="94">
        <v>1.3049536E-3</v>
      </c>
      <c r="CG40" s="7" t="s">
        <v>76</v>
      </c>
      <c r="CH40" s="13">
        <v>0</v>
      </c>
      <c r="CI40" s="7" t="s">
        <v>76</v>
      </c>
      <c r="CJ40" s="13">
        <v>0</v>
      </c>
      <c r="CK40" s="7" t="s">
        <v>76</v>
      </c>
      <c r="CL40" s="13">
        <v>0</v>
      </c>
      <c r="CM40" s="7" t="s">
        <v>76</v>
      </c>
      <c r="CN40" s="13">
        <v>0</v>
      </c>
      <c r="CO40" s="93">
        <v>0.26121895979999998</v>
      </c>
      <c r="CP40" s="94">
        <v>1.2592606999999999E-3</v>
      </c>
      <c r="CQ40" s="93">
        <v>1.3122971000000001E-3</v>
      </c>
      <c r="CR40" s="94">
        <v>1.3157E-5</v>
      </c>
      <c r="CS40" s="93">
        <v>1.9408577011999999</v>
      </c>
      <c r="CT40" s="94">
        <v>8.0431041000000002E-3</v>
      </c>
      <c r="CU40" s="93">
        <v>2.175054E-3</v>
      </c>
      <c r="CV40" s="94">
        <v>2.6064400000000001E-5</v>
      </c>
      <c r="CW40" s="6" t="s">
        <v>76</v>
      </c>
      <c r="CX40" s="13">
        <v>0</v>
      </c>
      <c r="CY40" s="7" t="s">
        <v>76</v>
      </c>
      <c r="CZ40" s="15">
        <v>0</v>
      </c>
      <c r="DA40" s="93">
        <v>18.858108103999999</v>
      </c>
      <c r="DB40" s="94">
        <v>0.1232342901</v>
      </c>
      <c r="DC40" s="93">
        <v>6.57765461E-2</v>
      </c>
      <c r="DD40" s="94">
        <v>4.754332E-4</v>
      </c>
      <c r="DE40" s="93">
        <v>15.558240472</v>
      </c>
      <c r="DF40" s="94">
        <v>4.9754797699999999E-2</v>
      </c>
      <c r="DG40" s="93">
        <v>0.1085030634</v>
      </c>
      <c r="DH40" s="94">
        <v>8.7862249999999997E-4</v>
      </c>
      <c r="DI40" s="188">
        <v>2.5326111999999998E-3</v>
      </c>
      <c r="DJ40" s="189">
        <v>3.7697855000000001E-3</v>
      </c>
      <c r="DK40" s="189">
        <v>4.0540569000000002E-3</v>
      </c>
      <c r="DL40" s="189">
        <v>4.1329447999999998E-3</v>
      </c>
      <c r="DM40" s="189">
        <v>4.1510879000000002E-3</v>
      </c>
      <c r="DN40" s="189">
        <v>4.1603965999999996E-3</v>
      </c>
      <c r="DO40" s="189">
        <v>4.1635841000000002E-3</v>
      </c>
      <c r="DP40" s="189">
        <v>4.1667717000000003E-3</v>
      </c>
      <c r="DQ40" s="189">
        <v>4.1699592000000001E-3</v>
      </c>
      <c r="DR40" s="190">
        <v>4.1731466999999998E-3</v>
      </c>
      <c r="DS40" s="112">
        <v>84.148919899000006</v>
      </c>
      <c r="DT40" s="13">
        <v>1.4091400451</v>
      </c>
      <c r="DU40" s="79">
        <v>55.247169296999999</v>
      </c>
      <c r="DV40" s="13">
        <v>0.92860720139999997</v>
      </c>
      <c r="DW40" s="79">
        <v>35.548605182000003</v>
      </c>
      <c r="DX40" s="13">
        <v>0.60817674460000004</v>
      </c>
      <c r="DY40" s="79">
        <v>22.694623846999999</v>
      </c>
      <c r="DZ40" s="13">
        <v>0.40001942429999998</v>
      </c>
      <c r="EA40" s="79">
        <v>14.555598884</v>
      </c>
      <c r="EB40" s="13">
        <v>0.26673670119999998</v>
      </c>
      <c r="EC40" s="79">
        <v>9.4359473231000006</v>
      </c>
      <c r="ED40" s="13">
        <v>0.18076890740000001</v>
      </c>
      <c r="EE40" s="79">
        <v>6.1972025546999996</v>
      </c>
      <c r="EF40" s="13">
        <v>0.1244677029</v>
      </c>
      <c r="EG40" s="79">
        <v>4.1431557707</v>
      </c>
      <c r="EH40" s="13">
        <v>8.7225550700000001E-2</v>
      </c>
      <c r="EI40" s="79">
        <v>2.8099392434000001</v>
      </c>
      <c r="EJ40" s="13">
        <v>6.17535154E-2</v>
      </c>
      <c r="EK40" s="79">
        <v>1.9454036494</v>
      </c>
      <c r="EL40" s="15">
        <v>4.4359287900000002E-2</v>
      </c>
      <c r="EM40" s="79"/>
      <c r="EN40" s="13"/>
      <c r="EO40" s="79"/>
      <c r="EP40" s="13"/>
      <c r="EQ40" s="79"/>
      <c r="ER40" s="13"/>
      <c r="ES40" s="79"/>
      <c r="ET40" s="13"/>
      <c r="EU40" s="79"/>
      <c r="EV40" s="15"/>
    </row>
    <row r="41" spans="1:152" x14ac:dyDescent="0.2">
      <c r="A41" s="8">
        <v>3600</v>
      </c>
      <c r="B41" s="82">
        <v>8060</v>
      </c>
      <c r="C41" s="83">
        <v>1864.3076283</v>
      </c>
      <c r="D41" s="93">
        <v>3549.9647258999998</v>
      </c>
      <c r="E41" s="93">
        <v>25.362630008</v>
      </c>
      <c r="F41" s="94">
        <v>5.5740544199999999E-2</v>
      </c>
      <c r="G41" s="83">
        <v>4.3545480459999997</v>
      </c>
      <c r="H41" s="94">
        <v>2.8146017000000001E-3</v>
      </c>
      <c r="I41" s="93">
        <v>171.32335404</v>
      </c>
      <c r="J41" s="94">
        <v>2.1101755541</v>
      </c>
      <c r="K41" s="93">
        <v>223.47102674999999</v>
      </c>
      <c r="L41" s="94">
        <v>1.8434396391000001</v>
      </c>
      <c r="M41" s="93">
        <v>0.71175680159999999</v>
      </c>
      <c r="N41" s="94">
        <v>4.6801346999999997E-3</v>
      </c>
      <c r="O41" s="37">
        <v>0</v>
      </c>
      <c r="P41" s="13">
        <v>0</v>
      </c>
      <c r="Q41" s="93">
        <v>32.482592521999997</v>
      </c>
      <c r="R41" s="94">
        <v>0.1341149573</v>
      </c>
      <c r="S41" s="37" t="s">
        <v>76</v>
      </c>
      <c r="T41" s="13">
        <v>0</v>
      </c>
      <c r="U41" s="37" t="s">
        <v>76</v>
      </c>
      <c r="V41" s="13">
        <v>0</v>
      </c>
      <c r="W41" s="93">
        <v>0.3079739581</v>
      </c>
      <c r="X41" s="94">
        <v>1.7401169E-3</v>
      </c>
      <c r="Y41" s="93">
        <v>2.4187197227000001</v>
      </c>
      <c r="Z41" s="94">
        <v>5.792789E-4</v>
      </c>
      <c r="AA41" s="37" t="s">
        <v>76</v>
      </c>
      <c r="AB41" s="13">
        <v>0</v>
      </c>
      <c r="AC41" s="93">
        <v>5.5457770000000002E-4</v>
      </c>
      <c r="AD41" s="94">
        <v>2.2334916999999998E-6</v>
      </c>
      <c r="AE41" s="37" t="s">
        <v>76</v>
      </c>
      <c r="AF41" s="13">
        <v>0</v>
      </c>
      <c r="AG41" s="37" t="s">
        <v>76</v>
      </c>
      <c r="AH41" s="13">
        <v>0</v>
      </c>
      <c r="AI41" s="93">
        <v>5.5457770000000002E-4</v>
      </c>
      <c r="AJ41" s="94">
        <v>2.2334916999999998E-6</v>
      </c>
      <c r="AK41" s="93">
        <v>224.98510150000001</v>
      </c>
      <c r="AL41" s="94">
        <v>1.3301094113</v>
      </c>
      <c r="AM41" s="37" t="s">
        <v>76</v>
      </c>
      <c r="AN41" s="13">
        <v>0</v>
      </c>
      <c r="AO41" s="37" t="s">
        <v>76</v>
      </c>
      <c r="AP41" s="13">
        <v>0</v>
      </c>
      <c r="AQ41" s="37" t="s">
        <v>76</v>
      </c>
      <c r="AR41" s="13">
        <v>0</v>
      </c>
      <c r="AS41" s="93">
        <v>23.758536321000001</v>
      </c>
      <c r="AT41" s="94">
        <v>0.46232099609999999</v>
      </c>
      <c r="AU41" s="93">
        <v>26.746684624</v>
      </c>
      <c r="AV41" s="94">
        <v>0.18070130740000001</v>
      </c>
      <c r="AW41" s="93">
        <v>18.001995547</v>
      </c>
      <c r="AX41" s="94">
        <v>9.4333070000000005E-2</v>
      </c>
      <c r="AY41" s="93">
        <v>5.6982426754000004</v>
      </c>
      <c r="AZ41" s="94">
        <v>2.90166946E-2</v>
      </c>
      <c r="BA41" s="79">
        <v>3.0464464019999999</v>
      </c>
      <c r="BB41" s="13">
        <v>5.7351542800000002E-2</v>
      </c>
      <c r="BC41" s="93">
        <v>0</v>
      </c>
      <c r="BD41" s="86">
        <v>0</v>
      </c>
      <c r="BE41" s="93">
        <v>24.45662067</v>
      </c>
      <c r="BF41" s="94">
        <v>8.9783968899999997E-2</v>
      </c>
      <c r="BG41" s="94">
        <v>4.5969466000000004E-3</v>
      </c>
      <c r="BH41" s="86">
        <v>0</v>
      </c>
      <c r="BI41" s="93">
        <v>104.7825448</v>
      </c>
      <c r="BJ41" s="94">
        <v>3.3157432081999998</v>
      </c>
      <c r="BK41" s="93">
        <v>126.63616971</v>
      </c>
      <c r="BL41" s="94">
        <v>0.93051399759999998</v>
      </c>
      <c r="BM41" s="93">
        <v>74.913566614000004</v>
      </c>
      <c r="BN41" s="94">
        <v>0.39266102419999999</v>
      </c>
      <c r="BO41" s="93">
        <v>7.2546800695</v>
      </c>
      <c r="BP41" s="94">
        <v>1.4450899E-2</v>
      </c>
      <c r="BQ41" s="93">
        <v>0</v>
      </c>
      <c r="BR41" s="88">
        <v>0</v>
      </c>
      <c r="BS41" s="37" t="s">
        <v>76</v>
      </c>
      <c r="BT41" s="13">
        <v>0</v>
      </c>
      <c r="BU41" s="93">
        <v>0.35808935130000003</v>
      </c>
      <c r="BV41" s="94">
        <v>2.2152205000000001E-3</v>
      </c>
      <c r="BW41" s="93">
        <v>3.6340206999999999E-2</v>
      </c>
      <c r="BX41" s="94">
        <v>1.5155689999999999E-4</v>
      </c>
      <c r="BY41" s="7" t="s">
        <v>76</v>
      </c>
      <c r="BZ41" s="13">
        <v>0</v>
      </c>
      <c r="CA41" s="7" t="s">
        <v>76</v>
      </c>
      <c r="CB41" s="13">
        <v>0</v>
      </c>
      <c r="CC41" s="93">
        <v>31.316613428</v>
      </c>
      <c r="CD41" s="94">
        <v>0.1295056751</v>
      </c>
      <c r="CE41" s="93">
        <v>0.25161115610000001</v>
      </c>
      <c r="CF41" s="94">
        <v>1.3564679E-3</v>
      </c>
      <c r="CG41" s="7" t="s">
        <v>76</v>
      </c>
      <c r="CH41" s="13">
        <v>0</v>
      </c>
      <c r="CI41" s="7" t="s">
        <v>76</v>
      </c>
      <c r="CJ41" s="13">
        <v>0</v>
      </c>
      <c r="CK41" s="7" t="s">
        <v>76</v>
      </c>
      <c r="CL41" s="13">
        <v>0</v>
      </c>
      <c r="CM41" s="7" t="s">
        <v>76</v>
      </c>
      <c r="CN41" s="13">
        <v>0</v>
      </c>
      <c r="CO41" s="93">
        <v>0.26631349129999998</v>
      </c>
      <c r="CP41" s="94">
        <v>1.2688708999999999E-3</v>
      </c>
      <c r="CQ41" s="93">
        <v>1.3001975000000001E-3</v>
      </c>
      <c r="CR41" s="94">
        <v>1.30288E-5</v>
      </c>
      <c r="CS41" s="93">
        <v>2.0250885694999998</v>
      </c>
      <c r="CT41" s="94">
        <v>8.3581602000000008E-3</v>
      </c>
      <c r="CU41" s="93">
        <v>2.5145279999999998E-3</v>
      </c>
      <c r="CV41" s="94">
        <v>2.7300900000000001E-5</v>
      </c>
      <c r="CW41" s="6" t="s">
        <v>76</v>
      </c>
      <c r="CX41" s="13">
        <v>0</v>
      </c>
      <c r="CY41" s="7" t="s">
        <v>76</v>
      </c>
      <c r="CZ41" s="15">
        <v>0</v>
      </c>
      <c r="DA41" s="93">
        <v>19.412848379</v>
      </c>
      <c r="DB41" s="94">
        <v>0.1255591049</v>
      </c>
      <c r="DC41" s="93">
        <v>6.8798862500000002E-2</v>
      </c>
      <c r="DD41" s="94">
        <v>4.8766039999999998E-4</v>
      </c>
      <c r="DE41" s="93">
        <v>16.186291312000002</v>
      </c>
      <c r="DF41" s="94">
        <v>5.1061727899999999E-2</v>
      </c>
      <c r="DG41" s="93">
        <v>0.1117361524</v>
      </c>
      <c r="DH41" s="94">
        <v>8.9765340000000002E-4</v>
      </c>
      <c r="DI41" s="188">
        <v>2.7530041999999999E-3</v>
      </c>
      <c r="DJ41" s="189">
        <v>4.1117291999999998E-3</v>
      </c>
      <c r="DK41" s="189">
        <v>4.4317649000000002E-3</v>
      </c>
      <c r="DL41" s="189">
        <v>4.5284929000000002E-3</v>
      </c>
      <c r="DM41" s="189">
        <v>4.5472048000000003E-3</v>
      </c>
      <c r="DN41" s="189">
        <v>4.5571700999999997E-3</v>
      </c>
      <c r="DO41" s="189">
        <v>4.5603288999999997E-3</v>
      </c>
      <c r="DP41" s="189">
        <v>4.5634877000000004E-3</v>
      </c>
      <c r="DQ41" s="189">
        <v>4.5666465000000003E-3</v>
      </c>
      <c r="DR41" s="190">
        <v>4.5698053000000002E-3</v>
      </c>
      <c r="DS41" s="112">
        <v>85.476992315000004</v>
      </c>
      <c r="DT41" s="13">
        <v>1.4271540857</v>
      </c>
      <c r="DU41" s="79">
        <v>56.346353704000002</v>
      </c>
      <c r="DV41" s="13">
        <v>0.94407008729999997</v>
      </c>
      <c r="DW41" s="79">
        <v>36.422365167000002</v>
      </c>
      <c r="DX41" s="13">
        <v>0.62087339009999998</v>
      </c>
      <c r="DY41" s="79">
        <v>23.372171238</v>
      </c>
      <c r="DZ41" s="13">
        <v>0.41022159650000001</v>
      </c>
      <c r="EA41" s="79">
        <v>15.072329416000001</v>
      </c>
      <c r="EB41" s="13">
        <v>0.2747862438</v>
      </c>
      <c r="EC41" s="79">
        <v>9.8264392757000003</v>
      </c>
      <c r="ED41" s="13">
        <v>0.1870689056</v>
      </c>
      <c r="EE41" s="79">
        <v>6.4941289513999996</v>
      </c>
      <c r="EF41" s="13">
        <v>0.12941034940000001</v>
      </c>
      <c r="EG41" s="79">
        <v>4.3686539735999999</v>
      </c>
      <c r="EH41" s="13">
        <v>9.1095337900000004E-2</v>
      </c>
      <c r="EI41" s="79">
        <v>2.9808333472999999</v>
      </c>
      <c r="EJ41" s="13">
        <v>6.4781193299999998E-2</v>
      </c>
      <c r="EK41" s="79">
        <v>2.0740028342999999</v>
      </c>
      <c r="EL41" s="15">
        <v>4.6718201700000003E-2</v>
      </c>
      <c r="EM41" s="79"/>
      <c r="EN41" s="13"/>
      <c r="EO41" s="79"/>
      <c r="EP41" s="13"/>
      <c r="EQ41" s="79"/>
      <c r="ER41" s="13"/>
      <c r="ES41" s="79"/>
      <c r="ET41" s="13"/>
      <c r="EU41" s="79"/>
      <c r="EV41" s="15"/>
    </row>
    <row r="42" spans="1:152" x14ac:dyDescent="0.2">
      <c r="A42" s="8">
        <v>3700</v>
      </c>
      <c r="B42" s="82">
        <v>7715</v>
      </c>
      <c r="C42" s="83">
        <v>1895.0896536</v>
      </c>
      <c r="D42" s="93">
        <v>3649.3339578</v>
      </c>
      <c r="E42" s="93">
        <v>26.406936069</v>
      </c>
      <c r="F42" s="94">
        <v>5.7067228300000002E-2</v>
      </c>
      <c r="G42" s="83">
        <v>4.7063740157999998</v>
      </c>
      <c r="H42" s="94">
        <v>2.9983772000000001E-3</v>
      </c>
      <c r="I42" s="93">
        <v>173.36318399000001</v>
      </c>
      <c r="J42" s="94">
        <v>2.1287806406000001</v>
      </c>
      <c r="K42" s="93">
        <v>229.11559328000001</v>
      </c>
      <c r="L42" s="94">
        <v>1.8783305673999999</v>
      </c>
      <c r="M42" s="93">
        <v>0.75159730380000001</v>
      </c>
      <c r="N42" s="94">
        <v>4.9074619999999996E-3</v>
      </c>
      <c r="O42" s="37">
        <v>0</v>
      </c>
      <c r="P42" s="13">
        <v>0</v>
      </c>
      <c r="Q42" s="93">
        <v>33.569771545999998</v>
      </c>
      <c r="R42" s="94">
        <v>0.13675347739999999</v>
      </c>
      <c r="S42" s="37" t="s">
        <v>76</v>
      </c>
      <c r="T42" s="13">
        <v>0</v>
      </c>
      <c r="U42" s="37" t="s">
        <v>76</v>
      </c>
      <c r="V42" s="13">
        <v>0</v>
      </c>
      <c r="W42" s="93">
        <v>0.3214103384</v>
      </c>
      <c r="X42" s="94">
        <v>1.7766844999999999E-3</v>
      </c>
      <c r="Y42" s="93">
        <v>2.5282807423000002</v>
      </c>
      <c r="Z42" s="94">
        <v>5.8630070000000002E-4</v>
      </c>
      <c r="AA42" s="37" t="s">
        <v>76</v>
      </c>
      <c r="AB42" s="13">
        <v>0</v>
      </c>
      <c r="AC42" s="93">
        <v>9.7158200000000002E-4</v>
      </c>
      <c r="AD42" s="94">
        <v>4.4283838000000003E-6</v>
      </c>
      <c r="AE42" s="37" t="s">
        <v>76</v>
      </c>
      <c r="AF42" s="13">
        <v>0</v>
      </c>
      <c r="AG42" s="37" t="s">
        <v>76</v>
      </c>
      <c r="AH42" s="13">
        <v>0</v>
      </c>
      <c r="AI42" s="93">
        <v>9.7158200000000002E-4</v>
      </c>
      <c r="AJ42" s="94">
        <v>4.4283838000000003E-6</v>
      </c>
      <c r="AK42" s="93">
        <v>227.54952779000001</v>
      </c>
      <c r="AL42" s="94">
        <v>1.3421663812</v>
      </c>
      <c r="AM42" s="37" t="s">
        <v>76</v>
      </c>
      <c r="AN42" s="13">
        <v>0</v>
      </c>
      <c r="AO42" s="37" t="s">
        <v>76</v>
      </c>
      <c r="AP42" s="13">
        <v>0</v>
      </c>
      <c r="AQ42" s="37" t="s">
        <v>76</v>
      </c>
      <c r="AR42" s="13">
        <v>0</v>
      </c>
      <c r="AS42" s="93">
        <v>24.339189916999999</v>
      </c>
      <c r="AT42" s="94">
        <v>0.46839290690000002</v>
      </c>
      <c r="AU42" s="93">
        <v>27.207633016999999</v>
      </c>
      <c r="AV42" s="94">
        <v>0.1830495308</v>
      </c>
      <c r="AW42" s="93">
        <v>18.340620941000001</v>
      </c>
      <c r="AX42" s="94">
        <v>9.5598075599999999E-2</v>
      </c>
      <c r="AY42" s="93">
        <v>5.7608633922000001</v>
      </c>
      <c r="AZ42" s="94">
        <v>2.93217097E-2</v>
      </c>
      <c r="BA42" s="79">
        <v>3.1061486833999998</v>
      </c>
      <c r="BB42" s="13">
        <v>5.8129745500000003E-2</v>
      </c>
      <c r="BC42" s="93">
        <v>0</v>
      </c>
      <c r="BD42" s="86">
        <v>0</v>
      </c>
      <c r="BE42" s="93">
        <v>25.382139418000001</v>
      </c>
      <c r="BF42" s="94">
        <v>9.2021048100000002E-2</v>
      </c>
      <c r="BG42" s="94">
        <v>4.9091463000000002E-3</v>
      </c>
      <c r="BH42" s="86">
        <v>0</v>
      </c>
      <c r="BI42" s="93">
        <v>106.68213852</v>
      </c>
      <c r="BJ42" s="94">
        <v>3.3575026800000001</v>
      </c>
      <c r="BK42" s="93">
        <v>129.97636097</v>
      </c>
      <c r="BL42" s="94">
        <v>0.94952872259999999</v>
      </c>
      <c r="BM42" s="93">
        <v>77.130542313000007</v>
      </c>
      <c r="BN42" s="94">
        <v>0.40180865030000001</v>
      </c>
      <c r="BO42" s="93">
        <v>7.6358776454999999</v>
      </c>
      <c r="BP42" s="94">
        <v>1.50257555E-2</v>
      </c>
      <c r="BQ42" s="93">
        <v>0</v>
      </c>
      <c r="BR42" s="88">
        <v>0</v>
      </c>
      <c r="BS42" s="37" t="s">
        <v>76</v>
      </c>
      <c r="BT42" s="13">
        <v>0</v>
      </c>
      <c r="BU42" s="93">
        <v>0.39230548459999998</v>
      </c>
      <c r="BV42" s="94">
        <v>2.4019201000000001E-3</v>
      </c>
      <c r="BW42" s="93">
        <v>3.7509460799999998E-2</v>
      </c>
      <c r="BX42" s="94">
        <v>1.568331E-4</v>
      </c>
      <c r="BY42" s="7" t="s">
        <v>76</v>
      </c>
      <c r="BZ42" s="13">
        <v>0</v>
      </c>
      <c r="CA42" s="7" t="s">
        <v>76</v>
      </c>
      <c r="CB42" s="13">
        <v>0</v>
      </c>
      <c r="CC42" s="93">
        <v>32.359980487000001</v>
      </c>
      <c r="CD42" s="94">
        <v>0.13202177970000001</v>
      </c>
      <c r="CE42" s="93">
        <v>0.26027044310000003</v>
      </c>
      <c r="CF42" s="94">
        <v>1.3960787000000001E-3</v>
      </c>
      <c r="CG42" s="7" t="s">
        <v>76</v>
      </c>
      <c r="CH42" s="13">
        <v>0</v>
      </c>
      <c r="CI42" s="7" t="s">
        <v>76</v>
      </c>
      <c r="CJ42" s="13">
        <v>0</v>
      </c>
      <c r="CK42" s="7" t="s">
        <v>76</v>
      </c>
      <c r="CL42" s="13">
        <v>0</v>
      </c>
      <c r="CM42" s="7" t="s">
        <v>76</v>
      </c>
      <c r="CN42" s="13">
        <v>0</v>
      </c>
      <c r="CO42" s="93">
        <v>0.27932261959999999</v>
      </c>
      <c r="CP42" s="94">
        <v>1.3063948000000001E-3</v>
      </c>
      <c r="CQ42" s="93">
        <v>1.2885317999999999E-3</v>
      </c>
      <c r="CR42" s="94">
        <v>1.29078E-5</v>
      </c>
      <c r="CS42" s="93">
        <v>2.1244391948999999</v>
      </c>
      <c r="CT42" s="94">
        <v>8.7174230000000002E-3</v>
      </c>
      <c r="CU42" s="93">
        <v>2.4930436000000001E-3</v>
      </c>
      <c r="CV42" s="94">
        <v>2.7053400000000001E-5</v>
      </c>
      <c r="CW42" s="6" t="s">
        <v>76</v>
      </c>
      <c r="CX42" s="13">
        <v>0</v>
      </c>
      <c r="CY42" s="7" t="s">
        <v>76</v>
      </c>
      <c r="CZ42" s="15">
        <v>0</v>
      </c>
      <c r="DA42" s="93">
        <v>19.890904386999999</v>
      </c>
      <c r="DB42" s="94">
        <v>0.12773392080000001</v>
      </c>
      <c r="DC42" s="93">
        <v>6.9909750300000004E-2</v>
      </c>
      <c r="DD42" s="94">
        <v>4.9260350000000005E-4</v>
      </c>
      <c r="DE42" s="93">
        <v>16.75280025</v>
      </c>
      <c r="DF42" s="94">
        <v>5.2283671099999998E-2</v>
      </c>
      <c r="DG42" s="93">
        <v>0.1128731421</v>
      </c>
      <c r="DH42" s="94">
        <v>9.1823109999999996E-4</v>
      </c>
      <c r="DI42" s="188">
        <v>2.9353217000000001E-3</v>
      </c>
      <c r="DJ42" s="189">
        <v>4.3938700000000002E-3</v>
      </c>
      <c r="DK42" s="189">
        <v>4.7380883000000002E-3</v>
      </c>
      <c r="DL42" s="189">
        <v>4.8400277E-3</v>
      </c>
      <c r="DM42" s="189">
        <v>4.8598317E-3</v>
      </c>
      <c r="DN42" s="189">
        <v>4.8697117999999999E-3</v>
      </c>
      <c r="DO42" s="189">
        <v>4.8728442000000004E-3</v>
      </c>
      <c r="DP42" s="189">
        <v>4.8759767000000004E-3</v>
      </c>
      <c r="DQ42" s="189">
        <v>4.8791091E-3</v>
      </c>
      <c r="DR42" s="190">
        <v>4.8822416E-3</v>
      </c>
      <c r="DS42" s="112">
        <v>86.762238842000002</v>
      </c>
      <c r="DT42" s="13">
        <v>1.4439571894000001</v>
      </c>
      <c r="DU42" s="79">
        <v>57.402173212999998</v>
      </c>
      <c r="DV42" s="13">
        <v>0.95832780279999996</v>
      </c>
      <c r="DW42" s="79">
        <v>37.259816307000001</v>
      </c>
      <c r="DX42" s="13">
        <v>0.6325093503</v>
      </c>
      <c r="DY42" s="79">
        <v>24.015777408999998</v>
      </c>
      <c r="DZ42" s="13">
        <v>0.41944711289999997</v>
      </c>
      <c r="EA42" s="79">
        <v>15.557168876</v>
      </c>
      <c r="EB42" s="13">
        <v>0.28196654469999999</v>
      </c>
      <c r="EC42" s="79">
        <v>10.185117113</v>
      </c>
      <c r="ED42" s="13">
        <v>0.1925950018</v>
      </c>
      <c r="EE42" s="79">
        <v>6.7613330657999997</v>
      </c>
      <c r="EF42" s="13">
        <v>0.13365658399999999</v>
      </c>
      <c r="EG42" s="79">
        <v>4.5685589749000002</v>
      </c>
      <c r="EH42" s="13">
        <v>9.4362515199999997E-2</v>
      </c>
      <c r="EI42" s="79">
        <v>3.1309336391000002</v>
      </c>
      <c r="EJ42" s="13">
        <v>6.7297501600000004E-2</v>
      </c>
      <c r="EK42" s="79">
        <v>2.1876114055999998</v>
      </c>
      <c r="EL42" s="15">
        <v>4.8668511900000003E-2</v>
      </c>
      <c r="EM42" s="79"/>
      <c r="EN42" s="13"/>
      <c r="EO42" s="79"/>
      <c r="EP42" s="13"/>
      <c r="EQ42" s="79"/>
      <c r="ER42" s="13"/>
      <c r="ES42" s="79"/>
      <c r="ET42" s="13"/>
      <c r="EU42" s="79"/>
      <c r="EV42" s="15"/>
    </row>
    <row r="43" spans="1:152" x14ac:dyDescent="0.2">
      <c r="A43" s="8">
        <v>3800</v>
      </c>
      <c r="B43" s="82">
        <v>7593</v>
      </c>
      <c r="C43" s="83">
        <v>1925.2628271999999</v>
      </c>
      <c r="D43" s="93">
        <v>3749.8023404</v>
      </c>
      <c r="E43" s="93">
        <v>27.461817244999999</v>
      </c>
      <c r="F43" s="94">
        <v>5.83071228E-2</v>
      </c>
      <c r="G43" s="83">
        <v>5.1009381888999998</v>
      </c>
      <c r="H43" s="94">
        <v>3.2077401999999998E-3</v>
      </c>
      <c r="I43" s="93">
        <v>175.35095584999999</v>
      </c>
      <c r="J43" s="94">
        <v>2.1468307845000001</v>
      </c>
      <c r="K43" s="93">
        <v>234.51299678000001</v>
      </c>
      <c r="L43" s="94">
        <v>1.9120207572000001</v>
      </c>
      <c r="M43" s="93">
        <v>0.78205463009999998</v>
      </c>
      <c r="N43" s="94">
        <v>5.0320937999999999E-3</v>
      </c>
      <c r="O43" s="37">
        <v>0</v>
      </c>
      <c r="P43" s="13">
        <v>0</v>
      </c>
      <c r="Q43" s="93">
        <v>34.538694258</v>
      </c>
      <c r="R43" s="94">
        <v>0.1393957016</v>
      </c>
      <c r="S43" s="37" t="s">
        <v>76</v>
      </c>
      <c r="T43" s="13">
        <v>0</v>
      </c>
      <c r="U43" s="37" t="s">
        <v>76</v>
      </c>
      <c r="V43" s="13">
        <v>0</v>
      </c>
      <c r="W43" s="93">
        <v>0.34549016970000002</v>
      </c>
      <c r="X43" s="94">
        <v>1.8771767E-3</v>
      </c>
      <c r="Y43" s="93">
        <v>2.6360604701999999</v>
      </c>
      <c r="Z43" s="94">
        <v>6.0346640000000001E-4</v>
      </c>
      <c r="AA43" s="37" t="s">
        <v>76</v>
      </c>
      <c r="AB43" s="13">
        <v>0</v>
      </c>
      <c r="AC43" s="93">
        <v>9.6357889999999996E-4</v>
      </c>
      <c r="AD43" s="94">
        <v>4.3919062999999998E-6</v>
      </c>
      <c r="AE43" s="37" t="s">
        <v>76</v>
      </c>
      <c r="AF43" s="13">
        <v>0</v>
      </c>
      <c r="AG43" s="37" t="s">
        <v>76</v>
      </c>
      <c r="AH43" s="13">
        <v>0</v>
      </c>
      <c r="AI43" s="93">
        <v>9.6357889999999996E-4</v>
      </c>
      <c r="AJ43" s="94">
        <v>4.3919062999999998E-6</v>
      </c>
      <c r="AK43" s="93">
        <v>230.00226372</v>
      </c>
      <c r="AL43" s="94">
        <v>1.3539883130000001</v>
      </c>
      <c r="AM43" s="37" t="s">
        <v>76</v>
      </c>
      <c r="AN43" s="13">
        <v>0</v>
      </c>
      <c r="AO43" s="37" t="s">
        <v>76</v>
      </c>
      <c r="AP43" s="13">
        <v>0</v>
      </c>
      <c r="AQ43" s="37" t="s">
        <v>76</v>
      </c>
      <c r="AR43" s="13">
        <v>0</v>
      </c>
      <c r="AS43" s="93">
        <v>24.965937753999999</v>
      </c>
      <c r="AT43" s="94">
        <v>0.47420288729999999</v>
      </c>
      <c r="AU43" s="93">
        <v>27.702174108000001</v>
      </c>
      <c r="AV43" s="94">
        <v>0.1854036302</v>
      </c>
      <c r="AW43" s="93">
        <v>18.706203071000001</v>
      </c>
      <c r="AX43" s="94">
        <v>9.6969816799999997E-2</v>
      </c>
      <c r="AY43" s="93">
        <v>5.8365365614</v>
      </c>
      <c r="AZ43" s="94">
        <v>2.9654831900000001E-2</v>
      </c>
      <c r="BA43" s="79">
        <v>3.1594344756999999</v>
      </c>
      <c r="BB43" s="13">
        <v>5.8778981500000001E-2</v>
      </c>
      <c r="BC43" s="93">
        <v>0</v>
      </c>
      <c r="BD43" s="86">
        <v>0</v>
      </c>
      <c r="BE43" s="93">
        <v>26.351190642999999</v>
      </c>
      <c r="BF43" s="94">
        <v>9.4377668900000003E-2</v>
      </c>
      <c r="BG43" s="94">
        <v>5.2657334999999996E-3</v>
      </c>
      <c r="BH43" s="86">
        <v>0</v>
      </c>
      <c r="BI43" s="93">
        <v>108.64974818</v>
      </c>
      <c r="BJ43" s="94">
        <v>3.4012872386000002</v>
      </c>
      <c r="BK43" s="93">
        <v>133.21622558000001</v>
      </c>
      <c r="BL43" s="94">
        <v>0.96769283920000004</v>
      </c>
      <c r="BM43" s="93">
        <v>79.554701456000004</v>
      </c>
      <c r="BN43" s="94">
        <v>0.41137693069999998</v>
      </c>
      <c r="BO43" s="93">
        <v>8.0819183086000006</v>
      </c>
      <c r="BP43" s="94">
        <v>1.5725767799999998E-2</v>
      </c>
      <c r="BQ43" s="93">
        <v>0</v>
      </c>
      <c r="BR43" s="88">
        <v>0</v>
      </c>
      <c r="BS43" s="37" t="s">
        <v>76</v>
      </c>
      <c r="BT43" s="13">
        <v>0</v>
      </c>
      <c r="BU43" s="93">
        <v>0.41014519799999999</v>
      </c>
      <c r="BV43" s="94">
        <v>2.4369109999999999E-3</v>
      </c>
      <c r="BW43" s="93">
        <v>3.7564714800000003E-2</v>
      </c>
      <c r="BX43" s="94">
        <v>1.5806880000000001E-4</v>
      </c>
      <c r="BY43" s="7" t="s">
        <v>76</v>
      </c>
      <c r="BZ43" s="13">
        <v>0</v>
      </c>
      <c r="CA43" s="7" t="s">
        <v>76</v>
      </c>
      <c r="CB43" s="13">
        <v>0</v>
      </c>
      <c r="CC43" s="93">
        <v>33.299954769999999</v>
      </c>
      <c r="CD43" s="94">
        <v>0.13453333100000001</v>
      </c>
      <c r="CE43" s="93">
        <v>0.26581027190000001</v>
      </c>
      <c r="CF43" s="94">
        <v>1.4228695E-3</v>
      </c>
      <c r="CG43" s="7" t="s">
        <v>76</v>
      </c>
      <c r="CH43" s="13">
        <v>0</v>
      </c>
      <c r="CI43" s="7" t="s">
        <v>76</v>
      </c>
      <c r="CJ43" s="13">
        <v>0</v>
      </c>
      <c r="CK43" s="7" t="s">
        <v>76</v>
      </c>
      <c r="CL43" s="13">
        <v>0</v>
      </c>
      <c r="CM43" s="7" t="s">
        <v>76</v>
      </c>
      <c r="CN43" s="13">
        <v>0</v>
      </c>
      <c r="CO43" s="93">
        <v>0.30041679760000001</v>
      </c>
      <c r="CP43" s="94">
        <v>1.3884921999999999E-3</v>
      </c>
      <c r="CQ43" s="93">
        <v>1.2773414999999999E-3</v>
      </c>
      <c r="CR43" s="94">
        <v>1.2794E-5</v>
      </c>
      <c r="CS43" s="93">
        <v>2.2241771530999999</v>
      </c>
      <c r="CT43" s="94">
        <v>9.0409597999999997E-3</v>
      </c>
      <c r="CU43" s="93">
        <v>2.4719721999999999E-3</v>
      </c>
      <c r="CV43" s="94">
        <v>2.9313099999999999E-5</v>
      </c>
      <c r="CW43" s="6" t="s">
        <v>76</v>
      </c>
      <c r="CX43" s="13">
        <v>0</v>
      </c>
      <c r="CY43" s="7" t="s">
        <v>76</v>
      </c>
      <c r="CZ43" s="15">
        <v>0</v>
      </c>
      <c r="DA43" s="93">
        <v>20.410121883999999</v>
      </c>
      <c r="DB43" s="94">
        <v>0.1298286937</v>
      </c>
      <c r="DC43" s="93">
        <v>7.0127588500000004E-2</v>
      </c>
      <c r="DD43" s="94">
        <v>5.0702970000000001E-4</v>
      </c>
      <c r="DE43" s="93">
        <v>17.320042440000002</v>
      </c>
      <c r="DF43" s="94">
        <v>5.3507325000000001E-2</v>
      </c>
      <c r="DG43" s="93">
        <v>0.1149753225</v>
      </c>
      <c r="DH43" s="94">
        <v>9.2971989999999995E-4</v>
      </c>
      <c r="DI43" s="188">
        <v>3.1411324000000002E-3</v>
      </c>
      <c r="DJ43" s="189">
        <v>4.7114814999999997E-3</v>
      </c>
      <c r="DK43" s="189">
        <v>5.0830331000000003E-3</v>
      </c>
      <c r="DL43" s="189">
        <v>5.1918331999999999E-3</v>
      </c>
      <c r="DM43" s="189">
        <v>5.2133186999999996E-3</v>
      </c>
      <c r="DN43" s="189">
        <v>5.2249664999999999E-3</v>
      </c>
      <c r="DO43" s="189">
        <v>5.2286327000000002E-3</v>
      </c>
      <c r="DP43" s="189">
        <v>5.2322988000000001E-3</v>
      </c>
      <c r="DQ43" s="189">
        <v>5.2359650000000004E-3</v>
      </c>
      <c r="DR43" s="190">
        <v>5.2390698999999997E-3</v>
      </c>
      <c r="DS43" s="112">
        <v>88.017354867999998</v>
      </c>
      <c r="DT43" s="13">
        <v>1.4602450254999999</v>
      </c>
      <c r="DU43" s="79">
        <v>58.434665146999997</v>
      </c>
      <c r="DV43" s="13">
        <v>0.97219079289999999</v>
      </c>
      <c r="DW43" s="79">
        <v>38.074896967000001</v>
      </c>
      <c r="DX43" s="13">
        <v>0.64378397450000002</v>
      </c>
      <c r="DY43" s="79">
        <v>24.641573051000002</v>
      </c>
      <c r="DZ43" s="13">
        <v>0.42833018769999998</v>
      </c>
      <c r="EA43" s="79">
        <v>16.030510812999999</v>
      </c>
      <c r="EB43" s="13">
        <v>0.28886743679999999</v>
      </c>
      <c r="EC43" s="79">
        <v>10.535595005999999</v>
      </c>
      <c r="ED43" s="13">
        <v>0.19784775739999999</v>
      </c>
      <c r="EE43" s="79">
        <v>7.0204714361000002</v>
      </c>
      <c r="EF43" s="13">
        <v>0.1376418529</v>
      </c>
      <c r="EG43" s="79">
        <v>4.7605339138999998</v>
      </c>
      <c r="EH43" s="13">
        <v>9.7393296899999995E-2</v>
      </c>
      <c r="EI43" s="79">
        <v>3.2718383426000002</v>
      </c>
      <c r="EJ43" s="13">
        <v>6.9573181600000006E-2</v>
      </c>
      <c r="EK43" s="79">
        <v>2.2900424091999998</v>
      </c>
      <c r="EL43" s="15">
        <v>5.0372373499999998E-2</v>
      </c>
      <c r="EM43" s="79"/>
      <c r="EN43" s="13"/>
      <c r="EO43" s="79"/>
      <c r="EP43" s="13"/>
      <c r="EQ43" s="79"/>
      <c r="ER43" s="13"/>
      <c r="ES43" s="79"/>
      <c r="ET43" s="13"/>
      <c r="EU43" s="79"/>
      <c r="EV43" s="15"/>
    </row>
    <row r="44" spans="1:152" x14ac:dyDescent="0.2">
      <c r="A44" s="8">
        <v>3900</v>
      </c>
      <c r="B44" s="82">
        <v>7233</v>
      </c>
      <c r="C44" s="83">
        <v>1954.8428529</v>
      </c>
      <c r="D44" s="93">
        <v>3849.2543049999999</v>
      </c>
      <c r="E44" s="93">
        <v>28.508014122999999</v>
      </c>
      <c r="F44" s="94">
        <v>5.9538107100000001E-2</v>
      </c>
      <c r="G44" s="83">
        <v>5.5006447668999998</v>
      </c>
      <c r="H44" s="94">
        <v>3.4085063000000001E-3</v>
      </c>
      <c r="I44" s="93">
        <v>177.28080914</v>
      </c>
      <c r="J44" s="94">
        <v>2.1647441125000002</v>
      </c>
      <c r="K44" s="93">
        <v>239.9079816</v>
      </c>
      <c r="L44" s="94">
        <v>1.9448257968</v>
      </c>
      <c r="M44" s="93">
        <v>0.81756119969999996</v>
      </c>
      <c r="N44" s="94">
        <v>5.2498101000000002E-3</v>
      </c>
      <c r="O44" s="37">
        <v>0</v>
      </c>
      <c r="P44" s="13">
        <v>0</v>
      </c>
      <c r="Q44" s="93">
        <v>35.606266265999999</v>
      </c>
      <c r="R44" s="94">
        <v>0.14210864549999999</v>
      </c>
      <c r="S44" s="37" t="s">
        <v>76</v>
      </c>
      <c r="T44" s="13">
        <v>0</v>
      </c>
      <c r="U44" s="37" t="s">
        <v>76</v>
      </c>
      <c r="V44" s="13">
        <v>0</v>
      </c>
      <c r="W44" s="93">
        <v>0.35230381830000002</v>
      </c>
      <c r="X44" s="94">
        <v>1.9117279000000001E-3</v>
      </c>
      <c r="Y44" s="93">
        <v>2.7347299315</v>
      </c>
      <c r="Z44" s="94">
        <v>6.1199289999999999E-4</v>
      </c>
      <c r="AA44" s="37" t="s">
        <v>76</v>
      </c>
      <c r="AB44" s="13">
        <v>0</v>
      </c>
      <c r="AC44" s="93">
        <v>9.5565699999999995E-4</v>
      </c>
      <c r="AD44" s="94">
        <v>4.3557989999999996E-6</v>
      </c>
      <c r="AE44" s="37" t="s">
        <v>76</v>
      </c>
      <c r="AF44" s="13">
        <v>0</v>
      </c>
      <c r="AG44" s="37" t="s">
        <v>76</v>
      </c>
      <c r="AH44" s="13">
        <v>0</v>
      </c>
      <c r="AI44" s="93">
        <v>9.5565699999999995E-4</v>
      </c>
      <c r="AJ44" s="94">
        <v>4.3557989999999996E-6</v>
      </c>
      <c r="AK44" s="93">
        <v>232.40528913</v>
      </c>
      <c r="AL44" s="94">
        <v>1.3657747410000001</v>
      </c>
      <c r="AM44" s="37" t="s">
        <v>76</v>
      </c>
      <c r="AN44" s="13">
        <v>0</v>
      </c>
      <c r="AO44" s="37" t="s">
        <v>76</v>
      </c>
      <c r="AP44" s="13">
        <v>0</v>
      </c>
      <c r="AQ44" s="37" t="s">
        <v>76</v>
      </c>
      <c r="AR44" s="13">
        <v>0</v>
      </c>
      <c r="AS44" s="93">
        <v>25.538173282999999</v>
      </c>
      <c r="AT44" s="94">
        <v>0.47998092009999999</v>
      </c>
      <c r="AU44" s="93">
        <v>28.124593902000001</v>
      </c>
      <c r="AV44" s="94">
        <v>0.18778357130000001</v>
      </c>
      <c r="AW44" s="93">
        <v>19.008825673</v>
      </c>
      <c r="AX44" s="94">
        <v>9.8261295799999995E-2</v>
      </c>
      <c r="AY44" s="93">
        <v>5.8943803865</v>
      </c>
      <c r="AZ44" s="94">
        <v>2.9936002199999999E-2</v>
      </c>
      <c r="BA44" s="79">
        <v>3.2213878427</v>
      </c>
      <c r="BB44" s="13">
        <v>5.9586273299999999E-2</v>
      </c>
      <c r="BC44" s="93">
        <v>0</v>
      </c>
      <c r="BD44" s="86">
        <v>0</v>
      </c>
      <c r="BE44" s="93">
        <v>27.385612671000001</v>
      </c>
      <c r="BF44" s="94">
        <v>9.6665063800000006E-2</v>
      </c>
      <c r="BG44" s="94">
        <v>5.6256021999999996E-3</v>
      </c>
      <c r="BH44" s="86">
        <v>0</v>
      </c>
      <c r="BI44" s="93">
        <v>110.39500424000001</v>
      </c>
      <c r="BJ44" s="94">
        <v>3.4412449719999998</v>
      </c>
      <c r="BK44" s="93">
        <v>136.39677777</v>
      </c>
      <c r="BL44" s="94">
        <v>0.98590598429999998</v>
      </c>
      <c r="BM44" s="93">
        <v>81.880849957999999</v>
      </c>
      <c r="BN44" s="94">
        <v>0.420562942</v>
      </c>
      <c r="BO44" s="93">
        <v>8.4949099056000001</v>
      </c>
      <c r="BP44" s="94">
        <v>1.63219608E-2</v>
      </c>
      <c r="BQ44" s="93">
        <v>0</v>
      </c>
      <c r="BR44" s="88">
        <v>0</v>
      </c>
      <c r="BS44" s="37" t="s">
        <v>76</v>
      </c>
      <c r="BT44" s="13">
        <v>0</v>
      </c>
      <c r="BU44" s="93">
        <v>0.43726849839999998</v>
      </c>
      <c r="BV44" s="94">
        <v>2.6014549999999999E-3</v>
      </c>
      <c r="BW44" s="93">
        <v>3.9936796500000003E-2</v>
      </c>
      <c r="BX44" s="94">
        <v>1.6807279999999999E-4</v>
      </c>
      <c r="BY44" s="7" t="s">
        <v>76</v>
      </c>
      <c r="BZ44" s="13">
        <v>0</v>
      </c>
      <c r="CA44" s="7" t="s">
        <v>76</v>
      </c>
      <c r="CB44" s="13">
        <v>0</v>
      </c>
      <c r="CC44" s="93">
        <v>34.328365282</v>
      </c>
      <c r="CD44" s="94">
        <v>0.13711113389999999</v>
      </c>
      <c r="CE44" s="93">
        <v>0.27391948490000001</v>
      </c>
      <c r="CF44" s="94">
        <v>1.4615421E-3</v>
      </c>
      <c r="CG44" s="7" t="s">
        <v>76</v>
      </c>
      <c r="CH44" s="13">
        <v>0</v>
      </c>
      <c r="CI44" s="7" t="s">
        <v>76</v>
      </c>
      <c r="CJ44" s="13">
        <v>0</v>
      </c>
      <c r="CK44" s="7" t="s">
        <v>76</v>
      </c>
      <c r="CL44" s="13">
        <v>0</v>
      </c>
      <c r="CM44" s="7" t="s">
        <v>76</v>
      </c>
      <c r="CN44" s="13">
        <v>0</v>
      </c>
      <c r="CO44" s="93">
        <v>0.30760029919999998</v>
      </c>
      <c r="CP44" s="94">
        <v>1.4270826000000001E-3</v>
      </c>
      <c r="CQ44" s="93">
        <v>1.2663993E-3</v>
      </c>
      <c r="CR44" s="94">
        <v>1.26853E-5</v>
      </c>
      <c r="CS44" s="93">
        <v>2.3125889284999999</v>
      </c>
      <c r="CT44" s="94">
        <v>9.3698876999999993E-3</v>
      </c>
      <c r="CU44" s="93">
        <v>2.5252064E-3</v>
      </c>
      <c r="CV44" s="94">
        <v>2.97942E-5</v>
      </c>
      <c r="CW44" s="6" t="s">
        <v>76</v>
      </c>
      <c r="CX44" s="13">
        <v>0</v>
      </c>
      <c r="CY44" s="7" t="s">
        <v>76</v>
      </c>
      <c r="CZ44" s="15">
        <v>0</v>
      </c>
      <c r="DA44" s="93">
        <v>20.890417228</v>
      </c>
      <c r="DB44" s="94">
        <v>0.13185931840000001</v>
      </c>
      <c r="DC44" s="93">
        <v>6.9781036099999999E-2</v>
      </c>
      <c r="DD44" s="94">
        <v>5.0888349999999997E-4</v>
      </c>
      <c r="DE44" s="93">
        <v>17.944153921000002</v>
      </c>
      <c r="DF44" s="94">
        <v>5.4729070900000003E-2</v>
      </c>
      <c r="DG44" s="93">
        <v>0.1170335571</v>
      </c>
      <c r="DH44" s="94">
        <v>9.4247470000000002E-4</v>
      </c>
      <c r="DI44" s="188">
        <v>3.3371407E-3</v>
      </c>
      <c r="DJ44" s="189">
        <v>5.0195672999999996E-3</v>
      </c>
      <c r="DK44" s="189">
        <v>5.4277292000000001E-3</v>
      </c>
      <c r="DL44" s="189">
        <v>5.5508381999999998E-3</v>
      </c>
      <c r="DM44" s="189">
        <v>5.5728898000000004E-3</v>
      </c>
      <c r="DN44" s="189">
        <v>5.5851853E-3</v>
      </c>
      <c r="DO44" s="189">
        <v>5.5888212E-3</v>
      </c>
      <c r="DP44" s="189">
        <v>5.5924570999999999E-3</v>
      </c>
      <c r="DQ44" s="189">
        <v>5.5960929999999999E-3</v>
      </c>
      <c r="DR44" s="190">
        <v>5.5991723E-3</v>
      </c>
      <c r="DS44" s="112">
        <v>89.241917779000005</v>
      </c>
      <c r="DT44" s="13">
        <v>1.47650221</v>
      </c>
      <c r="DU44" s="79">
        <v>59.457070430999998</v>
      </c>
      <c r="DV44" s="13">
        <v>0.9861972363</v>
      </c>
      <c r="DW44" s="79">
        <v>38.896635916000001</v>
      </c>
      <c r="DX44" s="13">
        <v>0.65534542340000002</v>
      </c>
      <c r="DY44" s="79">
        <v>25.280386318000001</v>
      </c>
      <c r="DZ44" s="13">
        <v>0.43760478720000001</v>
      </c>
      <c r="EA44" s="79">
        <v>16.515791401000001</v>
      </c>
      <c r="EB44" s="13">
        <v>0.29615317889999998</v>
      </c>
      <c r="EC44" s="79">
        <v>10.904532875999999</v>
      </c>
      <c r="ED44" s="13">
        <v>0.2035530931</v>
      </c>
      <c r="EE44" s="79">
        <v>7.2996993614000001</v>
      </c>
      <c r="EF44" s="13">
        <v>0.1421000784</v>
      </c>
      <c r="EG44" s="79">
        <v>4.9711270259999996</v>
      </c>
      <c r="EH44" s="13">
        <v>0.1008508934</v>
      </c>
      <c r="EI44" s="79">
        <v>3.4317412697999998</v>
      </c>
      <c r="EJ44" s="13">
        <v>7.2276016900000004E-2</v>
      </c>
      <c r="EK44" s="79">
        <v>2.4132819552</v>
      </c>
      <c r="EL44" s="15">
        <v>5.24966875E-2</v>
      </c>
      <c r="EM44" s="79"/>
      <c r="EN44" s="13"/>
      <c r="EO44" s="79"/>
      <c r="EP44" s="13"/>
      <c r="EQ44" s="79"/>
      <c r="ER44" s="13"/>
      <c r="ES44" s="79"/>
      <c r="ET44" s="13"/>
      <c r="EU44" s="79"/>
      <c r="EV44" s="15"/>
    </row>
    <row r="45" spans="1:152" x14ac:dyDescent="0.2">
      <c r="A45" s="8">
        <v>4000</v>
      </c>
      <c r="B45" s="82">
        <v>7059</v>
      </c>
      <c r="C45" s="83">
        <v>1983.8585358</v>
      </c>
      <c r="D45" s="93">
        <v>3949.5557570000001</v>
      </c>
      <c r="E45" s="93">
        <v>29.511593311999999</v>
      </c>
      <c r="F45" s="94">
        <v>6.0782652499999999E-2</v>
      </c>
      <c r="G45" s="83">
        <v>5.9339679678000001</v>
      </c>
      <c r="H45" s="94">
        <v>3.6173004000000001E-3</v>
      </c>
      <c r="I45" s="93">
        <v>179.24541235000001</v>
      </c>
      <c r="J45" s="94">
        <v>2.1821533460000002</v>
      </c>
      <c r="K45" s="93">
        <v>245.11361022</v>
      </c>
      <c r="L45" s="94">
        <v>1.9767083103</v>
      </c>
      <c r="M45" s="93">
        <v>0.85528615610000003</v>
      </c>
      <c r="N45" s="94">
        <v>5.4113623E-3</v>
      </c>
      <c r="O45" s="37">
        <v>0</v>
      </c>
      <c r="P45" s="13">
        <v>0</v>
      </c>
      <c r="Q45" s="93">
        <v>36.777214710999999</v>
      </c>
      <c r="R45" s="94">
        <v>0.14472545940000001</v>
      </c>
      <c r="S45" s="37" t="s">
        <v>76</v>
      </c>
      <c r="T45" s="13">
        <v>0</v>
      </c>
      <c r="U45" s="37" t="s">
        <v>76</v>
      </c>
      <c r="V45" s="13">
        <v>0</v>
      </c>
      <c r="W45" s="93">
        <v>0.35970185090000001</v>
      </c>
      <c r="X45" s="94">
        <v>1.9388522999999999E-3</v>
      </c>
      <c r="Y45" s="93">
        <v>2.8197461743000001</v>
      </c>
      <c r="Z45" s="94">
        <v>6.2213049999999999E-4</v>
      </c>
      <c r="AA45" s="37" t="s">
        <v>76</v>
      </c>
      <c r="AB45" s="13">
        <v>0</v>
      </c>
      <c r="AC45" s="93">
        <v>9.482456E-4</v>
      </c>
      <c r="AD45" s="94">
        <v>4.3220184000000001E-6</v>
      </c>
      <c r="AE45" s="37" t="s">
        <v>76</v>
      </c>
      <c r="AF45" s="13">
        <v>0</v>
      </c>
      <c r="AG45" s="37" t="s">
        <v>76</v>
      </c>
      <c r="AH45" s="13">
        <v>0</v>
      </c>
      <c r="AI45" s="93">
        <v>9.482456E-4</v>
      </c>
      <c r="AJ45" s="94">
        <v>4.3220184000000001E-6</v>
      </c>
      <c r="AK45" s="93">
        <v>234.69122064999999</v>
      </c>
      <c r="AL45" s="94">
        <v>1.3767419474</v>
      </c>
      <c r="AM45" s="37" t="s">
        <v>76</v>
      </c>
      <c r="AN45" s="13">
        <v>0</v>
      </c>
      <c r="AO45" s="37" t="s">
        <v>76</v>
      </c>
      <c r="AP45" s="13">
        <v>0</v>
      </c>
      <c r="AQ45" s="37" t="s">
        <v>76</v>
      </c>
      <c r="AR45" s="13">
        <v>0</v>
      </c>
      <c r="AS45" s="93">
        <v>26.106253374000001</v>
      </c>
      <c r="AT45" s="94">
        <v>0.48553056049999999</v>
      </c>
      <c r="AU45" s="93">
        <v>28.557104396</v>
      </c>
      <c r="AV45" s="94">
        <v>0.1900152618</v>
      </c>
      <c r="AW45" s="93">
        <v>19.323211398000002</v>
      </c>
      <c r="AX45" s="94">
        <v>9.9526124600000002E-2</v>
      </c>
      <c r="AY45" s="93">
        <v>5.9636575945999999</v>
      </c>
      <c r="AZ45" s="94">
        <v>3.0250957700000001E-2</v>
      </c>
      <c r="BA45" s="79">
        <v>3.2702354035000001</v>
      </c>
      <c r="BB45" s="13">
        <v>6.0238179599999997E-2</v>
      </c>
      <c r="BC45" s="93">
        <v>0</v>
      </c>
      <c r="BD45" s="86">
        <v>0</v>
      </c>
      <c r="BE45" s="93">
        <v>28.381753889999999</v>
      </c>
      <c r="BF45" s="94">
        <v>9.9055202800000006E-2</v>
      </c>
      <c r="BG45" s="94">
        <v>6.0000156000000002E-3</v>
      </c>
      <c r="BH45" s="86">
        <v>0</v>
      </c>
      <c r="BI45" s="93">
        <v>112.18680144</v>
      </c>
      <c r="BJ45" s="94">
        <v>3.4803630264000001</v>
      </c>
      <c r="BK45" s="93">
        <v>139.58949265999999</v>
      </c>
      <c r="BL45" s="94">
        <v>1.0041188987</v>
      </c>
      <c r="BM45" s="93">
        <v>84.08200617</v>
      </c>
      <c r="BN45" s="94">
        <v>0.42913070219999999</v>
      </c>
      <c r="BO45" s="93">
        <v>8.9671965690000004</v>
      </c>
      <c r="BP45" s="94">
        <v>1.69840201E-2</v>
      </c>
      <c r="BQ45" s="93">
        <v>0</v>
      </c>
      <c r="BR45" s="88">
        <v>0</v>
      </c>
      <c r="BS45" s="37" t="s">
        <v>76</v>
      </c>
      <c r="BT45" s="13">
        <v>0</v>
      </c>
      <c r="BU45" s="93">
        <v>0.46843610489999998</v>
      </c>
      <c r="BV45" s="94">
        <v>2.7635086999999998E-3</v>
      </c>
      <c r="BW45" s="93">
        <v>4.0771942300000003E-2</v>
      </c>
      <c r="BX45" s="94">
        <v>1.7153630000000001E-4</v>
      </c>
      <c r="BY45" s="7" t="s">
        <v>76</v>
      </c>
      <c r="BZ45" s="13">
        <v>0</v>
      </c>
      <c r="CA45" s="7" t="s">
        <v>76</v>
      </c>
      <c r="CB45" s="13">
        <v>0</v>
      </c>
      <c r="CC45" s="93">
        <v>35.458142041000002</v>
      </c>
      <c r="CD45" s="94">
        <v>0.1396174603</v>
      </c>
      <c r="CE45" s="93">
        <v>0.28493367990000001</v>
      </c>
      <c r="CF45" s="94">
        <v>1.5034312E-3</v>
      </c>
      <c r="CG45" s="7" t="s">
        <v>76</v>
      </c>
      <c r="CH45" s="13">
        <v>0</v>
      </c>
      <c r="CI45" s="7" t="s">
        <v>76</v>
      </c>
      <c r="CJ45" s="13">
        <v>0</v>
      </c>
      <c r="CK45" s="7" t="s">
        <v>76</v>
      </c>
      <c r="CL45" s="13">
        <v>0</v>
      </c>
      <c r="CM45" s="7" t="s">
        <v>76</v>
      </c>
      <c r="CN45" s="13">
        <v>0</v>
      </c>
      <c r="CO45" s="93">
        <v>0.31535998999999998</v>
      </c>
      <c r="CP45" s="94">
        <v>1.4582004999999999E-3</v>
      </c>
      <c r="CQ45" s="93">
        <v>1.2558349E-3</v>
      </c>
      <c r="CR45" s="94">
        <v>1.2577399999999999E-5</v>
      </c>
      <c r="CS45" s="93">
        <v>2.3976764556000001</v>
      </c>
      <c r="CT45" s="94">
        <v>9.6933314999999992E-3</v>
      </c>
      <c r="CU45" s="93">
        <v>2.6616056999999999E-3</v>
      </c>
      <c r="CV45" s="94">
        <v>3.0994999999999997E-5</v>
      </c>
      <c r="CW45" s="6" t="s">
        <v>76</v>
      </c>
      <c r="CX45" s="13">
        <v>0</v>
      </c>
      <c r="CY45" s="7" t="s">
        <v>76</v>
      </c>
      <c r="CZ45" s="15">
        <v>0</v>
      </c>
      <c r="DA45" s="93">
        <v>21.359957122000001</v>
      </c>
      <c r="DB45" s="94">
        <v>0.13386271159999999</v>
      </c>
      <c r="DC45" s="93">
        <v>7.1798313099999997E-2</v>
      </c>
      <c r="DD45" s="94">
        <v>5.1264300000000002E-4</v>
      </c>
      <c r="DE45" s="93">
        <v>18.503459693</v>
      </c>
      <c r="DF45" s="94">
        <v>5.58546345E-2</v>
      </c>
      <c r="DG45" s="93">
        <v>0.12085078389999999</v>
      </c>
      <c r="DH45" s="94">
        <v>9.601198E-4</v>
      </c>
      <c r="DI45" s="188">
        <v>3.5422685000000001E-3</v>
      </c>
      <c r="DJ45" s="189">
        <v>5.3464816000000004E-3</v>
      </c>
      <c r="DK45" s="189">
        <v>5.7909657000000002E-3</v>
      </c>
      <c r="DL45" s="189">
        <v>5.9226130000000002E-3</v>
      </c>
      <c r="DM45" s="189">
        <v>5.9471723000000002E-3</v>
      </c>
      <c r="DN45" s="189">
        <v>5.9599216000000002E-3</v>
      </c>
      <c r="DO45" s="189">
        <v>5.9635288000000003E-3</v>
      </c>
      <c r="DP45" s="189">
        <v>5.9671359999999996E-3</v>
      </c>
      <c r="DQ45" s="189">
        <v>5.9707431999999998E-3</v>
      </c>
      <c r="DR45" s="190">
        <v>5.9737983999999999E-3</v>
      </c>
      <c r="DS45" s="112">
        <v>90.468096951000007</v>
      </c>
      <c r="DT45" s="13">
        <v>1.4923343765999999</v>
      </c>
      <c r="DU45" s="79">
        <v>60.464369814999998</v>
      </c>
      <c r="DV45" s="13">
        <v>0.99982148120000003</v>
      </c>
      <c r="DW45" s="79">
        <v>39.696475255999999</v>
      </c>
      <c r="DX45" s="13">
        <v>0.66657405920000001</v>
      </c>
      <c r="DY45" s="79">
        <v>25.907382784999999</v>
      </c>
      <c r="DZ45" s="13">
        <v>0.44668390390000001</v>
      </c>
      <c r="EA45" s="79">
        <v>17.000333647000001</v>
      </c>
      <c r="EB45" s="13">
        <v>0.30338670010000002</v>
      </c>
      <c r="EC45" s="79">
        <v>11.271537567999999</v>
      </c>
      <c r="ED45" s="13">
        <v>0.20922326760000001</v>
      </c>
      <c r="EE45" s="79">
        <v>7.5787162167000002</v>
      </c>
      <c r="EF45" s="13">
        <v>0.14655330950000001</v>
      </c>
      <c r="EG45" s="79">
        <v>5.1870481247000004</v>
      </c>
      <c r="EH45" s="13">
        <v>0.1043811151</v>
      </c>
      <c r="EI45" s="79">
        <v>3.5987227221000002</v>
      </c>
      <c r="EJ45" s="13">
        <v>7.5071974400000005E-2</v>
      </c>
      <c r="EK45" s="79">
        <v>2.5430183337000001</v>
      </c>
      <c r="EL45" s="15">
        <v>5.47183267E-2</v>
      </c>
      <c r="EM45" s="79"/>
      <c r="EN45" s="13"/>
      <c r="EO45" s="79"/>
      <c r="EP45" s="13"/>
      <c r="EQ45" s="79"/>
      <c r="ER45" s="13"/>
      <c r="ES45" s="79"/>
      <c r="ET45" s="13"/>
      <c r="EU45" s="79"/>
      <c r="EV45" s="15"/>
    </row>
    <row r="46" spans="1:152" x14ac:dyDescent="0.2">
      <c r="A46" s="8">
        <v>4100</v>
      </c>
      <c r="B46" s="82">
        <v>6775</v>
      </c>
      <c r="C46" s="83">
        <v>2012.3241436999999</v>
      </c>
      <c r="D46" s="93">
        <v>4049.1786120000002</v>
      </c>
      <c r="E46" s="93">
        <v>30.592450307</v>
      </c>
      <c r="F46" s="94">
        <v>6.2023861600000001E-2</v>
      </c>
      <c r="G46" s="83">
        <v>6.3864647777999997</v>
      </c>
      <c r="H46" s="94">
        <v>3.8406868000000001E-3</v>
      </c>
      <c r="I46" s="93">
        <v>181.13986222</v>
      </c>
      <c r="J46" s="94">
        <v>2.1990276602000001</v>
      </c>
      <c r="K46" s="93">
        <v>250.30594593999999</v>
      </c>
      <c r="L46" s="94">
        <v>2.0082659483</v>
      </c>
      <c r="M46" s="93">
        <v>0.88318104090000005</v>
      </c>
      <c r="N46" s="94">
        <v>5.5905338999999998E-3</v>
      </c>
      <c r="O46" s="37">
        <v>0</v>
      </c>
      <c r="P46" s="13">
        <v>0</v>
      </c>
      <c r="Q46" s="93">
        <v>37.809759657999997</v>
      </c>
      <c r="R46" s="94">
        <v>0.14716902979999999</v>
      </c>
      <c r="S46" s="37" t="s">
        <v>76</v>
      </c>
      <c r="T46" s="13">
        <v>0</v>
      </c>
      <c r="U46" s="37" t="s">
        <v>76</v>
      </c>
      <c r="V46" s="13">
        <v>0</v>
      </c>
      <c r="W46" s="93">
        <v>0.36757481289999999</v>
      </c>
      <c r="X46" s="94">
        <v>2.0546243999999998E-3</v>
      </c>
      <c r="Y46" s="93">
        <v>2.9177960041</v>
      </c>
      <c r="Z46" s="94">
        <v>6.4679329999999999E-4</v>
      </c>
      <c r="AA46" s="37" t="s">
        <v>76</v>
      </c>
      <c r="AB46" s="13">
        <v>0</v>
      </c>
      <c r="AC46" s="93">
        <v>9.4137639999999998E-4</v>
      </c>
      <c r="AD46" s="94">
        <v>4.2907094999999996E-6</v>
      </c>
      <c r="AE46" s="37" t="s">
        <v>76</v>
      </c>
      <c r="AF46" s="13">
        <v>0</v>
      </c>
      <c r="AG46" s="37" t="s">
        <v>76</v>
      </c>
      <c r="AH46" s="13">
        <v>0</v>
      </c>
      <c r="AI46" s="93">
        <v>9.4137639999999998E-4</v>
      </c>
      <c r="AJ46" s="94">
        <v>4.2907094999999996E-6</v>
      </c>
      <c r="AK46" s="93">
        <v>236.85431758999999</v>
      </c>
      <c r="AL46" s="94">
        <v>1.3874710963000001</v>
      </c>
      <c r="AM46" s="37" t="s">
        <v>76</v>
      </c>
      <c r="AN46" s="13">
        <v>0</v>
      </c>
      <c r="AO46" s="37" t="s">
        <v>76</v>
      </c>
      <c r="AP46" s="13">
        <v>0</v>
      </c>
      <c r="AQ46" s="37" t="s">
        <v>76</v>
      </c>
      <c r="AR46" s="13">
        <v>0</v>
      </c>
      <c r="AS46" s="93">
        <v>26.647116142000002</v>
      </c>
      <c r="AT46" s="94">
        <v>0.4908101278</v>
      </c>
      <c r="AU46" s="93">
        <v>28.967846509000001</v>
      </c>
      <c r="AV46" s="94">
        <v>0.19216496820000001</v>
      </c>
      <c r="AW46" s="93">
        <v>19.618004853999999</v>
      </c>
      <c r="AX46" s="94">
        <v>0.10071417119999999</v>
      </c>
      <c r="AY46" s="93">
        <v>6.0272412512000004</v>
      </c>
      <c r="AZ46" s="94">
        <v>3.05452646E-2</v>
      </c>
      <c r="BA46" s="79">
        <v>3.3226004041000001</v>
      </c>
      <c r="BB46" s="13">
        <v>6.0905532399999997E-2</v>
      </c>
      <c r="BC46" s="93">
        <v>0</v>
      </c>
      <c r="BD46" s="86">
        <v>0</v>
      </c>
      <c r="BE46" s="93">
        <v>29.374631374</v>
      </c>
      <c r="BF46" s="94">
        <v>0.1012879183</v>
      </c>
      <c r="BG46" s="94">
        <v>6.3914695000000001E-3</v>
      </c>
      <c r="BH46" s="86">
        <v>0</v>
      </c>
      <c r="BI46" s="93">
        <v>113.89813765</v>
      </c>
      <c r="BJ46" s="94">
        <v>3.5191393389000001</v>
      </c>
      <c r="BK46" s="93">
        <v>142.74785804000001</v>
      </c>
      <c r="BL46" s="94">
        <v>1.021544359</v>
      </c>
      <c r="BM46" s="93">
        <v>86.362937771999995</v>
      </c>
      <c r="BN46" s="94">
        <v>0.43790487220000002</v>
      </c>
      <c r="BO46" s="93">
        <v>9.3766403123999993</v>
      </c>
      <c r="BP46" s="94">
        <v>1.75845793E-2</v>
      </c>
      <c r="BQ46" s="93">
        <v>0</v>
      </c>
      <c r="BR46" s="88">
        <v>0</v>
      </c>
      <c r="BS46" s="37" t="s">
        <v>76</v>
      </c>
      <c r="BT46" s="13">
        <v>0</v>
      </c>
      <c r="BU46" s="93">
        <v>0.48509770590000001</v>
      </c>
      <c r="BV46" s="94">
        <v>2.8600913E-3</v>
      </c>
      <c r="BW46" s="93">
        <v>4.11282735E-2</v>
      </c>
      <c r="BX46" s="94">
        <v>1.7236439999999999E-4</v>
      </c>
      <c r="BY46" s="7" t="s">
        <v>76</v>
      </c>
      <c r="BZ46" s="13">
        <v>0</v>
      </c>
      <c r="CA46" s="7" t="s">
        <v>76</v>
      </c>
      <c r="CB46" s="13">
        <v>0</v>
      </c>
      <c r="CC46" s="93">
        <v>36.448278893000001</v>
      </c>
      <c r="CD46" s="94">
        <v>0.14190861490000001</v>
      </c>
      <c r="CE46" s="93">
        <v>0.29373774019999999</v>
      </c>
      <c r="CF46" s="94">
        <v>1.5397096E-3</v>
      </c>
      <c r="CG46" s="7" t="s">
        <v>76</v>
      </c>
      <c r="CH46" s="13">
        <v>0</v>
      </c>
      <c r="CI46" s="7" t="s">
        <v>76</v>
      </c>
      <c r="CJ46" s="13">
        <v>0</v>
      </c>
      <c r="CK46" s="7" t="s">
        <v>76</v>
      </c>
      <c r="CL46" s="13">
        <v>0</v>
      </c>
      <c r="CM46" s="7" t="s">
        <v>76</v>
      </c>
      <c r="CN46" s="13">
        <v>0</v>
      </c>
      <c r="CO46" s="93">
        <v>0.32023839770000001</v>
      </c>
      <c r="CP46" s="94">
        <v>1.4932861E-3</v>
      </c>
      <c r="CQ46" s="93">
        <v>1.2467043000000001E-3</v>
      </c>
      <c r="CR46" s="94">
        <v>1.2481E-5</v>
      </c>
      <c r="CS46" s="93">
        <v>2.4925740943000001</v>
      </c>
      <c r="CT46" s="94">
        <v>1.0041787199999999E-2</v>
      </c>
      <c r="CU46" s="93">
        <v>2.6421693999999999E-3</v>
      </c>
      <c r="CV46" s="94">
        <v>3.0757499999999998E-5</v>
      </c>
      <c r="CW46" s="6" t="s">
        <v>76</v>
      </c>
      <c r="CX46" s="13">
        <v>0</v>
      </c>
      <c r="CY46" s="7" t="s">
        <v>76</v>
      </c>
      <c r="CZ46" s="15">
        <v>0</v>
      </c>
      <c r="DA46" s="93">
        <v>21.80728023</v>
      </c>
      <c r="DB46" s="94">
        <v>0.13568022190000001</v>
      </c>
      <c r="DC46" s="93">
        <v>7.1452941199999995E-2</v>
      </c>
      <c r="DD46" s="94">
        <v>5.1143170000000004E-4</v>
      </c>
      <c r="DE46" s="93">
        <v>19.111999703999999</v>
      </c>
      <c r="DF46" s="94">
        <v>5.7093787999999999E-2</v>
      </c>
      <c r="DG46" s="93">
        <v>0.1219407627</v>
      </c>
      <c r="DH46" s="94">
        <v>9.7417529999999997E-4</v>
      </c>
      <c r="DI46" s="188">
        <v>3.7584399E-3</v>
      </c>
      <c r="DJ46" s="189">
        <v>5.6956393999999999E-3</v>
      </c>
      <c r="DK46" s="189">
        <v>6.1693700000000004E-3</v>
      </c>
      <c r="DL46" s="189">
        <v>6.3056283999999999E-3</v>
      </c>
      <c r="DM46" s="189">
        <v>6.3343330999999998E-3</v>
      </c>
      <c r="DN46" s="189">
        <v>6.3506025999999997E-3</v>
      </c>
      <c r="DO46" s="189">
        <v>6.3547292E-3</v>
      </c>
      <c r="DP46" s="189">
        <v>6.3588556999999999E-3</v>
      </c>
      <c r="DQ46" s="189">
        <v>6.3624344999999999E-3</v>
      </c>
      <c r="DR46" s="190">
        <v>6.3654656999999996E-3</v>
      </c>
      <c r="DS46" s="112">
        <v>91.662396121</v>
      </c>
      <c r="DT46" s="13">
        <v>1.5077185077999999</v>
      </c>
      <c r="DU46" s="79">
        <v>61.449487683999998</v>
      </c>
      <c r="DV46" s="13">
        <v>1.0131406557</v>
      </c>
      <c r="DW46" s="79">
        <v>40.486828451000001</v>
      </c>
      <c r="DX46" s="13">
        <v>0.67768414809999999</v>
      </c>
      <c r="DY46" s="79">
        <v>26.532113351</v>
      </c>
      <c r="DZ46" s="13">
        <v>0.45579044569999999</v>
      </c>
      <c r="EA46" s="79">
        <v>17.485666166000001</v>
      </c>
      <c r="EB46" s="13">
        <v>0.31074695870000002</v>
      </c>
      <c r="EC46" s="79">
        <v>11.643491132999999</v>
      </c>
      <c r="ED46" s="13">
        <v>0.21506562539999999</v>
      </c>
      <c r="EE46" s="79">
        <v>7.8650561131999996</v>
      </c>
      <c r="EF46" s="13">
        <v>0.1511835879</v>
      </c>
      <c r="EG46" s="79">
        <v>5.4065118262</v>
      </c>
      <c r="EH46" s="13">
        <v>0.1080380416</v>
      </c>
      <c r="EI46" s="79">
        <v>3.7661586664</v>
      </c>
      <c r="EJ46" s="13">
        <v>7.7940215399999999E-2</v>
      </c>
      <c r="EK46" s="79">
        <v>2.6711396006000001</v>
      </c>
      <c r="EL46" s="15">
        <v>5.6968350600000002E-2</v>
      </c>
      <c r="EM46" s="79"/>
      <c r="EN46" s="13"/>
      <c r="EO46" s="79"/>
      <c r="EP46" s="13"/>
      <c r="EQ46" s="79"/>
      <c r="ER46" s="13"/>
      <c r="ES46" s="79"/>
      <c r="ET46" s="13"/>
      <c r="EU46" s="79"/>
      <c r="EV46" s="15"/>
    </row>
    <row r="47" spans="1:152" x14ac:dyDescent="0.2">
      <c r="A47" s="8">
        <v>4200</v>
      </c>
      <c r="B47" s="82">
        <v>6649</v>
      </c>
      <c r="C47" s="83">
        <v>2040.2614805000001</v>
      </c>
      <c r="D47" s="93">
        <v>4149.7941821000004</v>
      </c>
      <c r="E47" s="93">
        <v>31.593213752</v>
      </c>
      <c r="F47" s="94">
        <v>6.3095001100000006E-2</v>
      </c>
      <c r="G47" s="83">
        <v>6.7973485377999996</v>
      </c>
      <c r="H47" s="94">
        <v>4.0373980000000002E-3</v>
      </c>
      <c r="I47" s="93">
        <v>183.04176274</v>
      </c>
      <c r="J47" s="94">
        <v>2.2153571442</v>
      </c>
      <c r="K47" s="93">
        <v>255.29260289000001</v>
      </c>
      <c r="L47" s="94">
        <v>2.0383551045999999</v>
      </c>
      <c r="M47" s="93">
        <v>0.91615456360000003</v>
      </c>
      <c r="N47" s="94">
        <v>5.7502183999999998E-3</v>
      </c>
      <c r="O47" s="37">
        <v>0</v>
      </c>
      <c r="P47" s="13">
        <v>0</v>
      </c>
      <c r="Q47" s="93">
        <v>38.813312142999997</v>
      </c>
      <c r="R47" s="94">
        <v>0.1495153917</v>
      </c>
      <c r="S47" s="37" t="s">
        <v>76</v>
      </c>
      <c r="T47" s="13">
        <v>0</v>
      </c>
      <c r="U47" s="37" t="s">
        <v>76</v>
      </c>
      <c r="V47" s="13">
        <v>0</v>
      </c>
      <c r="W47" s="93">
        <v>0.37982090829999998</v>
      </c>
      <c r="X47" s="94">
        <v>2.0768111000000001E-3</v>
      </c>
      <c r="Y47" s="93">
        <v>2.9773048025</v>
      </c>
      <c r="Z47" s="94">
        <v>6.5442699999999996E-4</v>
      </c>
      <c r="AA47" s="37" t="s">
        <v>76</v>
      </c>
      <c r="AB47" s="13">
        <v>0</v>
      </c>
      <c r="AC47" s="93">
        <v>1.1552505E-3</v>
      </c>
      <c r="AD47" s="94">
        <v>4.9676961999999997E-6</v>
      </c>
      <c r="AE47" s="37" t="s">
        <v>76</v>
      </c>
      <c r="AF47" s="13">
        <v>0</v>
      </c>
      <c r="AG47" s="37" t="s">
        <v>76</v>
      </c>
      <c r="AH47" s="13">
        <v>0</v>
      </c>
      <c r="AI47" s="93">
        <v>1.1552505E-3</v>
      </c>
      <c r="AJ47" s="94">
        <v>4.9676961999999997E-6</v>
      </c>
      <c r="AK47" s="93">
        <v>239.01615405999999</v>
      </c>
      <c r="AL47" s="94">
        <v>1.3980023610000001</v>
      </c>
      <c r="AM47" s="37" t="s">
        <v>76</v>
      </c>
      <c r="AN47" s="13">
        <v>0</v>
      </c>
      <c r="AO47" s="37" t="s">
        <v>76</v>
      </c>
      <c r="AP47" s="13">
        <v>0</v>
      </c>
      <c r="AQ47" s="37" t="s">
        <v>76</v>
      </c>
      <c r="AR47" s="13">
        <v>0</v>
      </c>
      <c r="AS47" s="93">
        <v>27.201575314999999</v>
      </c>
      <c r="AT47" s="94">
        <v>0.49617090930000002</v>
      </c>
      <c r="AU47" s="93">
        <v>29.431697646</v>
      </c>
      <c r="AV47" s="94">
        <v>0.19445439249999999</v>
      </c>
      <c r="AW47" s="93">
        <v>19.949326233000001</v>
      </c>
      <c r="AX47" s="94">
        <v>0.1019822081</v>
      </c>
      <c r="AY47" s="93">
        <v>6.1032830574999997</v>
      </c>
      <c r="AZ47" s="94">
        <v>3.09035922E-2</v>
      </c>
      <c r="BA47" s="79">
        <v>3.3790883549999999</v>
      </c>
      <c r="BB47" s="13">
        <v>6.1568592200000001E-2</v>
      </c>
      <c r="BC47" s="93">
        <v>0</v>
      </c>
      <c r="BD47" s="86">
        <v>0</v>
      </c>
      <c r="BE47" s="93">
        <v>30.355669554999999</v>
      </c>
      <c r="BF47" s="94">
        <v>0.1033817377</v>
      </c>
      <c r="BG47" s="94">
        <v>6.7491684E-3</v>
      </c>
      <c r="BH47" s="86">
        <v>0</v>
      </c>
      <c r="BI47" s="93">
        <v>115.59856671</v>
      </c>
      <c r="BJ47" s="94">
        <v>3.5579866008000001</v>
      </c>
      <c r="BK47" s="93">
        <v>145.94151977000001</v>
      </c>
      <c r="BL47" s="94">
        <v>1.0394802829000001</v>
      </c>
      <c r="BM47" s="93">
        <v>88.630209231999999</v>
      </c>
      <c r="BN47" s="94">
        <v>0.44684075750000002</v>
      </c>
      <c r="BO47" s="93">
        <v>9.8152743936999993</v>
      </c>
      <c r="BP47" s="94">
        <v>1.8242782700000001E-2</v>
      </c>
      <c r="BQ47" s="93">
        <v>0</v>
      </c>
      <c r="BR47" s="88">
        <v>0</v>
      </c>
      <c r="BS47" s="37" t="s">
        <v>76</v>
      </c>
      <c r="BT47" s="13">
        <v>0</v>
      </c>
      <c r="BU47" s="93">
        <v>0.50585560730000001</v>
      </c>
      <c r="BV47" s="94">
        <v>2.9595302999999998E-3</v>
      </c>
      <c r="BW47" s="93">
        <v>4.2068480499999998E-2</v>
      </c>
      <c r="BX47" s="94">
        <v>1.751581E-4</v>
      </c>
      <c r="BY47" s="7" t="s">
        <v>76</v>
      </c>
      <c r="BZ47" s="13">
        <v>0</v>
      </c>
      <c r="CA47" s="7" t="s">
        <v>76</v>
      </c>
      <c r="CB47" s="13">
        <v>0</v>
      </c>
      <c r="CC47" s="93">
        <v>37.408702493</v>
      </c>
      <c r="CD47" s="94">
        <v>0.1441235146</v>
      </c>
      <c r="CE47" s="93">
        <v>0.30346983900000002</v>
      </c>
      <c r="CF47" s="94">
        <v>1.5717125E-3</v>
      </c>
      <c r="CG47" s="7" t="s">
        <v>76</v>
      </c>
      <c r="CH47" s="13">
        <v>0</v>
      </c>
      <c r="CI47" s="7" t="s">
        <v>76</v>
      </c>
      <c r="CJ47" s="13">
        <v>0</v>
      </c>
      <c r="CK47" s="7" t="s">
        <v>76</v>
      </c>
      <c r="CL47" s="13">
        <v>0</v>
      </c>
      <c r="CM47" s="7" t="s">
        <v>76</v>
      </c>
      <c r="CN47" s="13">
        <v>0</v>
      </c>
      <c r="CO47" s="93">
        <v>0.32583941389999999</v>
      </c>
      <c r="CP47" s="94">
        <v>1.501402E-3</v>
      </c>
      <c r="CQ47" s="93">
        <v>1.2374338999999999E-3</v>
      </c>
      <c r="CR47" s="94">
        <v>1.23852E-5</v>
      </c>
      <c r="CS47" s="93">
        <v>2.5420911797999999</v>
      </c>
      <c r="CT47" s="94">
        <v>1.0217971399999999E-2</v>
      </c>
      <c r="CU47" s="93">
        <v>2.6235297000000001E-3</v>
      </c>
      <c r="CV47" s="94">
        <v>3.0531299999999997E-5</v>
      </c>
      <c r="CW47" s="6" t="s">
        <v>76</v>
      </c>
      <c r="CX47" s="13">
        <v>0</v>
      </c>
      <c r="CY47" s="7" t="s">
        <v>76</v>
      </c>
      <c r="CZ47" s="15">
        <v>0</v>
      </c>
      <c r="DA47" s="93">
        <v>22.284402353000001</v>
      </c>
      <c r="DB47" s="94">
        <v>0.13758483190000001</v>
      </c>
      <c r="DC47" s="93">
        <v>7.2618576000000004E-2</v>
      </c>
      <c r="DD47" s="94">
        <v>5.1566600000000002E-4</v>
      </c>
      <c r="DE47" s="93">
        <v>19.700534062999999</v>
      </c>
      <c r="DF47" s="94">
        <v>5.82296681E-2</v>
      </c>
      <c r="DG47" s="93">
        <v>0.1226440598</v>
      </c>
      <c r="DH47" s="94">
        <v>9.8946379999999994E-4</v>
      </c>
      <c r="DI47" s="188">
        <v>3.9535630999999998E-3</v>
      </c>
      <c r="DJ47" s="189">
        <v>6.0012210000000002E-3</v>
      </c>
      <c r="DK47" s="189">
        <v>6.5176836999999996E-3</v>
      </c>
      <c r="DL47" s="189">
        <v>6.6639495999999999E-3</v>
      </c>
      <c r="DM47" s="189">
        <v>6.6924515999999996E-3</v>
      </c>
      <c r="DN47" s="189">
        <v>6.7086022000000002E-3</v>
      </c>
      <c r="DO47" s="189">
        <v>6.7126983999999997E-3</v>
      </c>
      <c r="DP47" s="189">
        <v>6.7167946000000001E-3</v>
      </c>
      <c r="DQ47" s="189">
        <v>6.7203471000000002E-3</v>
      </c>
      <c r="DR47" s="190">
        <v>6.7233557999999997E-3</v>
      </c>
      <c r="DS47" s="112">
        <v>92.858451705999997</v>
      </c>
      <c r="DT47" s="13">
        <v>1.5226266500000001</v>
      </c>
      <c r="DU47" s="79">
        <v>62.447171142000002</v>
      </c>
      <c r="DV47" s="13">
        <v>1.0260571184</v>
      </c>
      <c r="DW47" s="79">
        <v>41.293086912</v>
      </c>
      <c r="DX47" s="13">
        <v>0.68848598120000004</v>
      </c>
      <c r="DY47" s="79">
        <v>27.164818553</v>
      </c>
      <c r="DZ47" s="13">
        <v>0.46458695799999999</v>
      </c>
      <c r="EA47" s="79">
        <v>17.970094444000001</v>
      </c>
      <c r="EB47" s="13">
        <v>0.31775302249999998</v>
      </c>
      <c r="EC47" s="79">
        <v>12.013257365999999</v>
      </c>
      <c r="ED47" s="13">
        <v>0.22064743989999999</v>
      </c>
      <c r="EE47" s="79">
        <v>8.1486651069999994</v>
      </c>
      <c r="EF47" s="13">
        <v>0.15563062659999999</v>
      </c>
      <c r="EG47" s="79">
        <v>5.6251628626999999</v>
      </c>
      <c r="EH47" s="13">
        <v>0.11159787559999999</v>
      </c>
      <c r="EI47" s="79">
        <v>3.9374976881000001</v>
      </c>
      <c r="EJ47" s="13">
        <v>8.0802966899999995E-2</v>
      </c>
      <c r="EK47" s="79">
        <v>2.8061923434999998</v>
      </c>
      <c r="EL47" s="15">
        <v>5.9282045300000002E-2</v>
      </c>
      <c r="EM47" s="79"/>
      <c r="EN47" s="13"/>
      <c r="EO47" s="79"/>
      <c r="EP47" s="13"/>
      <c r="EQ47" s="79"/>
      <c r="ER47" s="13"/>
      <c r="ES47" s="79"/>
      <c r="ET47" s="13"/>
      <c r="EU47" s="79"/>
      <c r="EV47" s="15"/>
    </row>
    <row r="48" spans="1:152" x14ac:dyDescent="0.2">
      <c r="A48" s="8">
        <v>4300</v>
      </c>
      <c r="B48" s="82">
        <v>6438</v>
      </c>
      <c r="C48" s="83">
        <v>2067.684436</v>
      </c>
      <c r="D48" s="93">
        <v>4249.4304119999997</v>
      </c>
      <c r="E48" s="93">
        <v>32.556371101000003</v>
      </c>
      <c r="F48" s="94">
        <v>6.4147992700000003E-2</v>
      </c>
      <c r="G48" s="83">
        <v>7.2179303680000002</v>
      </c>
      <c r="H48" s="94">
        <v>4.2291432000000004E-3</v>
      </c>
      <c r="I48" s="93">
        <v>184.8488443</v>
      </c>
      <c r="J48" s="94">
        <v>2.2313679875000001</v>
      </c>
      <c r="K48" s="93">
        <v>260.25855949999999</v>
      </c>
      <c r="L48" s="94">
        <v>2.0681330672999998</v>
      </c>
      <c r="M48" s="93">
        <v>0.93074311980000002</v>
      </c>
      <c r="N48" s="94">
        <v>5.8523654000000001E-3</v>
      </c>
      <c r="O48" s="37">
        <v>0</v>
      </c>
      <c r="P48" s="13">
        <v>0</v>
      </c>
      <c r="Q48" s="93">
        <v>39.884407447999997</v>
      </c>
      <c r="R48" s="94">
        <v>0.15193457439999999</v>
      </c>
      <c r="S48" s="37" t="s">
        <v>76</v>
      </c>
      <c r="T48" s="13">
        <v>0</v>
      </c>
      <c r="U48" s="37" t="s">
        <v>76</v>
      </c>
      <c r="V48" s="13">
        <v>0</v>
      </c>
      <c r="W48" s="93">
        <v>0.38130304679999999</v>
      </c>
      <c r="X48" s="94">
        <v>2.0913907000000001E-3</v>
      </c>
      <c r="Y48" s="93">
        <v>3.0971865555</v>
      </c>
      <c r="Z48" s="94">
        <v>6.7906100000000001E-4</v>
      </c>
      <c r="AA48" s="37" t="s">
        <v>76</v>
      </c>
      <c r="AB48" s="13">
        <v>0</v>
      </c>
      <c r="AC48" s="93">
        <v>1.1469418999999999E-3</v>
      </c>
      <c r="AD48" s="94">
        <v>4.9319681000000003E-6</v>
      </c>
      <c r="AE48" s="37" t="s">
        <v>76</v>
      </c>
      <c r="AF48" s="13">
        <v>0</v>
      </c>
      <c r="AG48" s="37" t="s">
        <v>76</v>
      </c>
      <c r="AH48" s="13">
        <v>0</v>
      </c>
      <c r="AI48" s="93">
        <v>1.1469418999999999E-3</v>
      </c>
      <c r="AJ48" s="94">
        <v>4.9319681000000003E-6</v>
      </c>
      <c r="AK48" s="93">
        <v>241.22707668999999</v>
      </c>
      <c r="AL48" s="94">
        <v>1.4077611092</v>
      </c>
      <c r="AM48" s="37" t="s">
        <v>76</v>
      </c>
      <c r="AN48" s="13">
        <v>0</v>
      </c>
      <c r="AO48" s="37" t="s">
        <v>76</v>
      </c>
      <c r="AP48" s="13">
        <v>0</v>
      </c>
      <c r="AQ48" s="37" t="s">
        <v>76</v>
      </c>
      <c r="AR48" s="13">
        <v>0</v>
      </c>
      <c r="AS48" s="93">
        <v>27.751788450999999</v>
      </c>
      <c r="AT48" s="94">
        <v>0.50127071700000003</v>
      </c>
      <c r="AU48" s="93">
        <v>29.877880154</v>
      </c>
      <c r="AV48" s="94">
        <v>0.1967362688</v>
      </c>
      <c r="AW48" s="93">
        <v>20.256171628000001</v>
      </c>
      <c r="AX48" s="94">
        <v>0.1031849819</v>
      </c>
      <c r="AY48" s="93">
        <v>6.1672316101</v>
      </c>
      <c r="AZ48" s="94">
        <v>3.1249363700000001E-2</v>
      </c>
      <c r="BA48" s="79">
        <v>3.4544769169</v>
      </c>
      <c r="BB48" s="13">
        <v>6.2301923299999999E-2</v>
      </c>
      <c r="BC48" s="93">
        <v>0</v>
      </c>
      <c r="BD48" s="86">
        <v>0</v>
      </c>
      <c r="BE48" s="93">
        <v>31.454050648999999</v>
      </c>
      <c r="BF48" s="94">
        <v>0.1057931565</v>
      </c>
      <c r="BG48" s="94">
        <v>7.0718355E-3</v>
      </c>
      <c r="BH48" s="86">
        <v>0</v>
      </c>
      <c r="BI48" s="93">
        <v>117.30858279</v>
      </c>
      <c r="BJ48" s="94">
        <v>3.5947423454999998</v>
      </c>
      <c r="BK48" s="93">
        <v>148.94749676999999</v>
      </c>
      <c r="BL48" s="94">
        <v>1.0556416118</v>
      </c>
      <c r="BM48" s="93">
        <v>90.863208885000006</v>
      </c>
      <c r="BN48" s="94">
        <v>0.45561473229999999</v>
      </c>
      <c r="BO48" s="93">
        <v>10.242874227</v>
      </c>
      <c r="BP48" s="94">
        <v>1.8894597799999999E-2</v>
      </c>
      <c r="BQ48" s="93">
        <v>0</v>
      </c>
      <c r="BR48" s="88">
        <v>0</v>
      </c>
      <c r="BS48" s="37" t="s">
        <v>76</v>
      </c>
      <c r="BT48" s="13">
        <v>0</v>
      </c>
      <c r="BU48" s="93">
        <v>0.51454610329999995</v>
      </c>
      <c r="BV48" s="94">
        <v>3.0036874999999998E-3</v>
      </c>
      <c r="BW48" s="93">
        <v>4.2280686800000002E-2</v>
      </c>
      <c r="BX48" s="94">
        <v>1.7636919999999999E-4</v>
      </c>
      <c r="BY48" s="7" t="s">
        <v>76</v>
      </c>
      <c r="BZ48" s="13">
        <v>0</v>
      </c>
      <c r="CA48" s="7" t="s">
        <v>76</v>
      </c>
      <c r="CB48" s="13">
        <v>0</v>
      </c>
      <c r="CC48" s="93">
        <v>38.431050777999999</v>
      </c>
      <c r="CD48" s="94">
        <v>0.1464187448</v>
      </c>
      <c r="CE48" s="93">
        <v>0.31107947250000001</v>
      </c>
      <c r="CF48" s="94">
        <v>1.6081462E-3</v>
      </c>
      <c r="CG48" s="7" t="s">
        <v>76</v>
      </c>
      <c r="CH48" s="13">
        <v>0</v>
      </c>
      <c r="CI48" s="7" t="s">
        <v>76</v>
      </c>
      <c r="CJ48" s="13">
        <v>0</v>
      </c>
      <c r="CK48" s="7" t="s">
        <v>76</v>
      </c>
      <c r="CL48" s="13">
        <v>0</v>
      </c>
      <c r="CM48" s="7" t="s">
        <v>76</v>
      </c>
      <c r="CN48" s="13">
        <v>0</v>
      </c>
      <c r="CO48" s="93">
        <v>0.32583514159999999</v>
      </c>
      <c r="CP48" s="94">
        <v>1.5100258E-3</v>
      </c>
      <c r="CQ48" s="93">
        <v>1.303259E-3</v>
      </c>
      <c r="CR48" s="94">
        <v>1.34926E-5</v>
      </c>
      <c r="CS48" s="93">
        <v>2.6542615087999999</v>
      </c>
      <c r="CT48" s="94">
        <v>1.06519792E-2</v>
      </c>
      <c r="CU48" s="93">
        <v>2.6859839000000002E-3</v>
      </c>
      <c r="CV48" s="94">
        <v>3.0851900000000002E-5</v>
      </c>
      <c r="CW48" s="6" t="s">
        <v>76</v>
      </c>
      <c r="CX48" s="13">
        <v>0</v>
      </c>
      <c r="CY48" s="7" t="s">
        <v>76</v>
      </c>
      <c r="CZ48" s="15">
        <v>0</v>
      </c>
      <c r="DA48" s="93">
        <v>22.728931309</v>
      </c>
      <c r="DB48" s="94">
        <v>0.1394348403</v>
      </c>
      <c r="DC48" s="93">
        <v>7.2566466900000001E-2</v>
      </c>
      <c r="DD48" s="94">
        <v>5.2210880000000002E-4</v>
      </c>
      <c r="DE48" s="93">
        <v>20.377084602</v>
      </c>
      <c r="DF48" s="94">
        <v>5.95053974E-2</v>
      </c>
      <c r="DG48" s="93">
        <v>0.123198268</v>
      </c>
      <c r="DH48" s="94">
        <v>1.0092567000000001E-3</v>
      </c>
      <c r="DI48" s="188">
        <v>4.1422567000000002E-3</v>
      </c>
      <c r="DJ48" s="189">
        <v>6.2946679000000002E-3</v>
      </c>
      <c r="DK48" s="189">
        <v>6.8351834999999996E-3</v>
      </c>
      <c r="DL48" s="189">
        <v>6.9848289000000001E-3</v>
      </c>
      <c r="DM48" s="189">
        <v>7.0143265000000002E-3</v>
      </c>
      <c r="DN48" s="189">
        <v>7.0315582999999999E-3</v>
      </c>
      <c r="DO48" s="189">
        <v>7.0356259999999997E-3</v>
      </c>
      <c r="DP48" s="189">
        <v>7.0396935999999998E-3</v>
      </c>
      <c r="DQ48" s="189">
        <v>7.0432215000000003E-3</v>
      </c>
      <c r="DR48" s="190">
        <v>7.0462095000000001E-3</v>
      </c>
      <c r="DS48" s="112">
        <v>94.010944676999998</v>
      </c>
      <c r="DT48" s="13">
        <v>1.5372440275999999</v>
      </c>
      <c r="DU48" s="79">
        <v>63.411078295999999</v>
      </c>
      <c r="DV48" s="13">
        <v>1.0387011643999999</v>
      </c>
      <c r="DW48" s="79">
        <v>42.074597419</v>
      </c>
      <c r="DX48" s="13">
        <v>0.69907848579999998</v>
      </c>
      <c r="DY48" s="79">
        <v>27.781340447000002</v>
      </c>
      <c r="DZ48" s="13">
        <v>0.47322035400000001</v>
      </c>
      <c r="EA48" s="79">
        <v>18.451134874000001</v>
      </c>
      <c r="EB48" s="13">
        <v>0.32471638689999999</v>
      </c>
      <c r="EC48" s="79">
        <v>12.387347359</v>
      </c>
      <c r="ED48" s="13">
        <v>0.22621724130000001</v>
      </c>
      <c r="EE48" s="79">
        <v>8.4390521057000001</v>
      </c>
      <c r="EF48" s="13">
        <v>0.16008735130000001</v>
      </c>
      <c r="EG48" s="79">
        <v>5.8523247989999998</v>
      </c>
      <c r="EH48" s="13">
        <v>0.1151856444</v>
      </c>
      <c r="EI48" s="79">
        <v>4.1193168559000002</v>
      </c>
      <c r="EJ48" s="13">
        <v>8.3733996699999994E-2</v>
      </c>
      <c r="EK48" s="79">
        <v>2.9527374827999999</v>
      </c>
      <c r="EL48" s="15">
        <v>6.1695596399999997E-2</v>
      </c>
      <c r="EM48" s="79"/>
      <c r="EN48" s="13"/>
      <c r="EO48" s="79"/>
      <c r="EP48" s="13"/>
      <c r="EQ48" s="79"/>
      <c r="ER48" s="13"/>
      <c r="ES48" s="79"/>
      <c r="ET48" s="13"/>
      <c r="EU48" s="79"/>
      <c r="EV48" s="15"/>
    </row>
    <row r="49" spans="1:152" x14ac:dyDescent="0.2">
      <c r="A49" s="8">
        <v>4400</v>
      </c>
      <c r="B49" s="82">
        <v>6262</v>
      </c>
      <c r="C49" s="83">
        <v>2094.6098268000001</v>
      </c>
      <c r="D49" s="93">
        <v>4350.3618968000001</v>
      </c>
      <c r="E49" s="93">
        <v>33.602688465999996</v>
      </c>
      <c r="F49" s="94">
        <v>6.5291281000000007E-2</v>
      </c>
      <c r="G49" s="83">
        <v>7.6182129786999999</v>
      </c>
      <c r="H49" s="94">
        <v>4.4004609E-3</v>
      </c>
      <c r="I49" s="93">
        <v>186.59366871</v>
      </c>
      <c r="J49" s="94">
        <v>2.2461921565999998</v>
      </c>
      <c r="K49" s="93">
        <v>265.35771905000001</v>
      </c>
      <c r="L49" s="94">
        <v>2.0983590915999999</v>
      </c>
      <c r="M49" s="93">
        <v>0.96692754999999997</v>
      </c>
      <c r="N49" s="94">
        <v>6.0293535999999997E-3</v>
      </c>
      <c r="O49" s="37">
        <v>0</v>
      </c>
      <c r="P49" s="13">
        <v>0</v>
      </c>
      <c r="Q49" s="93">
        <v>41.010310576999998</v>
      </c>
      <c r="R49" s="94">
        <v>0.15451031900000001</v>
      </c>
      <c r="S49" s="37" t="s">
        <v>76</v>
      </c>
      <c r="T49" s="13">
        <v>0</v>
      </c>
      <c r="U49" s="37" t="s">
        <v>76</v>
      </c>
      <c r="V49" s="13">
        <v>0</v>
      </c>
      <c r="W49" s="93">
        <v>0.38774097619999998</v>
      </c>
      <c r="X49" s="94">
        <v>2.1129305E-3</v>
      </c>
      <c r="Y49" s="93">
        <v>3.1997400967999998</v>
      </c>
      <c r="Z49" s="94">
        <v>6.8988860000000003E-4</v>
      </c>
      <c r="AA49" s="37" t="s">
        <v>76</v>
      </c>
      <c r="AB49" s="13">
        <v>0</v>
      </c>
      <c r="AC49" s="93">
        <v>1.1393833E-3</v>
      </c>
      <c r="AD49" s="94">
        <v>4.8994655000000001E-6</v>
      </c>
      <c r="AE49" s="37" t="s">
        <v>76</v>
      </c>
      <c r="AF49" s="13">
        <v>0</v>
      </c>
      <c r="AG49" s="37" t="s">
        <v>76</v>
      </c>
      <c r="AH49" s="13">
        <v>0</v>
      </c>
      <c r="AI49" s="93">
        <v>1.1393833E-3</v>
      </c>
      <c r="AJ49" s="94">
        <v>4.8994655000000001E-6</v>
      </c>
      <c r="AK49" s="93">
        <v>243.23859809000001</v>
      </c>
      <c r="AL49" s="94">
        <v>1.4173847159999999</v>
      </c>
      <c r="AM49" s="37" t="s">
        <v>76</v>
      </c>
      <c r="AN49" s="13">
        <v>0</v>
      </c>
      <c r="AO49" s="37" t="s">
        <v>76</v>
      </c>
      <c r="AP49" s="13">
        <v>0</v>
      </c>
      <c r="AQ49" s="37" t="s">
        <v>76</v>
      </c>
      <c r="AR49" s="13">
        <v>0</v>
      </c>
      <c r="AS49" s="93">
        <v>28.322083287000002</v>
      </c>
      <c r="AT49" s="94">
        <v>0.50626111119999995</v>
      </c>
      <c r="AU49" s="93">
        <v>30.261728690000002</v>
      </c>
      <c r="AV49" s="94">
        <v>0.19878828069999999</v>
      </c>
      <c r="AW49" s="93">
        <v>20.531964989999999</v>
      </c>
      <c r="AX49" s="94">
        <v>0.1043037917</v>
      </c>
      <c r="AY49" s="93">
        <v>6.2233620490000003</v>
      </c>
      <c r="AZ49" s="94">
        <v>3.1511119499999997E-2</v>
      </c>
      <c r="BA49" s="79">
        <v>3.506401651</v>
      </c>
      <c r="BB49" s="13">
        <v>6.2973369599999995E-2</v>
      </c>
      <c r="BC49" s="93">
        <v>0</v>
      </c>
      <c r="BD49" s="86">
        <v>0</v>
      </c>
      <c r="BE49" s="93">
        <v>32.545470115000001</v>
      </c>
      <c r="BF49" s="94">
        <v>0.1080876422</v>
      </c>
      <c r="BG49" s="94">
        <v>7.3748935999999998E-3</v>
      </c>
      <c r="BH49" s="86">
        <v>0</v>
      </c>
      <c r="BI49" s="93">
        <v>118.94708133</v>
      </c>
      <c r="BJ49" s="94">
        <v>3.6316150520999999</v>
      </c>
      <c r="BK49" s="93">
        <v>152.11078606000001</v>
      </c>
      <c r="BL49" s="94">
        <v>1.0728929302000001</v>
      </c>
      <c r="BM49" s="93">
        <v>92.991687696</v>
      </c>
      <c r="BN49" s="94">
        <v>0.46390168059999998</v>
      </c>
      <c r="BO49" s="93">
        <v>10.837269095</v>
      </c>
      <c r="BP49" s="94">
        <v>1.9713625799999999E-2</v>
      </c>
      <c r="BQ49" s="93">
        <v>0</v>
      </c>
      <c r="BR49" s="88">
        <v>0</v>
      </c>
      <c r="BS49" s="37" t="s">
        <v>76</v>
      </c>
      <c r="BT49" s="13">
        <v>0</v>
      </c>
      <c r="BU49" s="93">
        <v>0.53304729380000004</v>
      </c>
      <c r="BV49" s="94">
        <v>3.0595625000000002E-3</v>
      </c>
      <c r="BW49" s="93">
        <v>4.3343793300000003E-2</v>
      </c>
      <c r="BX49" s="94">
        <v>1.8088760000000001E-4</v>
      </c>
      <c r="BY49" s="7" t="s">
        <v>76</v>
      </c>
      <c r="BZ49" s="13">
        <v>0</v>
      </c>
      <c r="CA49" s="7" t="s">
        <v>76</v>
      </c>
      <c r="CB49" s="13">
        <v>0</v>
      </c>
      <c r="CC49" s="93">
        <v>39.521402375000001</v>
      </c>
      <c r="CD49" s="94">
        <v>0.14889374559999999</v>
      </c>
      <c r="CE49" s="93">
        <v>0.32043025489999999</v>
      </c>
      <c r="CF49" s="94">
        <v>1.6479428E-3</v>
      </c>
      <c r="CG49" s="7" t="s">
        <v>76</v>
      </c>
      <c r="CH49" s="13">
        <v>0</v>
      </c>
      <c r="CI49" s="7" t="s">
        <v>76</v>
      </c>
      <c r="CJ49" s="13">
        <v>0</v>
      </c>
      <c r="CK49" s="7" t="s">
        <v>76</v>
      </c>
      <c r="CL49" s="13">
        <v>0</v>
      </c>
      <c r="CM49" s="7" t="s">
        <v>76</v>
      </c>
      <c r="CN49" s="13">
        <v>0</v>
      </c>
      <c r="CO49" s="93">
        <v>0.332658658</v>
      </c>
      <c r="CP49" s="94">
        <v>1.5356384999999999E-3</v>
      </c>
      <c r="CQ49" s="93">
        <v>1.2942472E-3</v>
      </c>
      <c r="CR49" s="94">
        <v>1.3397800000000001E-5</v>
      </c>
      <c r="CS49" s="93">
        <v>2.7445351727</v>
      </c>
      <c r="CT49" s="94">
        <v>1.10132784E-2</v>
      </c>
      <c r="CU49" s="93">
        <v>2.7505908000000001E-3</v>
      </c>
      <c r="CV49" s="94">
        <v>3.18709E-5</v>
      </c>
      <c r="CW49" s="6" t="s">
        <v>76</v>
      </c>
      <c r="CX49" s="13">
        <v>0</v>
      </c>
      <c r="CY49" s="7" t="s">
        <v>76</v>
      </c>
      <c r="CZ49" s="15">
        <v>0</v>
      </c>
      <c r="DA49" s="93">
        <v>23.205108074000002</v>
      </c>
      <c r="DB49" s="94">
        <v>0.1412001048</v>
      </c>
      <c r="DC49" s="93">
        <v>7.3344959400000007E-2</v>
      </c>
      <c r="DD49" s="94">
        <v>5.2554429999999996E-4</v>
      </c>
      <c r="DE49" s="93">
        <v>21.031836182999999</v>
      </c>
      <c r="DF49" s="94">
        <v>6.0720044500000001E-2</v>
      </c>
      <c r="DG49" s="93">
        <v>0.1236580192</v>
      </c>
      <c r="DH49" s="94">
        <v>1.0236275E-3</v>
      </c>
      <c r="DI49" s="188">
        <v>4.3132034E-3</v>
      </c>
      <c r="DJ49" s="189">
        <v>6.5649816999999999E-3</v>
      </c>
      <c r="DK49" s="189">
        <v>7.1302105999999999E-3</v>
      </c>
      <c r="DL49" s="189">
        <v>7.2864389E-3</v>
      </c>
      <c r="DM49" s="189">
        <v>7.3178065999999998E-3</v>
      </c>
      <c r="DN49" s="189">
        <v>7.3349150999999996E-3</v>
      </c>
      <c r="DO49" s="189">
        <v>7.3389535999999998E-3</v>
      </c>
      <c r="DP49" s="189">
        <v>7.3429921999999996E-3</v>
      </c>
      <c r="DQ49" s="189">
        <v>7.3464947000000001E-3</v>
      </c>
      <c r="DR49" s="190">
        <v>7.3494611000000003E-3</v>
      </c>
      <c r="DS49" s="112">
        <v>95.116460090000004</v>
      </c>
      <c r="DT49" s="13">
        <v>1.5507418917</v>
      </c>
      <c r="DU49" s="79">
        <v>64.324574592999994</v>
      </c>
      <c r="DV49" s="13">
        <v>1.0503146933</v>
      </c>
      <c r="DW49" s="79">
        <v>42.804910333999999</v>
      </c>
      <c r="DX49" s="13">
        <v>0.70868177239999997</v>
      </c>
      <c r="DY49" s="79">
        <v>28.350536687000002</v>
      </c>
      <c r="DZ49" s="13">
        <v>0.48099674640000001</v>
      </c>
      <c r="EA49" s="79">
        <v>18.891410721</v>
      </c>
      <c r="EB49" s="13">
        <v>0.33096898120000001</v>
      </c>
      <c r="EC49" s="79">
        <v>12.727250788999999</v>
      </c>
      <c r="ED49" s="13">
        <v>0.23124092399999999</v>
      </c>
      <c r="EE49" s="79">
        <v>8.7021477147000006</v>
      </c>
      <c r="EF49" s="13">
        <v>0.16411861450000001</v>
      </c>
      <c r="EG49" s="79">
        <v>6.056236374</v>
      </c>
      <c r="EH49" s="13">
        <v>0.1184361934</v>
      </c>
      <c r="EI49" s="79">
        <v>4.2790887803000004</v>
      </c>
      <c r="EJ49" s="13">
        <v>8.6353744999999996E-2</v>
      </c>
      <c r="EK49" s="79">
        <v>3.0790158288999998</v>
      </c>
      <c r="EL49" s="15">
        <v>6.3805291099999994E-2</v>
      </c>
      <c r="EM49" s="79"/>
      <c r="EN49" s="13"/>
      <c r="EO49" s="79"/>
      <c r="EP49" s="13"/>
      <c r="EQ49" s="79"/>
      <c r="ER49" s="13"/>
      <c r="ES49" s="79"/>
      <c r="ET49" s="13"/>
      <c r="EU49" s="79"/>
      <c r="EV49" s="15"/>
    </row>
    <row r="50" spans="1:152" x14ac:dyDescent="0.2">
      <c r="A50" s="8">
        <v>4500</v>
      </c>
      <c r="B50" s="82">
        <v>6062</v>
      </c>
      <c r="C50" s="83">
        <v>2121.0382582000002</v>
      </c>
      <c r="D50" s="93">
        <v>4449.4802865000001</v>
      </c>
      <c r="E50" s="93">
        <v>34.591564429999998</v>
      </c>
      <c r="F50" s="94">
        <v>6.6390272599999994E-2</v>
      </c>
      <c r="G50" s="83">
        <v>8.0498967124000007</v>
      </c>
      <c r="H50" s="94">
        <v>4.5960323000000004E-3</v>
      </c>
      <c r="I50" s="93">
        <v>188.32451886999999</v>
      </c>
      <c r="J50" s="94">
        <v>2.2606146197000001</v>
      </c>
      <c r="K50" s="93">
        <v>270.35484114000002</v>
      </c>
      <c r="L50" s="94">
        <v>2.1275567213</v>
      </c>
      <c r="M50" s="93">
        <v>0.99529488450000003</v>
      </c>
      <c r="N50" s="94">
        <v>6.1835678999999999E-3</v>
      </c>
      <c r="O50" s="37">
        <v>0</v>
      </c>
      <c r="P50" s="13">
        <v>0</v>
      </c>
      <c r="Q50" s="93">
        <v>42.134962813999998</v>
      </c>
      <c r="R50" s="94">
        <v>0.15686510049999999</v>
      </c>
      <c r="S50" s="37" t="s">
        <v>76</v>
      </c>
      <c r="T50" s="13">
        <v>0</v>
      </c>
      <c r="U50" s="37" t="s">
        <v>76</v>
      </c>
      <c r="V50" s="13">
        <v>0</v>
      </c>
      <c r="W50" s="93">
        <v>0.39740260799999999</v>
      </c>
      <c r="X50" s="94">
        <v>2.1444668000000001E-3</v>
      </c>
      <c r="Y50" s="93">
        <v>3.2994469063</v>
      </c>
      <c r="Z50" s="94">
        <v>7.0717339999999999E-4</v>
      </c>
      <c r="AA50" s="37" t="s">
        <v>76</v>
      </c>
      <c r="AB50" s="13">
        <v>0</v>
      </c>
      <c r="AC50" s="93">
        <v>1.1324095E-3</v>
      </c>
      <c r="AD50" s="94">
        <v>4.8694772E-6</v>
      </c>
      <c r="AE50" s="37" t="s">
        <v>76</v>
      </c>
      <c r="AF50" s="13">
        <v>0</v>
      </c>
      <c r="AG50" s="37" t="s">
        <v>76</v>
      </c>
      <c r="AH50" s="13">
        <v>0</v>
      </c>
      <c r="AI50" s="93">
        <v>1.1324095E-3</v>
      </c>
      <c r="AJ50" s="94">
        <v>4.8694772E-6</v>
      </c>
      <c r="AK50" s="93">
        <v>245.27675255</v>
      </c>
      <c r="AL50" s="94">
        <v>1.4268024623</v>
      </c>
      <c r="AM50" s="37" t="s">
        <v>76</v>
      </c>
      <c r="AN50" s="13">
        <v>0</v>
      </c>
      <c r="AO50" s="37" t="s">
        <v>76</v>
      </c>
      <c r="AP50" s="13">
        <v>0</v>
      </c>
      <c r="AQ50" s="37" t="s">
        <v>76</v>
      </c>
      <c r="AR50" s="13">
        <v>0</v>
      </c>
      <c r="AS50" s="93">
        <v>28.807368445000002</v>
      </c>
      <c r="AT50" s="94">
        <v>0.51092730259999997</v>
      </c>
      <c r="AU50" s="93">
        <v>30.696262055999998</v>
      </c>
      <c r="AV50" s="94">
        <v>0.20084557510000001</v>
      </c>
      <c r="AW50" s="93">
        <v>20.861805371999999</v>
      </c>
      <c r="AX50" s="94">
        <v>0.1055082266</v>
      </c>
      <c r="AY50" s="93">
        <v>6.2727428591000001</v>
      </c>
      <c r="AZ50" s="94">
        <v>3.1745652800000003E-2</v>
      </c>
      <c r="BA50" s="79">
        <v>3.5617138254</v>
      </c>
      <c r="BB50" s="13">
        <v>6.3591695700000006E-2</v>
      </c>
      <c r="BC50" s="93">
        <v>0</v>
      </c>
      <c r="BD50" s="86">
        <v>0</v>
      </c>
      <c r="BE50" s="93">
        <v>33.627336987</v>
      </c>
      <c r="BF50" s="94">
        <v>0.11050902159999999</v>
      </c>
      <c r="BG50" s="94">
        <v>7.7015712999999996E-3</v>
      </c>
      <c r="BH50" s="86">
        <v>0</v>
      </c>
      <c r="BI50" s="93">
        <v>120.51643079999999</v>
      </c>
      <c r="BJ50" s="94">
        <v>3.6670063821999999</v>
      </c>
      <c r="BK50" s="93">
        <v>155.17727195000001</v>
      </c>
      <c r="BL50" s="94">
        <v>1.0895915211</v>
      </c>
      <c r="BM50" s="93">
        <v>95.173020821999998</v>
      </c>
      <c r="BN50" s="94">
        <v>0.47206029710000003</v>
      </c>
      <c r="BO50" s="93">
        <v>11.347670564</v>
      </c>
      <c r="BP50" s="94">
        <v>2.0406529199999999E-2</v>
      </c>
      <c r="BQ50" s="93">
        <v>0</v>
      </c>
      <c r="BR50" s="88">
        <v>0</v>
      </c>
      <c r="BS50" s="37" t="s">
        <v>76</v>
      </c>
      <c r="BT50" s="13">
        <v>0</v>
      </c>
      <c r="BU50" s="93">
        <v>0.54854715649999997</v>
      </c>
      <c r="BV50" s="94">
        <v>3.1467375999999999E-3</v>
      </c>
      <c r="BW50" s="93">
        <v>4.5647467900000002E-2</v>
      </c>
      <c r="BX50" s="94">
        <v>1.9195430000000001E-4</v>
      </c>
      <c r="BY50" s="7" t="s">
        <v>76</v>
      </c>
      <c r="BZ50" s="13">
        <v>0</v>
      </c>
      <c r="CA50" s="7" t="s">
        <v>76</v>
      </c>
      <c r="CB50" s="13">
        <v>0</v>
      </c>
      <c r="CC50" s="93">
        <v>40.604654339</v>
      </c>
      <c r="CD50" s="94">
        <v>0.151116576</v>
      </c>
      <c r="CE50" s="93">
        <v>0.33048104220000002</v>
      </c>
      <c r="CF50" s="94">
        <v>1.6812393000000001E-3</v>
      </c>
      <c r="CG50" s="7" t="s">
        <v>76</v>
      </c>
      <c r="CH50" s="13">
        <v>0</v>
      </c>
      <c r="CI50" s="7" t="s">
        <v>76</v>
      </c>
      <c r="CJ50" s="13">
        <v>0</v>
      </c>
      <c r="CK50" s="7" t="s">
        <v>76</v>
      </c>
      <c r="CL50" s="13">
        <v>0</v>
      </c>
      <c r="CM50" s="7" t="s">
        <v>76</v>
      </c>
      <c r="CN50" s="13">
        <v>0</v>
      </c>
      <c r="CO50" s="93">
        <v>0.33761907279999998</v>
      </c>
      <c r="CP50" s="94">
        <v>1.546452E-3</v>
      </c>
      <c r="CQ50" s="93">
        <v>1.2854029E-3</v>
      </c>
      <c r="CR50" s="94">
        <v>1.33055E-5</v>
      </c>
      <c r="CS50" s="93">
        <v>2.8382707679000001</v>
      </c>
      <c r="CT50" s="94">
        <v>1.1305446699999999E-2</v>
      </c>
      <c r="CU50" s="93">
        <v>2.7334021999999999E-3</v>
      </c>
      <c r="CV50" s="94">
        <v>3.2837299999999998E-5</v>
      </c>
      <c r="CW50" s="6" t="s">
        <v>76</v>
      </c>
      <c r="CX50" s="13">
        <v>0</v>
      </c>
      <c r="CY50" s="7" t="s">
        <v>76</v>
      </c>
      <c r="CZ50" s="15">
        <v>0</v>
      </c>
      <c r="DA50" s="93">
        <v>23.605910444999999</v>
      </c>
      <c r="DB50" s="94">
        <v>0.1430087085</v>
      </c>
      <c r="DC50" s="93">
        <v>7.3224562899999998E-2</v>
      </c>
      <c r="DD50" s="94">
        <v>5.2914490000000004E-4</v>
      </c>
      <c r="DE50" s="93">
        <v>21.653370854999999</v>
      </c>
      <c r="DF50" s="94">
        <v>6.19609754E-2</v>
      </c>
      <c r="DG50" s="93">
        <v>0.12551823940000001</v>
      </c>
      <c r="DH50" s="94">
        <v>1.0372141999999999E-3</v>
      </c>
      <c r="DI50" s="188">
        <v>4.4992341999999996E-3</v>
      </c>
      <c r="DJ50" s="189">
        <v>6.8395963000000004E-3</v>
      </c>
      <c r="DK50" s="189">
        <v>7.4333244E-3</v>
      </c>
      <c r="DL50" s="189">
        <v>7.5995111000000002E-3</v>
      </c>
      <c r="DM50" s="189">
        <v>7.6348889000000001E-3</v>
      </c>
      <c r="DN50" s="189">
        <v>7.6555664000000001E-3</v>
      </c>
      <c r="DO50" s="189">
        <v>7.6627346000000002E-3</v>
      </c>
      <c r="DP50" s="189">
        <v>7.6699026999999999E-3</v>
      </c>
      <c r="DQ50" s="189">
        <v>7.6733809000000004E-3</v>
      </c>
      <c r="DR50" s="190">
        <v>7.6763268000000001E-3</v>
      </c>
      <c r="DS50" s="112">
        <v>96.204568308999995</v>
      </c>
      <c r="DT50" s="13">
        <v>1.5639025450999999</v>
      </c>
      <c r="DU50" s="79">
        <v>65.229626269999997</v>
      </c>
      <c r="DV50" s="13">
        <v>1.0617289616000001</v>
      </c>
      <c r="DW50" s="79">
        <v>43.530441213000003</v>
      </c>
      <c r="DX50" s="13">
        <v>0.71818866869999998</v>
      </c>
      <c r="DY50" s="79">
        <v>28.916217154999998</v>
      </c>
      <c r="DZ50" s="13">
        <v>0.48870770800000002</v>
      </c>
      <c r="EA50" s="79">
        <v>19.325356312</v>
      </c>
      <c r="EB50" s="13">
        <v>0.33710409279999998</v>
      </c>
      <c r="EC50" s="79">
        <v>13.053732689</v>
      </c>
      <c r="ED50" s="13">
        <v>0.2360495517</v>
      </c>
      <c r="EE50" s="79">
        <v>8.9496791523999999</v>
      </c>
      <c r="EF50" s="13">
        <v>0.16790910270000001</v>
      </c>
      <c r="EG50" s="79">
        <v>6.2438444310000003</v>
      </c>
      <c r="EH50" s="13">
        <v>0.1214171668</v>
      </c>
      <c r="EI50" s="79">
        <v>4.4208390175999996</v>
      </c>
      <c r="EJ50" s="13">
        <v>8.8687544899999998E-2</v>
      </c>
      <c r="EK50" s="79">
        <v>3.1856177637999998</v>
      </c>
      <c r="EL50" s="15">
        <v>6.5633670399999997E-2</v>
      </c>
      <c r="EM50" s="79"/>
      <c r="EN50" s="13"/>
      <c r="EO50" s="79"/>
      <c r="EP50" s="13"/>
      <c r="EQ50" s="79"/>
      <c r="ER50" s="13"/>
      <c r="ES50" s="79"/>
      <c r="ET50" s="13"/>
      <c r="EU50" s="79"/>
      <c r="EV50" s="15"/>
    </row>
    <row r="51" spans="1:152" x14ac:dyDescent="0.2">
      <c r="A51" s="8">
        <v>4600</v>
      </c>
      <c r="B51" s="82">
        <v>5909</v>
      </c>
      <c r="C51" s="83">
        <v>2146.9963597000001</v>
      </c>
      <c r="D51" s="93">
        <v>4549.8428481999999</v>
      </c>
      <c r="E51" s="93">
        <v>35.548942077</v>
      </c>
      <c r="F51" s="94">
        <v>6.7403296200000004E-2</v>
      </c>
      <c r="G51" s="83">
        <v>8.4839943510999998</v>
      </c>
      <c r="H51" s="94">
        <v>4.7820203999999998E-3</v>
      </c>
      <c r="I51" s="93">
        <v>190.05866502999999</v>
      </c>
      <c r="J51" s="94">
        <v>2.2751552809</v>
      </c>
      <c r="K51" s="93">
        <v>275.132158</v>
      </c>
      <c r="L51" s="94">
        <v>2.1552198866999999</v>
      </c>
      <c r="M51" s="93">
        <v>1.0265689165</v>
      </c>
      <c r="N51" s="94">
        <v>6.3771243000000002E-3</v>
      </c>
      <c r="O51" s="37">
        <v>0</v>
      </c>
      <c r="P51" s="13">
        <v>0</v>
      </c>
      <c r="Q51" s="93">
        <v>43.268873069999998</v>
      </c>
      <c r="R51" s="94">
        <v>0.15931756359999999</v>
      </c>
      <c r="S51" s="37" t="s">
        <v>76</v>
      </c>
      <c r="T51" s="13">
        <v>0</v>
      </c>
      <c r="U51" s="37" t="s">
        <v>76</v>
      </c>
      <c r="V51" s="13">
        <v>0</v>
      </c>
      <c r="W51" s="93">
        <v>0.40625299250000002</v>
      </c>
      <c r="X51" s="94">
        <v>2.1560045000000002E-3</v>
      </c>
      <c r="Y51" s="93">
        <v>3.4379189587000001</v>
      </c>
      <c r="Z51" s="94">
        <v>7.937396E-4</v>
      </c>
      <c r="AA51" s="37" t="s">
        <v>76</v>
      </c>
      <c r="AB51" s="13">
        <v>0</v>
      </c>
      <c r="AC51" s="93">
        <v>1.1252527E-3</v>
      </c>
      <c r="AD51" s="94">
        <v>4.8387024000000002E-6</v>
      </c>
      <c r="AE51" s="37" t="s">
        <v>76</v>
      </c>
      <c r="AF51" s="13">
        <v>0</v>
      </c>
      <c r="AG51" s="37" t="s">
        <v>76</v>
      </c>
      <c r="AH51" s="13">
        <v>0</v>
      </c>
      <c r="AI51" s="93">
        <v>1.1252527E-3</v>
      </c>
      <c r="AJ51" s="94">
        <v>4.8387024000000002E-6</v>
      </c>
      <c r="AK51" s="93">
        <v>247.25522937</v>
      </c>
      <c r="AL51" s="94">
        <v>1.4364431847000001</v>
      </c>
      <c r="AM51" s="37" t="s">
        <v>76</v>
      </c>
      <c r="AN51" s="13">
        <v>0</v>
      </c>
      <c r="AO51" s="37" t="s">
        <v>76</v>
      </c>
      <c r="AP51" s="13">
        <v>0</v>
      </c>
      <c r="AQ51" s="37" t="s">
        <v>76</v>
      </c>
      <c r="AR51" s="13">
        <v>0</v>
      </c>
      <c r="AS51" s="93">
        <v>29.329264967</v>
      </c>
      <c r="AT51" s="94">
        <v>0.51561029719999996</v>
      </c>
      <c r="AU51" s="93">
        <v>31.129788135999998</v>
      </c>
      <c r="AV51" s="94">
        <v>0.20291259219999999</v>
      </c>
      <c r="AW51" s="93">
        <v>21.178503620000001</v>
      </c>
      <c r="AX51" s="94">
        <v>0.1066737693</v>
      </c>
      <c r="AY51" s="93">
        <v>6.3218419740999998</v>
      </c>
      <c r="AZ51" s="94">
        <v>3.1963065399999997E-2</v>
      </c>
      <c r="BA51" s="79">
        <v>3.6294425424000001</v>
      </c>
      <c r="BB51" s="13">
        <v>6.4275757500000003E-2</v>
      </c>
      <c r="BC51" s="93">
        <v>0</v>
      </c>
      <c r="BD51" s="86">
        <v>0</v>
      </c>
      <c r="BE51" s="93">
        <v>34.693282146999998</v>
      </c>
      <c r="BF51" s="94">
        <v>0.1128171598</v>
      </c>
      <c r="BG51" s="94">
        <v>8.0520325000000004E-3</v>
      </c>
      <c r="BH51" s="86">
        <v>0</v>
      </c>
      <c r="BI51" s="93">
        <v>122.18947081</v>
      </c>
      <c r="BJ51" s="94">
        <v>3.7019125818999998</v>
      </c>
      <c r="BK51" s="93">
        <v>158.02491875000001</v>
      </c>
      <c r="BL51" s="94">
        <v>1.1050468496000001</v>
      </c>
      <c r="BM51" s="93">
        <v>97.307140005999997</v>
      </c>
      <c r="BN51" s="94">
        <v>0.48038937300000001</v>
      </c>
      <c r="BO51" s="93">
        <v>11.859778825999999</v>
      </c>
      <c r="BP51" s="94">
        <v>2.1104425400000001E-2</v>
      </c>
      <c r="BQ51" s="93">
        <v>0</v>
      </c>
      <c r="BR51" s="88">
        <v>0</v>
      </c>
      <c r="BS51" s="37" t="s">
        <v>76</v>
      </c>
      <c r="BT51" s="13">
        <v>0</v>
      </c>
      <c r="BU51" s="93">
        <v>0.57648229500000003</v>
      </c>
      <c r="BV51" s="94">
        <v>3.3085355000000002E-3</v>
      </c>
      <c r="BW51" s="93">
        <v>4.5350594299999998E-2</v>
      </c>
      <c r="BX51" s="94">
        <v>1.9069719999999999E-4</v>
      </c>
      <c r="BY51" s="7" t="s">
        <v>76</v>
      </c>
      <c r="BZ51" s="13">
        <v>0</v>
      </c>
      <c r="CA51" s="7" t="s">
        <v>76</v>
      </c>
      <c r="CB51" s="13">
        <v>0</v>
      </c>
      <c r="CC51" s="93">
        <v>41.704297668000002</v>
      </c>
      <c r="CD51" s="94">
        <v>0.15345196420000001</v>
      </c>
      <c r="CE51" s="93">
        <v>0.33809401480000001</v>
      </c>
      <c r="CF51" s="94">
        <v>1.7226006999999999E-3</v>
      </c>
      <c r="CG51" s="7" t="s">
        <v>76</v>
      </c>
      <c r="CH51" s="13">
        <v>0</v>
      </c>
      <c r="CI51" s="7" t="s">
        <v>76</v>
      </c>
      <c r="CJ51" s="13">
        <v>0</v>
      </c>
      <c r="CK51" s="7" t="s">
        <v>76</v>
      </c>
      <c r="CL51" s="13">
        <v>0</v>
      </c>
      <c r="CM51" s="7" t="s">
        <v>76</v>
      </c>
      <c r="CN51" s="13">
        <v>0</v>
      </c>
      <c r="CO51" s="93">
        <v>0.3465022311</v>
      </c>
      <c r="CP51" s="94">
        <v>1.5581985E-3</v>
      </c>
      <c r="CQ51" s="93">
        <v>1.2773159000000001E-3</v>
      </c>
      <c r="CR51" s="94">
        <v>1.32174E-5</v>
      </c>
      <c r="CS51" s="93">
        <v>2.9653920819000001</v>
      </c>
      <c r="CT51" s="94">
        <v>1.1801529700000001E-2</v>
      </c>
      <c r="CU51" s="93">
        <v>2.9076515E-3</v>
      </c>
      <c r="CV51" s="94">
        <v>3.51776E-5</v>
      </c>
      <c r="CW51" s="6" t="s">
        <v>76</v>
      </c>
      <c r="CX51" s="13">
        <v>0</v>
      </c>
      <c r="CY51" s="7" t="s">
        <v>76</v>
      </c>
      <c r="CZ51" s="15">
        <v>0</v>
      </c>
      <c r="DA51" s="93">
        <v>24.025294843000001</v>
      </c>
      <c r="DB51" s="94">
        <v>0.14473704330000001</v>
      </c>
      <c r="DC51" s="93">
        <v>7.5451859100000004E-2</v>
      </c>
      <c r="DD51" s="94">
        <v>5.4286959999999996E-4</v>
      </c>
      <c r="DE51" s="93">
        <v>22.246331701999999</v>
      </c>
      <c r="DF51" s="94">
        <v>6.3148191000000006E-2</v>
      </c>
      <c r="DG51" s="93">
        <v>0.12949665630000001</v>
      </c>
      <c r="DH51" s="94">
        <v>1.0721724000000001E-3</v>
      </c>
      <c r="DI51" s="188">
        <v>4.6808962000000004E-3</v>
      </c>
      <c r="DJ51" s="189">
        <v>7.1400433999999997E-3</v>
      </c>
      <c r="DK51" s="189">
        <v>7.7678269000000001E-3</v>
      </c>
      <c r="DL51" s="189">
        <v>7.9418729000000007E-3</v>
      </c>
      <c r="DM51" s="189">
        <v>7.9801705999999993E-3</v>
      </c>
      <c r="DN51" s="189">
        <v>8.0038599999999998E-3</v>
      </c>
      <c r="DO51" s="189">
        <v>8.0129144999999992E-3</v>
      </c>
      <c r="DP51" s="189">
        <v>8.0205655000000001E-3</v>
      </c>
      <c r="DQ51" s="189">
        <v>8.0240221999999996E-3</v>
      </c>
      <c r="DR51" s="190">
        <v>8.0269503999999998E-3</v>
      </c>
      <c r="DS51" s="112">
        <v>97.298869901000003</v>
      </c>
      <c r="DT51" s="13">
        <v>1.5772032514000001</v>
      </c>
      <c r="DU51" s="79">
        <v>66.133931606999994</v>
      </c>
      <c r="DV51" s="13">
        <v>1.0732832606</v>
      </c>
      <c r="DW51" s="79">
        <v>44.254899950000002</v>
      </c>
      <c r="DX51" s="13">
        <v>0.72782065819999997</v>
      </c>
      <c r="DY51" s="79">
        <v>29.479988159000001</v>
      </c>
      <c r="DZ51" s="13">
        <v>0.4965377419</v>
      </c>
      <c r="EA51" s="79">
        <v>19.757437293999999</v>
      </c>
      <c r="EB51" s="13">
        <v>0.34338332069999999</v>
      </c>
      <c r="EC51" s="79">
        <v>13.382078113</v>
      </c>
      <c r="ED51" s="13">
        <v>0.2410460136</v>
      </c>
      <c r="EE51" s="79">
        <v>9.2013556007999995</v>
      </c>
      <c r="EF51" s="13">
        <v>0.17189076649999999</v>
      </c>
      <c r="EG51" s="79">
        <v>6.4356531286000003</v>
      </c>
      <c r="EH51" s="13">
        <v>0.1245591341</v>
      </c>
      <c r="EI51" s="79">
        <v>4.5675917716000001</v>
      </c>
      <c r="EJ51" s="13">
        <v>9.1167892E-2</v>
      </c>
      <c r="EK51" s="79">
        <v>3.2976683480000002</v>
      </c>
      <c r="EL51" s="15">
        <v>6.7568872700000004E-2</v>
      </c>
      <c r="EM51" s="79"/>
      <c r="EN51" s="13"/>
      <c r="EO51" s="79"/>
      <c r="EP51" s="13"/>
      <c r="EQ51" s="79"/>
      <c r="ER51" s="13"/>
      <c r="ES51" s="79"/>
      <c r="ET51" s="13"/>
      <c r="EU51" s="79"/>
      <c r="EV51" s="15"/>
    </row>
    <row r="52" spans="1:152" x14ac:dyDescent="0.2">
      <c r="A52" s="8">
        <v>4700</v>
      </c>
      <c r="B52" s="82">
        <v>5847</v>
      </c>
      <c r="C52" s="83">
        <v>2172.4936464000002</v>
      </c>
      <c r="D52" s="93">
        <v>4649.6228392000003</v>
      </c>
      <c r="E52" s="93">
        <v>36.658992879000003</v>
      </c>
      <c r="F52" s="94">
        <v>6.8448094299999998E-2</v>
      </c>
      <c r="G52" s="83">
        <v>8.9157462027999994</v>
      </c>
      <c r="H52" s="94">
        <v>4.9766710000000002E-3</v>
      </c>
      <c r="I52" s="93">
        <v>191.74040980999999</v>
      </c>
      <c r="J52" s="94">
        <v>2.2890407198</v>
      </c>
      <c r="K52" s="93">
        <v>279.77605290000002</v>
      </c>
      <c r="L52" s="94">
        <v>2.1824082273999998</v>
      </c>
      <c r="M52" s="93">
        <v>1.0456799709</v>
      </c>
      <c r="N52" s="94">
        <v>6.4848008999999996E-3</v>
      </c>
      <c r="O52" s="37">
        <v>0</v>
      </c>
      <c r="P52" s="13">
        <v>0</v>
      </c>
      <c r="Q52" s="93">
        <v>44.285588048999998</v>
      </c>
      <c r="R52" s="94">
        <v>0.1615301187</v>
      </c>
      <c r="S52" s="37" t="s">
        <v>76</v>
      </c>
      <c r="T52" s="13">
        <v>0</v>
      </c>
      <c r="U52" s="37" t="s">
        <v>76</v>
      </c>
      <c r="V52" s="13">
        <v>0</v>
      </c>
      <c r="W52" s="93">
        <v>0.41607781980000003</v>
      </c>
      <c r="X52" s="94">
        <v>2.2756183000000002E-3</v>
      </c>
      <c r="Y52" s="93">
        <v>3.5625094249</v>
      </c>
      <c r="Z52" s="94">
        <v>7.9903350000000005E-4</v>
      </c>
      <c r="AA52" s="37" t="s">
        <v>76</v>
      </c>
      <c r="AB52" s="13">
        <v>0</v>
      </c>
      <c r="AC52" s="93">
        <v>1.1182706E-3</v>
      </c>
      <c r="AD52" s="94">
        <v>4.8086788000000004E-6</v>
      </c>
      <c r="AE52" s="37" t="s">
        <v>76</v>
      </c>
      <c r="AF52" s="13">
        <v>0</v>
      </c>
      <c r="AG52" s="37" t="s">
        <v>76</v>
      </c>
      <c r="AH52" s="13">
        <v>0</v>
      </c>
      <c r="AI52" s="93">
        <v>1.1182706E-3</v>
      </c>
      <c r="AJ52" s="94">
        <v>4.8086788000000004E-6</v>
      </c>
      <c r="AK52" s="93">
        <v>249.29436981999999</v>
      </c>
      <c r="AL52" s="94">
        <v>1.4455150942999999</v>
      </c>
      <c r="AM52" s="37" t="s">
        <v>76</v>
      </c>
      <c r="AN52" s="13">
        <v>0</v>
      </c>
      <c r="AO52" s="37" t="s">
        <v>76</v>
      </c>
      <c r="AP52" s="13">
        <v>0</v>
      </c>
      <c r="AQ52" s="37" t="s">
        <v>76</v>
      </c>
      <c r="AR52" s="13">
        <v>0</v>
      </c>
      <c r="AS52" s="93">
        <v>29.856603013000001</v>
      </c>
      <c r="AT52" s="94">
        <v>0.52037830259999995</v>
      </c>
      <c r="AU52" s="93">
        <v>31.53149728</v>
      </c>
      <c r="AV52" s="94">
        <v>0.20493941260000001</v>
      </c>
      <c r="AW52" s="93">
        <v>21.472029192000001</v>
      </c>
      <c r="AX52" s="94">
        <v>0.1078087695</v>
      </c>
      <c r="AY52" s="93">
        <v>6.3672125865</v>
      </c>
      <c r="AZ52" s="94">
        <v>3.2177522799999997E-2</v>
      </c>
      <c r="BA52" s="79">
        <v>3.6922555013</v>
      </c>
      <c r="BB52" s="13">
        <v>6.49531203E-2</v>
      </c>
      <c r="BC52" s="93">
        <v>0</v>
      </c>
      <c r="BD52" s="86">
        <v>0</v>
      </c>
      <c r="BE52" s="93">
        <v>35.870352416000003</v>
      </c>
      <c r="BF52" s="94">
        <v>0.1151127149</v>
      </c>
      <c r="BG52" s="94">
        <v>8.3860285E-3</v>
      </c>
      <c r="BH52" s="86">
        <v>0</v>
      </c>
      <c r="BI52" s="93">
        <v>123.83557492</v>
      </c>
      <c r="BJ52" s="94">
        <v>3.7377403494000001</v>
      </c>
      <c r="BK52" s="93">
        <v>160.98349028000001</v>
      </c>
      <c r="BL52" s="94">
        <v>1.1209058224999999</v>
      </c>
      <c r="BM52" s="93">
        <v>99.437955355</v>
      </c>
      <c r="BN52" s="94">
        <v>0.48871766979999998</v>
      </c>
      <c r="BO52" s="93">
        <v>12.398785126</v>
      </c>
      <c r="BP52" s="94">
        <v>2.1869941100000002E-2</v>
      </c>
      <c r="BQ52" s="93">
        <v>0</v>
      </c>
      <c r="BR52" s="88">
        <v>0</v>
      </c>
      <c r="BS52" s="37" t="s">
        <v>76</v>
      </c>
      <c r="BT52" s="13">
        <v>0</v>
      </c>
      <c r="BU52" s="93">
        <v>0.5890824724</v>
      </c>
      <c r="BV52" s="94">
        <v>3.3637862000000002E-3</v>
      </c>
      <c r="BW52" s="93">
        <v>4.5056202199999999E-2</v>
      </c>
      <c r="BX52" s="94">
        <v>1.8944900000000001E-4</v>
      </c>
      <c r="BY52" s="7" t="s">
        <v>76</v>
      </c>
      <c r="BZ52" s="13">
        <v>0</v>
      </c>
      <c r="CA52" s="7" t="s">
        <v>76</v>
      </c>
      <c r="CB52" s="13">
        <v>0</v>
      </c>
      <c r="CC52" s="93">
        <v>42.673039705999997</v>
      </c>
      <c r="CD52" s="94">
        <v>0.15554883650000001</v>
      </c>
      <c r="CE52" s="93">
        <v>0.34733418290000001</v>
      </c>
      <c r="CF52" s="94">
        <v>1.765218E-3</v>
      </c>
      <c r="CG52" s="7" t="s">
        <v>76</v>
      </c>
      <c r="CH52" s="13">
        <v>0</v>
      </c>
      <c r="CI52" s="7" t="s">
        <v>76</v>
      </c>
      <c r="CJ52" s="13">
        <v>0</v>
      </c>
      <c r="CK52" s="7" t="s">
        <v>76</v>
      </c>
      <c r="CL52" s="13">
        <v>0</v>
      </c>
      <c r="CM52" s="7" t="s">
        <v>76</v>
      </c>
      <c r="CN52" s="13">
        <v>0</v>
      </c>
      <c r="CO52" s="93">
        <v>0.3536604948</v>
      </c>
      <c r="CP52" s="94">
        <v>1.6424421000000001E-3</v>
      </c>
      <c r="CQ52" s="93">
        <v>1.2697998999999999E-3</v>
      </c>
      <c r="CR52" s="94">
        <v>1.3133699999999999E-5</v>
      </c>
      <c r="CS52" s="93">
        <v>3.0841804374000001</v>
      </c>
      <c r="CT52" s="94">
        <v>1.22006201E-2</v>
      </c>
      <c r="CU52" s="93">
        <v>2.8899298000000001E-3</v>
      </c>
      <c r="CV52" s="94">
        <v>3.4950300000000003E-5</v>
      </c>
      <c r="CW52" s="6" t="s">
        <v>76</v>
      </c>
      <c r="CX52" s="13">
        <v>0</v>
      </c>
      <c r="CY52" s="7" t="s">
        <v>76</v>
      </c>
      <c r="CZ52" s="15">
        <v>0</v>
      </c>
      <c r="DA52" s="93">
        <v>24.460990081999999</v>
      </c>
      <c r="DB52" s="94">
        <v>0.1464846793</v>
      </c>
      <c r="DC52" s="93">
        <v>7.5252236200000003E-2</v>
      </c>
      <c r="DD52" s="94">
        <v>5.4189180000000002E-4</v>
      </c>
      <c r="DE52" s="93">
        <v>22.913207841999998</v>
      </c>
      <c r="DF52" s="94">
        <v>6.4383556800000005E-2</v>
      </c>
      <c r="DG52" s="93">
        <v>0.13284823600000001</v>
      </c>
      <c r="DH52" s="94">
        <v>1.0953452E-3</v>
      </c>
      <c r="DI52" s="188">
        <v>4.857063E-3</v>
      </c>
      <c r="DJ52" s="189">
        <v>7.4062883000000001E-3</v>
      </c>
      <c r="DK52" s="189">
        <v>8.0722384000000008E-3</v>
      </c>
      <c r="DL52" s="189">
        <v>8.2608796999999994E-3</v>
      </c>
      <c r="DM52" s="189">
        <v>8.3055856999999997E-3</v>
      </c>
      <c r="DN52" s="189">
        <v>8.3357708999999992E-3</v>
      </c>
      <c r="DO52" s="189">
        <v>8.3459737999999999E-3</v>
      </c>
      <c r="DP52" s="189">
        <v>8.3547816999999993E-3</v>
      </c>
      <c r="DQ52" s="189">
        <v>8.3582155999999998E-3</v>
      </c>
      <c r="DR52" s="190">
        <v>8.3611243999999994E-3</v>
      </c>
      <c r="DS52" s="112">
        <v>98.348474038000006</v>
      </c>
      <c r="DT52" s="13">
        <v>1.5898786309999999</v>
      </c>
      <c r="DU52" s="79">
        <v>67.001579663000001</v>
      </c>
      <c r="DV52" s="13">
        <v>1.0842808265999999</v>
      </c>
      <c r="DW52" s="79">
        <v>44.947545769000001</v>
      </c>
      <c r="DX52" s="13">
        <v>0.73698817780000003</v>
      </c>
      <c r="DY52" s="79">
        <v>30.015983344999999</v>
      </c>
      <c r="DZ52" s="13">
        <v>0.50395159860000005</v>
      </c>
      <c r="EA52" s="79">
        <v>20.166980784</v>
      </c>
      <c r="EB52" s="13">
        <v>0.34930449810000003</v>
      </c>
      <c r="EC52" s="79">
        <v>13.689346458999999</v>
      </c>
      <c r="ED52" s="13">
        <v>0.2457010778</v>
      </c>
      <c r="EE52" s="79">
        <v>9.4297550459000004</v>
      </c>
      <c r="EF52" s="13">
        <v>0.17552320599999999</v>
      </c>
      <c r="EG52" s="79">
        <v>6.6064241178999996</v>
      </c>
      <c r="EH52" s="13">
        <v>0.1274037952</v>
      </c>
      <c r="EI52" s="79">
        <v>4.6968472134999999</v>
      </c>
      <c r="EJ52" s="13">
        <v>9.3410413400000003E-2</v>
      </c>
      <c r="EK52" s="79">
        <v>3.3955608600999998</v>
      </c>
      <c r="EL52" s="15">
        <v>6.9339508199999997E-2</v>
      </c>
      <c r="EM52" s="79"/>
      <c r="EN52" s="13"/>
      <c r="EO52" s="79"/>
      <c r="EP52" s="13"/>
      <c r="EQ52" s="79"/>
      <c r="ER52" s="13"/>
      <c r="ES52" s="79"/>
      <c r="ET52" s="13"/>
      <c r="EU52" s="79"/>
      <c r="EV52" s="15"/>
    </row>
    <row r="53" spans="1:152" x14ac:dyDescent="0.2">
      <c r="A53" s="8">
        <v>4800</v>
      </c>
      <c r="B53" s="82">
        <v>5556</v>
      </c>
      <c r="C53" s="83">
        <v>2197.5415702</v>
      </c>
      <c r="D53" s="93">
        <v>4750.1285012999997</v>
      </c>
      <c r="E53" s="93">
        <v>37.755778034999999</v>
      </c>
      <c r="F53" s="94">
        <v>6.9452258899999994E-2</v>
      </c>
      <c r="G53" s="83">
        <v>9.3095899433000007</v>
      </c>
      <c r="H53" s="94">
        <v>5.1417905E-3</v>
      </c>
      <c r="I53" s="93">
        <v>193.38411894000001</v>
      </c>
      <c r="J53" s="94">
        <v>2.3030964769</v>
      </c>
      <c r="K53" s="93">
        <v>284.45437220000002</v>
      </c>
      <c r="L53" s="94">
        <v>2.2082456823999999</v>
      </c>
      <c r="M53" s="93">
        <v>1.0757945764000001</v>
      </c>
      <c r="N53" s="94">
        <v>6.6132676999999997E-3</v>
      </c>
      <c r="O53" s="37">
        <v>0</v>
      </c>
      <c r="P53" s="13">
        <v>0</v>
      </c>
      <c r="Q53" s="93">
        <v>45.298350984999999</v>
      </c>
      <c r="R53" s="94">
        <v>0.16373369509999999</v>
      </c>
      <c r="S53" s="37" t="s">
        <v>76</v>
      </c>
      <c r="T53" s="13">
        <v>0</v>
      </c>
      <c r="U53" s="37" t="s">
        <v>76</v>
      </c>
      <c r="V53" s="13">
        <v>0</v>
      </c>
      <c r="W53" s="93">
        <v>0.4195500257</v>
      </c>
      <c r="X53" s="94">
        <v>2.2944142999999999E-3</v>
      </c>
      <c r="Y53" s="93">
        <v>3.6924879290999999</v>
      </c>
      <c r="Z53" s="94">
        <v>8.2581590000000002E-4</v>
      </c>
      <c r="AA53" s="37" t="s">
        <v>76</v>
      </c>
      <c r="AB53" s="13">
        <v>0</v>
      </c>
      <c r="AC53" s="93">
        <v>1.1116112E-3</v>
      </c>
      <c r="AD53" s="94">
        <v>4.7800427000000003E-6</v>
      </c>
      <c r="AE53" s="37" t="s">
        <v>76</v>
      </c>
      <c r="AF53" s="13">
        <v>0</v>
      </c>
      <c r="AG53" s="37" t="s">
        <v>76</v>
      </c>
      <c r="AH53" s="13">
        <v>0</v>
      </c>
      <c r="AI53" s="93">
        <v>1.1116112E-3</v>
      </c>
      <c r="AJ53" s="94">
        <v>4.7800427000000003E-6</v>
      </c>
      <c r="AK53" s="93">
        <v>251.21252684999999</v>
      </c>
      <c r="AL53" s="94">
        <v>1.4544457631000001</v>
      </c>
      <c r="AM53" s="37" t="s">
        <v>76</v>
      </c>
      <c r="AN53" s="13">
        <v>0</v>
      </c>
      <c r="AO53" s="37" t="s">
        <v>76</v>
      </c>
      <c r="AP53" s="13">
        <v>0</v>
      </c>
      <c r="AQ53" s="37" t="s">
        <v>76</v>
      </c>
      <c r="AR53" s="13">
        <v>0</v>
      </c>
      <c r="AS53" s="93">
        <v>30.342676305000001</v>
      </c>
      <c r="AT53" s="94">
        <v>0.52489383950000001</v>
      </c>
      <c r="AU53" s="93">
        <v>31.899973525</v>
      </c>
      <c r="AV53" s="94">
        <v>0.20674349850000001</v>
      </c>
      <c r="AW53" s="93">
        <v>21.741899773</v>
      </c>
      <c r="AX53" s="94">
        <v>0.108839691</v>
      </c>
      <c r="AY53" s="93">
        <v>6.4165169545999996</v>
      </c>
      <c r="AZ53" s="94">
        <v>3.2351044099999997E-2</v>
      </c>
      <c r="BA53" s="79">
        <v>3.7415567972999999</v>
      </c>
      <c r="BB53" s="13">
        <v>6.5552763400000005E-2</v>
      </c>
      <c r="BC53" s="93">
        <v>0</v>
      </c>
      <c r="BD53" s="86">
        <v>0</v>
      </c>
      <c r="BE53" s="93">
        <v>36.937621767000003</v>
      </c>
      <c r="BF53" s="94">
        <v>0.1173161491</v>
      </c>
      <c r="BG53" s="94">
        <v>8.6822431000000005E-3</v>
      </c>
      <c r="BH53" s="86">
        <v>0</v>
      </c>
      <c r="BI53" s="93">
        <v>125.30412247</v>
      </c>
      <c r="BJ53" s="94">
        <v>3.7701345858000002</v>
      </c>
      <c r="BK53" s="93">
        <v>164.01395615999999</v>
      </c>
      <c r="BL53" s="94">
        <v>1.136894246</v>
      </c>
      <c r="BM53" s="93">
        <v>101.52979156000001</v>
      </c>
      <c r="BN53" s="94">
        <v>0.4964867932</v>
      </c>
      <c r="BO53" s="93">
        <v>12.923070762</v>
      </c>
      <c r="BP53" s="94">
        <v>2.2613131000000002E-2</v>
      </c>
      <c r="BQ53" s="93">
        <v>0</v>
      </c>
      <c r="BR53" s="88">
        <v>0</v>
      </c>
      <c r="BS53" s="37" t="s">
        <v>76</v>
      </c>
      <c r="BT53" s="13">
        <v>0</v>
      </c>
      <c r="BU53" s="93">
        <v>0.60854179450000001</v>
      </c>
      <c r="BV53" s="94">
        <v>3.4223297999999998E-3</v>
      </c>
      <c r="BW53" s="93">
        <v>4.5620498799999999E-2</v>
      </c>
      <c r="BX53" s="94">
        <v>1.928887E-4</v>
      </c>
      <c r="BY53" s="7" t="s">
        <v>76</v>
      </c>
      <c r="BZ53" s="13">
        <v>0</v>
      </c>
      <c r="CA53" s="7" t="s">
        <v>76</v>
      </c>
      <c r="CB53" s="13">
        <v>0</v>
      </c>
      <c r="CC53" s="93">
        <v>43.643246103000003</v>
      </c>
      <c r="CD53" s="94">
        <v>0.15762943330000001</v>
      </c>
      <c r="CE53" s="93">
        <v>0.36195089949999998</v>
      </c>
      <c r="CF53" s="94">
        <v>1.7988837000000001E-3</v>
      </c>
      <c r="CG53" s="7" t="s">
        <v>76</v>
      </c>
      <c r="CH53" s="13">
        <v>0</v>
      </c>
      <c r="CI53" s="7" t="s">
        <v>76</v>
      </c>
      <c r="CJ53" s="13">
        <v>0</v>
      </c>
      <c r="CK53" s="7" t="s">
        <v>76</v>
      </c>
      <c r="CL53" s="13">
        <v>0</v>
      </c>
      <c r="CM53" s="7" t="s">
        <v>76</v>
      </c>
      <c r="CN53" s="13">
        <v>0</v>
      </c>
      <c r="CO53" s="93">
        <v>0.3559857146</v>
      </c>
      <c r="CP53" s="94">
        <v>1.651058E-3</v>
      </c>
      <c r="CQ53" s="93">
        <v>1.2623774E-3</v>
      </c>
      <c r="CR53" s="94">
        <v>1.30546E-5</v>
      </c>
      <c r="CS53" s="93">
        <v>3.2053207173999998</v>
      </c>
      <c r="CT53" s="94">
        <v>1.26106503E-2</v>
      </c>
      <c r="CU53" s="93">
        <v>2.8727290000000001E-3</v>
      </c>
      <c r="CV53" s="94">
        <v>3.4740799999999998E-5</v>
      </c>
      <c r="CW53" s="6" t="s">
        <v>76</v>
      </c>
      <c r="CX53" s="13">
        <v>0</v>
      </c>
      <c r="CY53" s="7" t="s">
        <v>76</v>
      </c>
      <c r="CZ53" s="15">
        <v>0</v>
      </c>
      <c r="DA53" s="93">
        <v>24.818471586000001</v>
      </c>
      <c r="DB53" s="94">
        <v>0.14804504339999999</v>
      </c>
      <c r="DC53" s="93">
        <v>7.4952427500000002E-2</v>
      </c>
      <c r="DD53" s="94">
        <v>5.4551079999999997E-4</v>
      </c>
      <c r="DE53" s="93">
        <v>23.499239343999999</v>
      </c>
      <c r="DF53" s="94">
        <v>6.5504959799999998E-2</v>
      </c>
      <c r="DG53" s="93">
        <v>0.13464881500000001</v>
      </c>
      <c r="DH53" s="94">
        <v>1.1080328E-3</v>
      </c>
      <c r="DI53" s="188">
        <v>5.0180509999999999E-3</v>
      </c>
      <c r="DJ53" s="189">
        <v>7.6666299000000002E-3</v>
      </c>
      <c r="DK53" s="189">
        <v>8.3559544000000006E-3</v>
      </c>
      <c r="DL53" s="189">
        <v>8.5515819000000007E-3</v>
      </c>
      <c r="DM53" s="189">
        <v>8.5975824999999992E-3</v>
      </c>
      <c r="DN53" s="189">
        <v>8.6291499000000008E-3</v>
      </c>
      <c r="DO53" s="189">
        <v>8.6403356000000001E-3</v>
      </c>
      <c r="DP53" s="189">
        <v>8.6501341999999995E-3</v>
      </c>
      <c r="DQ53" s="189">
        <v>8.6540696999999993E-3</v>
      </c>
      <c r="DR53" s="190">
        <v>8.6574835000000003E-3</v>
      </c>
      <c r="DS53" s="112">
        <v>99.385402509000002</v>
      </c>
      <c r="DT53" s="13">
        <v>1.6027669609999999</v>
      </c>
      <c r="DU53" s="79">
        <v>67.865393905000005</v>
      </c>
      <c r="DV53" s="13">
        <v>1.0955043676</v>
      </c>
      <c r="DW53" s="79">
        <v>45.641379972999999</v>
      </c>
      <c r="DX53" s="13">
        <v>0.74638613970000001</v>
      </c>
      <c r="DY53" s="79">
        <v>30.559854679000001</v>
      </c>
      <c r="DZ53" s="13">
        <v>0.51162813200000001</v>
      </c>
      <c r="EA53" s="79">
        <v>20.585275873000001</v>
      </c>
      <c r="EB53" s="13">
        <v>0.35548132329999999</v>
      </c>
      <c r="EC53" s="79">
        <v>14.008282120000001</v>
      </c>
      <c r="ED53" s="13">
        <v>0.25062064499999998</v>
      </c>
      <c r="EE53" s="79">
        <v>9.6742932062999998</v>
      </c>
      <c r="EF53" s="13">
        <v>0.17944197440000001</v>
      </c>
      <c r="EG53" s="79">
        <v>6.7939309309000002</v>
      </c>
      <c r="EH53" s="13">
        <v>0.13051847150000001</v>
      </c>
      <c r="EI53" s="79">
        <v>4.8418831761999996</v>
      </c>
      <c r="EJ53" s="13">
        <v>9.5901953999999998E-2</v>
      </c>
      <c r="EK53" s="79">
        <v>3.5095090524999999</v>
      </c>
      <c r="EL53" s="15">
        <v>7.1356779999999995E-2</v>
      </c>
      <c r="EM53" s="79"/>
      <c r="EN53" s="13"/>
      <c r="EO53" s="79"/>
      <c r="EP53" s="13"/>
      <c r="EQ53" s="79"/>
      <c r="ER53" s="13"/>
      <c r="ES53" s="79"/>
      <c r="ET53" s="13"/>
      <c r="EU53" s="79"/>
      <c r="EV53" s="15"/>
    </row>
    <row r="54" spans="1:152" x14ac:dyDescent="0.2">
      <c r="A54" s="8">
        <v>4900</v>
      </c>
      <c r="B54" s="82">
        <v>5382</v>
      </c>
      <c r="C54" s="83">
        <v>2222.1558334000001</v>
      </c>
      <c r="D54" s="93">
        <v>4849.8212741999996</v>
      </c>
      <c r="E54" s="93">
        <v>38.844470137999998</v>
      </c>
      <c r="F54" s="94">
        <v>7.0459449800000004E-2</v>
      </c>
      <c r="G54" s="83">
        <v>9.6840514880999997</v>
      </c>
      <c r="H54" s="94">
        <v>5.3063549E-3</v>
      </c>
      <c r="I54" s="93">
        <v>194.98657281000001</v>
      </c>
      <c r="J54" s="94">
        <v>2.316258677</v>
      </c>
      <c r="K54" s="93">
        <v>289.08346405999998</v>
      </c>
      <c r="L54" s="94">
        <v>2.2328763252999999</v>
      </c>
      <c r="M54" s="93">
        <v>1.0899418306999999</v>
      </c>
      <c r="N54" s="94">
        <v>6.6646316000000001E-3</v>
      </c>
      <c r="O54" s="37">
        <v>0</v>
      </c>
      <c r="P54" s="13">
        <v>0</v>
      </c>
      <c r="Q54" s="93">
        <v>46.474515369999999</v>
      </c>
      <c r="R54" s="94">
        <v>0.16613656639999999</v>
      </c>
      <c r="S54" s="37" t="s">
        <v>76</v>
      </c>
      <c r="T54" s="13">
        <v>0</v>
      </c>
      <c r="U54" s="37" t="s">
        <v>76</v>
      </c>
      <c r="V54" s="13">
        <v>0</v>
      </c>
      <c r="W54" s="93">
        <v>0.44053469179999999</v>
      </c>
      <c r="X54" s="94">
        <v>2.3511863E-3</v>
      </c>
      <c r="Y54" s="93">
        <v>3.7771198315999999</v>
      </c>
      <c r="Z54" s="94">
        <v>8.476035E-4</v>
      </c>
      <c r="AA54" s="37" t="s">
        <v>76</v>
      </c>
      <c r="AB54" s="13">
        <v>0</v>
      </c>
      <c r="AC54" s="93">
        <v>1.1052986E-3</v>
      </c>
      <c r="AD54" s="94">
        <v>4.7528978000000003E-6</v>
      </c>
      <c r="AE54" s="37" t="s">
        <v>76</v>
      </c>
      <c r="AF54" s="13">
        <v>0</v>
      </c>
      <c r="AG54" s="37" t="s">
        <v>76</v>
      </c>
      <c r="AH54" s="13">
        <v>0</v>
      </c>
      <c r="AI54" s="93">
        <v>1.1052986E-3</v>
      </c>
      <c r="AJ54" s="94">
        <v>4.7528978000000003E-6</v>
      </c>
      <c r="AK54" s="93">
        <v>253.06610701</v>
      </c>
      <c r="AL54" s="94">
        <v>1.4631968978000001</v>
      </c>
      <c r="AM54" s="37" t="s">
        <v>76</v>
      </c>
      <c r="AN54" s="13">
        <v>0</v>
      </c>
      <c r="AO54" s="37" t="s">
        <v>76</v>
      </c>
      <c r="AP54" s="13">
        <v>0</v>
      </c>
      <c r="AQ54" s="37" t="s">
        <v>76</v>
      </c>
      <c r="AR54" s="13">
        <v>0</v>
      </c>
      <c r="AS54" s="93">
        <v>30.857706888999999</v>
      </c>
      <c r="AT54" s="94">
        <v>0.52951244980000001</v>
      </c>
      <c r="AU54" s="93">
        <v>32.302398646</v>
      </c>
      <c r="AV54" s="94">
        <v>0.20854530330000001</v>
      </c>
      <c r="AW54" s="93">
        <v>22.058857161999999</v>
      </c>
      <c r="AX54" s="94">
        <v>0.1099334612</v>
      </c>
      <c r="AY54" s="93">
        <v>6.4543775991999999</v>
      </c>
      <c r="AZ54" s="94">
        <v>3.2506943699999999E-2</v>
      </c>
      <c r="BA54" s="79">
        <v>3.7891638848000002</v>
      </c>
      <c r="BB54" s="13">
        <v>6.6104898400000001E-2</v>
      </c>
      <c r="BC54" s="93">
        <v>0</v>
      </c>
      <c r="BD54" s="86">
        <v>0</v>
      </c>
      <c r="BE54" s="93">
        <v>37.985674183999997</v>
      </c>
      <c r="BF54" s="94">
        <v>0.1195013479</v>
      </c>
      <c r="BG54" s="94">
        <v>8.9591863999999993E-3</v>
      </c>
      <c r="BH54" s="86">
        <v>0</v>
      </c>
      <c r="BI54" s="93">
        <v>126.78287167000001</v>
      </c>
      <c r="BJ54" s="94">
        <v>3.8019767407999998</v>
      </c>
      <c r="BK54" s="93">
        <v>166.9242289</v>
      </c>
      <c r="BL54" s="94">
        <v>1.1526456996000001</v>
      </c>
      <c r="BM54" s="93">
        <v>103.60853342</v>
      </c>
      <c r="BN54" s="94">
        <v>0.50448217319999999</v>
      </c>
      <c r="BO54" s="93">
        <v>13.376009893000001</v>
      </c>
      <c r="BP54" s="94">
        <v>2.32351895E-2</v>
      </c>
      <c r="BQ54" s="93">
        <v>0</v>
      </c>
      <c r="BR54" s="88">
        <v>0</v>
      </c>
      <c r="BS54" s="37" t="s">
        <v>76</v>
      </c>
      <c r="BT54" s="13">
        <v>0</v>
      </c>
      <c r="BU54" s="93">
        <v>0.61789778640000004</v>
      </c>
      <c r="BV54" s="94">
        <v>3.4554487000000001E-3</v>
      </c>
      <c r="BW54" s="93">
        <v>4.5581639700000003E-2</v>
      </c>
      <c r="BX54" s="94">
        <v>1.9246899999999999E-4</v>
      </c>
      <c r="BY54" s="7" t="s">
        <v>76</v>
      </c>
      <c r="BZ54" s="13">
        <v>0</v>
      </c>
      <c r="CA54" s="7" t="s">
        <v>76</v>
      </c>
      <c r="CB54" s="13">
        <v>0</v>
      </c>
      <c r="CC54" s="93">
        <v>44.774273477000001</v>
      </c>
      <c r="CD54" s="94">
        <v>0.15987625250000001</v>
      </c>
      <c r="CE54" s="93">
        <v>0.37160998010000001</v>
      </c>
      <c r="CF54" s="94">
        <v>1.8377335E-3</v>
      </c>
      <c r="CG54" s="7" t="s">
        <v>76</v>
      </c>
      <c r="CH54" s="13">
        <v>0</v>
      </c>
      <c r="CI54" s="7" t="s">
        <v>76</v>
      </c>
      <c r="CJ54" s="13">
        <v>0</v>
      </c>
      <c r="CK54" s="7" t="s">
        <v>76</v>
      </c>
      <c r="CL54" s="13">
        <v>0</v>
      </c>
      <c r="CM54" s="7" t="s">
        <v>76</v>
      </c>
      <c r="CN54" s="13">
        <v>0</v>
      </c>
      <c r="CO54" s="93">
        <v>0.37732794359999999</v>
      </c>
      <c r="CP54" s="94">
        <v>1.7114993999999999E-3</v>
      </c>
      <c r="CQ54" s="93">
        <v>1.2553756E-3</v>
      </c>
      <c r="CR54" s="94">
        <v>1.29804E-5</v>
      </c>
      <c r="CS54" s="93">
        <v>3.2789680207999998</v>
      </c>
      <c r="CT54" s="94">
        <v>1.28129994E-2</v>
      </c>
      <c r="CU54" s="93">
        <v>2.8565837E-3</v>
      </c>
      <c r="CV54" s="94">
        <v>3.4539799999999998E-5</v>
      </c>
      <c r="CW54" s="6" t="s">
        <v>76</v>
      </c>
      <c r="CX54" s="13">
        <v>0</v>
      </c>
      <c r="CY54" s="7" t="s">
        <v>76</v>
      </c>
      <c r="CZ54" s="15">
        <v>0</v>
      </c>
      <c r="DA54" s="93">
        <v>25.251069337000001</v>
      </c>
      <c r="DB54" s="94">
        <v>0.14990417650000001</v>
      </c>
      <c r="DC54" s="93">
        <v>7.52668965E-2</v>
      </c>
      <c r="DD54" s="94">
        <v>5.4860529999999996E-4</v>
      </c>
      <c r="DE54" s="93">
        <v>24.086846264999998</v>
      </c>
      <c r="DF54" s="94">
        <v>6.66714417E-2</v>
      </c>
      <c r="DG54" s="93">
        <v>0.13803704280000001</v>
      </c>
      <c r="DH54" s="94">
        <v>1.1287421000000001E-3</v>
      </c>
      <c r="DI54" s="188">
        <v>5.1761545999999999E-3</v>
      </c>
      <c r="DJ54" s="189">
        <v>7.9003205999999999E-3</v>
      </c>
      <c r="DK54" s="189">
        <v>8.6148587000000002E-3</v>
      </c>
      <c r="DL54" s="189">
        <v>8.8150025999999999E-3</v>
      </c>
      <c r="DM54" s="189">
        <v>8.8619234000000009E-3</v>
      </c>
      <c r="DN54" s="189">
        <v>8.8944929000000002E-3</v>
      </c>
      <c r="DO54" s="189">
        <v>8.9068034999999993E-3</v>
      </c>
      <c r="DP54" s="189">
        <v>8.9177344000000002E-3</v>
      </c>
      <c r="DQ54" s="189">
        <v>8.9228385000000004E-3</v>
      </c>
      <c r="DR54" s="190">
        <v>8.9274242000000007E-3</v>
      </c>
      <c r="DS54" s="112">
        <v>100.39124454</v>
      </c>
      <c r="DT54" s="13">
        <v>1.6148226519</v>
      </c>
      <c r="DU54" s="79">
        <v>68.697541959999995</v>
      </c>
      <c r="DV54" s="13">
        <v>1.1059736272</v>
      </c>
      <c r="DW54" s="79">
        <v>46.307289132999998</v>
      </c>
      <c r="DX54" s="13">
        <v>0.75513113180000002</v>
      </c>
      <c r="DY54" s="79">
        <v>31.078940376999999</v>
      </c>
      <c r="DZ54" s="13">
        <v>0.51872832459999996</v>
      </c>
      <c r="EA54" s="79">
        <v>20.981861779999999</v>
      </c>
      <c r="EB54" s="13">
        <v>0.36114068459999998</v>
      </c>
      <c r="EC54" s="79">
        <v>14.310086767</v>
      </c>
      <c r="ED54" s="13">
        <v>0.25511566229999999</v>
      </c>
      <c r="EE54" s="79">
        <v>9.9054894365999999</v>
      </c>
      <c r="EF54" s="13">
        <v>0.18302906350000001</v>
      </c>
      <c r="EG54" s="79">
        <v>6.9742422064999996</v>
      </c>
      <c r="EH54" s="13">
        <v>0.13338843810000001</v>
      </c>
      <c r="EI54" s="79">
        <v>4.9840884921999997</v>
      </c>
      <c r="EJ54" s="13">
        <v>9.8198442699999999E-2</v>
      </c>
      <c r="EK54" s="79">
        <v>3.6217966572</v>
      </c>
      <c r="EL54" s="15">
        <v>7.3189422899999995E-2</v>
      </c>
      <c r="EM54" s="79"/>
      <c r="EN54" s="13"/>
      <c r="EO54" s="79"/>
      <c r="EP54" s="13"/>
      <c r="EQ54" s="79"/>
      <c r="ER54" s="13"/>
      <c r="ES54" s="79"/>
      <c r="ET54" s="13"/>
      <c r="EU54" s="79"/>
      <c r="EV54" s="15"/>
    </row>
    <row r="55" spans="1:152" x14ac:dyDescent="0.2">
      <c r="A55" s="8">
        <v>5000</v>
      </c>
      <c r="B55" s="82">
        <v>5288</v>
      </c>
      <c r="C55" s="83">
        <v>2246.3473161000002</v>
      </c>
      <c r="D55" s="93">
        <v>4949.8239647999999</v>
      </c>
      <c r="E55" s="93">
        <v>39.992328602999997</v>
      </c>
      <c r="F55" s="94">
        <v>7.1487894799999993E-2</v>
      </c>
      <c r="G55" s="83">
        <v>10.096592765</v>
      </c>
      <c r="H55" s="94">
        <v>5.4676181000000001E-3</v>
      </c>
      <c r="I55" s="93">
        <v>196.56917598000001</v>
      </c>
      <c r="J55" s="94">
        <v>2.3291402976</v>
      </c>
      <c r="K55" s="93">
        <v>293.57761281000001</v>
      </c>
      <c r="L55" s="94">
        <v>2.2576862280999999</v>
      </c>
      <c r="M55" s="93">
        <v>1.1098252004</v>
      </c>
      <c r="N55" s="94">
        <v>6.7863079E-3</v>
      </c>
      <c r="O55" s="37">
        <v>0</v>
      </c>
      <c r="P55" s="13">
        <v>0</v>
      </c>
      <c r="Q55" s="93">
        <v>47.514329382</v>
      </c>
      <c r="R55" s="94">
        <v>0.16821374510000001</v>
      </c>
      <c r="S55" s="37" t="s">
        <v>76</v>
      </c>
      <c r="T55" s="13">
        <v>0</v>
      </c>
      <c r="U55" s="37" t="s">
        <v>76</v>
      </c>
      <c r="V55" s="13">
        <v>0</v>
      </c>
      <c r="W55" s="93">
        <v>0.44796277169999998</v>
      </c>
      <c r="X55" s="94">
        <v>2.4048780000000001E-3</v>
      </c>
      <c r="Y55" s="93">
        <v>3.8824762985999999</v>
      </c>
      <c r="Z55" s="94">
        <v>8.6224309999999998E-4</v>
      </c>
      <c r="AA55" s="37" t="s">
        <v>76</v>
      </c>
      <c r="AB55" s="13">
        <v>0</v>
      </c>
      <c r="AC55" s="93">
        <v>1.0992935000000001E-3</v>
      </c>
      <c r="AD55" s="94">
        <v>4.727075E-6</v>
      </c>
      <c r="AE55" s="37" t="s">
        <v>76</v>
      </c>
      <c r="AF55" s="13">
        <v>0</v>
      </c>
      <c r="AG55" s="37" t="s">
        <v>76</v>
      </c>
      <c r="AH55" s="13">
        <v>0</v>
      </c>
      <c r="AI55" s="93">
        <v>1.0992935000000001E-3</v>
      </c>
      <c r="AJ55" s="94">
        <v>4.727075E-6</v>
      </c>
      <c r="AK55" s="93">
        <v>254.92628758999999</v>
      </c>
      <c r="AL55" s="94">
        <v>1.4716977265</v>
      </c>
      <c r="AM55" s="37" t="s">
        <v>76</v>
      </c>
      <c r="AN55" s="13">
        <v>0</v>
      </c>
      <c r="AO55" s="37" t="s">
        <v>76</v>
      </c>
      <c r="AP55" s="13">
        <v>0</v>
      </c>
      <c r="AQ55" s="37" t="s">
        <v>76</v>
      </c>
      <c r="AR55" s="13">
        <v>0</v>
      </c>
      <c r="AS55" s="93">
        <v>31.385296402000002</v>
      </c>
      <c r="AT55" s="94">
        <v>0.5337965496</v>
      </c>
      <c r="AU55" s="93">
        <v>32.665971302999999</v>
      </c>
      <c r="AV55" s="94">
        <v>0.2101897627</v>
      </c>
      <c r="AW55" s="93">
        <v>22.325052736</v>
      </c>
      <c r="AX55" s="94">
        <v>0.110852047</v>
      </c>
      <c r="AY55" s="93">
        <v>6.5004680065000002</v>
      </c>
      <c r="AZ55" s="94">
        <v>3.2721958299999999E-2</v>
      </c>
      <c r="BA55" s="79">
        <v>3.8404505606999999</v>
      </c>
      <c r="BB55" s="13">
        <v>6.6615757400000003E-2</v>
      </c>
      <c r="BC55" s="93">
        <v>0</v>
      </c>
      <c r="BD55" s="85">
        <v>0</v>
      </c>
      <c r="BE55" s="93">
        <v>39.112628964000002</v>
      </c>
      <c r="BF55" s="94">
        <v>0.1216616185</v>
      </c>
      <c r="BG55" s="94">
        <v>9.2680413E-3</v>
      </c>
      <c r="BH55" s="85">
        <v>0</v>
      </c>
      <c r="BI55" s="93">
        <v>128.24490918000001</v>
      </c>
      <c r="BJ55" s="94">
        <v>3.8329762659000002</v>
      </c>
      <c r="BK55" s="93">
        <v>169.65054838</v>
      </c>
      <c r="BL55" s="94">
        <v>1.1673486131999999</v>
      </c>
      <c r="BM55" s="93">
        <v>105.77128174000001</v>
      </c>
      <c r="BN55" s="94">
        <v>0.51235938160000005</v>
      </c>
      <c r="BO55" s="93">
        <v>13.898653866</v>
      </c>
      <c r="BP55" s="94">
        <v>2.39038406E-2</v>
      </c>
      <c r="BQ55" s="93">
        <v>0</v>
      </c>
      <c r="BR55" s="88">
        <v>0</v>
      </c>
      <c r="BS55" s="37" t="s">
        <v>76</v>
      </c>
      <c r="BT55" s="13">
        <v>0</v>
      </c>
      <c r="BU55" s="93">
        <v>0.6325227833</v>
      </c>
      <c r="BV55" s="94">
        <v>3.5352131000000002E-3</v>
      </c>
      <c r="BW55" s="93">
        <v>4.5832450499999997E-2</v>
      </c>
      <c r="BX55" s="94">
        <v>1.9205740000000001E-4</v>
      </c>
      <c r="BY55" s="7" t="s">
        <v>76</v>
      </c>
      <c r="BZ55" s="13">
        <v>0</v>
      </c>
      <c r="CA55" s="7" t="s">
        <v>76</v>
      </c>
      <c r="CB55" s="13">
        <v>0</v>
      </c>
      <c r="CC55" s="93">
        <v>45.770647222000001</v>
      </c>
      <c r="CD55" s="94">
        <v>0.16182699850000001</v>
      </c>
      <c r="CE55" s="93">
        <v>0.38003151419999998</v>
      </c>
      <c r="CF55" s="94">
        <v>1.8720388E-3</v>
      </c>
      <c r="CG55" s="7" t="s">
        <v>76</v>
      </c>
      <c r="CH55" s="13">
        <v>0</v>
      </c>
      <c r="CI55" s="7" t="s">
        <v>76</v>
      </c>
      <c r="CJ55" s="13">
        <v>0</v>
      </c>
      <c r="CK55" s="7" t="s">
        <v>76</v>
      </c>
      <c r="CL55" s="13">
        <v>0</v>
      </c>
      <c r="CM55" s="7" t="s">
        <v>76</v>
      </c>
      <c r="CN55" s="13">
        <v>0</v>
      </c>
      <c r="CO55" s="93">
        <v>0.38496430640000001</v>
      </c>
      <c r="CP55" s="94">
        <v>1.7680882E-3</v>
      </c>
      <c r="CQ55" s="93">
        <v>1.2485097999999999E-3</v>
      </c>
      <c r="CR55" s="94">
        <v>1.29054E-5</v>
      </c>
      <c r="CS55" s="93">
        <v>3.3789318883999999</v>
      </c>
      <c r="CT55" s="94">
        <v>1.32340649E-2</v>
      </c>
      <c r="CU55" s="93">
        <v>3.0708816999999999E-3</v>
      </c>
      <c r="CV55" s="94">
        <v>3.5534599999999997E-5</v>
      </c>
      <c r="CW55" s="6" t="s">
        <v>76</v>
      </c>
      <c r="CX55" s="13">
        <v>0</v>
      </c>
      <c r="CY55" s="7" t="s">
        <v>76</v>
      </c>
      <c r="CZ55" s="15">
        <v>0</v>
      </c>
      <c r="DA55" s="93">
        <v>25.678974429</v>
      </c>
      <c r="DB55" s="94">
        <v>0.15150904230000001</v>
      </c>
      <c r="DC55" s="93">
        <v>7.52318508E-2</v>
      </c>
      <c r="DD55" s="94">
        <v>5.5215039999999998E-4</v>
      </c>
      <c r="DE55" s="93">
        <v>24.707445047</v>
      </c>
      <c r="DF55" s="94">
        <v>6.7790520199999996E-2</v>
      </c>
      <c r="DG55" s="93">
        <v>0.13908763060000001</v>
      </c>
      <c r="DH55" s="94">
        <v>1.1406215E-3</v>
      </c>
      <c r="DI55" s="188">
        <v>5.3335613000000002E-3</v>
      </c>
      <c r="DJ55" s="189">
        <v>8.1497398999999995E-3</v>
      </c>
      <c r="DK55" s="189">
        <v>8.9127767999999993E-3</v>
      </c>
      <c r="DL55" s="189">
        <v>9.1223099000000002E-3</v>
      </c>
      <c r="DM55" s="189">
        <v>9.1701488999999994E-3</v>
      </c>
      <c r="DN55" s="189">
        <v>9.2037147000000007E-3</v>
      </c>
      <c r="DO55" s="189">
        <v>9.2159550999999992E-3</v>
      </c>
      <c r="DP55" s="189">
        <v>9.2268231999999995E-3</v>
      </c>
      <c r="DQ55" s="189">
        <v>9.2318985000000003E-3</v>
      </c>
      <c r="DR55" s="190">
        <v>9.2364583999999996E-3</v>
      </c>
      <c r="DS55" s="112">
        <v>101.39278400000001</v>
      </c>
      <c r="DT55" s="13">
        <v>1.6266399025</v>
      </c>
      <c r="DU55" s="79">
        <v>69.534014864</v>
      </c>
      <c r="DV55" s="13">
        <v>1.1162565692999999</v>
      </c>
      <c r="DW55" s="79">
        <v>46.987487919000003</v>
      </c>
      <c r="DX55" s="13">
        <v>0.76375448339999996</v>
      </c>
      <c r="DY55" s="79">
        <v>31.613103687999999</v>
      </c>
      <c r="DZ55" s="13">
        <v>0.5257176912</v>
      </c>
      <c r="EA55" s="79">
        <v>21.397184784</v>
      </c>
      <c r="EB55" s="13">
        <v>0.36675560149999997</v>
      </c>
      <c r="EC55" s="79">
        <v>14.630304667000001</v>
      </c>
      <c r="ED55" s="13">
        <v>0.2595843779</v>
      </c>
      <c r="EE55" s="79">
        <v>10.151397552000001</v>
      </c>
      <c r="EF55" s="13">
        <v>0.18657270949999999</v>
      </c>
      <c r="EG55" s="79">
        <v>7.1609431654</v>
      </c>
      <c r="EH55" s="13">
        <v>0.1361749749</v>
      </c>
      <c r="EI55" s="79">
        <v>5.1284108436000002</v>
      </c>
      <c r="EJ55" s="13">
        <v>0.1004068336</v>
      </c>
      <c r="EK55" s="79">
        <v>3.7358801271000002</v>
      </c>
      <c r="EL55" s="15">
        <v>7.4958187100000004E-2</v>
      </c>
      <c r="EM55" s="79"/>
      <c r="EN55" s="13"/>
      <c r="EO55" s="79"/>
      <c r="EP55" s="13"/>
      <c r="EQ55" s="79"/>
      <c r="ER55" s="13"/>
      <c r="ES55" s="79"/>
      <c r="ET55" s="13"/>
      <c r="EU55" s="79"/>
      <c r="EV55" s="15"/>
    </row>
    <row r="56" spans="1:152" x14ac:dyDescent="0.2">
      <c r="A56" s="8">
        <v>5100</v>
      </c>
      <c r="B56" s="82">
        <v>5155</v>
      </c>
      <c r="C56" s="83">
        <v>2270.1284021000001</v>
      </c>
      <c r="D56" s="93">
        <v>5050.0612646</v>
      </c>
      <c r="E56" s="93">
        <v>41.079065440999997</v>
      </c>
      <c r="F56" s="94">
        <v>7.2461571899999994E-2</v>
      </c>
      <c r="G56" s="83">
        <v>10.464027697000001</v>
      </c>
      <c r="H56" s="94">
        <v>5.6221418E-3</v>
      </c>
      <c r="I56" s="93">
        <v>198.04589430999999</v>
      </c>
      <c r="J56" s="94">
        <v>2.3411067880999998</v>
      </c>
      <c r="K56" s="93">
        <v>298.19259173</v>
      </c>
      <c r="L56" s="94">
        <v>2.2840750768999998</v>
      </c>
      <c r="M56" s="93">
        <v>1.1486832121999999</v>
      </c>
      <c r="N56" s="94">
        <v>7.0332950999999998E-3</v>
      </c>
      <c r="O56" s="37">
        <v>0</v>
      </c>
      <c r="P56" s="13">
        <v>0</v>
      </c>
      <c r="Q56" s="93">
        <v>48.418392793000002</v>
      </c>
      <c r="R56" s="94">
        <v>0.1703098183</v>
      </c>
      <c r="S56" s="37" t="s">
        <v>76</v>
      </c>
      <c r="T56" s="13">
        <v>0</v>
      </c>
      <c r="U56" s="37" t="s">
        <v>76</v>
      </c>
      <c r="V56" s="13">
        <v>0</v>
      </c>
      <c r="W56" s="93">
        <v>0.46447857619999999</v>
      </c>
      <c r="X56" s="94">
        <v>2.5145155999999999E-3</v>
      </c>
      <c r="Y56" s="93">
        <v>3.9811352599999998</v>
      </c>
      <c r="Z56" s="94">
        <v>8.771041E-4</v>
      </c>
      <c r="AA56" s="37" t="s">
        <v>76</v>
      </c>
      <c r="AB56" s="13">
        <v>0</v>
      </c>
      <c r="AC56" s="93">
        <v>1.0932817E-3</v>
      </c>
      <c r="AD56" s="94">
        <v>4.7012237E-6</v>
      </c>
      <c r="AE56" s="37" t="s">
        <v>76</v>
      </c>
      <c r="AF56" s="13">
        <v>0</v>
      </c>
      <c r="AG56" s="37" t="s">
        <v>76</v>
      </c>
      <c r="AH56" s="13">
        <v>0</v>
      </c>
      <c r="AI56" s="93">
        <v>1.0932817E-3</v>
      </c>
      <c r="AJ56" s="94">
        <v>4.7012237E-6</v>
      </c>
      <c r="AK56" s="93">
        <v>256.65533734000002</v>
      </c>
      <c r="AL56" s="94">
        <v>1.4796607422000001</v>
      </c>
      <c r="AM56" s="37" t="s">
        <v>76</v>
      </c>
      <c r="AN56" s="13">
        <v>0</v>
      </c>
      <c r="AO56" s="37" t="s">
        <v>76</v>
      </c>
      <c r="AP56" s="13">
        <v>0</v>
      </c>
      <c r="AQ56" s="37" t="s">
        <v>76</v>
      </c>
      <c r="AR56" s="13">
        <v>0</v>
      </c>
      <c r="AS56" s="93">
        <v>31.897862841999999</v>
      </c>
      <c r="AT56" s="94">
        <v>0.5381183021</v>
      </c>
      <c r="AU56" s="93">
        <v>33.04217697</v>
      </c>
      <c r="AV56" s="94">
        <v>0.21194794089999999</v>
      </c>
      <c r="AW56" s="93">
        <v>22.609528534999999</v>
      </c>
      <c r="AX56" s="94">
        <v>0.1118623735</v>
      </c>
      <c r="AY56" s="93">
        <v>6.5478740253999996</v>
      </c>
      <c r="AZ56" s="94">
        <v>3.2956773600000003E-2</v>
      </c>
      <c r="BA56" s="79">
        <v>3.8847744091999998</v>
      </c>
      <c r="BB56" s="13">
        <v>6.7128793800000003E-2</v>
      </c>
      <c r="BC56" s="93">
        <v>0</v>
      </c>
      <c r="BD56" s="85">
        <v>0</v>
      </c>
      <c r="BE56" s="93">
        <v>40.170478201999998</v>
      </c>
      <c r="BF56" s="94">
        <v>0.12371409680000001</v>
      </c>
      <c r="BG56" s="94">
        <v>9.5480019999999999E-3</v>
      </c>
      <c r="BH56" s="85">
        <v>0</v>
      </c>
      <c r="BI56" s="93">
        <v>129.70064006000001</v>
      </c>
      <c r="BJ56" s="94">
        <v>3.8646196034</v>
      </c>
      <c r="BK56" s="93">
        <v>172.63767733</v>
      </c>
      <c r="BL56" s="94">
        <v>1.1828528988</v>
      </c>
      <c r="BM56" s="93">
        <v>107.79121796</v>
      </c>
      <c r="BN56" s="94">
        <v>0.52007558030000001</v>
      </c>
      <c r="BO56" s="93">
        <v>14.445039252000001</v>
      </c>
      <c r="BP56" s="94">
        <v>2.46592032E-2</v>
      </c>
      <c r="BQ56" s="93">
        <v>0</v>
      </c>
      <c r="BR56" s="88">
        <v>0</v>
      </c>
      <c r="BS56" s="37" t="s">
        <v>76</v>
      </c>
      <c r="BT56" s="13">
        <v>0</v>
      </c>
      <c r="BU56" s="93">
        <v>0.65613724709999999</v>
      </c>
      <c r="BV56" s="94">
        <v>3.6718591E-3</v>
      </c>
      <c r="BW56" s="93">
        <v>4.6241414699999997E-2</v>
      </c>
      <c r="BX56" s="94">
        <v>1.9300830000000001E-4</v>
      </c>
      <c r="BY56" s="7" t="s">
        <v>76</v>
      </c>
      <c r="BZ56" s="13">
        <v>0</v>
      </c>
      <c r="CA56" s="7" t="s">
        <v>76</v>
      </c>
      <c r="CB56" s="13">
        <v>0</v>
      </c>
      <c r="CC56" s="93">
        <v>46.640962516000002</v>
      </c>
      <c r="CD56" s="94">
        <v>0.1638286561</v>
      </c>
      <c r="CE56" s="93">
        <v>0.38258766519999998</v>
      </c>
      <c r="CF56" s="94">
        <v>1.887143E-3</v>
      </c>
      <c r="CG56" s="7" t="s">
        <v>76</v>
      </c>
      <c r="CH56" s="13">
        <v>0</v>
      </c>
      <c r="CI56" s="7" t="s">
        <v>76</v>
      </c>
      <c r="CJ56" s="13">
        <v>0</v>
      </c>
      <c r="CK56" s="7" t="s">
        <v>76</v>
      </c>
      <c r="CL56" s="13">
        <v>0</v>
      </c>
      <c r="CM56" s="7" t="s">
        <v>76</v>
      </c>
      <c r="CN56" s="13">
        <v>0</v>
      </c>
      <c r="CO56" s="93">
        <v>0.40143477109999998</v>
      </c>
      <c r="CP56" s="94">
        <v>1.8782777000000001E-3</v>
      </c>
      <c r="CQ56" s="93">
        <v>1.2420103999999999E-3</v>
      </c>
      <c r="CR56" s="94">
        <v>1.28364E-5</v>
      </c>
      <c r="CS56" s="93">
        <v>3.4613740233999999</v>
      </c>
      <c r="CT56" s="94">
        <v>1.3444675200000001E-2</v>
      </c>
      <c r="CU56" s="93">
        <v>3.0541524999999998E-3</v>
      </c>
      <c r="CV56" s="94">
        <v>3.5339000000000002E-5</v>
      </c>
      <c r="CW56" s="6" t="s">
        <v>76</v>
      </c>
      <c r="CX56" s="13">
        <v>0</v>
      </c>
      <c r="CY56" s="7" t="s">
        <v>76</v>
      </c>
      <c r="CZ56" s="15">
        <v>0</v>
      </c>
      <c r="DA56" s="93">
        <v>26.098096664</v>
      </c>
      <c r="DB56" s="94">
        <v>0.15319081649999999</v>
      </c>
      <c r="DC56" s="93">
        <v>7.5067223700000005E-2</v>
      </c>
      <c r="DD56" s="94">
        <v>5.5338770000000004E-4</v>
      </c>
      <c r="DE56" s="93">
        <v>25.312339051999999</v>
      </c>
      <c r="DF56" s="94">
        <v>6.8895773699999996E-2</v>
      </c>
      <c r="DG56" s="93">
        <v>0.1401407694</v>
      </c>
      <c r="DH56" s="94">
        <v>1.1553259000000001E-3</v>
      </c>
      <c r="DI56" s="188">
        <v>5.4772917999999999E-3</v>
      </c>
      <c r="DJ56" s="189">
        <v>8.3757312999999996E-3</v>
      </c>
      <c r="DK56" s="189">
        <v>9.1718171000000001E-3</v>
      </c>
      <c r="DL56" s="189">
        <v>9.3905372000000001E-3</v>
      </c>
      <c r="DM56" s="189">
        <v>9.4423856000000004E-3</v>
      </c>
      <c r="DN56" s="189">
        <v>9.4800377000000009E-3</v>
      </c>
      <c r="DO56" s="189">
        <v>9.4942103999999996E-3</v>
      </c>
      <c r="DP56" s="189">
        <v>9.5070181000000004E-3</v>
      </c>
      <c r="DQ56" s="189">
        <v>9.5120651999999993E-3</v>
      </c>
      <c r="DR56" s="190">
        <v>9.5166000999999997E-3</v>
      </c>
      <c r="DS56" s="112">
        <v>102.32251641000001</v>
      </c>
      <c r="DT56" s="13">
        <v>1.6375746393999999</v>
      </c>
      <c r="DU56" s="79">
        <v>70.306958620000003</v>
      </c>
      <c r="DV56" s="13">
        <v>1.1257197705999999</v>
      </c>
      <c r="DW56" s="79">
        <v>47.607206896999998</v>
      </c>
      <c r="DX56" s="13">
        <v>0.7715990693</v>
      </c>
      <c r="DY56" s="79">
        <v>32.098338712</v>
      </c>
      <c r="DZ56" s="13">
        <v>0.53205092600000004</v>
      </c>
      <c r="EA56" s="79">
        <v>21.773712688</v>
      </c>
      <c r="EB56" s="13">
        <v>0.37183608239999999</v>
      </c>
      <c r="EC56" s="79">
        <v>14.918119755999999</v>
      </c>
      <c r="ED56" s="13">
        <v>0.26360878139999999</v>
      </c>
      <c r="EE56" s="79">
        <v>10.370670062</v>
      </c>
      <c r="EF56" s="13">
        <v>0.18975428420000001</v>
      </c>
      <c r="EG56" s="79">
        <v>7.3292651547999998</v>
      </c>
      <c r="EH56" s="13">
        <v>0.13870746940000001</v>
      </c>
      <c r="EI56" s="79">
        <v>5.2577286749000001</v>
      </c>
      <c r="EJ56" s="13">
        <v>0.1024192646</v>
      </c>
      <c r="EK56" s="79">
        <v>3.8343728131999999</v>
      </c>
      <c r="EL56" s="15">
        <v>7.6532113700000001E-2</v>
      </c>
      <c r="EM56" s="79"/>
      <c r="EN56" s="13"/>
      <c r="EO56" s="79"/>
      <c r="EP56" s="13"/>
      <c r="EQ56" s="79"/>
      <c r="ER56" s="13"/>
      <c r="ES56" s="79"/>
      <c r="ET56" s="13"/>
      <c r="EU56" s="79"/>
      <c r="EV56" s="15"/>
    </row>
    <row r="57" spans="1:152" x14ac:dyDescent="0.2">
      <c r="A57" s="8">
        <v>5200</v>
      </c>
      <c r="B57" s="82">
        <v>4921</v>
      </c>
      <c r="C57" s="83">
        <v>2293.5123444000001</v>
      </c>
      <c r="D57" s="93">
        <v>5150.0758882</v>
      </c>
      <c r="E57" s="93">
        <v>42.193676429999996</v>
      </c>
      <c r="F57" s="94">
        <v>7.3450746400000003E-2</v>
      </c>
      <c r="G57" s="83">
        <v>10.906127144999999</v>
      </c>
      <c r="H57" s="94">
        <v>5.7992143000000001E-3</v>
      </c>
      <c r="I57" s="93">
        <v>199.63296023999999</v>
      </c>
      <c r="J57" s="94">
        <v>2.3535328680999998</v>
      </c>
      <c r="K57" s="93">
        <v>302.57335498999998</v>
      </c>
      <c r="L57" s="94">
        <v>2.3086422004</v>
      </c>
      <c r="M57" s="93">
        <v>1.2007653771</v>
      </c>
      <c r="N57" s="94">
        <v>7.3057069000000002E-3</v>
      </c>
      <c r="O57" s="37">
        <v>0</v>
      </c>
      <c r="P57" s="13">
        <v>0</v>
      </c>
      <c r="Q57" s="93">
        <v>49.339288914999997</v>
      </c>
      <c r="R57" s="94">
        <v>0.17230752050000001</v>
      </c>
      <c r="S57" s="37" t="s">
        <v>76</v>
      </c>
      <c r="T57" s="13">
        <v>0</v>
      </c>
      <c r="U57" s="37" t="s">
        <v>76</v>
      </c>
      <c r="V57" s="13">
        <v>0</v>
      </c>
      <c r="W57" s="93">
        <v>0.47506027989999999</v>
      </c>
      <c r="X57" s="94">
        <v>2.5906812000000001E-3</v>
      </c>
      <c r="Y57" s="93">
        <v>4.0698900665000002</v>
      </c>
      <c r="Z57" s="94">
        <v>8.962649E-4</v>
      </c>
      <c r="AA57" s="37" t="s">
        <v>76</v>
      </c>
      <c r="AB57" s="13">
        <v>0</v>
      </c>
      <c r="AC57" s="93">
        <v>1.087911E-3</v>
      </c>
      <c r="AD57" s="94">
        <v>4.6781291000000003E-6</v>
      </c>
      <c r="AE57" s="37" t="s">
        <v>76</v>
      </c>
      <c r="AF57" s="13">
        <v>0</v>
      </c>
      <c r="AG57" s="37" t="s">
        <v>76</v>
      </c>
      <c r="AH57" s="13">
        <v>0</v>
      </c>
      <c r="AI57" s="93">
        <v>1.087911E-3</v>
      </c>
      <c r="AJ57" s="94">
        <v>4.6781291000000003E-6</v>
      </c>
      <c r="AK57" s="93">
        <v>258.43932387000001</v>
      </c>
      <c r="AL57" s="94">
        <v>1.4874438834999999</v>
      </c>
      <c r="AM57" s="37" t="s">
        <v>76</v>
      </c>
      <c r="AN57" s="13">
        <v>0</v>
      </c>
      <c r="AO57" s="37" t="s">
        <v>76</v>
      </c>
      <c r="AP57" s="13">
        <v>0</v>
      </c>
      <c r="AQ57" s="37" t="s">
        <v>76</v>
      </c>
      <c r="AR57" s="13">
        <v>0</v>
      </c>
      <c r="AS57" s="93">
        <v>32.382881343000001</v>
      </c>
      <c r="AT57" s="94">
        <v>0.54241329959999995</v>
      </c>
      <c r="AU57" s="93">
        <v>33.410391333</v>
      </c>
      <c r="AV57" s="94">
        <v>0.21369067550000001</v>
      </c>
      <c r="AW57" s="93">
        <v>22.883213237</v>
      </c>
      <c r="AX57" s="94">
        <v>0.112812437</v>
      </c>
      <c r="AY57" s="93">
        <v>6.5922217441999997</v>
      </c>
      <c r="AZ57" s="94">
        <v>3.31633442E-2</v>
      </c>
      <c r="BA57" s="79">
        <v>3.9349563518999999</v>
      </c>
      <c r="BB57" s="13">
        <v>6.77148942E-2</v>
      </c>
      <c r="BC57" s="93">
        <v>0</v>
      </c>
      <c r="BD57" s="85">
        <v>0</v>
      </c>
      <c r="BE57" s="93">
        <v>41.299145893999999</v>
      </c>
      <c r="BF57" s="94">
        <v>0.1261527855</v>
      </c>
      <c r="BG57" s="94">
        <v>9.8762650000000004E-3</v>
      </c>
      <c r="BH57" s="85">
        <v>0</v>
      </c>
      <c r="BI57" s="93">
        <v>131.14052741</v>
      </c>
      <c r="BJ57" s="94">
        <v>3.8945460102</v>
      </c>
      <c r="BK57" s="93">
        <v>175.49284155999999</v>
      </c>
      <c r="BL57" s="94">
        <v>1.1976989795999999</v>
      </c>
      <c r="BM57" s="93">
        <v>109.70553012000001</v>
      </c>
      <c r="BN57" s="94">
        <v>0.5270471779</v>
      </c>
      <c r="BO57" s="93">
        <v>14.936417241999999</v>
      </c>
      <c r="BP57" s="94">
        <v>2.5299638499999999E-2</v>
      </c>
      <c r="BQ57" s="93">
        <v>0</v>
      </c>
      <c r="BR57" s="88">
        <v>0</v>
      </c>
      <c r="BS57" s="37" t="s">
        <v>76</v>
      </c>
      <c r="BT57" s="13">
        <v>0</v>
      </c>
      <c r="BU57" s="93">
        <v>0.67933045069999998</v>
      </c>
      <c r="BV57" s="94">
        <v>3.7725724999999998E-3</v>
      </c>
      <c r="BW57" s="93">
        <v>4.8449920399999999E-2</v>
      </c>
      <c r="BX57" s="94">
        <v>2.030814E-4</v>
      </c>
      <c r="BY57" s="7" t="s">
        <v>76</v>
      </c>
      <c r="BZ57" s="13">
        <v>0</v>
      </c>
      <c r="CA57" s="7" t="s">
        <v>76</v>
      </c>
      <c r="CB57" s="13">
        <v>0</v>
      </c>
      <c r="CC57" s="93">
        <v>47.527697146999998</v>
      </c>
      <c r="CD57" s="94">
        <v>0.16572485889999999</v>
      </c>
      <c r="CE57" s="93">
        <v>0.38957254600000002</v>
      </c>
      <c r="CF57" s="94">
        <v>1.9281368000000001E-3</v>
      </c>
      <c r="CG57" s="7" t="s">
        <v>76</v>
      </c>
      <c r="CH57" s="13">
        <v>0</v>
      </c>
      <c r="CI57" s="7" t="s">
        <v>76</v>
      </c>
      <c r="CJ57" s="13">
        <v>0</v>
      </c>
      <c r="CK57" s="7" t="s">
        <v>76</v>
      </c>
      <c r="CL57" s="13">
        <v>0</v>
      </c>
      <c r="CM57" s="7" t="s">
        <v>76</v>
      </c>
      <c r="CN57" s="13">
        <v>0</v>
      </c>
      <c r="CO57" s="93">
        <v>0.40788168120000001</v>
      </c>
      <c r="CP57" s="94">
        <v>1.9154915E-3</v>
      </c>
      <c r="CQ57" s="93">
        <v>1.2357223E-3</v>
      </c>
      <c r="CR57" s="94">
        <v>1.2770599999999999E-5</v>
      </c>
      <c r="CS57" s="93">
        <v>3.5436776060000001</v>
      </c>
      <c r="CT57" s="94">
        <v>1.37690043E-2</v>
      </c>
      <c r="CU57" s="93">
        <v>3.0388343999999999E-3</v>
      </c>
      <c r="CV57" s="94">
        <v>3.5157499999999997E-5</v>
      </c>
      <c r="CW57" s="6" t="s">
        <v>76</v>
      </c>
      <c r="CX57" s="13">
        <v>0</v>
      </c>
      <c r="CY57" s="7" t="s">
        <v>76</v>
      </c>
      <c r="CZ57" s="15">
        <v>0</v>
      </c>
      <c r="DA57" s="93">
        <v>26.495584824000002</v>
      </c>
      <c r="DB57" s="94">
        <v>0.15489374010000001</v>
      </c>
      <c r="DC57" s="93">
        <v>7.6048252699999999E-2</v>
      </c>
      <c r="DD57" s="94">
        <v>5.571164E-4</v>
      </c>
      <c r="DE57" s="93">
        <v>25.946504232999999</v>
      </c>
      <c r="DF57" s="94">
        <v>7.0102642800000003E-2</v>
      </c>
      <c r="DG57" s="93">
        <v>0.14351075190000001</v>
      </c>
      <c r="DH57" s="94">
        <v>1.1658618000000001E-3</v>
      </c>
      <c r="DI57" s="188">
        <v>5.6451087999999996E-3</v>
      </c>
      <c r="DJ57" s="189">
        <v>8.6529306000000007E-3</v>
      </c>
      <c r="DK57" s="189">
        <v>9.4848992000000007E-3</v>
      </c>
      <c r="DL57" s="189">
        <v>9.7153350999999999E-3</v>
      </c>
      <c r="DM57" s="189">
        <v>9.7690598999999999E-3</v>
      </c>
      <c r="DN57" s="189">
        <v>9.8086608000000006E-3</v>
      </c>
      <c r="DO57" s="189">
        <v>9.8227582999999997E-3</v>
      </c>
      <c r="DP57" s="189">
        <v>9.8354974000000005E-3</v>
      </c>
      <c r="DQ57" s="189">
        <v>9.8405175999999994E-3</v>
      </c>
      <c r="DR57" s="190">
        <v>9.8450284000000006E-3</v>
      </c>
      <c r="DS57" s="112">
        <v>103.33292449</v>
      </c>
      <c r="DT57" s="13">
        <v>1.6490211312</v>
      </c>
      <c r="DU57" s="79">
        <v>71.161451155999998</v>
      </c>
      <c r="DV57" s="13">
        <v>1.1357803322</v>
      </c>
      <c r="DW57" s="79">
        <v>48.304822774999998</v>
      </c>
      <c r="DX57" s="13">
        <v>0.78009589800000001</v>
      </c>
      <c r="DY57" s="79">
        <v>32.653073644999999</v>
      </c>
      <c r="DZ57" s="13">
        <v>0.53902255539999999</v>
      </c>
      <c r="EA57" s="79">
        <v>22.209237024</v>
      </c>
      <c r="EB57" s="13">
        <v>0.3774812615</v>
      </c>
      <c r="EC57" s="79">
        <v>15.257116013999999</v>
      </c>
      <c r="ED57" s="13">
        <v>0.26813172889999998</v>
      </c>
      <c r="EE57" s="79">
        <v>10.632030599</v>
      </c>
      <c r="EF57" s="13">
        <v>0.19334443409999999</v>
      </c>
      <c r="EG57" s="79">
        <v>7.5337745284000004</v>
      </c>
      <c r="EH57" s="13">
        <v>0.14157674770000001</v>
      </c>
      <c r="EI57" s="79">
        <v>5.4171752487999996</v>
      </c>
      <c r="EJ57" s="13">
        <v>0.104706666</v>
      </c>
      <c r="EK57" s="79">
        <v>3.9602393551000001</v>
      </c>
      <c r="EL57" s="15">
        <v>7.83698798E-2</v>
      </c>
      <c r="EM57" s="79"/>
      <c r="EN57" s="13"/>
      <c r="EO57" s="79"/>
      <c r="EP57" s="13"/>
      <c r="EQ57" s="79"/>
      <c r="ER57" s="13"/>
      <c r="ES57" s="79"/>
      <c r="ET57" s="13"/>
      <c r="EU57" s="79"/>
      <c r="EV57" s="15"/>
    </row>
    <row r="58" spans="1:152" x14ac:dyDescent="0.2">
      <c r="A58" s="8">
        <v>5300</v>
      </c>
      <c r="B58" s="82">
        <v>4906</v>
      </c>
      <c r="C58" s="83">
        <v>2316.5059338000001</v>
      </c>
      <c r="D58" s="93">
        <v>5249.4739718000001</v>
      </c>
      <c r="E58" s="93">
        <v>43.291375653000003</v>
      </c>
      <c r="F58" s="94">
        <v>7.4406697899999999E-2</v>
      </c>
      <c r="G58" s="83">
        <v>11.377760370000001</v>
      </c>
      <c r="H58" s="94">
        <v>5.9971692999999998E-3</v>
      </c>
      <c r="I58" s="93">
        <v>201.15287458</v>
      </c>
      <c r="J58" s="94">
        <v>2.3660737413000001</v>
      </c>
      <c r="K58" s="93">
        <v>306.86924757999998</v>
      </c>
      <c r="L58" s="94">
        <v>2.3339454219000002</v>
      </c>
      <c r="M58" s="93">
        <v>1.213050586</v>
      </c>
      <c r="N58" s="94">
        <v>7.3918515000000002E-3</v>
      </c>
      <c r="O58" s="37">
        <v>0</v>
      </c>
      <c r="P58" s="13">
        <v>0</v>
      </c>
      <c r="Q58" s="93">
        <v>50.400733236000001</v>
      </c>
      <c r="R58" s="94">
        <v>0.17433641480000001</v>
      </c>
      <c r="S58" s="37" t="s">
        <v>76</v>
      </c>
      <c r="T58" s="13">
        <v>0</v>
      </c>
      <c r="U58" s="37" t="s">
        <v>76</v>
      </c>
      <c r="V58" s="13">
        <v>0</v>
      </c>
      <c r="W58" s="93">
        <v>0.48062983529999997</v>
      </c>
      <c r="X58" s="94">
        <v>2.6061265E-3</v>
      </c>
      <c r="Y58" s="93">
        <v>4.1731363983999996</v>
      </c>
      <c r="Z58" s="94">
        <v>9.1440049999999995E-4</v>
      </c>
      <c r="AA58" s="37" t="s">
        <v>76</v>
      </c>
      <c r="AB58" s="13">
        <v>0</v>
      </c>
      <c r="AC58" s="93">
        <v>1.0822936E-3</v>
      </c>
      <c r="AD58" s="94">
        <v>4.6539740000000004E-6</v>
      </c>
      <c r="AE58" s="37" t="s">
        <v>76</v>
      </c>
      <c r="AF58" s="13">
        <v>0</v>
      </c>
      <c r="AG58" s="37" t="s">
        <v>76</v>
      </c>
      <c r="AH58" s="13">
        <v>0</v>
      </c>
      <c r="AI58" s="93">
        <v>1.0822936E-3</v>
      </c>
      <c r="AJ58" s="94">
        <v>4.6539740000000004E-6</v>
      </c>
      <c r="AK58" s="93">
        <v>260.22340372000002</v>
      </c>
      <c r="AL58" s="94">
        <v>1.4955789251</v>
      </c>
      <c r="AM58" s="37" t="s">
        <v>76</v>
      </c>
      <c r="AN58" s="13">
        <v>0</v>
      </c>
      <c r="AO58" s="37" t="s">
        <v>76</v>
      </c>
      <c r="AP58" s="13">
        <v>0</v>
      </c>
      <c r="AQ58" s="37" t="s">
        <v>76</v>
      </c>
      <c r="AR58" s="13">
        <v>0</v>
      </c>
      <c r="AS58" s="93">
        <v>32.902079135000001</v>
      </c>
      <c r="AT58" s="94">
        <v>0.54645856709999996</v>
      </c>
      <c r="AU58" s="93">
        <v>33.776769424999998</v>
      </c>
      <c r="AV58" s="94">
        <v>0.21546631820000001</v>
      </c>
      <c r="AW58" s="93">
        <v>23.161216855999999</v>
      </c>
      <c r="AX58" s="94">
        <v>0.1138653649</v>
      </c>
      <c r="AY58" s="93">
        <v>6.6380607285000002</v>
      </c>
      <c r="AZ58" s="94">
        <v>3.3371894300000003E-2</v>
      </c>
      <c r="BA58" s="79">
        <v>3.977491841</v>
      </c>
      <c r="BB58" s="13">
        <v>6.8229058999999995E-2</v>
      </c>
      <c r="BC58" s="93">
        <v>0</v>
      </c>
      <c r="BD58" s="85">
        <v>0</v>
      </c>
      <c r="BE58" s="93">
        <v>42.3764653</v>
      </c>
      <c r="BF58" s="94">
        <v>0.12833303209999999</v>
      </c>
      <c r="BG58" s="94">
        <v>1.0238969800000001E-2</v>
      </c>
      <c r="BH58" s="85">
        <v>0</v>
      </c>
      <c r="BI58" s="93">
        <v>132.59366294</v>
      </c>
      <c r="BJ58" s="94">
        <v>3.9256674621999998</v>
      </c>
      <c r="BK58" s="93">
        <v>178.41860316</v>
      </c>
      <c r="BL58" s="94">
        <v>1.2125536646999999</v>
      </c>
      <c r="BM58" s="93">
        <v>111.6936422</v>
      </c>
      <c r="BN58" s="94">
        <v>0.53420707059999994</v>
      </c>
      <c r="BO58" s="93">
        <v>15.441704743000001</v>
      </c>
      <c r="BP58" s="94">
        <v>2.59736616E-2</v>
      </c>
      <c r="BQ58" s="93">
        <v>0</v>
      </c>
      <c r="BR58" s="88">
        <v>0</v>
      </c>
      <c r="BS58" s="37" t="s">
        <v>76</v>
      </c>
      <c r="BT58" s="13">
        <v>0</v>
      </c>
      <c r="BU58" s="93">
        <v>0.68250557020000002</v>
      </c>
      <c r="BV58" s="94">
        <v>3.8009875000000002E-3</v>
      </c>
      <c r="BW58" s="93">
        <v>4.81993239E-2</v>
      </c>
      <c r="BX58" s="94">
        <v>2.0203030000000001E-4</v>
      </c>
      <c r="BY58" s="7" t="s">
        <v>76</v>
      </c>
      <c r="BZ58" s="13">
        <v>0</v>
      </c>
      <c r="CA58" s="7" t="s">
        <v>76</v>
      </c>
      <c r="CB58" s="13">
        <v>0</v>
      </c>
      <c r="CC58" s="93">
        <v>48.536528351000001</v>
      </c>
      <c r="CD58" s="94">
        <v>0.1675938461</v>
      </c>
      <c r="CE58" s="93">
        <v>0.4029308553</v>
      </c>
      <c r="CF58" s="94">
        <v>1.9669459000000002E-3</v>
      </c>
      <c r="CG58" s="7" t="s">
        <v>76</v>
      </c>
      <c r="CH58" s="13">
        <v>0</v>
      </c>
      <c r="CI58" s="7" t="s">
        <v>76</v>
      </c>
      <c r="CJ58" s="13">
        <v>0</v>
      </c>
      <c r="CK58" s="7" t="s">
        <v>76</v>
      </c>
      <c r="CL58" s="13">
        <v>0</v>
      </c>
      <c r="CM58" s="7" t="s">
        <v>76</v>
      </c>
      <c r="CN58" s="13">
        <v>0</v>
      </c>
      <c r="CO58" s="93">
        <v>0.41346577979999999</v>
      </c>
      <c r="CP58" s="94">
        <v>1.9322874999999999E-3</v>
      </c>
      <c r="CQ58" s="93">
        <v>1.2294456E-3</v>
      </c>
      <c r="CR58" s="94">
        <v>1.2704800000000001E-5</v>
      </c>
      <c r="CS58" s="93">
        <v>3.6339539366000002</v>
      </c>
      <c r="CT58" s="94">
        <v>1.41565643E-2</v>
      </c>
      <c r="CU58" s="93">
        <v>3.3565464999999999E-3</v>
      </c>
      <c r="CV58" s="94">
        <v>3.7014999999999997E-5</v>
      </c>
      <c r="CW58" s="6" t="s">
        <v>76</v>
      </c>
      <c r="CX58" s="13">
        <v>0</v>
      </c>
      <c r="CY58" s="7" t="s">
        <v>76</v>
      </c>
      <c r="CZ58" s="15">
        <v>0</v>
      </c>
      <c r="DA58" s="93">
        <v>26.910088509000001</v>
      </c>
      <c r="DB58" s="94">
        <v>0.15660956749999999</v>
      </c>
      <c r="DC58" s="93">
        <v>7.5892616900000001E-2</v>
      </c>
      <c r="DD58" s="94">
        <v>5.6410960000000002E-4</v>
      </c>
      <c r="DE58" s="93">
        <v>26.551903996</v>
      </c>
      <c r="DF58" s="94">
        <v>7.1176446199999993E-2</v>
      </c>
      <c r="DG58" s="93">
        <v>0.1482032831</v>
      </c>
      <c r="DH58" s="94">
        <v>1.1941647E-3</v>
      </c>
      <c r="DI58" s="188">
        <v>5.8279480999999999E-3</v>
      </c>
      <c r="DJ58" s="189">
        <v>8.9404893999999995E-3</v>
      </c>
      <c r="DK58" s="189">
        <v>9.8085828E-3</v>
      </c>
      <c r="DL58" s="189">
        <v>1.0057601399999999E-2</v>
      </c>
      <c r="DM58" s="189">
        <v>1.0116221200000001E-2</v>
      </c>
      <c r="DN58" s="189">
        <v>1.0160281700000001E-2</v>
      </c>
      <c r="DO58" s="189">
        <v>1.01762126E-2</v>
      </c>
      <c r="DP58" s="189">
        <v>1.0190791899999999E-2</v>
      </c>
      <c r="DQ58" s="189">
        <v>1.0197691700000001E-2</v>
      </c>
      <c r="DR58" s="190">
        <v>1.0204084800000001E-2</v>
      </c>
      <c r="DS58" s="112">
        <v>104.29592618</v>
      </c>
      <c r="DT58" s="13">
        <v>1.6605625425999999</v>
      </c>
      <c r="DU58" s="79">
        <v>71.970489181000005</v>
      </c>
      <c r="DV58" s="13">
        <v>1.1459201723000001</v>
      </c>
      <c r="DW58" s="79">
        <v>48.957866566</v>
      </c>
      <c r="DX58" s="13">
        <v>0.78866693590000003</v>
      </c>
      <c r="DY58" s="79">
        <v>33.176426792000001</v>
      </c>
      <c r="DZ58" s="13">
        <v>0.54612587300000004</v>
      </c>
      <c r="EA58" s="79">
        <v>22.624089642000001</v>
      </c>
      <c r="EB58" s="13">
        <v>0.3832753331</v>
      </c>
      <c r="EC58" s="79">
        <v>15.583037102</v>
      </c>
      <c r="ED58" s="13">
        <v>0.27280404670000002</v>
      </c>
      <c r="EE58" s="79">
        <v>10.885393936</v>
      </c>
      <c r="EF58" s="13">
        <v>0.19707249509999999</v>
      </c>
      <c r="EG58" s="79">
        <v>7.7294311098000001</v>
      </c>
      <c r="EH58" s="13">
        <v>0.14454027480000001</v>
      </c>
      <c r="EI58" s="79">
        <v>5.5687533385999997</v>
      </c>
      <c r="EJ58" s="13">
        <v>0.1070589965</v>
      </c>
      <c r="EK58" s="79">
        <v>4.0789433677</v>
      </c>
      <c r="EL58" s="15">
        <v>8.0238115200000001E-2</v>
      </c>
      <c r="EM58" s="79"/>
      <c r="EN58" s="13"/>
      <c r="EO58" s="79"/>
      <c r="EP58" s="13"/>
      <c r="EQ58" s="79"/>
      <c r="ER58" s="13"/>
      <c r="ES58" s="79"/>
      <c r="ET58" s="13"/>
      <c r="EU58" s="79"/>
      <c r="EV58" s="15"/>
    </row>
    <row r="59" spans="1:152" x14ac:dyDescent="0.2">
      <c r="A59" s="8">
        <v>5400</v>
      </c>
      <c r="B59" s="82">
        <v>4638</v>
      </c>
      <c r="C59" s="83">
        <v>2339.1209672</v>
      </c>
      <c r="D59" s="93">
        <v>5350.1235263999997</v>
      </c>
      <c r="E59" s="93">
        <v>44.479433495000002</v>
      </c>
      <c r="F59" s="94">
        <v>7.5363263700000002E-2</v>
      </c>
      <c r="G59" s="83">
        <v>11.770632858000001</v>
      </c>
      <c r="H59" s="94">
        <v>6.1352968000000004E-3</v>
      </c>
      <c r="I59" s="93">
        <v>202.45398915999999</v>
      </c>
      <c r="J59" s="94">
        <v>2.3771446508</v>
      </c>
      <c r="K59" s="93">
        <v>311.18629802999999</v>
      </c>
      <c r="L59" s="94">
        <v>2.3584124796000001</v>
      </c>
      <c r="M59" s="93">
        <v>1.2329747658000001</v>
      </c>
      <c r="N59" s="94">
        <v>7.4789471999999997E-3</v>
      </c>
      <c r="O59" s="37">
        <v>0</v>
      </c>
      <c r="P59" s="13">
        <v>0</v>
      </c>
      <c r="Q59" s="93">
        <v>51.480204981999997</v>
      </c>
      <c r="R59" s="94">
        <v>0.1765072369</v>
      </c>
      <c r="S59" s="37" t="s">
        <v>76</v>
      </c>
      <c r="T59" s="13">
        <v>0</v>
      </c>
      <c r="U59" s="37" t="s">
        <v>76</v>
      </c>
      <c r="V59" s="13">
        <v>0</v>
      </c>
      <c r="W59" s="93">
        <v>0.4839393367</v>
      </c>
      <c r="X59" s="94">
        <v>2.6188397000000002E-3</v>
      </c>
      <c r="Y59" s="93">
        <v>4.2385804485999996</v>
      </c>
      <c r="Z59" s="94">
        <v>9.2516950000000005E-4</v>
      </c>
      <c r="AA59" s="37" t="s">
        <v>76</v>
      </c>
      <c r="AB59" s="13">
        <v>0</v>
      </c>
      <c r="AC59" s="93">
        <v>1.0772615000000001E-3</v>
      </c>
      <c r="AD59" s="94">
        <v>4.6323352000000003E-6</v>
      </c>
      <c r="AE59" s="37" t="s">
        <v>76</v>
      </c>
      <c r="AF59" s="13">
        <v>0</v>
      </c>
      <c r="AG59" s="37" t="s">
        <v>76</v>
      </c>
      <c r="AH59" s="13">
        <v>0</v>
      </c>
      <c r="AI59" s="93">
        <v>1.0772615000000001E-3</v>
      </c>
      <c r="AJ59" s="94">
        <v>4.6323352000000003E-6</v>
      </c>
      <c r="AK59" s="93">
        <v>261.75401404000002</v>
      </c>
      <c r="AL59" s="94">
        <v>1.5030070493000001</v>
      </c>
      <c r="AM59" s="37" t="s">
        <v>76</v>
      </c>
      <c r="AN59" s="13">
        <v>0</v>
      </c>
      <c r="AO59" s="37" t="s">
        <v>76</v>
      </c>
      <c r="AP59" s="13">
        <v>0</v>
      </c>
      <c r="AQ59" s="37" t="s">
        <v>76</v>
      </c>
      <c r="AR59" s="13">
        <v>0</v>
      </c>
      <c r="AS59" s="93">
        <v>33.399876433999999</v>
      </c>
      <c r="AT59" s="94">
        <v>0.55055589569999996</v>
      </c>
      <c r="AU59" s="93">
        <v>34.119134623999997</v>
      </c>
      <c r="AV59" s="94">
        <v>0.2170576239</v>
      </c>
      <c r="AW59" s="93">
        <v>23.422719872999998</v>
      </c>
      <c r="AX59" s="94">
        <v>0.11483563350000001</v>
      </c>
      <c r="AY59" s="93">
        <v>6.6720767794000002</v>
      </c>
      <c r="AZ59" s="94">
        <v>3.3514973099999998E-2</v>
      </c>
      <c r="BA59" s="79">
        <v>4.0243379719999997</v>
      </c>
      <c r="BB59" s="13">
        <v>6.8707017199999998E-2</v>
      </c>
      <c r="BC59" s="93">
        <v>0</v>
      </c>
      <c r="BD59" s="85">
        <v>0</v>
      </c>
      <c r="BE59" s="93">
        <v>43.521193494999999</v>
      </c>
      <c r="BF59" s="94">
        <v>0.13049129309999999</v>
      </c>
      <c r="BG59" s="94">
        <v>1.04868657E-2</v>
      </c>
      <c r="BH59" s="85">
        <v>0</v>
      </c>
      <c r="BI59" s="93">
        <v>134.07878621</v>
      </c>
      <c r="BJ59" s="94">
        <v>3.9560920535999999</v>
      </c>
      <c r="BK59" s="93">
        <v>181.01969118</v>
      </c>
      <c r="BL59" s="94">
        <v>1.2259873243999999</v>
      </c>
      <c r="BM59" s="93">
        <v>113.59032414000001</v>
      </c>
      <c r="BN59" s="94">
        <v>0.54094846740000002</v>
      </c>
      <c r="BO59" s="93">
        <v>15.977509073</v>
      </c>
      <c r="BP59" s="94">
        <v>2.66960189E-2</v>
      </c>
      <c r="BQ59" s="93">
        <v>0</v>
      </c>
      <c r="BR59" s="88">
        <v>0</v>
      </c>
      <c r="BS59" s="37" t="s">
        <v>76</v>
      </c>
      <c r="BT59" s="13">
        <v>0</v>
      </c>
      <c r="BU59" s="93">
        <v>0.69207270050000003</v>
      </c>
      <c r="BV59" s="94">
        <v>3.8492750000000001E-3</v>
      </c>
      <c r="BW59" s="93">
        <v>4.79725368E-2</v>
      </c>
      <c r="BX59" s="94">
        <v>2.0107459999999999E-4</v>
      </c>
      <c r="BY59" s="7" t="s">
        <v>76</v>
      </c>
      <c r="BZ59" s="13">
        <v>0</v>
      </c>
      <c r="CA59" s="7" t="s">
        <v>76</v>
      </c>
      <c r="CB59" s="13">
        <v>0</v>
      </c>
      <c r="CC59" s="93">
        <v>49.565063121999998</v>
      </c>
      <c r="CD59" s="94">
        <v>0.1696380096</v>
      </c>
      <c r="CE59" s="93">
        <v>0.40803552240000002</v>
      </c>
      <c r="CF59" s="94">
        <v>1.9939350000000001E-3</v>
      </c>
      <c r="CG59" s="7" t="s">
        <v>76</v>
      </c>
      <c r="CH59" s="13">
        <v>0</v>
      </c>
      <c r="CI59" s="7" t="s">
        <v>76</v>
      </c>
      <c r="CJ59" s="13">
        <v>0</v>
      </c>
      <c r="CK59" s="7" t="s">
        <v>76</v>
      </c>
      <c r="CL59" s="13">
        <v>0</v>
      </c>
      <c r="CM59" s="7" t="s">
        <v>76</v>
      </c>
      <c r="CN59" s="13">
        <v>0</v>
      </c>
      <c r="CO59" s="93">
        <v>0.41578856819999999</v>
      </c>
      <c r="CP59" s="94">
        <v>1.9414689000000001E-3</v>
      </c>
      <c r="CQ59" s="93">
        <v>1.2232352999999999E-3</v>
      </c>
      <c r="CR59" s="94">
        <v>1.2641499999999999E-5</v>
      </c>
      <c r="CS59" s="93">
        <v>3.6943427293000002</v>
      </c>
      <c r="CT59" s="94">
        <v>1.4388790300000001E-2</v>
      </c>
      <c r="CU59" s="93">
        <v>3.3779126E-3</v>
      </c>
      <c r="CV59" s="94">
        <v>3.7499999999999997E-5</v>
      </c>
      <c r="CW59" s="6" t="s">
        <v>76</v>
      </c>
      <c r="CX59" s="13">
        <v>0</v>
      </c>
      <c r="CY59" s="7" t="s">
        <v>76</v>
      </c>
      <c r="CZ59" s="15">
        <v>0</v>
      </c>
      <c r="DA59" s="93">
        <v>27.302169471999999</v>
      </c>
      <c r="DB59" s="94">
        <v>0.15819701789999999</v>
      </c>
      <c r="DC59" s="93">
        <v>7.6492538600000007E-2</v>
      </c>
      <c r="DD59" s="94">
        <v>5.7022720000000004E-4</v>
      </c>
      <c r="DE59" s="93">
        <v>27.155188557999999</v>
      </c>
      <c r="DF59" s="94">
        <v>7.2280784900000006E-2</v>
      </c>
      <c r="DG59" s="93">
        <v>0.14955619219999999</v>
      </c>
      <c r="DH59" s="94">
        <v>1.2021078000000001E-3</v>
      </c>
      <c r="DI59" s="188">
        <v>5.9615279999999998E-3</v>
      </c>
      <c r="DJ59" s="189">
        <v>9.1433007000000007E-3</v>
      </c>
      <c r="DK59" s="189">
        <v>1.0045734000000001E-2</v>
      </c>
      <c r="DL59" s="189">
        <v>1.0303553E-2</v>
      </c>
      <c r="DM59" s="189">
        <v>1.0363549499999999E-2</v>
      </c>
      <c r="DN59" s="189">
        <v>1.04085541E-2</v>
      </c>
      <c r="DO59" s="189">
        <v>1.04244083E-2</v>
      </c>
      <c r="DP59" s="189">
        <v>1.04389168E-2</v>
      </c>
      <c r="DQ59" s="189">
        <v>1.0445783E-2</v>
      </c>
      <c r="DR59" s="190">
        <v>1.04521452E-2</v>
      </c>
      <c r="DS59" s="112">
        <v>105.12007532</v>
      </c>
      <c r="DT59" s="13">
        <v>1.6707220834000001</v>
      </c>
      <c r="DU59" s="79">
        <v>72.660221280000002</v>
      </c>
      <c r="DV59" s="13">
        <v>1.1547994897</v>
      </c>
      <c r="DW59" s="79">
        <v>49.519928563000001</v>
      </c>
      <c r="DX59" s="13">
        <v>0.7961645745</v>
      </c>
      <c r="DY59" s="79">
        <v>33.621845252</v>
      </c>
      <c r="DZ59" s="13">
        <v>0.55225927340000003</v>
      </c>
      <c r="EA59" s="79">
        <v>22.972978054999999</v>
      </c>
      <c r="EB59" s="13">
        <v>0.38823958089999999</v>
      </c>
      <c r="EC59" s="79">
        <v>15.853786937000001</v>
      </c>
      <c r="ED59" s="13">
        <v>0.27679212910000001</v>
      </c>
      <c r="EE59" s="79">
        <v>11.094635901</v>
      </c>
      <c r="EF59" s="13">
        <v>0.20026126699999999</v>
      </c>
      <c r="EG59" s="79">
        <v>7.8908516146999998</v>
      </c>
      <c r="EH59" s="13">
        <v>0.14708735840000001</v>
      </c>
      <c r="EI59" s="79">
        <v>5.6933421759999998</v>
      </c>
      <c r="EJ59" s="13">
        <v>0.10908504770000001</v>
      </c>
      <c r="EK59" s="79">
        <v>4.1752670494000004</v>
      </c>
      <c r="EL59" s="15">
        <v>8.1848583799999999E-2</v>
      </c>
      <c r="EM59" s="79"/>
      <c r="EN59" s="13"/>
      <c r="EO59" s="79"/>
      <c r="EP59" s="13"/>
      <c r="EQ59" s="79"/>
      <c r="ER59" s="13"/>
      <c r="ES59" s="79"/>
      <c r="ET59" s="13"/>
      <c r="EU59" s="79"/>
      <c r="EV59" s="15"/>
    </row>
    <row r="60" spans="1:152" x14ac:dyDescent="0.2">
      <c r="A60" s="8">
        <v>5500</v>
      </c>
      <c r="B60" s="82">
        <v>4684</v>
      </c>
      <c r="C60" s="83">
        <v>2361.3697876000001</v>
      </c>
      <c r="D60" s="93">
        <v>5450.1464126999999</v>
      </c>
      <c r="E60" s="93">
        <v>45.680117545000002</v>
      </c>
      <c r="F60" s="94">
        <v>7.6324566999999996E-2</v>
      </c>
      <c r="G60" s="83">
        <v>12.180505132</v>
      </c>
      <c r="H60" s="94">
        <v>6.2869935E-3</v>
      </c>
      <c r="I60" s="93">
        <v>203.86540511999999</v>
      </c>
      <c r="J60" s="94">
        <v>2.3886392170000001</v>
      </c>
      <c r="K60" s="93">
        <v>315.60073717</v>
      </c>
      <c r="L60" s="94">
        <v>2.3818165200000001</v>
      </c>
      <c r="M60" s="93">
        <v>1.2686152809</v>
      </c>
      <c r="N60" s="94">
        <v>7.6728600000000001E-3</v>
      </c>
      <c r="O60" s="37">
        <v>0</v>
      </c>
      <c r="P60" s="13">
        <v>0</v>
      </c>
      <c r="Q60" s="93">
        <v>52.377751029000002</v>
      </c>
      <c r="R60" s="94">
        <v>0.17835822179999999</v>
      </c>
      <c r="S60" s="37" t="s">
        <v>76</v>
      </c>
      <c r="T60" s="13">
        <v>0</v>
      </c>
      <c r="U60" s="37" t="s">
        <v>76</v>
      </c>
      <c r="V60" s="13">
        <v>0</v>
      </c>
      <c r="W60" s="93">
        <v>0.48347765819999999</v>
      </c>
      <c r="X60" s="94">
        <v>2.6140488000000002E-3</v>
      </c>
      <c r="Y60" s="93">
        <v>4.3351564258000002</v>
      </c>
      <c r="Z60" s="94">
        <v>9.2998530000000003E-4</v>
      </c>
      <c r="AA60" s="37" t="s">
        <v>76</v>
      </c>
      <c r="AB60" s="13">
        <v>0</v>
      </c>
      <c r="AC60" s="93">
        <v>1.5243473E-3</v>
      </c>
      <c r="AD60" s="94">
        <v>5.7251764999999997E-6</v>
      </c>
      <c r="AE60" s="37" t="s">
        <v>76</v>
      </c>
      <c r="AF60" s="13">
        <v>0</v>
      </c>
      <c r="AG60" s="37" t="s">
        <v>76</v>
      </c>
      <c r="AH60" s="13">
        <v>0</v>
      </c>
      <c r="AI60" s="93">
        <v>1.5243473E-3</v>
      </c>
      <c r="AJ60" s="94">
        <v>5.7251764999999997E-6</v>
      </c>
      <c r="AK60" s="93">
        <v>263.38996914000001</v>
      </c>
      <c r="AL60" s="94">
        <v>1.5104580240000001</v>
      </c>
      <c r="AM60" s="37" t="s">
        <v>76</v>
      </c>
      <c r="AN60" s="13">
        <v>0</v>
      </c>
      <c r="AO60" s="37" t="s">
        <v>76</v>
      </c>
      <c r="AP60" s="13">
        <v>0</v>
      </c>
      <c r="AQ60" s="37" t="s">
        <v>76</v>
      </c>
      <c r="AR60" s="13">
        <v>0</v>
      </c>
      <c r="AS60" s="93">
        <v>33.958305449999997</v>
      </c>
      <c r="AT60" s="94">
        <v>0.554586354</v>
      </c>
      <c r="AU60" s="93">
        <v>34.460728803000002</v>
      </c>
      <c r="AV60" s="94">
        <v>0.21876475619999999</v>
      </c>
      <c r="AW60" s="93">
        <v>23.678723977000001</v>
      </c>
      <c r="AX60" s="94">
        <v>0.1157889186</v>
      </c>
      <c r="AY60" s="93">
        <v>6.7056780821000004</v>
      </c>
      <c r="AZ60" s="94">
        <v>3.3684444899999999E-2</v>
      </c>
      <c r="BA60" s="79">
        <v>4.0763267441000002</v>
      </c>
      <c r="BB60" s="13">
        <v>6.9291392600000001E-2</v>
      </c>
      <c r="BC60" s="93">
        <v>0</v>
      </c>
      <c r="BD60" s="85">
        <v>0</v>
      </c>
      <c r="BE60" s="93">
        <v>44.718463583000002</v>
      </c>
      <c r="BF60" s="94">
        <v>0.13261856890000001</v>
      </c>
      <c r="BG60" s="94">
        <v>1.0777483500000001E-2</v>
      </c>
      <c r="BH60" s="85">
        <v>0</v>
      </c>
      <c r="BI60" s="93">
        <v>135.42429468</v>
      </c>
      <c r="BJ60" s="94">
        <v>3.9853164418000002</v>
      </c>
      <c r="BK60" s="93">
        <v>183.65930908000001</v>
      </c>
      <c r="BL60" s="94">
        <v>1.2395864064</v>
      </c>
      <c r="BM60" s="93">
        <v>115.63508812000001</v>
      </c>
      <c r="BN60" s="94">
        <v>0.54849036120000005</v>
      </c>
      <c r="BO60" s="93">
        <v>16.513107019</v>
      </c>
      <c r="BP60" s="94">
        <v>2.7382014400000002E-2</v>
      </c>
      <c r="BQ60" s="93">
        <v>0</v>
      </c>
      <c r="BR60" s="88">
        <v>0</v>
      </c>
      <c r="BS60" s="37" t="s">
        <v>76</v>
      </c>
      <c r="BT60" s="13">
        <v>0</v>
      </c>
      <c r="BU60" s="93">
        <v>0.71969146859999999</v>
      </c>
      <c r="BV60" s="94">
        <v>3.9859248999999999E-3</v>
      </c>
      <c r="BW60" s="93">
        <v>4.8545619499999998E-2</v>
      </c>
      <c r="BX60" s="94">
        <v>2.0207109999999999E-4</v>
      </c>
      <c r="BY60" s="7" t="s">
        <v>76</v>
      </c>
      <c r="BZ60" s="13">
        <v>0</v>
      </c>
      <c r="CA60" s="7" t="s">
        <v>76</v>
      </c>
      <c r="CB60" s="13">
        <v>0</v>
      </c>
      <c r="CC60" s="93">
        <v>50.431353102000003</v>
      </c>
      <c r="CD60" s="94">
        <v>0.1713855275</v>
      </c>
      <c r="CE60" s="93">
        <v>0.41486073379999999</v>
      </c>
      <c r="CF60" s="94">
        <v>2.0279796999999999E-3</v>
      </c>
      <c r="CG60" s="7" t="s">
        <v>76</v>
      </c>
      <c r="CH60" s="13">
        <v>0</v>
      </c>
      <c r="CI60" s="7" t="s">
        <v>76</v>
      </c>
      <c r="CJ60" s="13">
        <v>0</v>
      </c>
      <c r="CK60" s="7" t="s">
        <v>76</v>
      </c>
      <c r="CL60" s="13">
        <v>0</v>
      </c>
      <c r="CM60" s="7" t="s">
        <v>76</v>
      </c>
      <c r="CN60" s="13">
        <v>0</v>
      </c>
      <c r="CO60" s="93">
        <v>0.41565303799999997</v>
      </c>
      <c r="CP60" s="94">
        <v>1.9399371999999999E-3</v>
      </c>
      <c r="CQ60" s="93">
        <v>1.2173507999999999E-3</v>
      </c>
      <c r="CR60" s="94">
        <v>1.2579600000000001E-5</v>
      </c>
      <c r="CS60" s="93">
        <v>3.7782572628</v>
      </c>
      <c r="CT60" s="94">
        <v>1.4629193299999999E-2</v>
      </c>
      <c r="CU60" s="93">
        <v>3.3619908999999999E-3</v>
      </c>
      <c r="CV60" s="94">
        <v>3.7318499999999999E-5</v>
      </c>
      <c r="CW60" s="6" t="s">
        <v>76</v>
      </c>
      <c r="CX60" s="13">
        <v>0</v>
      </c>
      <c r="CY60" s="7" t="s">
        <v>76</v>
      </c>
      <c r="CZ60" s="15">
        <v>0</v>
      </c>
      <c r="DA60" s="93">
        <v>27.736883371000001</v>
      </c>
      <c r="DB60" s="94">
        <v>0.15986829790000001</v>
      </c>
      <c r="DC60" s="93">
        <v>7.6386887400000006E-2</v>
      </c>
      <c r="DD60" s="94">
        <v>5.7600030000000001E-4</v>
      </c>
      <c r="DE60" s="93">
        <v>27.825499057999998</v>
      </c>
      <c r="DF60" s="94">
        <v>7.3412812199999997E-2</v>
      </c>
      <c r="DG60" s="93">
        <v>0.149811255</v>
      </c>
      <c r="DH60" s="94">
        <v>1.2124217E-3</v>
      </c>
      <c r="DI60" s="188">
        <v>6.1053577000000003E-3</v>
      </c>
      <c r="DJ60" s="189">
        <v>9.3680693000000002E-3</v>
      </c>
      <c r="DK60" s="189">
        <v>1.0312002400000001E-2</v>
      </c>
      <c r="DL60" s="189">
        <v>1.0584016599999999E-2</v>
      </c>
      <c r="DM60" s="189">
        <v>1.0646860500000001E-2</v>
      </c>
      <c r="DN60" s="189">
        <v>1.06947825E-2</v>
      </c>
      <c r="DO60" s="189">
        <v>1.07126974E-2</v>
      </c>
      <c r="DP60" s="189">
        <v>1.07292729E-2</v>
      </c>
      <c r="DQ60" s="189">
        <v>1.07366066E-2</v>
      </c>
      <c r="DR60" s="190">
        <v>1.07429377E-2</v>
      </c>
      <c r="DS60" s="112">
        <v>106.02399033</v>
      </c>
      <c r="DT60" s="13">
        <v>1.6813236721</v>
      </c>
      <c r="DU60" s="79">
        <v>73.419772459000001</v>
      </c>
      <c r="DV60" s="13">
        <v>1.1640814772999999</v>
      </c>
      <c r="DW60" s="79">
        <v>50.136569686999998</v>
      </c>
      <c r="DX60" s="13">
        <v>0.80399524359999996</v>
      </c>
      <c r="DY60" s="79">
        <v>34.108629137999998</v>
      </c>
      <c r="DZ60" s="13">
        <v>0.55870293979999996</v>
      </c>
      <c r="EA60" s="79">
        <v>23.350435226999998</v>
      </c>
      <c r="EB60" s="13">
        <v>0.39346054219999999</v>
      </c>
      <c r="EC60" s="79">
        <v>16.148222315999998</v>
      </c>
      <c r="ED60" s="13">
        <v>0.28100588199999998</v>
      </c>
      <c r="EE60" s="79">
        <v>11.322465522</v>
      </c>
      <c r="EF60" s="13">
        <v>0.2036633061</v>
      </c>
      <c r="EG60" s="79">
        <v>8.0682153934999992</v>
      </c>
      <c r="EH60" s="13">
        <v>0.1498431882</v>
      </c>
      <c r="EI60" s="79">
        <v>5.8330377970000002</v>
      </c>
      <c r="EJ60" s="13">
        <v>0.1113329386</v>
      </c>
      <c r="EK60" s="79">
        <v>4.2863858760999998</v>
      </c>
      <c r="EL60" s="15">
        <v>8.3697455200000007E-2</v>
      </c>
      <c r="EM60" s="79"/>
      <c r="EN60" s="13"/>
      <c r="EO60" s="79"/>
      <c r="EP60" s="13"/>
      <c r="EQ60" s="79"/>
      <c r="ER60" s="13"/>
      <c r="ES60" s="79"/>
      <c r="ET60" s="13"/>
      <c r="EU60" s="79"/>
      <c r="EV60" s="15"/>
    </row>
    <row r="61" spans="1:152" x14ac:dyDescent="0.2">
      <c r="A61" s="8">
        <v>5600</v>
      </c>
      <c r="B61" s="82">
        <v>4529</v>
      </c>
      <c r="C61" s="83">
        <v>2383.2514953</v>
      </c>
      <c r="D61" s="93">
        <v>5549.6530561999998</v>
      </c>
      <c r="E61" s="93">
        <v>46.887498962999999</v>
      </c>
      <c r="F61" s="94">
        <v>7.7265256800000001E-2</v>
      </c>
      <c r="G61" s="83">
        <v>12.624554098000001</v>
      </c>
      <c r="H61" s="94">
        <v>6.4463912000000002E-3</v>
      </c>
      <c r="I61" s="93">
        <v>205.27499148999999</v>
      </c>
      <c r="J61" s="94">
        <v>2.4003484828000001</v>
      </c>
      <c r="K61" s="93">
        <v>319.89473820000001</v>
      </c>
      <c r="L61" s="94">
        <v>2.4057206208999999</v>
      </c>
      <c r="M61" s="93">
        <v>1.2798967437</v>
      </c>
      <c r="N61" s="94">
        <v>7.7289984000000001E-3</v>
      </c>
      <c r="O61" s="37">
        <v>0</v>
      </c>
      <c r="P61" s="13">
        <v>0</v>
      </c>
      <c r="Q61" s="93">
        <v>53.397579792999998</v>
      </c>
      <c r="R61" s="94">
        <v>0.18046095179999999</v>
      </c>
      <c r="S61" s="37" t="s">
        <v>76</v>
      </c>
      <c r="T61" s="13">
        <v>0</v>
      </c>
      <c r="U61" s="37" t="s">
        <v>76</v>
      </c>
      <c r="V61" s="13">
        <v>0</v>
      </c>
      <c r="W61" s="93">
        <v>0.50001632600000001</v>
      </c>
      <c r="X61" s="94">
        <v>2.6553314000000001E-3</v>
      </c>
      <c r="Y61" s="93">
        <v>4.4411366267999997</v>
      </c>
      <c r="Z61" s="94">
        <v>9.5006769999999999E-4</v>
      </c>
      <c r="AA61" s="37" t="s">
        <v>76</v>
      </c>
      <c r="AB61" s="13">
        <v>0</v>
      </c>
      <c r="AC61" s="93">
        <v>1.5171924E-3</v>
      </c>
      <c r="AD61" s="94">
        <v>5.6985265999999997E-6</v>
      </c>
      <c r="AE61" s="37" t="s">
        <v>76</v>
      </c>
      <c r="AF61" s="13">
        <v>0</v>
      </c>
      <c r="AG61" s="37" t="s">
        <v>76</v>
      </c>
      <c r="AH61" s="13">
        <v>0</v>
      </c>
      <c r="AI61" s="93">
        <v>1.5171924E-3</v>
      </c>
      <c r="AJ61" s="94">
        <v>5.6985265999999997E-6</v>
      </c>
      <c r="AK61" s="93">
        <v>265.1241096</v>
      </c>
      <c r="AL61" s="94">
        <v>1.5180713480000001</v>
      </c>
      <c r="AM61" s="37" t="s">
        <v>76</v>
      </c>
      <c r="AN61" s="13">
        <v>0</v>
      </c>
      <c r="AO61" s="37" t="s">
        <v>76</v>
      </c>
      <c r="AP61" s="13">
        <v>0</v>
      </c>
      <c r="AQ61" s="37" t="s">
        <v>76</v>
      </c>
      <c r="AR61" s="13">
        <v>0</v>
      </c>
      <c r="AS61" s="93">
        <v>34.42808058</v>
      </c>
      <c r="AT61" s="94">
        <v>0.55856706069999995</v>
      </c>
      <c r="AU61" s="93">
        <v>34.797946353999997</v>
      </c>
      <c r="AV61" s="94">
        <v>0.22035201879999999</v>
      </c>
      <c r="AW61" s="93">
        <v>23.929613200999999</v>
      </c>
      <c r="AX61" s="94">
        <v>0.11670507770000001</v>
      </c>
      <c r="AY61" s="93">
        <v>6.746655005</v>
      </c>
      <c r="AZ61" s="94">
        <v>3.3862306100000003E-2</v>
      </c>
      <c r="BA61" s="79">
        <v>4.1216781477</v>
      </c>
      <c r="BB61" s="13">
        <v>6.9784634900000003E-2</v>
      </c>
      <c r="BC61" s="93">
        <v>0</v>
      </c>
      <c r="BD61" s="85">
        <v>0</v>
      </c>
      <c r="BE61" s="93">
        <v>45.865179589</v>
      </c>
      <c r="BF61" s="94">
        <v>0.13479371949999999</v>
      </c>
      <c r="BG61" s="94">
        <v>1.1049854200000001E-2</v>
      </c>
      <c r="BH61" s="85">
        <v>0</v>
      </c>
      <c r="BI61" s="93">
        <v>136.78191165999999</v>
      </c>
      <c r="BJ61" s="94">
        <v>4.0148493757999999</v>
      </c>
      <c r="BK61" s="93">
        <v>186.34092917999999</v>
      </c>
      <c r="BL61" s="94">
        <v>1.2532887993999999</v>
      </c>
      <c r="BM61" s="93">
        <v>117.64524465</v>
      </c>
      <c r="BN61" s="94">
        <v>0.5560481062</v>
      </c>
      <c r="BO61" s="93">
        <v>17.070128012000001</v>
      </c>
      <c r="BP61" s="94">
        <v>2.8143867100000001E-2</v>
      </c>
      <c r="BQ61" s="93">
        <v>0</v>
      </c>
      <c r="BR61" s="88">
        <v>0</v>
      </c>
      <c r="BS61" s="37" t="s">
        <v>76</v>
      </c>
      <c r="BT61" s="13">
        <v>0</v>
      </c>
      <c r="BU61" s="93">
        <v>0.72586260889999998</v>
      </c>
      <c r="BV61" s="94">
        <v>4.0116550000000003E-3</v>
      </c>
      <c r="BW61" s="93">
        <v>5.12020605E-2</v>
      </c>
      <c r="BX61" s="94">
        <v>2.139834E-4</v>
      </c>
      <c r="BY61" s="7" t="s">
        <v>76</v>
      </c>
      <c r="BZ61" s="13">
        <v>0</v>
      </c>
      <c r="CA61" s="7" t="s">
        <v>76</v>
      </c>
      <c r="CB61" s="13">
        <v>0</v>
      </c>
      <c r="CC61" s="93">
        <v>51.409375376</v>
      </c>
      <c r="CD61" s="94">
        <v>0.17336916459999999</v>
      </c>
      <c r="CE61" s="93">
        <v>0.42127065299999999</v>
      </c>
      <c r="CF61" s="94">
        <v>2.0552739000000001E-3</v>
      </c>
      <c r="CG61" s="7" t="s">
        <v>76</v>
      </c>
      <c r="CH61" s="13">
        <v>0</v>
      </c>
      <c r="CI61" s="7" t="s">
        <v>76</v>
      </c>
      <c r="CJ61" s="13">
        <v>0</v>
      </c>
      <c r="CK61" s="7" t="s">
        <v>76</v>
      </c>
      <c r="CL61" s="13">
        <v>0</v>
      </c>
      <c r="CM61" s="7" t="s">
        <v>76</v>
      </c>
      <c r="CN61" s="13">
        <v>0</v>
      </c>
      <c r="CO61" s="93">
        <v>0.43251076849999998</v>
      </c>
      <c r="CP61" s="94">
        <v>1.9844529000000001E-3</v>
      </c>
      <c r="CQ61" s="93">
        <v>1.2116824999999999E-3</v>
      </c>
      <c r="CR61" s="94">
        <v>1.2518799999999999E-5</v>
      </c>
      <c r="CS61" s="93">
        <v>3.8816941757999999</v>
      </c>
      <c r="CT61" s="94">
        <v>1.5046626699999999E-2</v>
      </c>
      <c r="CU61" s="93">
        <v>3.4817953999999999E-3</v>
      </c>
      <c r="CV61" s="94">
        <v>3.7797399999999998E-5</v>
      </c>
      <c r="CW61" s="6" t="s">
        <v>76</v>
      </c>
      <c r="CX61" s="13">
        <v>0</v>
      </c>
      <c r="CY61" s="7" t="s">
        <v>76</v>
      </c>
      <c r="CZ61" s="15">
        <v>0</v>
      </c>
      <c r="DA61" s="93">
        <v>28.118863952000002</v>
      </c>
      <c r="DB61" s="94">
        <v>0.16133057009999999</v>
      </c>
      <c r="DC61" s="93">
        <v>7.7263181E-2</v>
      </c>
      <c r="DD61" s="94">
        <v>5.7978339999999998E-4</v>
      </c>
      <c r="DE61" s="93">
        <v>28.508695377999999</v>
      </c>
      <c r="DF61" s="94">
        <v>7.4561061400000003E-2</v>
      </c>
      <c r="DG61" s="93">
        <v>0.15027969560000001</v>
      </c>
      <c r="DH61" s="94">
        <v>1.2218817E-3</v>
      </c>
      <c r="DI61" s="188">
        <v>6.2580939E-3</v>
      </c>
      <c r="DJ61" s="189">
        <v>9.5999658000000005E-3</v>
      </c>
      <c r="DK61" s="189">
        <v>1.05772774E-2</v>
      </c>
      <c r="DL61" s="189">
        <v>1.0856006499999999E-2</v>
      </c>
      <c r="DM61" s="189">
        <v>1.09192054E-2</v>
      </c>
      <c r="DN61" s="189">
        <v>1.09675498E-2</v>
      </c>
      <c r="DO61" s="189">
        <v>1.09853804E-2</v>
      </c>
      <c r="DP61" s="189">
        <v>1.1001877300000001E-2</v>
      </c>
      <c r="DQ61" s="189">
        <v>1.10091763E-2</v>
      </c>
      <c r="DR61" s="190">
        <v>1.10154776E-2</v>
      </c>
      <c r="DS61" s="112">
        <v>106.92514254</v>
      </c>
      <c r="DT61" s="13">
        <v>1.6921276304999999</v>
      </c>
      <c r="DU61" s="79">
        <v>74.178120000999996</v>
      </c>
      <c r="DV61" s="13">
        <v>1.1735716245000001</v>
      </c>
      <c r="DW61" s="79">
        <v>50.756463408000002</v>
      </c>
      <c r="DX61" s="13">
        <v>0.81205469669999997</v>
      </c>
      <c r="DY61" s="79">
        <v>34.603135348000002</v>
      </c>
      <c r="DZ61" s="13">
        <v>0.56537445389999996</v>
      </c>
      <c r="EA61" s="79">
        <v>23.742144933999999</v>
      </c>
      <c r="EB61" s="13">
        <v>0.39894341020000001</v>
      </c>
      <c r="EC61" s="79">
        <v>16.459617647999998</v>
      </c>
      <c r="ED61" s="13">
        <v>0.2854889887</v>
      </c>
      <c r="EE61" s="79">
        <v>11.568478203</v>
      </c>
      <c r="EF61" s="13">
        <v>0.20731195020000001</v>
      </c>
      <c r="EG61" s="79">
        <v>8.2620937913999999</v>
      </c>
      <c r="EH61" s="13">
        <v>0.15279897819999999</v>
      </c>
      <c r="EI61" s="79">
        <v>5.9865399672999997</v>
      </c>
      <c r="EJ61" s="13">
        <v>0.11373470300000001</v>
      </c>
      <c r="EK61" s="79">
        <v>4.4087783206999998</v>
      </c>
      <c r="EL61" s="15">
        <v>8.5653390699999998E-2</v>
      </c>
      <c r="EM61" s="79"/>
      <c r="EN61" s="13"/>
      <c r="EO61" s="79"/>
      <c r="EP61" s="13"/>
      <c r="EQ61" s="79"/>
      <c r="ER61" s="13"/>
      <c r="ES61" s="79"/>
      <c r="ET61" s="13"/>
      <c r="EU61" s="79"/>
      <c r="EV61" s="15"/>
    </row>
    <row r="62" spans="1:152" x14ac:dyDescent="0.2">
      <c r="A62" s="8">
        <v>5700</v>
      </c>
      <c r="B62" s="82">
        <v>4310</v>
      </c>
      <c r="C62" s="83">
        <v>2404.7806464999999</v>
      </c>
      <c r="D62" s="93">
        <v>5650.1533926000002</v>
      </c>
      <c r="E62" s="93">
        <v>48.119458105</v>
      </c>
      <c r="F62" s="94">
        <v>7.8133674900000005E-2</v>
      </c>
      <c r="G62" s="83">
        <v>12.963544793000001</v>
      </c>
      <c r="H62" s="94">
        <v>6.5630856E-3</v>
      </c>
      <c r="I62" s="93">
        <v>206.67845496000001</v>
      </c>
      <c r="J62" s="94">
        <v>2.4113041749000002</v>
      </c>
      <c r="K62" s="93">
        <v>324.05804678999999</v>
      </c>
      <c r="L62" s="94">
        <v>2.4282802513999999</v>
      </c>
      <c r="M62" s="93">
        <v>1.3028657296999999</v>
      </c>
      <c r="N62" s="94">
        <v>7.8587641000000003E-3</v>
      </c>
      <c r="O62" s="37">
        <v>0</v>
      </c>
      <c r="P62" s="13">
        <v>0</v>
      </c>
      <c r="Q62" s="93">
        <v>54.428422398999999</v>
      </c>
      <c r="R62" s="94">
        <v>0.18244287719999999</v>
      </c>
      <c r="S62" s="37" t="s">
        <v>76</v>
      </c>
      <c r="T62" s="13">
        <v>0</v>
      </c>
      <c r="U62" s="37" t="s">
        <v>76</v>
      </c>
      <c r="V62" s="13">
        <v>0</v>
      </c>
      <c r="W62" s="93">
        <v>0.50956732849999997</v>
      </c>
      <c r="X62" s="94">
        <v>2.6925718999999998E-3</v>
      </c>
      <c r="Y62" s="93">
        <v>4.5458854943000002</v>
      </c>
      <c r="Z62" s="94">
        <v>9.7825309999999993E-4</v>
      </c>
      <c r="AA62" s="37" t="s">
        <v>76</v>
      </c>
      <c r="AB62" s="13">
        <v>0</v>
      </c>
      <c r="AC62" s="93">
        <v>1.5107054999999999E-3</v>
      </c>
      <c r="AD62" s="94">
        <v>5.6743246000000003E-6</v>
      </c>
      <c r="AE62" s="37" t="s">
        <v>76</v>
      </c>
      <c r="AF62" s="13">
        <v>0</v>
      </c>
      <c r="AG62" s="37" t="s">
        <v>76</v>
      </c>
      <c r="AH62" s="13">
        <v>0</v>
      </c>
      <c r="AI62" s="93">
        <v>1.5107054999999999E-3</v>
      </c>
      <c r="AJ62" s="94">
        <v>5.6743246000000003E-6</v>
      </c>
      <c r="AK62" s="93">
        <v>266.61249027999997</v>
      </c>
      <c r="AL62" s="94">
        <v>1.5249726618999999</v>
      </c>
      <c r="AM62" s="37" t="s">
        <v>76</v>
      </c>
      <c r="AN62" s="13">
        <v>0</v>
      </c>
      <c r="AO62" s="37" t="s">
        <v>76</v>
      </c>
      <c r="AP62" s="13">
        <v>0</v>
      </c>
      <c r="AQ62" s="37" t="s">
        <v>76</v>
      </c>
      <c r="AR62" s="13">
        <v>0</v>
      </c>
      <c r="AS62" s="93">
        <v>34.889803626999999</v>
      </c>
      <c r="AT62" s="94">
        <v>0.5623831547</v>
      </c>
      <c r="AU62" s="93">
        <v>35.146066797000003</v>
      </c>
      <c r="AV62" s="94">
        <v>0.22191947570000001</v>
      </c>
      <c r="AW62" s="93">
        <v>24.179140440000001</v>
      </c>
      <c r="AX62" s="94">
        <v>0.1175520736</v>
      </c>
      <c r="AY62" s="93">
        <v>6.7919437988000002</v>
      </c>
      <c r="AZ62" s="94">
        <v>3.4079007299999999E-2</v>
      </c>
      <c r="BA62" s="79">
        <v>4.1749825591</v>
      </c>
      <c r="BB62" s="13">
        <v>7.0288394800000001E-2</v>
      </c>
      <c r="BC62" s="93">
        <v>0</v>
      </c>
      <c r="BD62" s="85">
        <v>0</v>
      </c>
      <c r="BE62" s="93">
        <v>47.031415723999999</v>
      </c>
      <c r="BF62" s="94">
        <v>0.13687880620000001</v>
      </c>
      <c r="BG62" s="94">
        <v>1.12834843E-2</v>
      </c>
      <c r="BH62" s="85">
        <v>0</v>
      </c>
      <c r="BI62" s="93">
        <v>138.16627574</v>
      </c>
      <c r="BJ62" s="94">
        <v>4.0426697975000003</v>
      </c>
      <c r="BK62" s="93">
        <v>189.02032788</v>
      </c>
      <c r="BL62" s="94">
        <v>1.2666105838999999</v>
      </c>
      <c r="BM62" s="93">
        <v>119.45516326000001</v>
      </c>
      <c r="BN62" s="94">
        <v>0.5624392372</v>
      </c>
      <c r="BO62" s="93">
        <v>17.627586531999999</v>
      </c>
      <c r="BP62" s="94">
        <v>2.8828942100000001E-2</v>
      </c>
      <c r="BQ62" s="93">
        <v>0</v>
      </c>
      <c r="BR62" s="88">
        <v>0</v>
      </c>
      <c r="BS62" s="37" t="s">
        <v>76</v>
      </c>
      <c r="BT62" s="13">
        <v>0</v>
      </c>
      <c r="BU62" s="93">
        <v>0.73586992350000002</v>
      </c>
      <c r="BV62" s="94">
        <v>4.0661304000000004E-3</v>
      </c>
      <c r="BW62" s="93">
        <v>5.1336265399999997E-2</v>
      </c>
      <c r="BX62" s="94">
        <v>2.137013E-4</v>
      </c>
      <c r="BY62" s="7" t="s">
        <v>76</v>
      </c>
      <c r="BZ62" s="13">
        <v>0</v>
      </c>
      <c r="CA62" s="7" t="s">
        <v>76</v>
      </c>
      <c r="CB62" s="13">
        <v>0</v>
      </c>
      <c r="CC62" s="93">
        <v>52.405779961</v>
      </c>
      <c r="CD62" s="94">
        <v>0.17524420960000001</v>
      </c>
      <c r="CE62" s="93">
        <v>0.42608835960000002</v>
      </c>
      <c r="CF62" s="94">
        <v>2.0778832000000001E-3</v>
      </c>
      <c r="CG62" s="7" t="s">
        <v>76</v>
      </c>
      <c r="CH62" s="13">
        <v>0</v>
      </c>
      <c r="CI62" s="7" t="s">
        <v>76</v>
      </c>
      <c r="CJ62" s="13">
        <v>0</v>
      </c>
      <c r="CK62" s="7" t="s">
        <v>76</v>
      </c>
      <c r="CL62" s="13">
        <v>0</v>
      </c>
      <c r="CM62" s="7" t="s">
        <v>76</v>
      </c>
      <c r="CN62" s="13">
        <v>0</v>
      </c>
      <c r="CO62" s="93">
        <v>0.44236240830000001</v>
      </c>
      <c r="CP62" s="94">
        <v>2.0246664000000002E-3</v>
      </c>
      <c r="CQ62" s="93">
        <v>1.2059839E-3</v>
      </c>
      <c r="CR62" s="94">
        <v>1.24619E-5</v>
      </c>
      <c r="CS62" s="93">
        <v>3.9824494361</v>
      </c>
      <c r="CT62" s="94">
        <v>1.5426899900000001E-2</v>
      </c>
      <c r="CU62" s="93">
        <v>4.0681049999999998E-3</v>
      </c>
      <c r="CV62" s="94">
        <v>4.1280699999999999E-5</v>
      </c>
      <c r="CW62" s="6" t="s">
        <v>76</v>
      </c>
      <c r="CX62" s="13">
        <v>0</v>
      </c>
      <c r="CY62" s="7" t="s">
        <v>76</v>
      </c>
      <c r="CZ62" s="15">
        <v>0</v>
      </c>
      <c r="DA62" s="93">
        <v>28.495328636</v>
      </c>
      <c r="DB62" s="94">
        <v>0.16277270160000001</v>
      </c>
      <c r="DC62" s="93">
        <v>8.0040110499999997E-2</v>
      </c>
      <c r="DD62" s="94">
        <v>5.8727680000000002E-4</v>
      </c>
      <c r="DE62" s="93">
        <v>29.172327486</v>
      </c>
      <c r="DF62" s="94">
        <v>7.5658134700000004E-2</v>
      </c>
      <c r="DG62" s="93">
        <v>0.15094236329999999</v>
      </c>
      <c r="DH62" s="94">
        <v>1.2318964E-3</v>
      </c>
      <c r="DI62" s="188">
        <v>6.3695753000000003E-3</v>
      </c>
      <c r="DJ62" s="189">
        <v>9.7742424000000008E-3</v>
      </c>
      <c r="DK62" s="189">
        <v>1.0782053099999999E-2</v>
      </c>
      <c r="DL62" s="189">
        <v>1.10761695E-2</v>
      </c>
      <c r="DM62" s="189">
        <v>1.1141181E-2</v>
      </c>
      <c r="DN62" s="189">
        <v>1.11914033E-2</v>
      </c>
      <c r="DO62" s="189">
        <v>1.1211250900000001E-2</v>
      </c>
      <c r="DP62" s="189">
        <v>1.12297705E-2</v>
      </c>
      <c r="DQ62" s="189">
        <v>1.12380285E-2</v>
      </c>
      <c r="DR62" s="190">
        <v>1.12452934E-2</v>
      </c>
      <c r="DS62" s="112">
        <v>107.81833131</v>
      </c>
      <c r="DT62" s="13">
        <v>1.7022485477</v>
      </c>
      <c r="DU62" s="79">
        <v>74.927237966999996</v>
      </c>
      <c r="DV62" s="13">
        <v>1.1824320169</v>
      </c>
      <c r="DW62" s="79">
        <v>51.363490271000003</v>
      </c>
      <c r="DX62" s="13">
        <v>0.81952997809999995</v>
      </c>
      <c r="DY62" s="79">
        <v>35.087135875000001</v>
      </c>
      <c r="DZ62" s="13">
        <v>0.57155847699999995</v>
      </c>
      <c r="EA62" s="79">
        <v>24.122376241000001</v>
      </c>
      <c r="EB62" s="13">
        <v>0.40400507429999999</v>
      </c>
      <c r="EC62" s="79">
        <v>16.758399137000001</v>
      </c>
      <c r="ED62" s="13">
        <v>0.28960724970000001</v>
      </c>
      <c r="EE62" s="79">
        <v>11.804425738999999</v>
      </c>
      <c r="EF62" s="13">
        <v>0.2106589861</v>
      </c>
      <c r="EG62" s="79">
        <v>8.4482018733000004</v>
      </c>
      <c r="EH62" s="13">
        <v>0.15551959949999999</v>
      </c>
      <c r="EI62" s="79">
        <v>6.1331985510999996</v>
      </c>
      <c r="EJ62" s="13">
        <v>0.1159404647</v>
      </c>
      <c r="EK62" s="79">
        <v>4.5243433238000001</v>
      </c>
      <c r="EL62" s="15">
        <v>8.7438010600000005E-2</v>
      </c>
      <c r="EM62" s="79"/>
      <c r="EN62" s="13"/>
      <c r="EO62" s="79"/>
      <c r="EP62" s="13"/>
      <c r="EQ62" s="79"/>
      <c r="ER62" s="13"/>
      <c r="ES62" s="79"/>
      <c r="ET62" s="13"/>
      <c r="EU62" s="79"/>
      <c r="EV62" s="15"/>
    </row>
    <row r="63" spans="1:152" x14ac:dyDescent="0.2">
      <c r="A63" s="8">
        <v>5800</v>
      </c>
      <c r="B63" s="82">
        <v>4288</v>
      </c>
      <c r="C63" s="83">
        <v>2425.9652977999999</v>
      </c>
      <c r="D63" s="93">
        <v>5749.7947362000004</v>
      </c>
      <c r="E63" s="93">
        <v>49.353749639</v>
      </c>
      <c r="F63" s="94">
        <v>7.9052712100000005E-2</v>
      </c>
      <c r="G63" s="83">
        <v>13.348917913999999</v>
      </c>
      <c r="H63" s="94">
        <v>6.7017550000000002E-3</v>
      </c>
      <c r="I63" s="93">
        <v>208.06347650000001</v>
      </c>
      <c r="J63" s="94">
        <v>2.4220607842000001</v>
      </c>
      <c r="K63" s="93">
        <v>328.39000869</v>
      </c>
      <c r="L63" s="94">
        <v>2.4519272919000001</v>
      </c>
      <c r="M63" s="93">
        <v>1.337182742</v>
      </c>
      <c r="N63" s="94">
        <v>8.0173998999999996E-3</v>
      </c>
      <c r="O63" s="37">
        <v>0</v>
      </c>
      <c r="P63" s="13">
        <v>0</v>
      </c>
      <c r="Q63" s="93">
        <v>55.436158644999999</v>
      </c>
      <c r="R63" s="94">
        <v>0.18429820429999999</v>
      </c>
      <c r="S63" s="37" t="s">
        <v>76</v>
      </c>
      <c r="T63" s="13">
        <v>0</v>
      </c>
      <c r="U63" s="37" t="s">
        <v>76</v>
      </c>
      <c r="V63" s="13">
        <v>0</v>
      </c>
      <c r="W63" s="93">
        <v>0.51416537880000002</v>
      </c>
      <c r="X63" s="94">
        <v>2.7252321999999998E-3</v>
      </c>
      <c r="Y63" s="93">
        <v>4.6530482164000002</v>
      </c>
      <c r="Z63" s="94">
        <v>1.0102906E-3</v>
      </c>
      <c r="AA63" s="37" t="s">
        <v>76</v>
      </c>
      <c r="AB63" s="13">
        <v>0</v>
      </c>
      <c r="AC63" s="93">
        <v>1.5038134E-3</v>
      </c>
      <c r="AD63" s="94">
        <v>5.6485201999999998E-6</v>
      </c>
      <c r="AE63" s="37" t="s">
        <v>76</v>
      </c>
      <c r="AF63" s="13">
        <v>0</v>
      </c>
      <c r="AG63" s="37" t="s">
        <v>76</v>
      </c>
      <c r="AH63" s="13">
        <v>0</v>
      </c>
      <c r="AI63" s="93">
        <v>1.5038134E-3</v>
      </c>
      <c r="AJ63" s="94">
        <v>5.6485201999999998E-6</v>
      </c>
      <c r="AK63" s="93">
        <v>268.04305363999998</v>
      </c>
      <c r="AL63" s="94">
        <v>1.5317833991000001</v>
      </c>
      <c r="AM63" s="37" t="s">
        <v>76</v>
      </c>
      <c r="AN63" s="13">
        <v>0</v>
      </c>
      <c r="AO63" s="37" t="s">
        <v>76</v>
      </c>
      <c r="AP63" s="13">
        <v>0</v>
      </c>
      <c r="AQ63" s="37" t="s">
        <v>76</v>
      </c>
      <c r="AR63" s="13">
        <v>0</v>
      </c>
      <c r="AS63" s="93">
        <v>35.364060574</v>
      </c>
      <c r="AT63" s="94">
        <v>0.56629438359999995</v>
      </c>
      <c r="AU63" s="93">
        <v>35.497398732000001</v>
      </c>
      <c r="AV63" s="94">
        <v>0.22366543999999999</v>
      </c>
      <c r="AW63" s="93">
        <v>24.461322288000002</v>
      </c>
      <c r="AX63" s="94">
        <v>0.1185830319</v>
      </c>
      <c r="AY63" s="93">
        <v>6.8292718409999997</v>
      </c>
      <c r="AZ63" s="94">
        <v>3.4264554000000003E-2</v>
      </c>
      <c r="BA63" s="79">
        <v>4.2068046036000002</v>
      </c>
      <c r="BB63" s="13">
        <v>7.0817854099999994E-2</v>
      </c>
      <c r="BC63" s="93">
        <v>0</v>
      </c>
      <c r="BD63" s="85">
        <v>0</v>
      </c>
      <c r="BE63" s="93">
        <v>48.205245505000001</v>
      </c>
      <c r="BF63" s="94">
        <v>0.1388906074</v>
      </c>
      <c r="BG63" s="94">
        <v>1.15317115E-2</v>
      </c>
      <c r="BH63" s="85">
        <v>0</v>
      </c>
      <c r="BI63" s="93">
        <v>139.5066333</v>
      </c>
      <c r="BJ63" s="94">
        <v>4.07063679</v>
      </c>
      <c r="BK63" s="93">
        <v>191.55242704</v>
      </c>
      <c r="BL63" s="94">
        <v>1.279439513</v>
      </c>
      <c r="BM63" s="93">
        <v>121.20315519</v>
      </c>
      <c r="BN63" s="94">
        <v>0.5688183872</v>
      </c>
      <c r="BO63" s="93">
        <v>18.109272303000001</v>
      </c>
      <c r="BP63" s="94">
        <v>2.9485034E-2</v>
      </c>
      <c r="BQ63" s="93">
        <v>0</v>
      </c>
      <c r="BR63" s="88">
        <v>0</v>
      </c>
      <c r="BS63" s="37" t="s">
        <v>76</v>
      </c>
      <c r="BT63" s="13">
        <v>0</v>
      </c>
      <c r="BU63" s="93">
        <v>0.76252728349999999</v>
      </c>
      <c r="BV63" s="94">
        <v>4.1666348000000001E-3</v>
      </c>
      <c r="BW63" s="93">
        <v>5.1377698100000001E-2</v>
      </c>
      <c r="BX63" s="94">
        <v>2.1779079999999999E-4</v>
      </c>
      <c r="BY63" s="7" t="s">
        <v>76</v>
      </c>
      <c r="BZ63" s="13">
        <v>0</v>
      </c>
      <c r="CA63" s="7" t="s">
        <v>76</v>
      </c>
      <c r="CB63" s="13">
        <v>0</v>
      </c>
      <c r="CC63" s="93">
        <v>53.369358183999999</v>
      </c>
      <c r="CD63" s="94">
        <v>0.1769739437</v>
      </c>
      <c r="CE63" s="93">
        <v>0.42952882780000001</v>
      </c>
      <c r="CF63" s="94">
        <v>2.1012723000000001E-3</v>
      </c>
      <c r="CG63" s="7" t="s">
        <v>76</v>
      </c>
      <c r="CH63" s="13">
        <v>0</v>
      </c>
      <c r="CI63" s="7" t="s">
        <v>76</v>
      </c>
      <c r="CJ63" s="13">
        <v>0</v>
      </c>
      <c r="CK63" s="7" t="s">
        <v>76</v>
      </c>
      <c r="CL63" s="13">
        <v>0</v>
      </c>
      <c r="CM63" s="7" t="s">
        <v>76</v>
      </c>
      <c r="CN63" s="13">
        <v>0</v>
      </c>
      <c r="CO63" s="93">
        <v>0.44477297599999999</v>
      </c>
      <c r="CP63" s="94">
        <v>2.0407462E-3</v>
      </c>
      <c r="CQ63" s="93">
        <v>1.2007678E-3</v>
      </c>
      <c r="CR63" s="94">
        <v>1.24053E-5</v>
      </c>
      <c r="CS63" s="93">
        <v>4.0739169353999998</v>
      </c>
      <c r="CT63" s="94">
        <v>1.5670436100000001E-2</v>
      </c>
      <c r="CU63" s="93">
        <v>4.0509420000000001E-3</v>
      </c>
      <c r="CV63" s="94">
        <v>4.1747399999999999E-5</v>
      </c>
      <c r="CW63" s="6" t="s">
        <v>76</v>
      </c>
      <c r="CX63" s="13">
        <v>0</v>
      </c>
      <c r="CY63" s="7" t="s">
        <v>76</v>
      </c>
      <c r="CZ63" s="15">
        <v>0</v>
      </c>
      <c r="DA63" s="93">
        <v>28.879393256</v>
      </c>
      <c r="DB63" s="94">
        <v>0.16436813140000001</v>
      </c>
      <c r="DC63" s="93">
        <v>8.0330498700000003E-2</v>
      </c>
      <c r="DD63" s="94">
        <v>5.923527E-4</v>
      </c>
      <c r="DE63" s="93">
        <v>29.832504498999999</v>
      </c>
      <c r="DF63" s="94">
        <v>7.6718807400000005E-2</v>
      </c>
      <c r="DG63" s="93">
        <v>0.15198889230000001</v>
      </c>
      <c r="DH63" s="94">
        <v>1.2378614E-3</v>
      </c>
      <c r="DI63" s="188">
        <v>6.4977875999999999E-3</v>
      </c>
      <c r="DJ63" s="189">
        <v>9.9685020000000006E-3</v>
      </c>
      <c r="DK63" s="189">
        <v>1.10102806E-2</v>
      </c>
      <c r="DL63" s="189">
        <v>1.1315202999999999E-2</v>
      </c>
      <c r="DM63" s="189">
        <v>1.13839687E-2</v>
      </c>
      <c r="DN63" s="189">
        <v>1.14380069E-2</v>
      </c>
      <c r="DO63" s="189">
        <v>1.1458443E-2</v>
      </c>
      <c r="DP63" s="189">
        <v>1.1477556700000001E-2</v>
      </c>
      <c r="DQ63" s="189">
        <v>1.14864523E-2</v>
      </c>
      <c r="DR63" s="190">
        <v>1.14936868E-2</v>
      </c>
      <c r="DS63" s="112">
        <v>108.69578563</v>
      </c>
      <c r="DT63" s="13">
        <v>1.7121521952000001</v>
      </c>
      <c r="DU63" s="79">
        <v>75.664875084000002</v>
      </c>
      <c r="DV63" s="13">
        <v>1.1911008063999999</v>
      </c>
      <c r="DW63" s="79">
        <v>51.965149013000001</v>
      </c>
      <c r="DX63" s="13">
        <v>0.82687133390000001</v>
      </c>
      <c r="DY63" s="79">
        <v>35.571613546999998</v>
      </c>
      <c r="DZ63" s="13">
        <v>0.57765557609999996</v>
      </c>
      <c r="EA63" s="79">
        <v>24.507611051000001</v>
      </c>
      <c r="EB63" s="13">
        <v>0.40900507339999997</v>
      </c>
      <c r="EC63" s="79">
        <v>17.060542088999998</v>
      </c>
      <c r="ED63" s="13">
        <v>0.29365937289999999</v>
      </c>
      <c r="EE63" s="79">
        <v>12.042285243</v>
      </c>
      <c r="EF63" s="13">
        <v>0.21394668620000001</v>
      </c>
      <c r="EG63" s="79">
        <v>8.6352161633000009</v>
      </c>
      <c r="EH63" s="13">
        <v>0.15815757859999999</v>
      </c>
      <c r="EI63" s="79">
        <v>6.2809071350999996</v>
      </c>
      <c r="EJ63" s="13">
        <v>0.11806730410000001</v>
      </c>
      <c r="EK63" s="79">
        <v>4.6412313554000004</v>
      </c>
      <c r="EL63" s="15">
        <v>8.9144631200000005E-2</v>
      </c>
      <c r="EM63" s="79"/>
      <c r="EN63" s="13"/>
      <c r="EO63" s="79"/>
      <c r="EP63" s="13"/>
      <c r="EQ63" s="79"/>
      <c r="ER63" s="13"/>
      <c r="ES63" s="79"/>
      <c r="ET63" s="13"/>
      <c r="EU63" s="79"/>
      <c r="EV63" s="15"/>
    </row>
    <row r="64" spans="1:152" x14ac:dyDescent="0.2">
      <c r="A64" s="8">
        <v>5900</v>
      </c>
      <c r="B64" s="82">
        <v>4110</v>
      </c>
      <c r="C64" s="83">
        <v>2446.8203229999999</v>
      </c>
      <c r="D64" s="93">
        <v>5849.0463135</v>
      </c>
      <c r="E64" s="93">
        <v>50.595441510999997</v>
      </c>
      <c r="F64" s="94">
        <v>8.0048959000000003E-2</v>
      </c>
      <c r="G64" s="83">
        <v>13.681483489</v>
      </c>
      <c r="H64" s="94">
        <v>6.8203715000000002E-3</v>
      </c>
      <c r="I64" s="93">
        <v>209.41667439</v>
      </c>
      <c r="J64" s="94">
        <v>2.4323634808999999</v>
      </c>
      <c r="K64" s="93">
        <v>332.39862592999998</v>
      </c>
      <c r="L64" s="94">
        <v>2.472698259</v>
      </c>
      <c r="M64" s="93">
        <v>1.3568511297000001</v>
      </c>
      <c r="N64" s="94">
        <v>8.0964217000000002E-3</v>
      </c>
      <c r="O64" s="37">
        <v>0</v>
      </c>
      <c r="P64" s="13">
        <v>0</v>
      </c>
      <c r="Q64" s="93">
        <v>56.291021700000002</v>
      </c>
      <c r="R64" s="94">
        <v>0.18604376140000001</v>
      </c>
      <c r="S64" s="37" t="s">
        <v>76</v>
      </c>
      <c r="T64" s="13">
        <v>0</v>
      </c>
      <c r="U64" s="37" t="s">
        <v>76</v>
      </c>
      <c r="V64" s="13">
        <v>0</v>
      </c>
      <c r="W64" s="93">
        <v>0.52044002190000005</v>
      </c>
      <c r="X64" s="94">
        <v>2.7378989000000002E-3</v>
      </c>
      <c r="Y64" s="93">
        <v>4.7524719748999997</v>
      </c>
      <c r="Z64" s="94">
        <v>1.0164173E-3</v>
      </c>
      <c r="AA64" s="37" t="s">
        <v>76</v>
      </c>
      <c r="AB64" s="13">
        <v>0</v>
      </c>
      <c r="AC64" s="93">
        <v>1.4974353E-3</v>
      </c>
      <c r="AD64" s="94">
        <v>5.6245821000000002E-6</v>
      </c>
      <c r="AE64" s="37" t="s">
        <v>76</v>
      </c>
      <c r="AF64" s="13">
        <v>0</v>
      </c>
      <c r="AG64" s="37" t="s">
        <v>76</v>
      </c>
      <c r="AH64" s="13">
        <v>0</v>
      </c>
      <c r="AI64" s="93">
        <v>1.4974353E-3</v>
      </c>
      <c r="AJ64" s="94">
        <v>5.6245821000000002E-6</v>
      </c>
      <c r="AK64" s="93">
        <v>269.45037551000001</v>
      </c>
      <c r="AL64" s="94">
        <v>1.5385289819000001</v>
      </c>
      <c r="AM64" s="37" t="s">
        <v>76</v>
      </c>
      <c r="AN64" s="13">
        <v>0</v>
      </c>
      <c r="AO64" s="37" t="s">
        <v>76</v>
      </c>
      <c r="AP64" s="13">
        <v>0</v>
      </c>
      <c r="AQ64" s="37" t="s">
        <v>76</v>
      </c>
      <c r="AR64" s="13">
        <v>0</v>
      </c>
      <c r="AS64" s="93">
        <v>35.855711798999998</v>
      </c>
      <c r="AT64" s="94">
        <v>0.57002363</v>
      </c>
      <c r="AU64" s="93">
        <v>35.831830428000004</v>
      </c>
      <c r="AV64" s="94">
        <v>0.22514639829999999</v>
      </c>
      <c r="AW64" s="93">
        <v>24.705426875000001</v>
      </c>
      <c r="AX64" s="94">
        <v>0.11943193420000001</v>
      </c>
      <c r="AY64" s="93">
        <v>6.8702903438999998</v>
      </c>
      <c r="AZ64" s="94">
        <v>3.4427966900000002E-2</v>
      </c>
      <c r="BA64" s="79">
        <v>4.2561132091999996</v>
      </c>
      <c r="BB64" s="13">
        <v>7.1286497200000007E-2</v>
      </c>
      <c r="BC64" s="93">
        <v>0</v>
      </c>
      <c r="BD64" s="85">
        <v>0</v>
      </c>
      <c r="BE64" s="93">
        <v>49.376139780000003</v>
      </c>
      <c r="BF64" s="94">
        <v>0.140824062</v>
      </c>
      <c r="BG64" s="94">
        <v>1.1769228099999999E-2</v>
      </c>
      <c r="BH64" s="85">
        <v>0</v>
      </c>
      <c r="BI64" s="93">
        <v>140.82838275</v>
      </c>
      <c r="BJ64" s="94">
        <v>4.0974786657999998</v>
      </c>
      <c r="BK64" s="93">
        <v>194.01441550999999</v>
      </c>
      <c r="BL64" s="94">
        <v>1.2915560049999999</v>
      </c>
      <c r="BM64" s="93">
        <v>123.08320872</v>
      </c>
      <c r="BN64" s="94">
        <v>0.57554805509999996</v>
      </c>
      <c r="BO64" s="93">
        <v>18.582794623000002</v>
      </c>
      <c r="BP64" s="94">
        <v>3.0091584300000002E-2</v>
      </c>
      <c r="BQ64" s="93">
        <v>0</v>
      </c>
      <c r="BR64" s="88">
        <v>0</v>
      </c>
      <c r="BS64" s="37" t="s">
        <v>76</v>
      </c>
      <c r="BT64" s="13">
        <v>0</v>
      </c>
      <c r="BU64" s="93">
        <v>0.76269008179999997</v>
      </c>
      <c r="BV64" s="94">
        <v>4.1677483000000003E-3</v>
      </c>
      <c r="BW64" s="93">
        <v>5.1588545E-2</v>
      </c>
      <c r="BX64" s="94">
        <v>2.188259E-4</v>
      </c>
      <c r="BY64" s="7" t="s">
        <v>76</v>
      </c>
      <c r="BZ64" s="13">
        <v>0</v>
      </c>
      <c r="CA64" s="7" t="s">
        <v>76</v>
      </c>
      <c r="CB64" s="13">
        <v>0</v>
      </c>
      <c r="CC64" s="93">
        <v>54.183424107999997</v>
      </c>
      <c r="CD64" s="94">
        <v>0.1785813732</v>
      </c>
      <c r="CE64" s="93">
        <v>0.43370808599999999</v>
      </c>
      <c r="CF64" s="94">
        <v>2.1173966999999999E-3</v>
      </c>
      <c r="CG64" s="7" t="s">
        <v>76</v>
      </c>
      <c r="CH64" s="13">
        <v>0</v>
      </c>
      <c r="CI64" s="7" t="s">
        <v>76</v>
      </c>
      <c r="CJ64" s="13">
        <v>0</v>
      </c>
      <c r="CK64" s="7" t="s">
        <v>76</v>
      </c>
      <c r="CL64" s="13">
        <v>0</v>
      </c>
      <c r="CM64" s="7" t="s">
        <v>76</v>
      </c>
      <c r="CN64" s="13">
        <v>0</v>
      </c>
      <c r="CO64" s="93">
        <v>0.4508948304</v>
      </c>
      <c r="CP64" s="94">
        <v>2.0529455000000002E-3</v>
      </c>
      <c r="CQ64" s="93">
        <v>1.1957725000000001E-3</v>
      </c>
      <c r="CR64" s="94">
        <v>1.23529E-5</v>
      </c>
      <c r="CS64" s="93">
        <v>4.1653440792999996</v>
      </c>
      <c r="CT64" s="94">
        <v>1.6030913800000001E-2</v>
      </c>
      <c r="CU64" s="93">
        <v>4.0959684000000003E-3</v>
      </c>
      <c r="CV64" s="94">
        <v>4.20661E-5</v>
      </c>
      <c r="CW64" s="6" t="s">
        <v>76</v>
      </c>
      <c r="CX64" s="13">
        <v>0</v>
      </c>
      <c r="CY64" s="7" t="s">
        <v>76</v>
      </c>
      <c r="CZ64" s="15">
        <v>0</v>
      </c>
      <c r="DA64" s="93">
        <v>29.265654218000002</v>
      </c>
      <c r="DB64" s="94">
        <v>0.16582728529999999</v>
      </c>
      <c r="DC64" s="93">
        <v>8.0040318299999996E-2</v>
      </c>
      <c r="DD64" s="94">
        <v>6.0040739999999999E-4</v>
      </c>
      <c r="DE64" s="93">
        <v>30.583636395999999</v>
      </c>
      <c r="DF64" s="94">
        <v>7.7880994199999998E-2</v>
      </c>
      <c r="DG64" s="93">
        <v>0.15378096229999999</v>
      </c>
      <c r="DH64" s="94">
        <v>1.2539325999999999E-3</v>
      </c>
      <c r="DI64" s="188">
        <v>6.6071780999999996E-3</v>
      </c>
      <c r="DJ64" s="189">
        <v>1.01503555E-2</v>
      </c>
      <c r="DK64" s="189">
        <v>1.12284641E-2</v>
      </c>
      <c r="DL64" s="189">
        <v>1.15447E-2</v>
      </c>
      <c r="DM64" s="189">
        <v>1.16176002E-2</v>
      </c>
      <c r="DN64" s="189">
        <v>1.1673640900000001E-2</v>
      </c>
      <c r="DO64" s="189">
        <v>1.1695127099999999E-2</v>
      </c>
      <c r="DP64" s="189">
        <v>1.1715296300000001E-2</v>
      </c>
      <c r="DQ64" s="189">
        <v>1.1724155300000001E-2</v>
      </c>
      <c r="DR64" s="190">
        <v>1.17313603E-2</v>
      </c>
      <c r="DS64" s="112">
        <v>109.56075644000001</v>
      </c>
      <c r="DT64" s="13">
        <v>1.7216802437000001</v>
      </c>
      <c r="DU64" s="79">
        <v>76.395769341999994</v>
      </c>
      <c r="DV64" s="13">
        <v>1.1994746596000001</v>
      </c>
      <c r="DW64" s="79">
        <v>52.559626326</v>
      </c>
      <c r="DX64" s="13">
        <v>0.83393966669999997</v>
      </c>
      <c r="DY64" s="79">
        <v>36.042556918000002</v>
      </c>
      <c r="DZ64" s="13">
        <v>0.58347689290000004</v>
      </c>
      <c r="EA64" s="79">
        <v>24.875954906</v>
      </c>
      <c r="EB64" s="13">
        <v>0.41373445110000001</v>
      </c>
      <c r="EC64" s="79">
        <v>17.346874639999999</v>
      </c>
      <c r="ED64" s="13">
        <v>0.29748604810000001</v>
      </c>
      <c r="EE64" s="79">
        <v>12.265268445</v>
      </c>
      <c r="EF64" s="13">
        <v>0.21703494549999999</v>
      </c>
      <c r="EG64" s="79">
        <v>8.8101740724000006</v>
      </c>
      <c r="EH64" s="13">
        <v>0.16065509519999999</v>
      </c>
      <c r="EI64" s="79">
        <v>6.4184433449</v>
      </c>
      <c r="EJ64" s="13">
        <v>0.12009414829999999</v>
      </c>
      <c r="EK64" s="79">
        <v>4.7484685337999997</v>
      </c>
      <c r="EL64" s="15">
        <v>9.0774076999999995E-2</v>
      </c>
      <c r="EM64" s="79"/>
      <c r="EN64" s="13"/>
      <c r="EO64" s="79"/>
      <c r="EP64" s="13"/>
      <c r="EQ64" s="79"/>
      <c r="ER64" s="13"/>
      <c r="ES64" s="79"/>
      <c r="ET64" s="13"/>
      <c r="EU64" s="79"/>
      <c r="EV64" s="15"/>
    </row>
    <row r="65" spans="1:152" x14ac:dyDescent="0.2">
      <c r="A65" s="8">
        <v>6000</v>
      </c>
      <c r="B65" s="82">
        <v>3971</v>
      </c>
      <c r="C65" s="83">
        <v>2467.3607462999998</v>
      </c>
      <c r="D65" s="93">
        <v>5950.4026075000002</v>
      </c>
      <c r="E65" s="93">
        <v>51.670657173000002</v>
      </c>
      <c r="F65" s="94">
        <v>8.0880499699999997E-2</v>
      </c>
      <c r="G65" s="83">
        <v>14.053305748</v>
      </c>
      <c r="H65" s="94">
        <v>6.9439552E-3</v>
      </c>
      <c r="I65" s="93">
        <v>210.68232277999999</v>
      </c>
      <c r="J65" s="94">
        <v>2.4421282884000002</v>
      </c>
      <c r="K65" s="93">
        <v>336.31794151000003</v>
      </c>
      <c r="L65" s="94">
        <v>2.4933278026000001</v>
      </c>
      <c r="M65" s="93">
        <v>1.3737746244</v>
      </c>
      <c r="N65" s="94">
        <v>8.1669602999999997E-3</v>
      </c>
      <c r="O65" s="37">
        <v>0</v>
      </c>
      <c r="P65" s="13">
        <v>0</v>
      </c>
      <c r="Q65" s="93">
        <v>57.262073031</v>
      </c>
      <c r="R65" s="94">
        <v>0.18784042679999999</v>
      </c>
      <c r="S65" s="37" t="s">
        <v>76</v>
      </c>
      <c r="T65" s="13">
        <v>0</v>
      </c>
      <c r="U65" s="37" t="s">
        <v>76</v>
      </c>
      <c r="V65" s="13">
        <v>0</v>
      </c>
      <c r="W65" s="93">
        <v>0.52821600530000001</v>
      </c>
      <c r="X65" s="94">
        <v>2.775207E-3</v>
      </c>
      <c r="Y65" s="93">
        <v>4.8573140379000002</v>
      </c>
      <c r="Z65" s="94">
        <v>1.0495819E-3</v>
      </c>
      <c r="AA65" s="37" t="s">
        <v>76</v>
      </c>
      <c r="AB65" s="13">
        <v>0</v>
      </c>
      <c r="AC65" s="93">
        <v>1.4916307999999999E-3</v>
      </c>
      <c r="AD65" s="94">
        <v>5.6028763000000002E-6</v>
      </c>
      <c r="AE65" s="37" t="s">
        <v>76</v>
      </c>
      <c r="AF65" s="13">
        <v>0</v>
      </c>
      <c r="AG65" s="37" t="s">
        <v>76</v>
      </c>
      <c r="AH65" s="13">
        <v>0</v>
      </c>
      <c r="AI65" s="93">
        <v>1.4916307999999999E-3</v>
      </c>
      <c r="AJ65" s="94">
        <v>5.6028763000000002E-6</v>
      </c>
      <c r="AK65" s="93">
        <v>270.80660492999999</v>
      </c>
      <c r="AL65" s="94">
        <v>1.5449680231</v>
      </c>
      <c r="AM65" s="37" t="s">
        <v>76</v>
      </c>
      <c r="AN65" s="13">
        <v>0</v>
      </c>
      <c r="AO65" s="37" t="s">
        <v>76</v>
      </c>
      <c r="AP65" s="13">
        <v>0</v>
      </c>
      <c r="AQ65" s="37" t="s">
        <v>76</v>
      </c>
      <c r="AR65" s="13">
        <v>0</v>
      </c>
      <c r="AS65" s="93">
        <v>36.361370841000003</v>
      </c>
      <c r="AT65" s="94">
        <v>0.57361792219999996</v>
      </c>
      <c r="AU65" s="93">
        <v>36.156087974000002</v>
      </c>
      <c r="AV65" s="94">
        <v>0.2267213585</v>
      </c>
      <c r="AW65" s="93">
        <v>24.934132335000001</v>
      </c>
      <c r="AX65" s="94">
        <v>0.1202941345</v>
      </c>
      <c r="AY65" s="93">
        <v>6.9100097696000002</v>
      </c>
      <c r="AZ65" s="94">
        <v>3.4599330599999999E-2</v>
      </c>
      <c r="BA65" s="79">
        <v>4.3119458702999998</v>
      </c>
      <c r="BB65" s="13">
        <v>7.1827893399999995E-2</v>
      </c>
      <c r="BC65" s="93">
        <v>0</v>
      </c>
      <c r="BD65" s="85">
        <v>0</v>
      </c>
      <c r="BE65" s="93">
        <v>50.498784508999996</v>
      </c>
      <c r="BF65" s="94">
        <v>0.14285350999999999</v>
      </c>
      <c r="BG65" s="94">
        <v>1.19959131E-2</v>
      </c>
      <c r="BH65" s="85">
        <v>0</v>
      </c>
      <c r="BI65" s="93">
        <v>142.09145813999999</v>
      </c>
      <c r="BJ65" s="94">
        <v>4.1243738828999996</v>
      </c>
      <c r="BK65" s="93">
        <v>196.51046088000001</v>
      </c>
      <c r="BL65" s="94">
        <v>1.3044943120000001</v>
      </c>
      <c r="BM65" s="93">
        <v>125.03777599999999</v>
      </c>
      <c r="BN65" s="94">
        <v>0.58237814659999998</v>
      </c>
      <c r="BO65" s="93">
        <v>19.109095315000001</v>
      </c>
      <c r="BP65" s="94">
        <v>3.0749414799999999E-2</v>
      </c>
      <c r="BQ65" s="93">
        <v>0</v>
      </c>
      <c r="BR65" s="88">
        <v>0</v>
      </c>
      <c r="BS65" s="37" t="s">
        <v>76</v>
      </c>
      <c r="BT65" s="13">
        <v>0</v>
      </c>
      <c r="BU65" s="93">
        <v>0.77298415320000002</v>
      </c>
      <c r="BV65" s="94">
        <v>4.1962928999999998E-3</v>
      </c>
      <c r="BW65" s="93">
        <v>5.1539155000000003E-2</v>
      </c>
      <c r="BX65" s="94">
        <v>2.186078E-4</v>
      </c>
      <c r="BY65" s="7" t="s">
        <v>76</v>
      </c>
      <c r="BZ65" s="13">
        <v>0</v>
      </c>
      <c r="CA65" s="7" t="s">
        <v>76</v>
      </c>
      <c r="CB65" s="13">
        <v>0</v>
      </c>
      <c r="CC65" s="93">
        <v>55.118889699</v>
      </c>
      <c r="CD65" s="94">
        <v>0.18027139689999999</v>
      </c>
      <c r="CE65" s="93">
        <v>0.43678517039999998</v>
      </c>
      <c r="CF65" s="94">
        <v>2.1361891000000002E-3</v>
      </c>
      <c r="CG65" s="7" t="s">
        <v>76</v>
      </c>
      <c r="CH65" s="13">
        <v>0</v>
      </c>
      <c r="CI65" s="7" t="s">
        <v>76</v>
      </c>
      <c r="CJ65" s="13">
        <v>0</v>
      </c>
      <c r="CK65" s="7" t="s">
        <v>76</v>
      </c>
      <c r="CL65" s="13">
        <v>0</v>
      </c>
      <c r="CM65" s="7" t="s">
        <v>76</v>
      </c>
      <c r="CN65" s="13">
        <v>0</v>
      </c>
      <c r="CO65" s="93">
        <v>0.45717161270000001</v>
      </c>
      <c r="CP65" s="94">
        <v>2.0723311999999998E-3</v>
      </c>
      <c r="CQ65" s="93">
        <v>1.1910267E-3</v>
      </c>
      <c r="CR65" s="94">
        <v>1.23037E-5</v>
      </c>
      <c r="CS65" s="93">
        <v>4.2571756448000002</v>
      </c>
      <c r="CT65" s="94">
        <v>1.6370379000000001E-2</v>
      </c>
      <c r="CU65" s="93">
        <v>4.0802236999999998E-3</v>
      </c>
      <c r="CV65" s="94">
        <v>4.1900000000000002E-5</v>
      </c>
      <c r="CW65" s="6" t="s">
        <v>76</v>
      </c>
      <c r="CX65" s="13">
        <v>0</v>
      </c>
      <c r="CY65" s="7" t="s">
        <v>76</v>
      </c>
      <c r="CZ65" s="15">
        <v>0</v>
      </c>
      <c r="DA65" s="93">
        <v>29.670800376999999</v>
      </c>
      <c r="DB65" s="94">
        <v>0.16726554090000001</v>
      </c>
      <c r="DC65" s="93">
        <v>7.9856717100000002E-2</v>
      </c>
      <c r="DD65" s="94">
        <v>6.0151279999999996E-4</v>
      </c>
      <c r="DE65" s="93">
        <v>31.180485256000001</v>
      </c>
      <c r="DF65" s="94">
        <v>7.8896348300000002E-2</v>
      </c>
      <c r="DG65" s="93">
        <v>0.1552512147</v>
      </c>
      <c r="DH65" s="94">
        <v>1.2634078999999999E-3</v>
      </c>
      <c r="DI65" s="188">
        <v>6.7271761999999997E-3</v>
      </c>
      <c r="DJ65" s="189">
        <v>1.0334252E-2</v>
      </c>
      <c r="DK65" s="189">
        <v>1.1437728600000001E-2</v>
      </c>
      <c r="DL65" s="189">
        <v>1.17615642E-2</v>
      </c>
      <c r="DM65" s="189">
        <v>1.1839310299999999E-2</v>
      </c>
      <c r="DN65" s="189">
        <v>1.1897341299999999E-2</v>
      </c>
      <c r="DO65" s="189">
        <v>1.1919868300000001E-2</v>
      </c>
      <c r="DP65" s="189">
        <v>1.19410833E-2</v>
      </c>
      <c r="DQ65" s="189">
        <v>1.19510333E-2</v>
      </c>
      <c r="DR65" s="190">
        <v>1.1958208099999999E-2</v>
      </c>
      <c r="DS65" s="112">
        <v>110.3649138</v>
      </c>
      <c r="DT65" s="13">
        <v>1.7307202734</v>
      </c>
      <c r="DU65" s="79">
        <v>77.077041461999997</v>
      </c>
      <c r="DV65" s="13">
        <v>1.2074753581</v>
      </c>
      <c r="DW65" s="79">
        <v>53.12056767</v>
      </c>
      <c r="DX65" s="13">
        <v>0.84074324040000004</v>
      </c>
      <c r="DY65" s="79">
        <v>36.497636864</v>
      </c>
      <c r="DZ65" s="13">
        <v>0.58913052929999998</v>
      </c>
      <c r="EA65" s="79">
        <v>25.237292133</v>
      </c>
      <c r="EB65" s="13">
        <v>0.41834399900000002</v>
      </c>
      <c r="EC65" s="79">
        <v>17.630440792000002</v>
      </c>
      <c r="ED65" s="13">
        <v>0.30119752509999997</v>
      </c>
      <c r="EE65" s="79">
        <v>12.483499962</v>
      </c>
      <c r="EF65" s="13">
        <v>0.21999824900000001</v>
      </c>
      <c r="EG65" s="79">
        <v>8.9800500958999994</v>
      </c>
      <c r="EH65" s="13">
        <v>0.16303971510000001</v>
      </c>
      <c r="EI65" s="79">
        <v>6.5498687987000004</v>
      </c>
      <c r="EJ65" s="13">
        <v>0.1220041343</v>
      </c>
      <c r="EK65" s="79">
        <v>4.8490297143000003</v>
      </c>
      <c r="EL65" s="15">
        <v>9.2281659000000002E-2</v>
      </c>
      <c r="EM65" s="79"/>
      <c r="EN65" s="13"/>
      <c r="EO65" s="79"/>
      <c r="EP65" s="13"/>
      <c r="EQ65" s="79"/>
      <c r="ER65" s="13"/>
      <c r="ES65" s="79"/>
      <c r="ET65" s="13"/>
      <c r="EU65" s="79"/>
      <c r="EV65" s="15"/>
    </row>
    <row r="66" spans="1:152" x14ac:dyDescent="0.2">
      <c r="A66" s="8">
        <v>6100</v>
      </c>
      <c r="B66" s="82">
        <v>4034</v>
      </c>
      <c r="C66" s="83">
        <v>2487.5817304000002</v>
      </c>
      <c r="D66" s="93">
        <v>6049.3514808999998</v>
      </c>
      <c r="E66" s="93">
        <v>52.858198194000003</v>
      </c>
      <c r="F66" s="94">
        <v>8.1768446199999997E-2</v>
      </c>
      <c r="G66" s="83">
        <v>14.447280320000001</v>
      </c>
      <c r="H66" s="94">
        <v>7.0803159999999997E-3</v>
      </c>
      <c r="I66" s="93">
        <v>211.94743223</v>
      </c>
      <c r="J66" s="94">
        <v>2.4522052348000001</v>
      </c>
      <c r="K66" s="93">
        <v>340.36336868000001</v>
      </c>
      <c r="L66" s="94">
        <v>2.5147310719</v>
      </c>
      <c r="M66" s="93">
        <v>1.3884185735000001</v>
      </c>
      <c r="N66" s="94">
        <v>8.2180780000000002E-3</v>
      </c>
      <c r="O66" s="37">
        <v>0</v>
      </c>
      <c r="P66" s="13">
        <v>0</v>
      </c>
      <c r="Q66" s="93">
        <v>58.178890344999999</v>
      </c>
      <c r="R66" s="94">
        <v>0.18951024129999999</v>
      </c>
      <c r="S66" s="37" t="s">
        <v>76</v>
      </c>
      <c r="T66" s="13">
        <v>0</v>
      </c>
      <c r="U66" s="37" t="s">
        <v>76</v>
      </c>
      <c r="V66" s="13">
        <v>0</v>
      </c>
      <c r="W66" s="93">
        <v>0.5306550927</v>
      </c>
      <c r="X66" s="94">
        <v>2.7824778000000001E-3</v>
      </c>
      <c r="Y66" s="93">
        <v>4.9868884684000001</v>
      </c>
      <c r="Z66" s="94">
        <v>1.0570828E-3</v>
      </c>
      <c r="AA66" s="37" t="s">
        <v>76</v>
      </c>
      <c r="AB66" s="13">
        <v>0</v>
      </c>
      <c r="AC66" s="93">
        <v>1.4853149E-3</v>
      </c>
      <c r="AD66" s="94">
        <v>5.5793266E-6</v>
      </c>
      <c r="AE66" s="37" t="s">
        <v>76</v>
      </c>
      <c r="AF66" s="13">
        <v>0</v>
      </c>
      <c r="AG66" s="37" t="s">
        <v>76</v>
      </c>
      <c r="AH66" s="13">
        <v>0</v>
      </c>
      <c r="AI66" s="93">
        <v>1.4853149E-3</v>
      </c>
      <c r="AJ66" s="94">
        <v>5.5793266E-6</v>
      </c>
      <c r="AK66" s="93">
        <v>272.17018554999999</v>
      </c>
      <c r="AL66" s="94">
        <v>1.5513913625</v>
      </c>
      <c r="AM66" s="37" t="s">
        <v>76</v>
      </c>
      <c r="AN66" s="13">
        <v>0</v>
      </c>
      <c r="AO66" s="37" t="s">
        <v>76</v>
      </c>
      <c r="AP66" s="13">
        <v>0</v>
      </c>
      <c r="AQ66" s="37" t="s">
        <v>76</v>
      </c>
      <c r="AR66" s="13">
        <v>0</v>
      </c>
      <c r="AS66" s="93">
        <v>36.819851182999997</v>
      </c>
      <c r="AT66" s="94">
        <v>0.57715436360000005</v>
      </c>
      <c r="AU66" s="93">
        <v>36.509120164999999</v>
      </c>
      <c r="AV66" s="94">
        <v>0.22823958289999999</v>
      </c>
      <c r="AW66" s="93">
        <v>25.190193796999999</v>
      </c>
      <c r="AX66" s="94">
        <v>0.12122051039999999</v>
      </c>
      <c r="AY66" s="93">
        <v>6.9606425417000004</v>
      </c>
      <c r="AZ66" s="94">
        <v>3.4765368800000002E-2</v>
      </c>
      <c r="BA66" s="79">
        <v>4.3582838265000001</v>
      </c>
      <c r="BB66" s="13">
        <v>7.2253703700000005E-2</v>
      </c>
      <c r="BC66" s="93">
        <v>0</v>
      </c>
      <c r="BD66" s="85">
        <v>0</v>
      </c>
      <c r="BE66" s="93">
        <v>51.645155252000002</v>
      </c>
      <c r="BF66" s="94">
        <v>0.14481918939999999</v>
      </c>
      <c r="BG66" s="94">
        <v>1.2246667100000001E-2</v>
      </c>
      <c r="BH66" s="85">
        <v>0</v>
      </c>
      <c r="BI66" s="93">
        <v>143.42126331</v>
      </c>
      <c r="BJ66" s="94">
        <v>4.1509297059000003</v>
      </c>
      <c r="BK66" s="93">
        <v>198.99883788</v>
      </c>
      <c r="BL66" s="94">
        <v>1.3171819775</v>
      </c>
      <c r="BM66" s="93">
        <v>126.98024922</v>
      </c>
      <c r="BN66" s="94">
        <v>0.58936707509999997</v>
      </c>
      <c r="BO66" s="93">
        <v>19.740269998999999</v>
      </c>
      <c r="BP66" s="94">
        <v>3.1546089300000003E-2</v>
      </c>
      <c r="BQ66" s="93">
        <v>0</v>
      </c>
      <c r="BR66" s="88">
        <v>0</v>
      </c>
      <c r="BS66" s="37" t="s">
        <v>76</v>
      </c>
      <c r="BT66" s="13">
        <v>0</v>
      </c>
      <c r="BU66" s="93">
        <v>0.78095378790000003</v>
      </c>
      <c r="BV66" s="94">
        <v>4.2300619000000001E-3</v>
      </c>
      <c r="BW66" s="93">
        <v>5.4413517000000002E-2</v>
      </c>
      <c r="BX66" s="94">
        <v>2.277693E-4</v>
      </c>
      <c r="BY66" s="7" t="s">
        <v>76</v>
      </c>
      <c r="BZ66" s="13">
        <v>0</v>
      </c>
      <c r="CA66" s="7" t="s">
        <v>76</v>
      </c>
      <c r="CB66" s="13">
        <v>0</v>
      </c>
      <c r="CC66" s="93">
        <v>56.000334717999998</v>
      </c>
      <c r="CD66" s="94">
        <v>0.18184430809999999</v>
      </c>
      <c r="CE66" s="93">
        <v>0.4418625155</v>
      </c>
      <c r="CF66" s="94">
        <v>2.1626283999999999E-3</v>
      </c>
      <c r="CG66" s="7" t="s">
        <v>76</v>
      </c>
      <c r="CH66" s="13">
        <v>0</v>
      </c>
      <c r="CI66" s="7" t="s">
        <v>76</v>
      </c>
      <c r="CJ66" s="13">
        <v>0</v>
      </c>
      <c r="CK66" s="7" t="s">
        <v>76</v>
      </c>
      <c r="CL66" s="13">
        <v>0</v>
      </c>
      <c r="CM66" s="7" t="s">
        <v>76</v>
      </c>
      <c r="CN66" s="13">
        <v>0</v>
      </c>
      <c r="CO66" s="93">
        <v>0.45989393579999999</v>
      </c>
      <c r="CP66" s="94">
        <v>2.0824630000000001E-3</v>
      </c>
      <c r="CQ66" s="93">
        <v>1.1862379E-3</v>
      </c>
      <c r="CR66" s="94">
        <v>1.2251E-5</v>
      </c>
      <c r="CS66" s="93">
        <v>4.3778958870000002</v>
      </c>
      <c r="CT66" s="94">
        <v>1.6736282799999998E-2</v>
      </c>
      <c r="CU66" s="93">
        <v>4.0640585000000003E-3</v>
      </c>
      <c r="CV66" s="94">
        <v>4.1727500000000003E-5</v>
      </c>
      <c r="CW66" s="6" t="s">
        <v>76</v>
      </c>
      <c r="CX66" s="13">
        <v>0</v>
      </c>
      <c r="CY66" s="7" t="s">
        <v>76</v>
      </c>
      <c r="CZ66" s="15">
        <v>0</v>
      </c>
      <c r="DA66" s="93">
        <v>30.031749906999998</v>
      </c>
      <c r="DB66" s="94">
        <v>0.16856295769999999</v>
      </c>
      <c r="DC66" s="93">
        <v>8.1845226899999998E-2</v>
      </c>
      <c r="DD66" s="94">
        <v>6.1463700000000002E-4</v>
      </c>
      <c r="DE66" s="93">
        <v>31.805315724</v>
      </c>
      <c r="DF66" s="94">
        <v>7.99114239E-2</v>
      </c>
      <c r="DG66" s="93">
        <v>0.15661363789999999</v>
      </c>
      <c r="DH66" s="94">
        <v>1.2966549E-3</v>
      </c>
      <c r="DI66" s="188">
        <v>6.8537071999999997E-3</v>
      </c>
      <c r="DJ66" s="189">
        <v>1.05332534E-2</v>
      </c>
      <c r="DK66" s="189">
        <v>1.1664269099999999E-2</v>
      </c>
      <c r="DL66" s="189">
        <v>1.20035378E-2</v>
      </c>
      <c r="DM66" s="189">
        <v>1.20855852E-2</v>
      </c>
      <c r="DN66" s="189">
        <v>1.2147996899999999E-2</v>
      </c>
      <c r="DO66" s="189">
        <v>1.21709235E-2</v>
      </c>
      <c r="DP66" s="189">
        <v>1.2192055199999999E-2</v>
      </c>
      <c r="DQ66" s="189">
        <v>1.22019665E-2</v>
      </c>
      <c r="DR66" s="190">
        <v>1.22091136E-2</v>
      </c>
      <c r="DS66" s="112">
        <v>111.17062675</v>
      </c>
      <c r="DT66" s="13">
        <v>1.7400584761</v>
      </c>
      <c r="DU66" s="79">
        <v>77.752362339000001</v>
      </c>
      <c r="DV66" s="13">
        <v>1.2156940212</v>
      </c>
      <c r="DW66" s="79">
        <v>53.667289930999999</v>
      </c>
      <c r="DX66" s="13">
        <v>0.84769731349999999</v>
      </c>
      <c r="DY66" s="79">
        <v>36.932793666999999</v>
      </c>
      <c r="DZ66" s="13">
        <v>0.59488846129999995</v>
      </c>
      <c r="EA66" s="79">
        <v>25.580069252000001</v>
      </c>
      <c r="EB66" s="13">
        <v>0.42304245800000001</v>
      </c>
      <c r="EC66" s="79">
        <v>17.896955345999999</v>
      </c>
      <c r="ED66" s="13">
        <v>0.30500486919999997</v>
      </c>
      <c r="EE66" s="79">
        <v>12.691374308</v>
      </c>
      <c r="EF66" s="13">
        <v>0.2230791791</v>
      </c>
      <c r="EG66" s="79">
        <v>9.1419850351999994</v>
      </c>
      <c r="EH66" s="13">
        <v>0.1655285558</v>
      </c>
      <c r="EI66" s="79">
        <v>6.6755484522000001</v>
      </c>
      <c r="EJ66" s="13">
        <v>0.1240038738</v>
      </c>
      <c r="EK66" s="79">
        <v>4.9488011027000001</v>
      </c>
      <c r="EL66" s="15">
        <v>9.3907445899999997E-2</v>
      </c>
      <c r="EM66" s="79"/>
      <c r="EN66" s="13"/>
      <c r="EO66" s="79"/>
      <c r="EP66" s="13"/>
      <c r="EQ66" s="79"/>
      <c r="ER66" s="13"/>
      <c r="ES66" s="79"/>
      <c r="ET66" s="13"/>
      <c r="EU66" s="79"/>
      <c r="EV66" s="15"/>
    </row>
    <row r="67" spans="1:152" x14ac:dyDescent="0.2">
      <c r="A67" s="8">
        <v>6200</v>
      </c>
      <c r="B67" s="82">
        <v>3702</v>
      </c>
      <c r="C67" s="83">
        <v>2507.4988530000001</v>
      </c>
      <c r="D67" s="93">
        <v>6149.8305981000003</v>
      </c>
      <c r="E67" s="93">
        <v>54.000495794000003</v>
      </c>
      <c r="F67" s="94">
        <v>8.2675348300000007E-2</v>
      </c>
      <c r="G67" s="83">
        <v>14.752740415</v>
      </c>
      <c r="H67" s="94">
        <v>7.1662781000000004E-3</v>
      </c>
      <c r="I67" s="93">
        <v>213.16447632000001</v>
      </c>
      <c r="J67" s="94">
        <v>2.4618045347000002</v>
      </c>
      <c r="K67" s="93">
        <v>344.20492202999998</v>
      </c>
      <c r="L67" s="94">
        <v>2.5350584036999999</v>
      </c>
      <c r="M67" s="93">
        <v>1.4073960496</v>
      </c>
      <c r="N67" s="94">
        <v>8.3103086E-3</v>
      </c>
      <c r="O67" s="37">
        <v>0</v>
      </c>
      <c r="P67" s="13">
        <v>0</v>
      </c>
      <c r="Q67" s="93">
        <v>59.070375841000001</v>
      </c>
      <c r="R67" s="94">
        <v>0.1911718144</v>
      </c>
      <c r="S67" s="37" t="s">
        <v>76</v>
      </c>
      <c r="T67" s="13">
        <v>0</v>
      </c>
      <c r="U67" s="37" t="s">
        <v>76</v>
      </c>
      <c r="V67" s="13">
        <v>0</v>
      </c>
      <c r="W67" s="93">
        <v>0.54946394109999996</v>
      </c>
      <c r="X67" s="94">
        <v>2.8484831000000002E-3</v>
      </c>
      <c r="Y67" s="93">
        <v>5.0771527703999997</v>
      </c>
      <c r="Z67" s="94">
        <v>1.0681474999999999E-3</v>
      </c>
      <c r="AA67" s="37" t="s">
        <v>76</v>
      </c>
      <c r="AB67" s="13">
        <v>0</v>
      </c>
      <c r="AC67" s="93">
        <v>1.4797344E-3</v>
      </c>
      <c r="AD67" s="94">
        <v>5.5584966999999997E-6</v>
      </c>
      <c r="AE67" s="37" t="s">
        <v>76</v>
      </c>
      <c r="AF67" s="13">
        <v>0</v>
      </c>
      <c r="AG67" s="37" t="s">
        <v>76</v>
      </c>
      <c r="AH67" s="13">
        <v>0</v>
      </c>
      <c r="AI67" s="93">
        <v>1.4797344E-3</v>
      </c>
      <c r="AJ67" s="94">
        <v>5.5584966999999997E-6</v>
      </c>
      <c r="AK67" s="93">
        <v>273.42539535999998</v>
      </c>
      <c r="AL67" s="94">
        <v>1.5572917608000001</v>
      </c>
      <c r="AM67" s="37" t="s">
        <v>76</v>
      </c>
      <c r="AN67" s="13">
        <v>0</v>
      </c>
      <c r="AO67" s="37" t="s">
        <v>76</v>
      </c>
      <c r="AP67" s="13">
        <v>0</v>
      </c>
      <c r="AQ67" s="37" t="s">
        <v>76</v>
      </c>
      <c r="AR67" s="13">
        <v>0</v>
      </c>
      <c r="AS67" s="93">
        <v>37.275792785</v>
      </c>
      <c r="AT67" s="94">
        <v>0.58036553040000005</v>
      </c>
      <c r="AU67" s="93">
        <v>36.830601291000001</v>
      </c>
      <c r="AV67" s="94">
        <v>0.22966990379999999</v>
      </c>
      <c r="AW67" s="93">
        <v>25.440860119</v>
      </c>
      <c r="AX67" s="94">
        <v>0.12206117280000001</v>
      </c>
      <c r="AY67" s="93">
        <v>6.9934099032999999</v>
      </c>
      <c r="AZ67" s="94">
        <v>3.4905503300000001E-2</v>
      </c>
      <c r="BA67" s="79">
        <v>4.3963312689</v>
      </c>
      <c r="BB67" s="13">
        <v>7.2703227699999998E-2</v>
      </c>
      <c r="BC67" s="93">
        <v>0</v>
      </c>
      <c r="BD67" s="85">
        <v>0</v>
      </c>
      <c r="BE67" s="93">
        <v>52.883769274000002</v>
      </c>
      <c r="BF67" s="94">
        <v>0.14688384779999999</v>
      </c>
      <c r="BG67" s="94">
        <v>1.24165649E-2</v>
      </c>
      <c r="BH67" s="85">
        <v>0</v>
      </c>
      <c r="BI67" s="93">
        <v>144.67259150000001</v>
      </c>
      <c r="BJ67" s="94">
        <v>4.1755265241000004</v>
      </c>
      <c r="BK67" s="93">
        <v>201.49637525</v>
      </c>
      <c r="BL67" s="94">
        <v>1.3294465629000001</v>
      </c>
      <c r="BM67" s="93">
        <v>128.48216812000001</v>
      </c>
      <c r="BN67" s="94">
        <v>0.59487273480000002</v>
      </c>
      <c r="BO67" s="93">
        <v>20.321043874000001</v>
      </c>
      <c r="BP67" s="94">
        <v>3.2273417899999997E-2</v>
      </c>
      <c r="BQ67" s="93">
        <v>0</v>
      </c>
      <c r="BR67" s="88">
        <v>0</v>
      </c>
      <c r="BS67" s="37" t="s">
        <v>76</v>
      </c>
      <c r="BT67" s="13">
        <v>0</v>
      </c>
      <c r="BU67" s="93">
        <v>0.79176963410000001</v>
      </c>
      <c r="BV67" s="94">
        <v>4.2830402999999998E-3</v>
      </c>
      <c r="BW67" s="93">
        <v>5.66385877E-2</v>
      </c>
      <c r="BX67" s="94">
        <v>2.35682E-4</v>
      </c>
      <c r="BY67" s="7" t="s">
        <v>76</v>
      </c>
      <c r="BZ67" s="13">
        <v>0</v>
      </c>
      <c r="CA67" s="7" t="s">
        <v>76</v>
      </c>
      <c r="CB67" s="13">
        <v>0</v>
      </c>
      <c r="CC67" s="93">
        <v>56.851756117000001</v>
      </c>
      <c r="CD67" s="94">
        <v>0.1834179239</v>
      </c>
      <c r="CE67" s="93">
        <v>0.4473436335</v>
      </c>
      <c r="CF67" s="94">
        <v>2.1870065000000002E-3</v>
      </c>
      <c r="CG67" s="7" t="s">
        <v>76</v>
      </c>
      <c r="CH67" s="13">
        <v>0</v>
      </c>
      <c r="CI67" s="7" t="s">
        <v>76</v>
      </c>
      <c r="CJ67" s="13">
        <v>0</v>
      </c>
      <c r="CK67" s="7" t="s">
        <v>76</v>
      </c>
      <c r="CL67" s="13">
        <v>0</v>
      </c>
      <c r="CM67" s="7" t="s">
        <v>76</v>
      </c>
      <c r="CN67" s="13">
        <v>0</v>
      </c>
      <c r="CO67" s="93">
        <v>0.4773177428</v>
      </c>
      <c r="CP67" s="94">
        <v>2.1240552999999998E-3</v>
      </c>
      <c r="CQ67" s="93">
        <v>1.1820255999999999E-3</v>
      </c>
      <c r="CR67" s="94">
        <v>1.22046E-5</v>
      </c>
      <c r="CS67" s="93">
        <v>4.4553230196999998</v>
      </c>
      <c r="CT67" s="94">
        <v>1.7013127199999999E-2</v>
      </c>
      <c r="CU67" s="93">
        <v>4.0495864000000001E-3</v>
      </c>
      <c r="CV67" s="94">
        <v>4.1573499999999998E-5</v>
      </c>
      <c r="CW67" s="6" t="s">
        <v>76</v>
      </c>
      <c r="CX67" s="13">
        <v>0</v>
      </c>
      <c r="CY67" s="7" t="s">
        <v>76</v>
      </c>
      <c r="CZ67" s="15">
        <v>0</v>
      </c>
      <c r="DA67" s="93">
        <v>30.392092645999998</v>
      </c>
      <c r="DB67" s="94">
        <v>0.16988441439999999</v>
      </c>
      <c r="DC67" s="93">
        <v>8.1559112399999995E-2</v>
      </c>
      <c r="DD67" s="94">
        <v>6.156248E-4</v>
      </c>
      <c r="DE67" s="93">
        <v>32.543700626000003</v>
      </c>
      <c r="DF67" s="94">
        <v>8.1119124900000006E-2</v>
      </c>
      <c r="DG67" s="93">
        <v>0.15743896030000001</v>
      </c>
      <c r="DH67" s="94">
        <v>1.3072678E-3</v>
      </c>
      <c r="DI67" s="188">
        <v>6.9378881000000002E-3</v>
      </c>
      <c r="DJ67" s="189">
        <v>1.06621141E-2</v>
      </c>
      <c r="DK67" s="189">
        <v>1.1809816900000001E-2</v>
      </c>
      <c r="DL67" s="189">
        <v>1.2157369100000001E-2</v>
      </c>
      <c r="DM67" s="189">
        <v>1.2240871699999999E-2</v>
      </c>
      <c r="DN67" s="189">
        <v>1.2304812300000001E-2</v>
      </c>
      <c r="DO67" s="189">
        <v>1.2328775599999999E-2</v>
      </c>
      <c r="DP67" s="189">
        <v>1.23509503E-2</v>
      </c>
      <c r="DQ67" s="189">
        <v>1.2361946299999999E-2</v>
      </c>
      <c r="DR67" s="190">
        <v>1.2370187899999999E-2</v>
      </c>
      <c r="DS67" s="112">
        <v>111.95371498999999</v>
      </c>
      <c r="DT67" s="13">
        <v>1.7489609141</v>
      </c>
      <c r="DU67" s="79">
        <v>78.418370706000005</v>
      </c>
      <c r="DV67" s="13">
        <v>1.2235904539</v>
      </c>
      <c r="DW67" s="79">
        <v>54.214524122999997</v>
      </c>
      <c r="DX67" s="13">
        <v>0.85444197960000001</v>
      </c>
      <c r="DY67" s="79">
        <v>37.373323677999998</v>
      </c>
      <c r="DZ67" s="13">
        <v>0.60049579740000003</v>
      </c>
      <c r="EA67" s="79">
        <v>25.930827683</v>
      </c>
      <c r="EB67" s="13">
        <v>0.42764481939999999</v>
      </c>
      <c r="EC67" s="79">
        <v>18.176569005000001</v>
      </c>
      <c r="ED67" s="13">
        <v>0.308772084</v>
      </c>
      <c r="EE67" s="79">
        <v>12.912611411</v>
      </c>
      <c r="EF67" s="13">
        <v>0.22616230849999999</v>
      </c>
      <c r="EG67" s="79">
        <v>9.316887006</v>
      </c>
      <c r="EH67" s="13">
        <v>0.1680423841</v>
      </c>
      <c r="EI67" s="79">
        <v>6.8136517925</v>
      </c>
      <c r="EJ67" s="13">
        <v>0.12605809970000001</v>
      </c>
      <c r="EK67" s="79">
        <v>5.0584833145000001</v>
      </c>
      <c r="EL67" s="15">
        <v>9.5585275799999994E-2</v>
      </c>
      <c r="EM67" s="79"/>
      <c r="EN67" s="13"/>
      <c r="EO67" s="79"/>
      <c r="EP67" s="13"/>
      <c r="EQ67" s="79"/>
      <c r="ER67" s="13"/>
      <c r="ES67" s="79"/>
      <c r="ET67" s="13"/>
      <c r="EU67" s="79"/>
      <c r="EV67" s="15"/>
    </row>
    <row r="68" spans="1:152" x14ac:dyDescent="0.2">
      <c r="A68" s="8">
        <v>6300</v>
      </c>
      <c r="B68" s="82">
        <v>3725</v>
      </c>
      <c r="C68" s="83">
        <v>2527.1184825</v>
      </c>
      <c r="D68" s="93">
        <v>6249.3799116999999</v>
      </c>
      <c r="E68" s="93">
        <v>55.154475752000003</v>
      </c>
      <c r="F68" s="94">
        <v>8.3450641500000006E-2</v>
      </c>
      <c r="G68" s="83">
        <v>15.071311236</v>
      </c>
      <c r="H68" s="94">
        <v>7.2673861000000003E-3</v>
      </c>
      <c r="I68" s="93">
        <v>214.42017207999999</v>
      </c>
      <c r="J68" s="94">
        <v>2.4713530383000002</v>
      </c>
      <c r="K68" s="93">
        <v>348.13520223</v>
      </c>
      <c r="L68" s="94">
        <v>2.5550044099</v>
      </c>
      <c r="M68" s="93">
        <v>1.4287086317</v>
      </c>
      <c r="N68" s="94">
        <v>8.4033114999999999E-3</v>
      </c>
      <c r="O68" s="37">
        <v>0</v>
      </c>
      <c r="P68" s="13">
        <v>0</v>
      </c>
      <c r="Q68" s="93">
        <v>59.995651635000002</v>
      </c>
      <c r="R68" s="94">
        <v>0.1928986865</v>
      </c>
      <c r="S68" s="37" t="s">
        <v>76</v>
      </c>
      <c r="T68" s="13">
        <v>0</v>
      </c>
      <c r="U68" s="37" t="s">
        <v>76</v>
      </c>
      <c r="V68" s="13">
        <v>0</v>
      </c>
      <c r="W68" s="93">
        <v>0.56331469570000003</v>
      </c>
      <c r="X68" s="94">
        <v>2.9547073000000001E-3</v>
      </c>
      <c r="Y68" s="93">
        <v>5.1822849307999999</v>
      </c>
      <c r="Z68" s="94">
        <v>1.0728211000000001E-3</v>
      </c>
      <c r="AA68" s="37" t="s">
        <v>76</v>
      </c>
      <c r="AB68" s="13">
        <v>0</v>
      </c>
      <c r="AC68" s="93">
        <v>1.4743374E-3</v>
      </c>
      <c r="AD68" s="94">
        <v>5.538431E-6</v>
      </c>
      <c r="AE68" s="37" t="s">
        <v>76</v>
      </c>
      <c r="AF68" s="13">
        <v>0</v>
      </c>
      <c r="AG68" s="37" t="s">
        <v>76</v>
      </c>
      <c r="AH68" s="13">
        <v>0</v>
      </c>
      <c r="AI68" s="93">
        <v>1.4743374E-3</v>
      </c>
      <c r="AJ68" s="94">
        <v>5.538431E-6</v>
      </c>
      <c r="AK68" s="93">
        <v>274.76069160999998</v>
      </c>
      <c r="AL68" s="94">
        <v>1.5632946072</v>
      </c>
      <c r="AM68" s="37" t="s">
        <v>76</v>
      </c>
      <c r="AN68" s="13">
        <v>0</v>
      </c>
      <c r="AO68" s="37" t="s">
        <v>76</v>
      </c>
      <c r="AP68" s="13">
        <v>0</v>
      </c>
      <c r="AQ68" s="37" t="s">
        <v>76</v>
      </c>
      <c r="AR68" s="13">
        <v>0</v>
      </c>
      <c r="AS68" s="93">
        <v>37.756450227999999</v>
      </c>
      <c r="AT68" s="94">
        <v>0.58390586489999996</v>
      </c>
      <c r="AU68" s="93">
        <v>37.166086667999998</v>
      </c>
      <c r="AV68" s="94">
        <v>0.23114002280000001</v>
      </c>
      <c r="AW68" s="93">
        <v>25.683086581000001</v>
      </c>
      <c r="AX68" s="94">
        <v>0.1228795124</v>
      </c>
      <c r="AY68" s="93">
        <v>7.0329441180999996</v>
      </c>
      <c r="AZ68" s="94">
        <v>3.5074865199999999E-2</v>
      </c>
      <c r="BA68" s="79">
        <v>4.4500559691000001</v>
      </c>
      <c r="BB68" s="13">
        <v>7.3185645199999996E-2</v>
      </c>
      <c r="BC68" s="93">
        <v>0</v>
      </c>
      <c r="BD68" s="85">
        <v>0</v>
      </c>
      <c r="BE68" s="93">
        <v>54.046556406000001</v>
      </c>
      <c r="BF68" s="94">
        <v>0.1489669384</v>
      </c>
      <c r="BG68" s="94">
        <v>1.2593537300000001E-2</v>
      </c>
      <c r="BH68" s="85">
        <v>0</v>
      </c>
      <c r="BI68" s="93">
        <v>145.93492860999999</v>
      </c>
      <c r="BJ68" s="94">
        <v>4.2011795303000001</v>
      </c>
      <c r="BK68" s="93">
        <v>203.84132908999999</v>
      </c>
      <c r="BL68" s="94">
        <v>1.3411540654</v>
      </c>
      <c r="BM68" s="93">
        <v>130.23307613</v>
      </c>
      <c r="BN68" s="94">
        <v>0.60136823449999999</v>
      </c>
      <c r="BO68" s="93">
        <v>20.878918383999999</v>
      </c>
      <c r="BP68" s="94">
        <v>3.2962161599999998E-2</v>
      </c>
      <c r="BQ68" s="93">
        <v>0</v>
      </c>
      <c r="BR68" s="88">
        <v>0</v>
      </c>
      <c r="BS68" s="37" t="s">
        <v>76</v>
      </c>
      <c r="BT68" s="13">
        <v>0</v>
      </c>
      <c r="BU68" s="93">
        <v>0.8066145173</v>
      </c>
      <c r="BV68" s="94">
        <v>4.3498942999999997E-3</v>
      </c>
      <c r="BW68" s="93">
        <v>5.7487156900000003E-2</v>
      </c>
      <c r="BX68" s="94">
        <v>2.3798990000000001E-4</v>
      </c>
      <c r="BY68" s="7" t="s">
        <v>76</v>
      </c>
      <c r="BZ68" s="13">
        <v>0</v>
      </c>
      <c r="CA68" s="7" t="s">
        <v>76</v>
      </c>
      <c r="CB68" s="13">
        <v>0</v>
      </c>
      <c r="CC68" s="93">
        <v>57.736374554999998</v>
      </c>
      <c r="CD68" s="94">
        <v>0.18504258300000001</v>
      </c>
      <c r="CE68" s="93">
        <v>0.45306932170000003</v>
      </c>
      <c r="CF68" s="94">
        <v>2.2131413000000002E-3</v>
      </c>
      <c r="CG68" s="7" t="s">
        <v>76</v>
      </c>
      <c r="CH68" s="13">
        <v>0</v>
      </c>
      <c r="CI68" s="7" t="s">
        <v>76</v>
      </c>
      <c r="CJ68" s="13">
        <v>0</v>
      </c>
      <c r="CK68" s="7" t="s">
        <v>76</v>
      </c>
      <c r="CL68" s="13">
        <v>0</v>
      </c>
      <c r="CM68" s="7" t="s">
        <v>76</v>
      </c>
      <c r="CN68" s="13">
        <v>0</v>
      </c>
      <c r="CO68" s="93">
        <v>0.49143527120000002</v>
      </c>
      <c r="CP68" s="94">
        <v>2.2330051000000002E-3</v>
      </c>
      <c r="CQ68" s="93">
        <v>1.1776725E-3</v>
      </c>
      <c r="CR68" s="94">
        <v>1.21581E-5</v>
      </c>
      <c r="CS68" s="93">
        <v>4.5529011478000001</v>
      </c>
      <c r="CT68" s="94">
        <v>1.73891155E-2</v>
      </c>
      <c r="CU68" s="93">
        <v>5.0989115E-3</v>
      </c>
      <c r="CV68" s="94">
        <v>4.3017099999999998E-5</v>
      </c>
      <c r="CW68" s="6" t="s">
        <v>76</v>
      </c>
      <c r="CX68" s="13">
        <v>0</v>
      </c>
      <c r="CY68" s="7" t="s">
        <v>76</v>
      </c>
      <c r="CZ68" s="15">
        <v>0</v>
      </c>
      <c r="DA68" s="93">
        <v>30.754967995000001</v>
      </c>
      <c r="DB68" s="94">
        <v>0.17127492120000001</v>
      </c>
      <c r="DC68" s="93">
        <v>8.1919946899999999E-2</v>
      </c>
      <c r="DD68" s="94">
        <v>6.2030850000000003E-4</v>
      </c>
      <c r="DE68" s="93">
        <v>33.189725699</v>
      </c>
      <c r="DF68" s="94">
        <v>8.2170686399999998E-2</v>
      </c>
      <c r="DG68" s="93">
        <v>0.1571577368</v>
      </c>
      <c r="DH68" s="94">
        <v>1.3067498999999999E-3</v>
      </c>
      <c r="DI68" s="188">
        <v>7.0359044000000001E-3</v>
      </c>
      <c r="DJ68" s="189">
        <v>1.0808761300000001E-2</v>
      </c>
      <c r="DK68" s="189">
        <v>1.19771849E-2</v>
      </c>
      <c r="DL68" s="189">
        <v>1.23288701E-2</v>
      </c>
      <c r="DM68" s="189">
        <v>1.2413133099999999E-2</v>
      </c>
      <c r="DN68" s="189">
        <v>1.24779066E-2</v>
      </c>
      <c r="DO68" s="189">
        <v>1.25028568E-2</v>
      </c>
      <c r="DP68" s="189">
        <v>1.2526025E-2</v>
      </c>
      <c r="DQ68" s="189">
        <v>1.25380562E-2</v>
      </c>
      <c r="DR68" s="190">
        <v>1.25473437E-2</v>
      </c>
      <c r="DS68" s="112">
        <v>112.75559205</v>
      </c>
      <c r="DT68" s="13">
        <v>1.7577807185000001</v>
      </c>
      <c r="DU68" s="79">
        <v>79.098679098999995</v>
      </c>
      <c r="DV68" s="13">
        <v>1.2313813773</v>
      </c>
      <c r="DW68" s="79">
        <v>54.774713013000003</v>
      </c>
      <c r="DX68" s="13">
        <v>0.86109214999999995</v>
      </c>
      <c r="DY68" s="79">
        <v>37.822213112999997</v>
      </c>
      <c r="DZ68" s="13">
        <v>0.60602293230000004</v>
      </c>
      <c r="EA68" s="79">
        <v>26.289215989999999</v>
      </c>
      <c r="EB68" s="13">
        <v>0.43220116479999998</v>
      </c>
      <c r="EC68" s="79">
        <v>18.460169050000001</v>
      </c>
      <c r="ED68" s="13">
        <v>0.31251844410000001</v>
      </c>
      <c r="EE68" s="79">
        <v>13.137182470000001</v>
      </c>
      <c r="EF68" s="13">
        <v>0.22923904379999999</v>
      </c>
      <c r="EG68" s="79">
        <v>9.4971958695000005</v>
      </c>
      <c r="EH68" s="13">
        <v>0.17058523049999999</v>
      </c>
      <c r="EI68" s="79">
        <v>6.9614134717000002</v>
      </c>
      <c r="EJ68" s="13">
        <v>0.12818580569999999</v>
      </c>
      <c r="EK68" s="79">
        <v>5.1806166151999999</v>
      </c>
      <c r="EL68" s="15">
        <v>9.7363455000000002E-2</v>
      </c>
      <c r="EM68" s="79"/>
      <c r="EN68" s="13"/>
      <c r="EO68" s="79"/>
      <c r="EP68" s="13"/>
      <c r="EQ68" s="79"/>
      <c r="ER68" s="13"/>
      <c r="ES68" s="79"/>
      <c r="ET68" s="13"/>
      <c r="EU68" s="79"/>
      <c r="EV68" s="15"/>
    </row>
    <row r="69" spans="1:152" x14ac:dyDescent="0.2">
      <c r="A69" s="8">
        <v>6400</v>
      </c>
      <c r="B69" s="82">
        <v>3618</v>
      </c>
      <c r="C69" s="83">
        <v>2546.455195</v>
      </c>
      <c r="D69" s="93">
        <v>6350.7524649999996</v>
      </c>
      <c r="E69" s="93">
        <v>56.298634362000001</v>
      </c>
      <c r="F69" s="94">
        <v>8.4328608599999993E-2</v>
      </c>
      <c r="G69" s="83">
        <v>15.454795605999999</v>
      </c>
      <c r="H69" s="94">
        <v>7.3854606999999997E-3</v>
      </c>
      <c r="I69" s="93">
        <v>215.64825561000001</v>
      </c>
      <c r="J69" s="94">
        <v>2.4801143427999999</v>
      </c>
      <c r="K69" s="93">
        <v>352.01212443999998</v>
      </c>
      <c r="L69" s="94">
        <v>2.5750954853999999</v>
      </c>
      <c r="M69" s="93">
        <v>1.4530767551999999</v>
      </c>
      <c r="N69" s="94">
        <v>8.6245511000000007E-3</v>
      </c>
      <c r="O69" s="37">
        <v>0</v>
      </c>
      <c r="P69" s="13">
        <v>0</v>
      </c>
      <c r="Q69" s="93">
        <v>60.897076617000003</v>
      </c>
      <c r="R69" s="94">
        <v>0.19439954309999999</v>
      </c>
      <c r="S69" s="37" t="s">
        <v>76</v>
      </c>
      <c r="T69" s="13">
        <v>0</v>
      </c>
      <c r="U69" s="37" t="s">
        <v>76</v>
      </c>
      <c r="V69" s="13">
        <v>0</v>
      </c>
      <c r="W69" s="93">
        <v>0.56602879719999999</v>
      </c>
      <c r="X69" s="94">
        <v>2.9566025000000002E-3</v>
      </c>
      <c r="Y69" s="93">
        <v>5.2786541183000004</v>
      </c>
      <c r="Z69" s="94">
        <v>1.1000531E-3</v>
      </c>
      <c r="AA69" s="37" t="s">
        <v>76</v>
      </c>
      <c r="AB69" s="13">
        <v>0</v>
      </c>
      <c r="AC69" s="93">
        <v>1.4690126E-3</v>
      </c>
      <c r="AD69" s="94">
        <v>5.5183873999999996E-6</v>
      </c>
      <c r="AE69" s="37" t="s">
        <v>76</v>
      </c>
      <c r="AF69" s="13">
        <v>0</v>
      </c>
      <c r="AG69" s="37" t="s">
        <v>76</v>
      </c>
      <c r="AH69" s="13">
        <v>0</v>
      </c>
      <c r="AI69" s="93">
        <v>1.4690126E-3</v>
      </c>
      <c r="AJ69" s="94">
        <v>5.5183873999999996E-6</v>
      </c>
      <c r="AK69" s="93">
        <v>275.97141209</v>
      </c>
      <c r="AL69" s="94">
        <v>1.5688319128999999</v>
      </c>
      <c r="AM69" s="37" t="s">
        <v>76</v>
      </c>
      <c r="AN69" s="13">
        <v>0</v>
      </c>
      <c r="AO69" s="37" t="s">
        <v>76</v>
      </c>
      <c r="AP69" s="13">
        <v>0</v>
      </c>
      <c r="AQ69" s="37" t="s">
        <v>76</v>
      </c>
      <c r="AR69" s="13">
        <v>0</v>
      </c>
      <c r="AS69" s="93">
        <v>38.230328637</v>
      </c>
      <c r="AT69" s="94">
        <v>0.58703779249999999</v>
      </c>
      <c r="AU69" s="93">
        <v>37.435872234000001</v>
      </c>
      <c r="AV69" s="94">
        <v>0.23248754260000001</v>
      </c>
      <c r="AW69" s="93">
        <v>25.877660973000001</v>
      </c>
      <c r="AX69" s="94">
        <v>0.1236994568</v>
      </c>
      <c r="AY69" s="93">
        <v>7.0680137960999998</v>
      </c>
      <c r="AZ69" s="94">
        <v>3.5196315300000003E-2</v>
      </c>
      <c r="BA69" s="79">
        <v>4.4901974653999996</v>
      </c>
      <c r="BB69" s="13">
        <v>7.3591770500000001E-2</v>
      </c>
      <c r="BC69" s="93">
        <v>0</v>
      </c>
      <c r="BD69" s="85">
        <v>0</v>
      </c>
      <c r="BE69" s="93">
        <v>55.158297568999998</v>
      </c>
      <c r="BF69" s="94">
        <v>0.1507840731</v>
      </c>
      <c r="BG69" s="94">
        <v>1.2836451E-2</v>
      </c>
      <c r="BH69" s="85">
        <v>0</v>
      </c>
      <c r="BI69" s="93">
        <v>147.09802951</v>
      </c>
      <c r="BJ69" s="94">
        <v>4.2251695235</v>
      </c>
      <c r="BK69" s="93">
        <v>206.21966957999999</v>
      </c>
      <c r="BL69" s="94">
        <v>1.3529710292999999</v>
      </c>
      <c r="BM69" s="93">
        <v>131.89524607999999</v>
      </c>
      <c r="BN69" s="94">
        <v>0.60741962520000004</v>
      </c>
      <c r="BO69" s="93">
        <v>21.459813837999999</v>
      </c>
      <c r="BP69" s="94">
        <v>3.3658925300000003E-2</v>
      </c>
      <c r="BQ69" s="93">
        <v>0</v>
      </c>
      <c r="BR69" s="88">
        <v>0</v>
      </c>
      <c r="BS69" s="37" t="s">
        <v>76</v>
      </c>
      <c r="BT69" s="13">
        <v>0</v>
      </c>
      <c r="BU69" s="93">
        <v>0.82739349760000003</v>
      </c>
      <c r="BV69" s="94">
        <v>4.5460142000000002E-3</v>
      </c>
      <c r="BW69" s="93">
        <v>5.7410154999999997E-2</v>
      </c>
      <c r="BX69" s="94">
        <v>2.392688E-4</v>
      </c>
      <c r="BY69" s="7" t="s">
        <v>76</v>
      </c>
      <c r="BZ69" s="13">
        <v>0</v>
      </c>
      <c r="CA69" s="7" t="s">
        <v>76</v>
      </c>
      <c r="CB69" s="13">
        <v>0</v>
      </c>
      <c r="CC69" s="93">
        <v>58.604895196999998</v>
      </c>
      <c r="CD69" s="94">
        <v>0.1864696797</v>
      </c>
      <c r="CE69" s="93">
        <v>0.45954760610000001</v>
      </c>
      <c r="CF69" s="94">
        <v>2.2412977E-3</v>
      </c>
      <c r="CG69" s="7" t="s">
        <v>76</v>
      </c>
      <c r="CH69" s="13">
        <v>0</v>
      </c>
      <c r="CI69" s="7" t="s">
        <v>76</v>
      </c>
      <c r="CJ69" s="13">
        <v>0</v>
      </c>
      <c r="CK69" s="7" t="s">
        <v>76</v>
      </c>
      <c r="CL69" s="13">
        <v>0</v>
      </c>
      <c r="CM69" s="7" t="s">
        <v>76</v>
      </c>
      <c r="CN69" s="13">
        <v>0</v>
      </c>
      <c r="CO69" s="93">
        <v>0.49416275139999999</v>
      </c>
      <c r="CP69" s="94">
        <v>2.2355080000000002E-3</v>
      </c>
      <c r="CQ69" s="93">
        <v>1.1733692999999999E-3</v>
      </c>
      <c r="CR69" s="94">
        <v>1.21144E-5</v>
      </c>
      <c r="CS69" s="93">
        <v>4.636719158</v>
      </c>
      <c r="CT69" s="94">
        <v>1.7628360700000002E-2</v>
      </c>
      <c r="CU69" s="93">
        <v>5.1511131999999998E-3</v>
      </c>
      <c r="CV69" s="94">
        <v>4.3496299999999999E-5</v>
      </c>
      <c r="CW69" s="6" t="s">
        <v>76</v>
      </c>
      <c r="CX69" s="13">
        <v>0</v>
      </c>
      <c r="CY69" s="7" t="s">
        <v>76</v>
      </c>
      <c r="CZ69" s="15">
        <v>0</v>
      </c>
      <c r="DA69" s="93">
        <v>31.14690019</v>
      </c>
      <c r="DB69" s="94">
        <v>0.17257480310000001</v>
      </c>
      <c r="DC69" s="93">
        <v>8.3384022399999994E-2</v>
      </c>
      <c r="DD69" s="94">
        <v>6.2956809999999998E-4</v>
      </c>
      <c r="DE69" s="93">
        <v>33.799008594</v>
      </c>
      <c r="DF69" s="94">
        <v>8.3121401900000003E-2</v>
      </c>
      <c r="DG69" s="93">
        <v>0.15798804420000001</v>
      </c>
      <c r="DH69" s="94">
        <v>1.3195024999999999E-3</v>
      </c>
      <c r="DI69" s="188">
        <v>7.1412317000000003E-3</v>
      </c>
      <c r="DJ69" s="189">
        <v>1.0982367099999999E-2</v>
      </c>
      <c r="DK69" s="189">
        <v>1.2195863600000001E-2</v>
      </c>
      <c r="DL69" s="189">
        <v>1.2561289200000001E-2</v>
      </c>
      <c r="DM69" s="189">
        <v>1.2647966E-2</v>
      </c>
      <c r="DN69" s="189">
        <v>1.27152195E-2</v>
      </c>
      <c r="DO69" s="189">
        <v>1.27423138E-2</v>
      </c>
      <c r="DP69" s="189">
        <v>1.2767632399999999E-2</v>
      </c>
      <c r="DQ69" s="189">
        <v>1.2781195800000001E-2</v>
      </c>
      <c r="DR69" s="190">
        <v>1.2790447E-2</v>
      </c>
      <c r="DS69" s="112">
        <v>113.53957363000001</v>
      </c>
      <c r="DT69" s="13">
        <v>1.7659156364999999</v>
      </c>
      <c r="DU69" s="79">
        <v>79.760257410999998</v>
      </c>
      <c r="DV69" s="13">
        <v>1.2385531678999999</v>
      </c>
      <c r="DW69" s="79">
        <v>55.313377768000002</v>
      </c>
      <c r="DX69" s="13">
        <v>0.86716213850000001</v>
      </c>
      <c r="DY69" s="79">
        <v>38.250646598000003</v>
      </c>
      <c r="DZ69" s="13">
        <v>0.61102007209999998</v>
      </c>
      <c r="EA69" s="79">
        <v>26.629689467999999</v>
      </c>
      <c r="EB69" s="13">
        <v>0.43627841620000002</v>
      </c>
      <c r="EC69" s="79">
        <v>18.730860368999998</v>
      </c>
      <c r="ED69" s="13">
        <v>0.3158254613</v>
      </c>
      <c r="EE69" s="79">
        <v>13.351673133</v>
      </c>
      <c r="EF69" s="13">
        <v>0.2319024103</v>
      </c>
      <c r="EG69" s="79">
        <v>9.6684768391000002</v>
      </c>
      <c r="EH69" s="13">
        <v>0.17274011410000001</v>
      </c>
      <c r="EI69" s="79">
        <v>7.0984772279000001</v>
      </c>
      <c r="EJ69" s="13">
        <v>0.12992021240000001</v>
      </c>
      <c r="EK69" s="79">
        <v>5.2923583214000001</v>
      </c>
      <c r="EL69" s="15">
        <v>9.8785106799999994E-2</v>
      </c>
      <c r="EM69" s="79"/>
      <c r="EN69" s="13"/>
      <c r="EO69" s="79"/>
      <c r="EP69" s="13"/>
      <c r="EQ69" s="79"/>
      <c r="ER69" s="13"/>
      <c r="ES69" s="79"/>
      <c r="ET69" s="13"/>
      <c r="EU69" s="79"/>
      <c r="EV69" s="15"/>
    </row>
    <row r="70" spans="1:152" x14ac:dyDescent="0.2">
      <c r="A70" s="8">
        <v>6500</v>
      </c>
      <c r="B70" s="82">
        <v>3483</v>
      </c>
      <c r="C70" s="83">
        <v>2565.506973</v>
      </c>
      <c r="D70" s="93">
        <v>6450.2719549000003</v>
      </c>
      <c r="E70" s="93">
        <v>57.463748535999997</v>
      </c>
      <c r="F70" s="94">
        <v>8.5174967399999996E-2</v>
      </c>
      <c r="G70" s="83">
        <v>15.709798212999999</v>
      </c>
      <c r="H70" s="94">
        <v>7.460431E-3</v>
      </c>
      <c r="I70" s="93">
        <v>216.94585106</v>
      </c>
      <c r="J70" s="94">
        <v>2.4897215038999998</v>
      </c>
      <c r="K70" s="93">
        <v>355.94036901999999</v>
      </c>
      <c r="L70" s="94">
        <v>2.5955839959000002</v>
      </c>
      <c r="M70" s="93">
        <v>1.4714135435</v>
      </c>
      <c r="N70" s="94">
        <v>8.7030969999999999E-3</v>
      </c>
      <c r="O70" s="37">
        <v>0</v>
      </c>
      <c r="P70" s="13">
        <v>0</v>
      </c>
      <c r="Q70" s="93">
        <v>61.806603662000001</v>
      </c>
      <c r="R70" s="94">
        <v>0.19607134870000001</v>
      </c>
      <c r="S70" s="37" t="s">
        <v>76</v>
      </c>
      <c r="T70" s="13">
        <v>0</v>
      </c>
      <c r="U70" s="37" t="s">
        <v>76</v>
      </c>
      <c r="V70" s="13">
        <v>0</v>
      </c>
      <c r="W70" s="93">
        <v>0.57509946239999998</v>
      </c>
      <c r="X70" s="94">
        <v>2.9732742000000002E-3</v>
      </c>
      <c r="Y70" s="93">
        <v>5.3571319054000002</v>
      </c>
      <c r="Z70" s="94">
        <v>1.1301351E-3</v>
      </c>
      <c r="AA70" s="37" t="s">
        <v>76</v>
      </c>
      <c r="AB70" s="13">
        <v>0</v>
      </c>
      <c r="AC70" s="93">
        <v>1.4639423000000001E-3</v>
      </c>
      <c r="AD70" s="94">
        <v>5.499208E-6</v>
      </c>
      <c r="AE70" s="37" t="s">
        <v>76</v>
      </c>
      <c r="AF70" s="13">
        <v>0</v>
      </c>
      <c r="AG70" s="37" t="s">
        <v>76</v>
      </c>
      <c r="AH70" s="13">
        <v>0</v>
      </c>
      <c r="AI70" s="93">
        <v>1.4639423000000001E-3</v>
      </c>
      <c r="AJ70" s="94">
        <v>5.499208E-6</v>
      </c>
      <c r="AK70" s="93">
        <v>277.24776508999997</v>
      </c>
      <c r="AL70" s="94">
        <v>1.5746179306000001</v>
      </c>
      <c r="AM70" s="37" t="s">
        <v>76</v>
      </c>
      <c r="AN70" s="13">
        <v>0</v>
      </c>
      <c r="AO70" s="37" t="s">
        <v>76</v>
      </c>
      <c r="AP70" s="13">
        <v>0</v>
      </c>
      <c r="AQ70" s="37" t="s">
        <v>76</v>
      </c>
      <c r="AR70" s="13">
        <v>0</v>
      </c>
      <c r="AS70" s="93">
        <v>38.688026319000002</v>
      </c>
      <c r="AT70" s="94">
        <v>0.59042825409999999</v>
      </c>
      <c r="AU70" s="93">
        <v>37.744420140000003</v>
      </c>
      <c r="AV70" s="94">
        <v>0.23382065790000001</v>
      </c>
      <c r="AW70" s="93">
        <v>26.109738199999999</v>
      </c>
      <c r="AX70" s="94">
        <v>0.12447971200000001</v>
      </c>
      <c r="AY70" s="93">
        <v>7.1148564177000004</v>
      </c>
      <c r="AZ70" s="94">
        <v>3.5362948399999997E-2</v>
      </c>
      <c r="BA70" s="79">
        <v>4.5198255225999997</v>
      </c>
      <c r="BB70" s="13">
        <v>7.3977997500000003E-2</v>
      </c>
      <c r="BC70" s="93">
        <v>0</v>
      </c>
      <c r="BD70" s="85">
        <v>0</v>
      </c>
      <c r="BE70" s="93">
        <v>56.269738922999998</v>
      </c>
      <c r="BF70" s="94">
        <v>0.15265550589999999</v>
      </c>
      <c r="BG70" s="94">
        <v>1.29996665E-2</v>
      </c>
      <c r="BH70" s="85">
        <v>0</v>
      </c>
      <c r="BI70" s="93">
        <v>148.35465361000001</v>
      </c>
      <c r="BJ70" s="94">
        <v>4.2509013401000004</v>
      </c>
      <c r="BK70" s="93">
        <v>208.41154365</v>
      </c>
      <c r="BL70" s="94">
        <v>1.3642979854999999</v>
      </c>
      <c r="BM70" s="93">
        <v>133.57743250999999</v>
      </c>
      <c r="BN70" s="94">
        <v>0.61343703090000001</v>
      </c>
      <c r="BO70" s="93">
        <v>21.982536784000001</v>
      </c>
      <c r="BP70" s="94">
        <v>3.4282823599999998E-2</v>
      </c>
      <c r="BQ70" s="93">
        <v>0</v>
      </c>
      <c r="BR70" s="88">
        <v>0</v>
      </c>
      <c r="BS70" s="37" t="s">
        <v>76</v>
      </c>
      <c r="BT70" s="13">
        <v>0</v>
      </c>
      <c r="BU70" s="93">
        <v>0.83727961409999996</v>
      </c>
      <c r="BV70" s="94">
        <v>4.5774363000000004E-3</v>
      </c>
      <c r="BW70" s="93">
        <v>5.7895336300000003E-2</v>
      </c>
      <c r="BX70" s="94">
        <v>2.4079820000000001E-4</v>
      </c>
      <c r="BY70" s="7" t="s">
        <v>76</v>
      </c>
      <c r="BZ70" s="13">
        <v>0</v>
      </c>
      <c r="CA70" s="7" t="s">
        <v>76</v>
      </c>
      <c r="CB70" s="13">
        <v>0</v>
      </c>
      <c r="CC70" s="93">
        <v>59.481993717999998</v>
      </c>
      <c r="CD70" s="94">
        <v>0.18804515729999999</v>
      </c>
      <c r="CE70" s="93">
        <v>0.4645571302</v>
      </c>
      <c r="CF70" s="94">
        <v>2.2689120000000001E-3</v>
      </c>
      <c r="CG70" s="7" t="s">
        <v>76</v>
      </c>
      <c r="CH70" s="13">
        <v>0</v>
      </c>
      <c r="CI70" s="7" t="s">
        <v>76</v>
      </c>
      <c r="CJ70" s="13">
        <v>0</v>
      </c>
      <c r="CK70" s="7" t="s">
        <v>76</v>
      </c>
      <c r="CL70" s="13">
        <v>0</v>
      </c>
      <c r="CM70" s="7" t="s">
        <v>76</v>
      </c>
      <c r="CN70" s="13">
        <v>0</v>
      </c>
      <c r="CO70" s="93">
        <v>0.50347264700000005</v>
      </c>
      <c r="CP70" s="94">
        <v>2.2545869000000001E-3</v>
      </c>
      <c r="CQ70" s="93">
        <v>1.1695817000000001E-3</v>
      </c>
      <c r="CR70" s="94">
        <v>1.20747E-5</v>
      </c>
      <c r="CS70" s="93">
        <v>4.7031451697</v>
      </c>
      <c r="CT70" s="94">
        <v>1.7879432800000001E-2</v>
      </c>
      <c r="CU70" s="93">
        <v>5.3507804000000004E-3</v>
      </c>
      <c r="CV70" s="94">
        <v>4.5238499999999997E-5</v>
      </c>
      <c r="CW70" s="6" t="s">
        <v>76</v>
      </c>
      <c r="CX70" s="13">
        <v>0</v>
      </c>
      <c r="CY70" s="7" t="s">
        <v>76</v>
      </c>
      <c r="CZ70" s="15">
        <v>0</v>
      </c>
      <c r="DA70" s="93">
        <v>31.533838865</v>
      </c>
      <c r="DB70" s="94">
        <v>0.17392158129999999</v>
      </c>
      <c r="DC70" s="93">
        <v>8.4010966199999995E-2</v>
      </c>
      <c r="DD70" s="94">
        <v>6.3126899999999995E-4</v>
      </c>
      <c r="DE70" s="93">
        <v>34.420921174</v>
      </c>
      <c r="DF70" s="94">
        <v>8.4133181599999995E-2</v>
      </c>
      <c r="DG70" s="93">
        <v>0.159363378</v>
      </c>
      <c r="DH70" s="94">
        <v>1.3307172E-3</v>
      </c>
      <c r="DI70" s="188">
        <v>7.2116879000000004E-3</v>
      </c>
      <c r="DJ70" s="189">
        <v>1.10930634E-2</v>
      </c>
      <c r="DK70" s="189">
        <v>1.2325603399999999E-2</v>
      </c>
      <c r="DL70" s="189">
        <v>1.2696381499999999E-2</v>
      </c>
      <c r="DM70" s="189">
        <v>1.27833824E-2</v>
      </c>
      <c r="DN70" s="189">
        <v>1.2851029999999999E-2</v>
      </c>
      <c r="DO70" s="189">
        <v>1.2878660599999999E-2</v>
      </c>
      <c r="DP70" s="189">
        <v>1.29045215E-2</v>
      </c>
      <c r="DQ70" s="189">
        <v>1.29186697E-2</v>
      </c>
      <c r="DR70" s="190">
        <v>1.2928521E-2</v>
      </c>
      <c r="DS70" s="112">
        <v>114.37689736</v>
      </c>
      <c r="DT70" s="13">
        <v>1.7748487756</v>
      </c>
      <c r="DU70" s="79">
        <v>80.480397792000005</v>
      </c>
      <c r="DV70" s="13">
        <v>1.246521225</v>
      </c>
      <c r="DW70" s="79">
        <v>55.914637349000003</v>
      </c>
      <c r="DX70" s="13">
        <v>0.87404000270000004</v>
      </c>
      <c r="DY70" s="79">
        <v>38.742506689999999</v>
      </c>
      <c r="DZ70" s="13">
        <v>0.61680438439999996</v>
      </c>
      <c r="EA70" s="79">
        <v>27.024981099000001</v>
      </c>
      <c r="EB70" s="13">
        <v>0.44106956689999999</v>
      </c>
      <c r="EC70" s="79">
        <v>19.048907928999999</v>
      </c>
      <c r="ED70" s="13">
        <v>0.31977932679999999</v>
      </c>
      <c r="EE70" s="79">
        <v>13.605895748</v>
      </c>
      <c r="EF70" s="13">
        <v>0.23516582429999999</v>
      </c>
      <c r="EG70" s="79">
        <v>9.8740830062999994</v>
      </c>
      <c r="EH70" s="13">
        <v>0.1754595447</v>
      </c>
      <c r="EI70" s="79">
        <v>7.2649872295</v>
      </c>
      <c r="EJ70" s="13">
        <v>0.1321945366</v>
      </c>
      <c r="EK70" s="79">
        <v>5.4281546357000003</v>
      </c>
      <c r="EL70" s="15">
        <v>0.10068957990000001</v>
      </c>
      <c r="EM70" s="79"/>
      <c r="EN70" s="13"/>
      <c r="EO70" s="79"/>
      <c r="EP70" s="13"/>
      <c r="EQ70" s="79"/>
      <c r="ER70" s="13"/>
      <c r="ES70" s="79"/>
      <c r="ET70" s="13"/>
      <c r="EU70" s="79"/>
      <c r="EV70" s="15"/>
    </row>
    <row r="71" spans="1:152" x14ac:dyDescent="0.2">
      <c r="A71" s="8">
        <v>7500</v>
      </c>
      <c r="B71" s="82">
        <v>31116</v>
      </c>
      <c r="C71" s="83">
        <v>2741.8568753</v>
      </c>
      <c r="D71" s="93">
        <v>6976.9235611000004</v>
      </c>
      <c r="E71" s="93">
        <v>69.766989422999998</v>
      </c>
      <c r="F71" s="94">
        <v>9.2693569500000003E-2</v>
      </c>
      <c r="G71" s="83">
        <v>18.815433269</v>
      </c>
      <c r="H71" s="94">
        <v>8.3167508999999994E-3</v>
      </c>
      <c r="I71" s="93">
        <v>227.82414785</v>
      </c>
      <c r="J71" s="94">
        <v>2.5682315206999999</v>
      </c>
      <c r="K71" s="93">
        <v>392.06076195999998</v>
      </c>
      <c r="L71" s="94">
        <v>2.7747539362000002</v>
      </c>
      <c r="M71" s="93">
        <v>1.7020604855000001</v>
      </c>
      <c r="N71" s="94">
        <v>9.6677025E-3</v>
      </c>
      <c r="O71" s="37">
        <v>0</v>
      </c>
      <c r="P71" s="13">
        <v>0</v>
      </c>
      <c r="Q71" s="93">
        <v>70.622790441999996</v>
      </c>
      <c r="R71" s="94">
        <v>0.21130503619999999</v>
      </c>
      <c r="S71" s="37" t="s">
        <v>76</v>
      </c>
      <c r="T71" s="13">
        <v>0</v>
      </c>
      <c r="U71" s="37" t="s">
        <v>76</v>
      </c>
      <c r="V71" s="13">
        <v>0</v>
      </c>
      <c r="W71" s="93">
        <v>0.62772794769999996</v>
      </c>
      <c r="X71" s="94">
        <v>3.2076578999999999E-3</v>
      </c>
      <c r="Y71" s="93">
        <v>6.3178432143999999</v>
      </c>
      <c r="Z71" s="94">
        <v>1.3494781999999999E-3</v>
      </c>
      <c r="AA71" s="37" t="s">
        <v>76</v>
      </c>
      <c r="AB71" s="13">
        <v>0</v>
      </c>
      <c r="AC71" s="93">
        <v>1.7397536999999999E-3</v>
      </c>
      <c r="AD71" s="94">
        <v>5.9677573000000004E-6</v>
      </c>
      <c r="AE71" s="37" t="s">
        <v>76</v>
      </c>
      <c r="AF71" s="13">
        <v>0</v>
      </c>
      <c r="AG71" s="37" t="s">
        <v>76</v>
      </c>
      <c r="AH71" s="13">
        <v>0</v>
      </c>
      <c r="AI71" s="93">
        <v>1.7397536999999999E-3</v>
      </c>
      <c r="AJ71" s="94">
        <v>5.9677573000000004E-6</v>
      </c>
      <c r="AK71" s="93">
        <v>288.11393671000002</v>
      </c>
      <c r="AL71" s="94">
        <v>1.6238612484999999</v>
      </c>
      <c r="AM71" s="37" t="s">
        <v>76</v>
      </c>
      <c r="AN71" s="13">
        <v>0</v>
      </c>
      <c r="AO71" s="37" t="s">
        <v>76</v>
      </c>
      <c r="AP71" s="13">
        <v>0</v>
      </c>
      <c r="AQ71" s="37" t="s">
        <v>76</v>
      </c>
      <c r="AR71" s="13">
        <v>0</v>
      </c>
      <c r="AS71" s="93">
        <v>43.020144878000004</v>
      </c>
      <c r="AT71" s="94">
        <v>0.61966871280000002</v>
      </c>
      <c r="AU71" s="93">
        <v>40.542469400999998</v>
      </c>
      <c r="AV71" s="94">
        <v>0.2465711656</v>
      </c>
      <c r="AW71" s="93">
        <v>28.110534964999999</v>
      </c>
      <c r="AX71" s="94">
        <v>0.13168217709999999</v>
      </c>
      <c r="AY71" s="93">
        <v>7.4476609171000003</v>
      </c>
      <c r="AZ71" s="94">
        <v>3.6823379500000003E-2</v>
      </c>
      <c r="BA71" s="79">
        <v>4.9842735189000003</v>
      </c>
      <c r="BB71" s="13">
        <v>7.8065608999999994E-2</v>
      </c>
      <c r="BC71" s="93">
        <v>0</v>
      </c>
      <c r="BD71" s="85">
        <v>0</v>
      </c>
      <c r="BE71" s="93">
        <v>67.585295657000003</v>
      </c>
      <c r="BF71" s="94">
        <v>0.17214337129999999</v>
      </c>
      <c r="BG71" s="94">
        <v>1.46644429E-2</v>
      </c>
      <c r="BH71" s="85">
        <v>0</v>
      </c>
      <c r="BI71" s="93">
        <v>158.83660741</v>
      </c>
      <c r="BJ71" s="94">
        <v>4.4661336686000004</v>
      </c>
      <c r="BK71" s="93">
        <v>230.15582018999999</v>
      </c>
      <c r="BL71" s="94">
        <v>1.4689215059</v>
      </c>
      <c r="BM71" s="93">
        <v>149.01402138</v>
      </c>
      <c r="BN71" s="94">
        <v>0.66758902799999997</v>
      </c>
      <c r="BO71" s="93">
        <v>27.649254664000001</v>
      </c>
      <c r="BP71" s="94">
        <v>4.1042989799999999E-2</v>
      </c>
      <c r="BQ71" s="93">
        <v>0</v>
      </c>
      <c r="BR71" s="88">
        <v>0</v>
      </c>
      <c r="BS71" s="37" t="s">
        <v>76</v>
      </c>
      <c r="BT71" s="13">
        <v>0</v>
      </c>
      <c r="BU71" s="93">
        <v>0.99525345470000004</v>
      </c>
      <c r="BV71" s="94">
        <v>5.2050220999999997E-3</v>
      </c>
      <c r="BW71" s="93">
        <v>7.1212443E-2</v>
      </c>
      <c r="BX71" s="94">
        <v>2.7458110000000001E-4</v>
      </c>
      <c r="BY71" s="7" t="s">
        <v>76</v>
      </c>
      <c r="BZ71" s="13">
        <v>0</v>
      </c>
      <c r="CA71" s="7" t="s">
        <v>76</v>
      </c>
      <c r="CB71" s="13">
        <v>0</v>
      </c>
      <c r="CC71" s="93">
        <v>67.930078753000004</v>
      </c>
      <c r="CD71" s="94">
        <v>0.20230020339999999</v>
      </c>
      <c r="CE71" s="93">
        <v>0.5167243077</v>
      </c>
      <c r="CF71" s="94">
        <v>2.5248108E-3</v>
      </c>
      <c r="CG71" s="7" t="s">
        <v>76</v>
      </c>
      <c r="CH71" s="13">
        <v>0</v>
      </c>
      <c r="CI71" s="7" t="s">
        <v>76</v>
      </c>
      <c r="CJ71" s="13">
        <v>0</v>
      </c>
      <c r="CK71" s="7" t="s">
        <v>76</v>
      </c>
      <c r="CL71" s="13">
        <v>0</v>
      </c>
      <c r="CM71" s="7" t="s">
        <v>76</v>
      </c>
      <c r="CN71" s="13">
        <v>0</v>
      </c>
      <c r="CO71" s="93">
        <v>0.54406043150000005</v>
      </c>
      <c r="CP71" s="94">
        <v>2.4048454000000002E-3</v>
      </c>
      <c r="CQ71" s="93">
        <v>1.1347766999999999E-3</v>
      </c>
      <c r="CR71" s="94">
        <v>1.1707300000000001E-5</v>
      </c>
      <c r="CS71" s="93">
        <v>5.5922889865999998</v>
      </c>
      <c r="CT71" s="94">
        <v>2.0634069599999999E-2</v>
      </c>
      <c r="CU71" s="93">
        <v>6.3167793999999999E-3</v>
      </c>
      <c r="CV71" s="94">
        <v>5.1352199999999999E-5</v>
      </c>
      <c r="CW71" s="6" t="s">
        <v>76</v>
      </c>
      <c r="CX71" s="13">
        <v>0</v>
      </c>
      <c r="CY71" s="7" t="s">
        <v>76</v>
      </c>
      <c r="CZ71" s="15">
        <v>0</v>
      </c>
      <c r="DA71" s="93">
        <v>35.003542007</v>
      </c>
      <c r="DB71" s="94">
        <v>0.18582779620000001</v>
      </c>
      <c r="DC71" s="93">
        <v>8.8359624299999995E-2</v>
      </c>
      <c r="DD71" s="94">
        <v>6.6313120000000003E-4</v>
      </c>
      <c r="DE71" s="93">
        <v>40.560873463999997</v>
      </c>
      <c r="DF71" s="94">
        <v>9.4102482599999995E-2</v>
      </c>
      <c r="DG71" s="93">
        <v>0.17549878399999999</v>
      </c>
      <c r="DH71" s="94">
        <v>1.4621195E-3</v>
      </c>
      <c r="DI71" s="188">
        <v>8.0115785999999994E-3</v>
      </c>
      <c r="DJ71" s="189">
        <v>1.23144476E-2</v>
      </c>
      <c r="DK71" s="189">
        <v>1.3757569799999999E-2</v>
      </c>
      <c r="DL71" s="189">
        <v>1.4215440899999999E-2</v>
      </c>
      <c r="DM71" s="189">
        <v>1.4341257E-2</v>
      </c>
      <c r="DN71" s="189">
        <v>1.4432879799999999E-2</v>
      </c>
      <c r="DO71" s="189">
        <v>1.44707182E-2</v>
      </c>
      <c r="DP71" s="189">
        <v>1.4504609E-2</v>
      </c>
      <c r="DQ71" s="189">
        <v>1.45234289E-2</v>
      </c>
      <c r="DR71" s="190">
        <v>1.4538079799999999E-2</v>
      </c>
      <c r="DS71" s="112">
        <v>121.37123535000001</v>
      </c>
      <c r="DT71" s="13">
        <v>1.8478824251999999</v>
      </c>
      <c r="DU71" s="79">
        <v>86.469239626999993</v>
      </c>
      <c r="DV71" s="13">
        <v>1.3114989423000001</v>
      </c>
      <c r="DW71" s="79">
        <v>60.898913387</v>
      </c>
      <c r="DX71" s="13">
        <v>0.92986580019999998</v>
      </c>
      <c r="DY71" s="79">
        <v>42.797108424000001</v>
      </c>
      <c r="DZ71" s="13">
        <v>0.66356577760000002</v>
      </c>
      <c r="EA71" s="79">
        <v>30.285682602000001</v>
      </c>
      <c r="EB71" s="13">
        <v>0.47974286030000002</v>
      </c>
      <c r="EC71" s="79">
        <v>21.657698345</v>
      </c>
      <c r="ED71" s="13">
        <v>0.35158535149999998</v>
      </c>
      <c r="EE71" s="79">
        <v>15.691065769</v>
      </c>
      <c r="EF71" s="13">
        <v>0.26132256259999997</v>
      </c>
      <c r="EG71" s="79">
        <v>11.542571727</v>
      </c>
      <c r="EH71" s="13">
        <v>0.19696993400000001</v>
      </c>
      <c r="EI71" s="79">
        <v>8.6103423193000008</v>
      </c>
      <c r="EJ71" s="13">
        <v>0.14997453590000001</v>
      </c>
      <c r="EK71" s="79">
        <v>6.5142194484999996</v>
      </c>
      <c r="EL71" s="15">
        <v>0.1153905482</v>
      </c>
      <c r="EM71" s="79"/>
      <c r="EN71" s="13"/>
      <c r="EO71" s="79"/>
      <c r="EP71" s="13"/>
      <c r="EQ71" s="79"/>
      <c r="ER71" s="13"/>
      <c r="ES71" s="79"/>
      <c r="ET71" s="13"/>
      <c r="EU71" s="79"/>
      <c r="EV71" s="15"/>
    </row>
    <row r="72" spans="1:152" x14ac:dyDescent="0.2">
      <c r="A72" s="8">
        <v>10000</v>
      </c>
      <c r="B72" s="82">
        <v>53591</v>
      </c>
      <c r="C72" s="83">
        <v>3096.4873742</v>
      </c>
      <c r="D72" s="93">
        <v>8644.4037814999992</v>
      </c>
      <c r="E72" s="93">
        <v>101.05452465</v>
      </c>
      <c r="F72" s="94">
        <v>0.1085754796</v>
      </c>
      <c r="G72" s="83">
        <v>29.119053869999998</v>
      </c>
      <c r="H72" s="94">
        <v>1.0603537999999999E-2</v>
      </c>
      <c r="I72" s="93">
        <v>248.69629902</v>
      </c>
      <c r="J72" s="94">
        <v>2.7123486531999998</v>
      </c>
      <c r="K72" s="93">
        <v>467.58110986000003</v>
      </c>
      <c r="L72" s="94">
        <v>3.1177094650999999</v>
      </c>
      <c r="M72" s="93">
        <v>2.4086722472000002</v>
      </c>
      <c r="N72" s="94">
        <v>1.2680616E-2</v>
      </c>
      <c r="O72" s="37">
        <v>0</v>
      </c>
      <c r="P72" s="13">
        <v>0</v>
      </c>
      <c r="Q72" s="93">
        <v>89.452678481999996</v>
      </c>
      <c r="R72" s="94">
        <v>0.24076406019999999</v>
      </c>
      <c r="S72" s="37" t="s">
        <v>76</v>
      </c>
      <c r="T72" s="13">
        <v>0</v>
      </c>
      <c r="U72" s="37" t="s">
        <v>76</v>
      </c>
      <c r="V72" s="13">
        <v>0</v>
      </c>
      <c r="W72" s="93">
        <v>0.81425490040000004</v>
      </c>
      <c r="X72" s="94">
        <v>3.7996051000000002E-3</v>
      </c>
      <c r="Y72" s="93">
        <v>8.5625748121999994</v>
      </c>
      <c r="Z72" s="94">
        <v>1.803294E-3</v>
      </c>
      <c r="AA72" s="37" t="s">
        <v>76</v>
      </c>
      <c r="AB72" s="13">
        <v>0</v>
      </c>
      <c r="AC72" s="93">
        <v>3.1524338999999999E-3</v>
      </c>
      <c r="AD72" s="94">
        <v>1.14936E-5</v>
      </c>
      <c r="AE72" s="37" t="s">
        <v>76</v>
      </c>
      <c r="AF72" s="13">
        <v>0</v>
      </c>
      <c r="AG72" s="37" t="s">
        <v>76</v>
      </c>
      <c r="AH72" s="13">
        <v>0</v>
      </c>
      <c r="AI72" s="93">
        <v>3.1524338999999999E-3</v>
      </c>
      <c r="AJ72" s="94">
        <v>1.14936E-5</v>
      </c>
      <c r="AK72" s="93">
        <v>307.16817350000002</v>
      </c>
      <c r="AL72" s="94">
        <v>1.7126121999999999</v>
      </c>
      <c r="AM72" s="37" t="s">
        <v>76</v>
      </c>
      <c r="AN72" s="13">
        <v>0</v>
      </c>
      <c r="AO72" s="37" t="s">
        <v>76</v>
      </c>
      <c r="AP72" s="13">
        <v>0</v>
      </c>
      <c r="AQ72" s="37" t="s">
        <v>76</v>
      </c>
      <c r="AR72" s="13">
        <v>0</v>
      </c>
      <c r="AS72" s="93">
        <v>52.056257379000002</v>
      </c>
      <c r="AT72" s="94">
        <v>0.6757823583</v>
      </c>
      <c r="AU72" s="93">
        <v>46.507993536999997</v>
      </c>
      <c r="AV72" s="94">
        <v>0.27151161280000002</v>
      </c>
      <c r="AW72" s="93">
        <v>32.476274554</v>
      </c>
      <c r="AX72" s="94">
        <v>0.1458601403</v>
      </c>
      <c r="AY72" s="93">
        <v>8.0516981153000007</v>
      </c>
      <c r="AZ72" s="94">
        <v>3.93732688E-2</v>
      </c>
      <c r="BA72" s="79">
        <v>5.9800208680000004</v>
      </c>
      <c r="BB72" s="13">
        <v>8.62782037E-2</v>
      </c>
      <c r="BC72" s="93">
        <v>0</v>
      </c>
      <c r="BD72" s="85">
        <v>0</v>
      </c>
      <c r="BE72" s="93">
        <v>93.664105485999997</v>
      </c>
      <c r="BF72" s="94">
        <v>0.21302647120000001</v>
      </c>
      <c r="BG72" s="94">
        <v>1.91581233E-2</v>
      </c>
      <c r="BH72" s="86">
        <v>0</v>
      </c>
      <c r="BI72" s="93">
        <v>179.00524639</v>
      </c>
      <c r="BJ72" s="94">
        <v>4.8729978713</v>
      </c>
      <c r="BK72" s="93">
        <v>272.31292255</v>
      </c>
      <c r="BL72" s="94">
        <v>1.6615490932000001</v>
      </c>
      <c r="BM72" s="93">
        <v>179.27559105</v>
      </c>
      <c r="BN72" s="94">
        <v>0.76853776419999997</v>
      </c>
      <c r="BO72" s="93">
        <v>41.310780090999998</v>
      </c>
      <c r="BP72" s="94">
        <v>5.6358506000000003E-2</v>
      </c>
      <c r="BQ72" s="93">
        <v>0</v>
      </c>
      <c r="BR72" s="88">
        <v>0</v>
      </c>
      <c r="BS72" s="37" t="s">
        <v>76</v>
      </c>
      <c r="BT72" s="13">
        <v>0</v>
      </c>
      <c r="BU72" s="93">
        <v>1.4863834038999999</v>
      </c>
      <c r="BV72" s="94">
        <v>7.1123871999999996E-3</v>
      </c>
      <c r="BW72" s="93">
        <v>8.3482263900000006E-2</v>
      </c>
      <c r="BX72" s="94">
        <v>3.2061010000000002E-4</v>
      </c>
      <c r="BY72" s="7" t="s">
        <v>76</v>
      </c>
      <c r="BZ72" s="13">
        <v>0</v>
      </c>
      <c r="CA72" s="7" t="s">
        <v>76</v>
      </c>
      <c r="CB72" s="13">
        <v>0</v>
      </c>
      <c r="CC72" s="93">
        <v>85.843253795999999</v>
      </c>
      <c r="CD72" s="94">
        <v>0.22984387680000001</v>
      </c>
      <c r="CE72" s="93">
        <v>0.62964837849999999</v>
      </c>
      <c r="CF72" s="94">
        <v>3.0258264999999999E-3</v>
      </c>
      <c r="CG72" s="7" t="s">
        <v>76</v>
      </c>
      <c r="CH72" s="13">
        <v>0</v>
      </c>
      <c r="CI72" s="7" t="s">
        <v>76</v>
      </c>
      <c r="CJ72" s="13">
        <v>0</v>
      </c>
      <c r="CK72" s="7" t="s">
        <v>76</v>
      </c>
      <c r="CL72" s="13">
        <v>0</v>
      </c>
      <c r="CM72" s="7" t="s">
        <v>76</v>
      </c>
      <c r="CN72" s="13">
        <v>0</v>
      </c>
      <c r="CO72" s="93">
        <v>0.7023383017</v>
      </c>
      <c r="CP72" s="94">
        <v>2.908557E-3</v>
      </c>
      <c r="CQ72" s="93">
        <v>3.3585778E-3</v>
      </c>
      <c r="CR72" s="94">
        <v>4.6362200000000001E-5</v>
      </c>
      <c r="CS72" s="93">
        <v>7.7130931751</v>
      </c>
      <c r="CT72" s="94">
        <v>2.7873557699999999E-2</v>
      </c>
      <c r="CU72" s="93">
        <v>7.4196571000000001E-3</v>
      </c>
      <c r="CV72" s="94">
        <v>6.0543500000000001E-5</v>
      </c>
      <c r="CW72" s="6" t="s">
        <v>76</v>
      </c>
      <c r="CX72" s="13">
        <v>0</v>
      </c>
      <c r="CY72" s="7" t="s">
        <v>76</v>
      </c>
      <c r="CZ72" s="15">
        <v>0</v>
      </c>
      <c r="DA72" s="93">
        <v>42.414120527999998</v>
      </c>
      <c r="DB72" s="94">
        <v>0.21004187469999999</v>
      </c>
      <c r="DC72" s="93">
        <v>0.1011204874</v>
      </c>
      <c r="DD72" s="94">
        <v>7.3464590000000001E-4</v>
      </c>
      <c r="DE72" s="93">
        <v>54.829814687999999</v>
      </c>
      <c r="DF72" s="94">
        <v>0.1150215482</v>
      </c>
      <c r="DG72" s="93">
        <v>0.2157313169</v>
      </c>
      <c r="DH72" s="94">
        <v>1.7547787E-3</v>
      </c>
      <c r="DI72" s="188">
        <v>1.00679198E-2</v>
      </c>
      <c r="DJ72" s="189">
        <v>1.54600819E-2</v>
      </c>
      <c r="DK72" s="189">
        <v>1.7435009599999999E-2</v>
      </c>
      <c r="DL72" s="189">
        <v>1.8178263300000001E-2</v>
      </c>
      <c r="DM72" s="189">
        <v>1.8428239499999999E-2</v>
      </c>
      <c r="DN72" s="189">
        <v>1.8616894500000002E-2</v>
      </c>
      <c r="DO72" s="189">
        <v>1.8711352800000001E-2</v>
      </c>
      <c r="DP72" s="189">
        <v>1.87903967E-2</v>
      </c>
      <c r="DQ72" s="189">
        <v>1.88413287E-2</v>
      </c>
      <c r="DR72" s="190">
        <v>1.8881528799999998E-2</v>
      </c>
      <c r="DS72" s="112">
        <v>134.88867264999999</v>
      </c>
      <c r="DT72" s="13">
        <v>1.9829162357000001</v>
      </c>
      <c r="DU72" s="79">
        <v>98.186456660999994</v>
      </c>
      <c r="DV72" s="13">
        <v>1.433038612</v>
      </c>
      <c r="DW72" s="79">
        <v>70.814805199999995</v>
      </c>
      <c r="DX72" s="13">
        <v>1.0358345794999999</v>
      </c>
      <c r="DY72" s="79">
        <v>51.028549312999999</v>
      </c>
      <c r="DZ72" s="13">
        <v>0.75390847589999999</v>
      </c>
      <c r="EA72" s="79">
        <v>37.042701819999998</v>
      </c>
      <c r="EB72" s="13">
        <v>0.55567584020000005</v>
      </c>
      <c r="EC72" s="79">
        <v>27.173662989</v>
      </c>
      <c r="ED72" s="13">
        <v>0.4150247957</v>
      </c>
      <c r="EE72" s="79">
        <v>20.195902105999998</v>
      </c>
      <c r="EF72" s="13">
        <v>0.3142607899</v>
      </c>
      <c r="EG72" s="79">
        <v>15.22778001</v>
      </c>
      <c r="EH72" s="13">
        <v>0.2411942778</v>
      </c>
      <c r="EI72" s="79">
        <v>11.646874197000001</v>
      </c>
      <c r="EJ72" s="13">
        <v>0.18708576800000001</v>
      </c>
      <c r="EK72" s="79">
        <v>9.0306970834999998</v>
      </c>
      <c r="EL72" s="15">
        <v>0.14659656109999999</v>
      </c>
      <c r="EM72" s="79"/>
      <c r="EN72" s="13"/>
      <c r="EO72" s="79"/>
      <c r="EP72" s="13"/>
      <c r="EQ72" s="79"/>
      <c r="ER72" s="13"/>
      <c r="ES72" s="79"/>
      <c r="ET72" s="13"/>
      <c r="EU72" s="79"/>
      <c r="EV72" s="15"/>
    </row>
    <row r="73" spans="1:152" x14ac:dyDescent="0.2">
      <c r="A73" s="8">
        <v>15000</v>
      </c>
      <c r="B73" s="82">
        <v>57901</v>
      </c>
      <c r="C73" s="83">
        <v>3581.3192426999999</v>
      </c>
      <c r="D73" s="93">
        <v>12199.817948</v>
      </c>
      <c r="E73" s="93">
        <v>160.96918525999999</v>
      </c>
      <c r="F73" s="94">
        <v>0.13183020849999999</v>
      </c>
      <c r="G73" s="83">
        <v>68.556761371999997</v>
      </c>
      <c r="H73" s="94">
        <v>1.7105442500000002E-2</v>
      </c>
      <c r="I73" s="93">
        <v>276.61078777</v>
      </c>
      <c r="J73" s="94">
        <v>2.8793339834</v>
      </c>
      <c r="K73" s="93">
        <v>571.1329174</v>
      </c>
      <c r="L73" s="94">
        <v>3.5238016831999999</v>
      </c>
      <c r="M73" s="93">
        <v>3.5410277925</v>
      </c>
      <c r="N73" s="94">
        <v>1.6744547200000001E-2</v>
      </c>
      <c r="O73" s="37">
        <v>0</v>
      </c>
      <c r="P73" s="13">
        <v>0</v>
      </c>
      <c r="Q73" s="93">
        <v>115.44837175000001</v>
      </c>
      <c r="R73" s="94">
        <v>0.2761924872</v>
      </c>
      <c r="S73" s="37" t="s">
        <v>76</v>
      </c>
      <c r="T73" s="13">
        <v>0</v>
      </c>
      <c r="U73" s="37" t="s">
        <v>76</v>
      </c>
      <c r="V73" s="13">
        <v>0</v>
      </c>
      <c r="W73" s="93">
        <v>1.1042172445</v>
      </c>
      <c r="X73" s="94">
        <v>4.7556941E-3</v>
      </c>
      <c r="Y73" s="93">
        <v>11.879478847</v>
      </c>
      <c r="Z73" s="94">
        <v>2.5335281000000002E-3</v>
      </c>
      <c r="AA73" s="37" t="s">
        <v>76</v>
      </c>
      <c r="AB73" s="13">
        <v>0</v>
      </c>
      <c r="AC73" s="93">
        <v>2.9929154999999998E-3</v>
      </c>
      <c r="AD73" s="94">
        <v>1.0904600000000001E-5</v>
      </c>
      <c r="AE73" s="37" t="s">
        <v>76</v>
      </c>
      <c r="AF73" s="13">
        <v>0</v>
      </c>
      <c r="AG73" s="37" t="s">
        <v>76</v>
      </c>
      <c r="AH73" s="13">
        <v>0</v>
      </c>
      <c r="AI73" s="93">
        <v>2.9929154999999998E-3</v>
      </c>
      <c r="AJ73" s="94">
        <v>1.0904600000000001E-5</v>
      </c>
      <c r="AK73" s="93">
        <v>329.54628805999999</v>
      </c>
      <c r="AL73" s="94">
        <v>1.8151466657999999</v>
      </c>
      <c r="AM73" s="37" t="s">
        <v>76</v>
      </c>
      <c r="AN73" s="13">
        <v>0</v>
      </c>
      <c r="AO73" s="37" t="s">
        <v>76</v>
      </c>
      <c r="AP73" s="13">
        <v>0</v>
      </c>
      <c r="AQ73" s="37" t="s">
        <v>76</v>
      </c>
      <c r="AR73" s="13">
        <v>0</v>
      </c>
      <c r="AS73" s="93">
        <v>64.588946352999997</v>
      </c>
      <c r="AT73" s="94">
        <v>0.74916020130000005</v>
      </c>
      <c r="AU73" s="93">
        <v>54.954682359000003</v>
      </c>
      <c r="AV73" s="94">
        <v>0.3037858672</v>
      </c>
      <c r="AW73" s="93">
        <v>38.692158317000001</v>
      </c>
      <c r="AX73" s="94">
        <v>0.1641592737</v>
      </c>
      <c r="AY73" s="93">
        <v>8.9109920571999996</v>
      </c>
      <c r="AZ73" s="94">
        <v>4.2683127600000002E-2</v>
      </c>
      <c r="BA73" s="79">
        <v>7.3515319849000003</v>
      </c>
      <c r="BB73" s="13">
        <v>9.6943465899999998E-2</v>
      </c>
      <c r="BC73" s="93">
        <v>0</v>
      </c>
      <c r="BD73" s="85">
        <v>0</v>
      </c>
      <c r="BE73" s="93">
        <v>143.12947364999999</v>
      </c>
      <c r="BF73" s="94">
        <v>0.27693985030000001</v>
      </c>
      <c r="BG73" s="94">
        <v>3.2389317700000003E-2</v>
      </c>
      <c r="BH73" s="86">
        <v>0</v>
      </c>
      <c r="BI73" s="93">
        <v>204.44255580000001</v>
      </c>
      <c r="BJ73" s="94">
        <v>5.3700627993000003</v>
      </c>
      <c r="BK73" s="93">
        <v>327.05402755</v>
      </c>
      <c r="BL73" s="94">
        <v>1.8912497124000001</v>
      </c>
      <c r="BM73" s="93">
        <v>216.74121697000001</v>
      </c>
      <c r="BN73" s="94">
        <v>0.88575055140000003</v>
      </c>
      <c r="BO73" s="93">
        <v>64.495330108999994</v>
      </c>
      <c r="BP73" s="94">
        <v>7.9360106799999997E-2</v>
      </c>
      <c r="BQ73" s="93">
        <v>0</v>
      </c>
      <c r="BR73" s="88">
        <v>0</v>
      </c>
      <c r="BS73" s="37" t="s">
        <v>76</v>
      </c>
      <c r="BT73" s="13">
        <v>0</v>
      </c>
      <c r="BU73" s="93">
        <v>2.1979341293000001</v>
      </c>
      <c r="BV73" s="94">
        <v>9.4584994000000006E-3</v>
      </c>
      <c r="BW73" s="93">
        <v>0.12123354309999999</v>
      </c>
      <c r="BX73" s="94">
        <v>4.3481729999999999E-4</v>
      </c>
      <c r="BY73" s="7" t="s">
        <v>76</v>
      </c>
      <c r="BZ73" s="13">
        <v>0</v>
      </c>
      <c r="CA73" s="7" t="s">
        <v>76</v>
      </c>
      <c r="CB73" s="13">
        <v>0</v>
      </c>
      <c r="CC73" s="93">
        <v>110.55031438</v>
      </c>
      <c r="CD73" s="94">
        <v>0.26302714799999999</v>
      </c>
      <c r="CE73" s="93">
        <v>0.8207284185</v>
      </c>
      <c r="CF73" s="94">
        <v>3.7298177000000001E-3</v>
      </c>
      <c r="CG73" s="7" t="s">
        <v>76</v>
      </c>
      <c r="CH73" s="13">
        <v>0</v>
      </c>
      <c r="CI73" s="7" t="s">
        <v>76</v>
      </c>
      <c r="CJ73" s="13">
        <v>0</v>
      </c>
      <c r="CK73" s="7" t="s">
        <v>76</v>
      </c>
      <c r="CL73" s="13">
        <v>0</v>
      </c>
      <c r="CM73" s="7" t="s">
        <v>76</v>
      </c>
      <c r="CN73" s="13">
        <v>0</v>
      </c>
      <c r="CO73" s="93">
        <v>0.97259843869999996</v>
      </c>
      <c r="CP73" s="94">
        <v>3.7866980999999998E-3</v>
      </c>
      <c r="CQ73" s="93">
        <v>3.1804855E-3</v>
      </c>
      <c r="CR73" s="94">
        <v>4.3892800000000001E-5</v>
      </c>
      <c r="CS73" s="93">
        <v>10.843668600999999</v>
      </c>
      <c r="CT73" s="94">
        <v>3.7790569000000003E-2</v>
      </c>
      <c r="CU73" s="93">
        <v>9.0432049000000007E-3</v>
      </c>
      <c r="CV73" s="94">
        <v>8.2940200000000003E-5</v>
      </c>
      <c r="CW73" s="6" t="s">
        <v>76</v>
      </c>
      <c r="CX73" s="13">
        <v>0</v>
      </c>
      <c r="CY73" s="7" t="s">
        <v>76</v>
      </c>
      <c r="CZ73" s="15">
        <v>0</v>
      </c>
      <c r="DA73" s="93">
        <v>52.688667373999998</v>
      </c>
      <c r="DB73" s="94">
        <v>0.24204937839999999</v>
      </c>
      <c r="DC73" s="93">
        <v>0.11860130369999999</v>
      </c>
      <c r="DD73" s="94">
        <v>8.7299130000000004E-4</v>
      </c>
      <c r="DE73" s="93">
        <v>76.411575220000003</v>
      </c>
      <c r="DF73" s="94">
        <v>0.1454779437</v>
      </c>
      <c r="DG73" s="93">
        <v>0.26682078869999998</v>
      </c>
      <c r="DH73" s="94">
        <v>2.1542050000000002E-3</v>
      </c>
      <c r="DI73" s="188">
        <v>1.58905822E-2</v>
      </c>
      <c r="DJ73" s="189">
        <v>2.4653416800000001E-2</v>
      </c>
      <c r="DK73" s="189">
        <v>2.8151270499999999E-2</v>
      </c>
      <c r="DL73" s="189">
        <v>2.9724277100000002E-2</v>
      </c>
      <c r="DM73" s="189">
        <v>3.0384456399999999E-2</v>
      </c>
      <c r="DN73" s="189">
        <v>3.08651273E-2</v>
      </c>
      <c r="DO73" s="189">
        <v>3.1115153199999999E-2</v>
      </c>
      <c r="DP73" s="189">
        <v>3.1313024600000003E-2</v>
      </c>
      <c r="DQ73" s="189">
        <v>3.1442192299999998E-2</v>
      </c>
      <c r="DR73" s="190">
        <v>3.1544791400000001E-2</v>
      </c>
      <c r="DS73" s="112">
        <v>153.03121399</v>
      </c>
      <c r="DT73" s="13">
        <v>2.1406759608999999</v>
      </c>
      <c r="DU73" s="79">
        <v>114.05673654</v>
      </c>
      <c r="DV73" s="13">
        <v>1.5767076336000001</v>
      </c>
      <c r="DW73" s="79">
        <v>84.438494066000004</v>
      </c>
      <c r="DX73" s="13">
        <v>1.1628222711</v>
      </c>
      <c r="DY73" s="79">
        <v>62.559343519999999</v>
      </c>
      <c r="DZ73" s="13">
        <v>0.86379451009999997</v>
      </c>
      <c r="EA73" s="79">
        <v>46.700099088000002</v>
      </c>
      <c r="EB73" s="13">
        <v>0.64938850589999997</v>
      </c>
      <c r="EC73" s="79">
        <v>35.202066838999997</v>
      </c>
      <c r="ED73" s="13">
        <v>0.49421799649999998</v>
      </c>
      <c r="EE73" s="79">
        <v>26.855139879999999</v>
      </c>
      <c r="EF73" s="13">
        <v>0.38094407330000002</v>
      </c>
      <c r="EG73" s="79">
        <v>20.760599608</v>
      </c>
      <c r="EH73" s="13">
        <v>0.29738287450000001</v>
      </c>
      <c r="EI73" s="79">
        <v>16.261132937999999</v>
      </c>
      <c r="EJ73" s="13">
        <v>0.23456954229999999</v>
      </c>
      <c r="EK73" s="79">
        <v>12.894870563</v>
      </c>
      <c r="EL73" s="15">
        <v>0.1868134521</v>
      </c>
      <c r="EM73" s="79"/>
      <c r="EN73" s="13"/>
      <c r="EO73" s="79"/>
      <c r="EP73" s="13"/>
      <c r="EQ73" s="79"/>
      <c r="ER73" s="13"/>
      <c r="ES73" s="79"/>
      <c r="ET73" s="13"/>
      <c r="EU73" s="79"/>
      <c r="EV73" s="15"/>
    </row>
    <row r="74" spans="1:152" x14ac:dyDescent="0.2">
      <c r="A74" s="8">
        <v>20000</v>
      </c>
      <c r="B74" s="82">
        <v>29747</v>
      </c>
      <c r="C74" s="83">
        <v>3900.3363322</v>
      </c>
      <c r="D74" s="93">
        <v>17257.366635999999</v>
      </c>
      <c r="E74" s="93">
        <v>211.27847138999999</v>
      </c>
      <c r="F74" s="94">
        <v>0.14727612640000001</v>
      </c>
      <c r="G74" s="83">
        <v>120.41384881</v>
      </c>
      <c r="H74" s="94">
        <v>2.38742316E-2</v>
      </c>
      <c r="I74" s="93">
        <v>295.36156126999998</v>
      </c>
      <c r="J74" s="94">
        <v>2.9767895748000002</v>
      </c>
      <c r="K74" s="93">
        <v>639.78597445000003</v>
      </c>
      <c r="L74" s="94">
        <v>3.7532062538000002</v>
      </c>
      <c r="M74" s="93">
        <v>4.7919644661999996</v>
      </c>
      <c r="N74" s="94">
        <v>1.9826627400000001E-2</v>
      </c>
      <c r="O74" s="37">
        <v>0</v>
      </c>
      <c r="P74" s="13">
        <v>0</v>
      </c>
      <c r="Q74" s="93">
        <v>133.35303525</v>
      </c>
      <c r="R74" s="94">
        <v>0.29765492519999998</v>
      </c>
      <c r="S74" s="37" t="s">
        <v>76</v>
      </c>
      <c r="T74" s="13">
        <v>0</v>
      </c>
      <c r="U74" s="37" t="s">
        <v>76</v>
      </c>
      <c r="V74" s="13">
        <v>0</v>
      </c>
      <c r="W74" s="93">
        <v>1.3234006993</v>
      </c>
      <c r="X74" s="94">
        <v>5.3787085999999996E-3</v>
      </c>
      <c r="Y74" s="93">
        <v>14.548170295</v>
      </c>
      <c r="Z74" s="94">
        <v>3.2026605000000001E-3</v>
      </c>
      <c r="AA74" s="37" t="s">
        <v>76</v>
      </c>
      <c r="AB74" s="13">
        <v>0</v>
      </c>
      <c r="AC74" s="93">
        <v>2.9147145999999999E-3</v>
      </c>
      <c r="AD74" s="94">
        <v>1.06147E-5</v>
      </c>
      <c r="AE74" s="37" t="s">
        <v>76</v>
      </c>
      <c r="AF74" s="13">
        <v>0</v>
      </c>
      <c r="AG74" s="37" t="s">
        <v>76</v>
      </c>
      <c r="AH74" s="13">
        <v>0</v>
      </c>
      <c r="AI74" s="93">
        <v>2.9147145999999999E-3</v>
      </c>
      <c r="AJ74" s="94">
        <v>1.06147E-5</v>
      </c>
      <c r="AK74" s="93">
        <v>341.83962851000001</v>
      </c>
      <c r="AL74" s="94">
        <v>1.8730650520000001</v>
      </c>
      <c r="AM74" s="37" t="s">
        <v>76</v>
      </c>
      <c r="AN74" s="13">
        <v>0</v>
      </c>
      <c r="AO74" s="37" t="s">
        <v>76</v>
      </c>
      <c r="AP74" s="13">
        <v>0</v>
      </c>
      <c r="AQ74" s="37" t="s">
        <v>76</v>
      </c>
      <c r="AR74" s="13">
        <v>0</v>
      </c>
      <c r="AS74" s="93">
        <v>73.583459430999994</v>
      </c>
      <c r="AT74" s="94">
        <v>0.79647698460000005</v>
      </c>
      <c r="AU74" s="93">
        <v>60.531923693000003</v>
      </c>
      <c r="AV74" s="94">
        <v>0.323908902</v>
      </c>
      <c r="AW74" s="93">
        <v>42.846977080000002</v>
      </c>
      <c r="AX74" s="94">
        <v>0.17533355849999999</v>
      </c>
      <c r="AY74" s="93">
        <v>9.4491437459000007</v>
      </c>
      <c r="AZ74" s="94">
        <v>4.4653522199999997E-2</v>
      </c>
      <c r="BA74" s="79">
        <v>8.2358028665000003</v>
      </c>
      <c r="BB74" s="13">
        <v>0.10392182129999999</v>
      </c>
      <c r="BC74" s="93">
        <v>0</v>
      </c>
      <c r="BD74" s="85">
        <v>0</v>
      </c>
      <c r="BE74" s="93">
        <v>184.31662492999999</v>
      </c>
      <c r="BF74" s="94">
        <v>0.3227798912</v>
      </c>
      <c r="BG74" s="94">
        <v>4.9184155299999997E-2</v>
      </c>
      <c r="BH74" s="86">
        <v>0</v>
      </c>
      <c r="BI74" s="93">
        <v>218.49062369999999</v>
      </c>
      <c r="BJ74" s="94">
        <v>5.6442154379999998</v>
      </c>
      <c r="BK74" s="93">
        <v>358.88627830000001</v>
      </c>
      <c r="BL74" s="94">
        <v>2.0057998839</v>
      </c>
      <c r="BM74" s="93">
        <v>237.21711601999999</v>
      </c>
      <c r="BN74" s="94">
        <v>0.94525037690000002</v>
      </c>
      <c r="BO74" s="93">
        <v>81.137798039000003</v>
      </c>
      <c r="BP74" s="94">
        <v>9.3580960800000001E-2</v>
      </c>
      <c r="BQ74" s="93">
        <v>0</v>
      </c>
      <c r="BR74" s="88">
        <v>0</v>
      </c>
      <c r="BS74" s="37" t="s">
        <v>76</v>
      </c>
      <c r="BT74" s="13">
        <v>0</v>
      </c>
      <c r="BU74" s="93">
        <v>3.1644229353000002</v>
      </c>
      <c r="BV74" s="94">
        <v>1.1816399199999999E-2</v>
      </c>
      <c r="BW74" s="93">
        <v>0.15689789330000001</v>
      </c>
      <c r="BX74" s="94">
        <v>5.5786270000000003E-4</v>
      </c>
      <c r="BY74" s="7" t="s">
        <v>76</v>
      </c>
      <c r="BZ74" s="13">
        <v>0</v>
      </c>
      <c r="CA74" s="7" t="s">
        <v>76</v>
      </c>
      <c r="CB74" s="13">
        <v>0</v>
      </c>
      <c r="CC74" s="93">
        <v>127.53550222</v>
      </c>
      <c r="CD74" s="94">
        <v>0.2834371846</v>
      </c>
      <c r="CE74" s="93">
        <v>0.99263085600000001</v>
      </c>
      <c r="CF74" s="94">
        <v>4.3222182999999997E-3</v>
      </c>
      <c r="CG74" s="7" t="s">
        <v>76</v>
      </c>
      <c r="CH74" s="13">
        <v>0</v>
      </c>
      <c r="CI74" s="7" t="s">
        <v>76</v>
      </c>
      <c r="CJ74" s="13">
        <v>0</v>
      </c>
      <c r="CK74" s="7" t="s">
        <v>76</v>
      </c>
      <c r="CL74" s="13">
        <v>0</v>
      </c>
      <c r="CM74" s="7" t="s">
        <v>76</v>
      </c>
      <c r="CN74" s="13">
        <v>0</v>
      </c>
      <c r="CO74" s="93">
        <v>1.1760340010999999</v>
      </c>
      <c r="CP74" s="94">
        <v>4.4390183999999996E-3</v>
      </c>
      <c r="CQ74" s="93">
        <v>3.1557089E-3</v>
      </c>
      <c r="CR74" s="94">
        <v>4.41089E-5</v>
      </c>
      <c r="CS74" s="93">
        <v>13.2738716</v>
      </c>
      <c r="CT74" s="94">
        <v>4.5532347000000001E-2</v>
      </c>
      <c r="CU74" s="93">
        <v>2.1330224799999999E-2</v>
      </c>
      <c r="CV74" s="94">
        <v>1.014372E-4</v>
      </c>
      <c r="CW74" s="6" t="s">
        <v>76</v>
      </c>
      <c r="CX74" s="13">
        <v>0</v>
      </c>
      <c r="CY74" s="7" t="s">
        <v>76</v>
      </c>
      <c r="CZ74" s="15">
        <v>0</v>
      </c>
      <c r="DA74" s="93">
        <v>59.938483974</v>
      </c>
      <c r="DB74" s="94">
        <v>0.26348562320000002</v>
      </c>
      <c r="DC74" s="93">
        <v>0.1289806738</v>
      </c>
      <c r="DD74" s="94">
        <v>9.5009819999999998E-4</v>
      </c>
      <c r="DE74" s="93">
        <v>91.754472278999998</v>
      </c>
      <c r="DF74" s="94">
        <v>0.16578816939999999</v>
      </c>
      <c r="DG74" s="93">
        <v>0.31725245680000003</v>
      </c>
      <c r="DH74" s="94">
        <v>2.4321837999999999E-3</v>
      </c>
      <c r="DI74" s="188">
        <v>2.1697265E-2</v>
      </c>
      <c r="DJ74" s="189">
        <v>3.4338108200000002E-2</v>
      </c>
      <c r="DK74" s="189">
        <v>3.98930958E-2</v>
      </c>
      <c r="DL74" s="189">
        <v>4.2637791899999999E-2</v>
      </c>
      <c r="DM74" s="189">
        <v>4.3927214200000002E-2</v>
      </c>
      <c r="DN74" s="189">
        <v>4.4906054500000001E-2</v>
      </c>
      <c r="DO74" s="189">
        <v>4.5436282500000001E-2</v>
      </c>
      <c r="DP74" s="189">
        <v>4.5875522500000002E-2</v>
      </c>
      <c r="DQ74" s="189">
        <v>4.6163456800000002E-2</v>
      </c>
      <c r="DR74" s="190">
        <v>4.6405195500000003E-2</v>
      </c>
      <c r="DS74" s="112">
        <v>165.24684588</v>
      </c>
      <c r="DT74" s="13">
        <v>2.2335769175000002</v>
      </c>
      <c r="DU74" s="79">
        <v>124.84999273</v>
      </c>
      <c r="DV74" s="13">
        <v>1.6626006663999999</v>
      </c>
      <c r="DW74" s="79">
        <v>93.861184711999996</v>
      </c>
      <c r="DX74" s="13">
        <v>1.2402466309</v>
      </c>
      <c r="DY74" s="79">
        <v>70.697543710000005</v>
      </c>
      <c r="DZ74" s="13">
        <v>0.93227187980000004</v>
      </c>
      <c r="EA74" s="79">
        <v>53.665205282999999</v>
      </c>
      <c r="EB74" s="13">
        <v>0.70913760179999996</v>
      </c>
      <c r="EC74" s="79">
        <v>41.137190717000003</v>
      </c>
      <c r="ED74" s="13">
        <v>0.54596597069999997</v>
      </c>
      <c r="EE74" s="79">
        <v>31.905696741</v>
      </c>
      <c r="EF74" s="13">
        <v>0.42558684149999998</v>
      </c>
      <c r="EG74" s="79">
        <v>25.062347356</v>
      </c>
      <c r="EH74" s="13">
        <v>0.33584847699999998</v>
      </c>
      <c r="EI74" s="79">
        <v>19.939706301000001</v>
      </c>
      <c r="EJ74" s="13">
        <v>0.26773139109999999</v>
      </c>
      <c r="EK74" s="79">
        <v>16.056457287000001</v>
      </c>
      <c r="EL74" s="15">
        <v>0.2154821472</v>
      </c>
      <c r="EM74" s="79"/>
      <c r="EN74" s="13"/>
      <c r="EO74" s="79"/>
      <c r="EP74" s="13"/>
      <c r="EQ74" s="79"/>
      <c r="ER74" s="13"/>
      <c r="ES74" s="79"/>
      <c r="ET74" s="13"/>
      <c r="EU74" s="79"/>
      <c r="EV74" s="15"/>
    </row>
    <row r="75" spans="1:152" x14ac:dyDescent="0.2">
      <c r="A75" s="8">
        <v>25000</v>
      </c>
      <c r="B75" s="82">
        <v>17048</v>
      </c>
      <c r="C75" s="83">
        <v>4128.5446824000001</v>
      </c>
      <c r="D75" s="93">
        <v>22280.755559000001</v>
      </c>
      <c r="E75" s="93">
        <v>252.64823505000001</v>
      </c>
      <c r="F75" s="94">
        <v>0.15840454209999999</v>
      </c>
      <c r="G75" s="83">
        <v>166.29573124000001</v>
      </c>
      <c r="H75" s="94">
        <v>2.8844215999999999E-2</v>
      </c>
      <c r="I75" s="93">
        <v>308.32457956000002</v>
      </c>
      <c r="J75" s="94">
        <v>3.0374754163</v>
      </c>
      <c r="K75" s="93">
        <v>686.91741535999995</v>
      </c>
      <c r="L75" s="94">
        <v>3.8939605809</v>
      </c>
      <c r="M75" s="93">
        <v>5.8886072337000002</v>
      </c>
      <c r="N75" s="94">
        <v>2.1992908500000002E-2</v>
      </c>
      <c r="O75" s="37">
        <v>0</v>
      </c>
      <c r="P75" s="13">
        <v>0</v>
      </c>
      <c r="Q75" s="93">
        <v>146.40139384</v>
      </c>
      <c r="R75" s="94">
        <v>0.31218467459999999</v>
      </c>
      <c r="S75" s="37" t="s">
        <v>76</v>
      </c>
      <c r="T75" s="13">
        <v>0</v>
      </c>
      <c r="U75" s="37" t="s">
        <v>76</v>
      </c>
      <c r="V75" s="13">
        <v>0</v>
      </c>
      <c r="W75" s="93">
        <v>1.5634464267999999</v>
      </c>
      <c r="X75" s="94">
        <v>5.9040891E-3</v>
      </c>
      <c r="Y75" s="93">
        <v>16.716452598</v>
      </c>
      <c r="Z75" s="94">
        <v>3.6129130000000001E-3</v>
      </c>
      <c r="AA75" s="37" t="s">
        <v>76</v>
      </c>
      <c r="AB75" s="13">
        <v>0</v>
      </c>
      <c r="AC75" s="93">
        <v>2.8716804999999999E-3</v>
      </c>
      <c r="AD75" s="94">
        <v>1.04548E-5</v>
      </c>
      <c r="AE75" s="37" t="s">
        <v>76</v>
      </c>
      <c r="AF75" s="13">
        <v>0</v>
      </c>
      <c r="AG75" s="37" t="s">
        <v>76</v>
      </c>
      <c r="AH75" s="13">
        <v>0</v>
      </c>
      <c r="AI75" s="93">
        <v>2.8716804999999999E-3</v>
      </c>
      <c r="AJ75" s="94">
        <v>1.04548E-5</v>
      </c>
      <c r="AK75" s="93">
        <v>349.63826012999999</v>
      </c>
      <c r="AL75" s="94">
        <v>1.9081470214</v>
      </c>
      <c r="AM75" s="37" t="s">
        <v>76</v>
      </c>
      <c r="AN75" s="13">
        <v>0</v>
      </c>
      <c r="AO75" s="37" t="s">
        <v>76</v>
      </c>
      <c r="AP75" s="13">
        <v>0</v>
      </c>
      <c r="AQ75" s="37" t="s">
        <v>76</v>
      </c>
      <c r="AR75" s="13">
        <v>0</v>
      </c>
      <c r="AS75" s="93">
        <v>80.522040559000004</v>
      </c>
      <c r="AT75" s="94">
        <v>0.82752214899999998</v>
      </c>
      <c r="AU75" s="93">
        <v>64.278921659999995</v>
      </c>
      <c r="AV75" s="94">
        <v>0.3374448323</v>
      </c>
      <c r="AW75" s="93">
        <v>45.585958552999998</v>
      </c>
      <c r="AX75" s="94">
        <v>0.18261436640000001</v>
      </c>
      <c r="AY75" s="93">
        <v>9.8159918658999992</v>
      </c>
      <c r="AZ75" s="94">
        <v>4.58587944E-2</v>
      </c>
      <c r="BA75" s="79">
        <v>8.8769712409999997</v>
      </c>
      <c r="BB75" s="13">
        <v>0.10897167150000001</v>
      </c>
      <c r="BC75" s="93">
        <v>0</v>
      </c>
      <c r="BD75" s="86">
        <v>0</v>
      </c>
      <c r="BE75" s="93">
        <v>213.59716892</v>
      </c>
      <c r="BF75" s="94">
        <v>0.35469011119999999</v>
      </c>
      <c r="BG75" s="94">
        <v>6.38063621E-2</v>
      </c>
      <c r="BH75" s="86">
        <v>0</v>
      </c>
      <c r="BI75" s="93">
        <v>227.47486074</v>
      </c>
      <c r="BJ75" s="94">
        <v>5.8171800048</v>
      </c>
      <c r="BK75" s="93">
        <v>381.71582824000001</v>
      </c>
      <c r="BL75" s="94">
        <v>2.0761749134</v>
      </c>
      <c r="BM75" s="93">
        <v>249.92378360999999</v>
      </c>
      <c r="BN75" s="94">
        <v>0.97929310469999997</v>
      </c>
      <c r="BO75" s="93">
        <v>94.985023014999996</v>
      </c>
      <c r="BP75" s="94">
        <v>0.1030486729</v>
      </c>
      <c r="BQ75" s="93">
        <v>0</v>
      </c>
      <c r="BR75" s="88">
        <v>0</v>
      </c>
      <c r="BS75" s="37" t="s">
        <v>76</v>
      </c>
      <c r="BT75" s="13">
        <v>0</v>
      </c>
      <c r="BU75" s="93">
        <v>3.9474947558000002</v>
      </c>
      <c r="BV75" s="94">
        <v>1.3466057300000001E-2</v>
      </c>
      <c r="BW75" s="93">
        <v>0.1819048563</v>
      </c>
      <c r="BX75" s="94">
        <v>6.2471399999999996E-4</v>
      </c>
      <c r="BY75" s="7" t="s">
        <v>76</v>
      </c>
      <c r="BZ75" s="13">
        <v>0</v>
      </c>
      <c r="CA75" s="7" t="s">
        <v>76</v>
      </c>
      <c r="CB75" s="13">
        <v>0</v>
      </c>
      <c r="CC75" s="93">
        <v>139.84179986999999</v>
      </c>
      <c r="CD75" s="94">
        <v>0.29749784480000002</v>
      </c>
      <c r="CE75" s="93">
        <v>1.1248055958000001</v>
      </c>
      <c r="CF75" s="94">
        <v>4.7631045000000004E-3</v>
      </c>
      <c r="CG75" s="7" t="s">
        <v>76</v>
      </c>
      <c r="CH75" s="13">
        <v>0</v>
      </c>
      <c r="CI75" s="7" t="s">
        <v>76</v>
      </c>
      <c r="CJ75" s="13">
        <v>0</v>
      </c>
      <c r="CK75" s="7" t="s">
        <v>76</v>
      </c>
      <c r="CL75" s="13">
        <v>0</v>
      </c>
      <c r="CM75" s="7" t="s">
        <v>76</v>
      </c>
      <c r="CN75" s="13">
        <v>0</v>
      </c>
      <c r="CO75" s="93">
        <v>1.4051493448000001</v>
      </c>
      <c r="CP75" s="94">
        <v>4.9146726999999999E-3</v>
      </c>
      <c r="CQ75" s="93">
        <v>3.2577129000000002E-3</v>
      </c>
      <c r="CR75" s="94">
        <v>4.4790100000000003E-5</v>
      </c>
      <c r="CS75" s="93">
        <v>15.26380355</v>
      </c>
      <c r="CT75" s="94">
        <v>5.1055368800000001E-2</v>
      </c>
      <c r="CU75" s="93">
        <v>2.46830078E-2</v>
      </c>
      <c r="CV75" s="94">
        <v>1.1587049999999999E-4</v>
      </c>
      <c r="CW75" s="6" t="s">
        <v>76</v>
      </c>
      <c r="CX75" s="13">
        <v>0</v>
      </c>
      <c r="CY75" s="7" t="s">
        <v>76</v>
      </c>
      <c r="CZ75" s="15">
        <v>0</v>
      </c>
      <c r="DA75" s="93">
        <v>65.566931190000005</v>
      </c>
      <c r="DB75" s="94">
        <v>0.2793009092</v>
      </c>
      <c r="DC75" s="93">
        <v>0.1399223557</v>
      </c>
      <c r="DD75" s="94">
        <v>1.0178206E-3</v>
      </c>
      <c r="DE75" s="93">
        <v>103.14897883</v>
      </c>
      <c r="DF75" s="94">
        <v>0.1803288066</v>
      </c>
      <c r="DG75" s="93">
        <v>0.34579576849999999</v>
      </c>
      <c r="DH75" s="94">
        <v>2.5853149999999999E-3</v>
      </c>
      <c r="DI75" s="188">
        <v>2.5765706100000001E-2</v>
      </c>
      <c r="DJ75" s="189">
        <v>4.1324829799999997E-2</v>
      </c>
      <c r="DK75" s="189">
        <v>4.8696032799999997E-2</v>
      </c>
      <c r="DL75" s="189">
        <v>5.2596989199999999E-2</v>
      </c>
      <c r="DM75" s="189">
        <v>5.4595693899999999E-2</v>
      </c>
      <c r="DN75" s="189">
        <v>5.61246834E-2</v>
      </c>
      <c r="DO75" s="189">
        <v>5.6988181399999997E-2</v>
      </c>
      <c r="DP75" s="189">
        <v>5.7717440600000003E-2</v>
      </c>
      <c r="DQ75" s="189">
        <v>5.8189901099999997E-2</v>
      </c>
      <c r="DR75" s="190">
        <v>5.8579490900000003E-2</v>
      </c>
      <c r="DS75" s="112">
        <v>173.71544114</v>
      </c>
      <c r="DT75" s="13">
        <v>2.2917771525999999</v>
      </c>
      <c r="DU75" s="79">
        <v>132.37595395</v>
      </c>
      <c r="DV75" s="13">
        <v>1.7168693014</v>
      </c>
      <c r="DW75" s="79">
        <v>100.47885925999999</v>
      </c>
      <c r="DX75" s="13">
        <v>1.2897026812000001</v>
      </c>
      <c r="DY75" s="79">
        <v>76.479276858999995</v>
      </c>
      <c r="DZ75" s="13">
        <v>0.97661642039999996</v>
      </c>
      <c r="EA75" s="79">
        <v>58.675011130999998</v>
      </c>
      <c r="EB75" s="13">
        <v>0.74839164439999994</v>
      </c>
      <c r="EC75" s="79">
        <v>45.479561849</v>
      </c>
      <c r="ED75" s="13">
        <v>0.58046050100000002</v>
      </c>
      <c r="EE75" s="79">
        <v>35.676804869999998</v>
      </c>
      <c r="EF75" s="13">
        <v>0.4558161678</v>
      </c>
      <c r="EG75" s="79">
        <v>28.341182239999998</v>
      </c>
      <c r="EH75" s="13">
        <v>0.36228115820000001</v>
      </c>
      <c r="EI75" s="79">
        <v>22.795098724999999</v>
      </c>
      <c r="EJ75" s="13">
        <v>0.29081699630000002</v>
      </c>
      <c r="EK75" s="79">
        <v>18.545602558999999</v>
      </c>
      <c r="EL75" s="15">
        <v>0.2356334085</v>
      </c>
      <c r="EM75" s="79"/>
      <c r="EN75" s="13"/>
      <c r="EO75" s="79"/>
      <c r="EP75" s="13"/>
      <c r="EQ75" s="79"/>
      <c r="ER75" s="13"/>
      <c r="ES75" s="79"/>
      <c r="ET75" s="13"/>
      <c r="EU75" s="79"/>
      <c r="EV75" s="15"/>
    </row>
    <row r="76" spans="1:152" x14ac:dyDescent="0.2">
      <c r="A76" s="8">
        <v>30000</v>
      </c>
      <c r="B76" s="82">
        <v>10809</v>
      </c>
      <c r="C76" s="83">
        <v>4302.3714707999998</v>
      </c>
      <c r="D76" s="93">
        <v>27352.936798999999</v>
      </c>
      <c r="E76" s="93">
        <v>284.99097446000002</v>
      </c>
      <c r="F76" s="94">
        <v>0.16632432059999999</v>
      </c>
      <c r="G76" s="83">
        <v>208.23708002000001</v>
      </c>
      <c r="H76" s="94">
        <v>3.2547910999999999E-2</v>
      </c>
      <c r="I76" s="93">
        <v>317.49686315000002</v>
      </c>
      <c r="J76" s="94">
        <v>3.0772553829999998</v>
      </c>
      <c r="K76" s="93">
        <v>722.09831854000004</v>
      </c>
      <c r="L76" s="94">
        <v>3.9878594212</v>
      </c>
      <c r="M76" s="93">
        <v>6.6228298182999996</v>
      </c>
      <c r="N76" s="94">
        <v>2.3227831099999999E-2</v>
      </c>
      <c r="O76" s="37">
        <v>0</v>
      </c>
      <c r="P76" s="13">
        <v>0</v>
      </c>
      <c r="Q76" s="93">
        <v>155.63059351999999</v>
      </c>
      <c r="R76" s="94">
        <v>0.32180232089999999</v>
      </c>
      <c r="S76" s="37" t="s">
        <v>76</v>
      </c>
      <c r="T76" s="13">
        <v>0</v>
      </c>
      <c r="U76" s="37" t="s">
        <v>76</v>
      </c>
      <c r="V76" s="13">
        <v>0</v>
      </c>
      <c r="W76" s="93">
        <v>1.7085761185999999</v>
      </c>
      <c r="X76" s="94">
        <v>6.2471133999999996E-3</v>
      </c>
      <c r="Y76" s="93">
        <v>18.264165833</v>
      </c>
      <c r="Z76" s="94">
        <v>4.1428977000000002E-3</v>
      </c>
      <c r="AA76" s="37" t="s">
        <v>76</v>
      </c>
      <c r="AB76" s="13">
        <v>0</v>
      </c>
      <c r="AC76" s="93">
        <v>2.8431155E-3</v>
      </c>
      <c r="AD76" s="94">
        <v>1.0347799999999999E-5</v>
      </c>
      <c r="AE76" s="37" t="s">
        <v>76</v>
      </c>
      <c r="AF76" s="13">
        <v>0</v>
      </c>
      <c r="AG76" s="37" t="s">
        <v>76</v>
      </c>
      <c r="AH76" s="13">
        <v>0</v>
      </c>
      <c r="AI76" s="93">
        <v>2.8431155E-3</v>
      </c>
      <c r="AJ76" s="94">
        <v>1.0347799999999999E-5</v>
      </c>
      <c r="AK76" s="93">
        <v>355.29583825999998</v>
      </c>
      <c r="AL76" s="94">
        <v>1.9311153055000001</v>
      </c>
      <c r="AM76" s="37" t="s">
        <v>76</v>
      </c>
      <c r="AN76" s="13">
        <v>0</v>
      </c>
      <c r="AO76" s="37" t="s">
        <v>76</v>
      </c>
      <c r="AP76" s="13">
        <v>0</v>
      </c>
      <c r="AQ76" s="37" t="s">
        <v>76</v>
      </c>
      <c r="AR76" s="13">
        <v>0</v>
      </c>
      <c r="AS76" s="93">
        <v>85.878349716000002</v>
      </c>
      <c r="AT76" s="94">
        <v>0.84873773770000005</v>
      </c>
      <c r="AU76" s="93">
        <v>66.952423621999998</v>
      </c>
      <c r="AV76" s="94">
        <v>0.34692534990000001</v>
      </c>
      <c r="AW76" s="93">
        <v>47.492786510999998</v>
      </c>
      <c r="AX76" s="94">
        <v>0.18737698259999999</v>
      </c>
      <c r="AY76" s="93">
        <v>10.059332591</v>
      </c>
      <c r="AZ76" s="94">
        <v>4.6673883800000003E-2</v>
      </c>
      <c r="BA76" s="79">
        <v>9.4003045199000006</v>
      </c>
      <c r="BB76" s="13">
        <v>0.1128744835</v>
      </c>
      <c r="BC76" s="93">
        <v>0</v>
      </c>
      <c r="BD76" s="86">
        <v>0</v>
      </c>
      <c r="BE76" s="93">
        <v>234.64078345999999</v>
      </c>
      <c r="BF76" s="94">
        <v>0.37744846230000001</v>
      </c>
      <c r="BG76" s="94">
        <v>7.5466361199999998E-2</v>
      </c>
      <c r="BH76" s="86">
        <v>0</v>
      </c>
      <c r="BI76" s="93">
        <v>233.70340289999999</v>
      </c>
      <c r="BJ76" s="94">
        <v>5.9329219803999997</v>
      </c>
      <c r="BK76" s="93">
        <v>401.10185446000003</v>
      </c>
      <c r="BL76" s="94">
        <v>2.1225143208000001</v>
      </c>
      <c r="BM76" s="93">
        <v>258.70016937999998</v>
      </c>
      <c r="BN76" s="94">
        <v>0.99974645539999996</v>
      </c>
      <c r="BO76" s="93">
        <v>109.70786298</v>
      </c>
      <c r="BP76" s="94">
        <v>0.1105696961</v>
      </c>
      <c r="BQ76" s="93">
        <v>0</v>
      </c>
      <c r="BR76" s="88">
        <v>0</v>
      </c>
      <c r="BS76" s="37" t="s">
        <v>76</v>
      </c>
      <c r="BT76" s="13">
        <v>0</v>
      </c>
      <c r="BU76" s="93">
        <v>4.4130553532999999</v>
      </c>
      <c r="BV76" s="94">
        <v>1.4384705899999999E-2</v>
      </c>
      <c r="BW76" s="93">
        <v>0.18874161189999999</v>
      </c>
      <c r="BX76" s="94">
        <v>6.4576759999999999E-4</v>
      </c>
      <c r="BY76" s="7" t="s">
        <v>76</v>
      </c>
      <c r="BZ76" s="13">
        <v>0</v>
      </c>
      <c r="CA76" s="7" t="s">
        <v>76</v>
      </c>
      <c r="CB76" s="13">
        <v>0</v>
      </c>
      <c r="CC76" s="93">
        <v>148.53569404000001</v>
      </c>
      <c r="CD76" s="94">
        <v>0.30692172220000002</v>
      </c>
      <c r="CE76" s="93">
        <v>1.2205187385</v>
      </c>
      <c r="CF76" s="94">
        <v>5.1185197999999996E-3</v>
      </c>
      <c r="CG76" s="7" t="s">
        <v>76</v>
      </c>
      <c r="CH76" s="13">
        <v>0</v>
      </c>
      <c r="CI76" s="7" t="s">
        <v>76</v>
      </c>
      <c r="CJ76" s="13">
        <v>0</v>
      </c>
      <c r="CK76" s="7" t="s">
        <v>76</v>
      </c>
      <c r="CL76" s="13">
        <v>0</v>
      </c>
      <c r="CM76" s="7" t="s">
        <v>76</v>
      </c>
      <c r="CN76" s="13">
        <v>0</v>
      </c>
      <c r="CO76" s="93">
        <v>1.5405576344</v>
      </c>
      <c r="CP76" s="94">
        <v>5.2484537E-3</v>
      </c>
      <c r="CQ76" s="93">
        <v>3.3584852000000001E-3</v>
      </c>
      <c r="CR76" s="94">
        <v>4.4860200000000001E-5</v>
      </c>
      <c r="CS76" s="93">
        <v>16.658529933000001</v>
      </c>
      <c r="CT76" s="94">
        <v>5.4843703200000003E-2</v>
      </c>
      <c r="CU76" s="93">
        <v>2.53586482E-2</v>
      </c>
      <c r="CV76" s="94">
        <v>1.21561E-4</v>
      </c>
      <c r="CW76" s="6" t="s">
        <v>76</v>
      </c>
      <c r="CX76" s="13">
        <v>0</v>
      </c>
      <c r="CY76" s="7" t="s">
        <v>76</v>
      </c>
      <c r="CZ76" s="15">
        <v>0</v>
      </c>
      <c r="DA76" s="93">
        <v>69.899506613</v>
      </c>
      <c r="DB76" s="94">
        <v>0.29058752090000001</v>
      </c>
      <c r="DC76" s="93">
        <v>0.14674985139999999</v>
      </c>
      <c r="DD76" s="94">
        <v>1.0803702000000001E-3</v>
      </c>
      <c r="DE76" s="93">
        <v>111.46973884000001</v>
      </c>
      <c r="DF76" s="94">
        <v>0.19055265569999999</v>
      </c>
      <c r="DG76" s="93">
        <v>0.37550818400000002</v>
      </c>
      <c r="DH76" s="94">
        <v>2.774178E-3</v>
      </c>
      <c r="DI76" s="188">
        <v>2.8772670600000001E-2</v>
      </c>
      <c r="DJ76" s="189">
        <v>4.6551576099999999E-2</v>
      </c>
      <c r="DK76" s="189">
        <v>5.5437141099999997E-2</v>
      </c>
      <c r="DL76" s="189">
        <v>6.0377083999999998E-2</v>
      </c>
      <c r="DM76" s="189">
        <v>6.3051923300000007E-2</v>
      </c>
      <c r="DN76" s="189">
        <v>6.5122393799999997E-2</v>
      </c>
      <c r="DO76" s="189">
        <v>6.6352212100000002E-2</v>
      </c>
      <c r="DP76" s="189">
        <v>6.7388519899999999E-2</v>
      </c>
      <c r="DQ76" s="189">
        <v>6.8094475000000002E-2</v>
      </c>
      <c r="DR76" s="190">
        <v>6.8676949099999995E-2</v>
      </c>
      <c r="DS76" s="112">
        <v>179.75543866999999</v>
      </c>
      <c r="DT76" s="13">
        <v>2.3300481550000001</v>
      </c>
      <c r="DU76" s="79">
        <v>137.81020766</v>
      </c>
      <c r="DV76" s="13">
        <v>1.7527648135</v>
      </c>
      <c r="DW76" s="79">
        <v>105.33275843</v>
      </c>
      <c r="DX76" s="13">
        <v>1.3226619040000001</v>
      </c>
      <c r="DY76" s="79">
        <v>80.787979258999997</v>
      </c>
      <c r="DZ76" s="13">
        <v>1.0063999883999999</v>
      </c>
      <c r="EA76" s="79">
        <v>62.479559414999997</v>
      </c>
      <c r="EB76" s="13">
        <v>0.77502766840000004</v>
      </c>
      <c r="EC76" s="79">
        <v>48.818701527999998</v>
      </c>
      <c r="ED76" s="13">
        <v>0.60409415330000005</v>
      </c>
      <c r="EE76" s="79">
        <v>38.598222352000001</v>
      </c>
      <c r="EF76" s="13">
        <v>0.4766494355</v>
      </c>
      <c r="EG76" s="79">
        <v>30.889875038</v>
      </c>
      <c r="EH76" s="13">
        <v>0.38057501220000001</v>
      </c>
      <c r="EI76" s="79">
        <v>25.019466165000001</v>
      </c>
      <c r="EJ76" s="13">
        <v>0.3068594744</v>
      </c>
      <c r="EK76" s="79">
        <v>20.489480147999998</v>
      </c>
      <c r="EL76" s="15">
        <v>0.2497169715</v>
      </c>
      <c r="EM76" s="79"/>
      <c r="EN76" s="13"/>
      <c r="EO76" s="79"/>
      <c r="EP76" s="13"/>
      <c r="EQ76" s="79"/>
      <c r="ER76" s="13"/>
      <c r="ES76" s="79"/>
      <c r="ET76" s="13"/>
      <c r="EU76" s="79"/>
      <c r="EV76" s="15"/>
    </row>
    <row r="77" spans="1:152" x14ac:dyDescent="0.2">
      <c r="A77" s="8">
        <v>35000</v>
      </c>
      <c r="B77" s="82">
        <v>7509</v>
      </c>
      <c r="C77" s="83">
        <v>4439.7023319999998</v>
      </c>
      <c r="D77" s="93">
        <v>32359.170883999999</v>
      </c>
      <c r="E77" s="93">
        <v>310.22555002000001</v>
      </c>
      <c r="F77" s="94">
        <v>0.17201842010000001</v>
      </c>
      <c r="G77" s="83">
        <v>247.4877942</v>
      </c>
      <c r="H77" s="94">
        <v>3.5572044999999997E-2</v>
      </c>
      <c r="I77" s="93">
        <v>324.48586832000001</v>
      </c>
      <c r="J77" s="94">
        <v>3.1042485430000002</v>
      </c>
      <c r="K77" s="93">
        <v>749.48610964</v>
      </c>
      <c r="L77" s="94">
        <v>4.0565438564000003</v>
      </c>
      <c r="M77" s="93">
        <v>7.4753081382</v>
      </c>
      <c r="N77" s="94">
        <v>2.46630119E-2</v>
      </c>
      <c r="O77" s="37">
        <v>0</v>
      </c>
      <c r="P77" s="13">
        <v>0</v>
      </c>
      <c r="Q77" s="93">
        <v>162.56004619999999</v>
      </c>
      <c r="R77" s="94">
        <v>0.32863092129999999</v>
      </c>
      <c r="S77" s="37" t="s">
        <v>76</v>
      </c>
      <c r="T77" s="13">
        <v>0</v>
      </c>
      <c r="U77" s="37" t="s">
        <v>76</v>
      </c>
      <c r="V77" s="13">
        <v>0</v>
      </c>
      <c r="W77" s="93">
        <v>1.8071058601000001</v>
      </c>
      <c r="X77" s="94">
        <v>6.4326875E-3</v>
      </c>
      <c r="Y77" s="93">
        <v>19.595148007999999</v>
      </c>
      <c r="Z77" s="94">
        <v>4.4119935000000001E-3</v>
      </c>
      <c r="AA77" s="37" t="s">
        <v>76</v>
      </c>
      <c r="AB77" s="13">
        <v>0</v>
      </c>
      <c r="AC77" s="93">
        <v>2.8243126E-3</v>
      </c>
      <c r="AD77" s="94">
        <v>1.02771E-5</v>
      </c>
      <c r="AE77" s="37" t="s">
        <v>76</v>
      </c>
      <c r="AF77" s="13">
        <v>0</v>
      </c>
      <c r="AG77" s="37" t="s">
        <v>76</v>
      </c>
      <c r="AH77" s="13">
        <v>0</v>
      </c>
      <c r="AI77" s="93">
        <v>2.8243126E-3</v>
      </c>
      <c r="AJ77" s="94">
        <v>1.02771E-5</v>
      </c>
      <c r="AK77" s="93">
        <v>359.51775613000001</v>
      </c>
      <c r="AL77" s="94">
        <v>1.9469491878</v>
      </c>
      <c r="AM77" s="37" t="s">
        <v>76</v>
      </c>
      <c r="AN77" s="13">
        <v>0</v>
      </c>
      <c r="AO77" s="37" t="s">
        <v>76</v>
      </c>
      <c r="AP77" s="13">
        <v>0</v>
      </c>
      <c r="AQ77" s="37" t="s">
        <v>76</v>
      </c>
      <c r="AR77" s="13">
        <v>0</v>
      </c>
      <c r="AS77" s="93">
        <v>89.838898564000004</v>
      </c>
      <c r="AT77" s="94">
        <v>0.86357019479999997</v>
      </c>
      <c r="AU77" s="93">
        <v>69.062248768000003</v>
      </c>
      <c r="AV77" s="94">
        <v>0.35438804779999999</v>
      </c>
      <c r="AW77" s="93">
        <v>49.017548578000003</v>
      </c>
      <c r="AX77" s="94">
        <v>0.19125252270000001</v>
      </c>
      <c r="AY77" s="93">
        <v>10.236461361</v>
      </c>
      <c r="AZ77" s="94">
        <v>4.72048412E-2</v>
      </c>
      <c r="BA77" s="79">
        <v>9.8082388293000005</v>
      </c>
      <c r="BB77" s="13">
        <v>0.1159306839</v>
      </c>
      <c r="BC77" s="93">
        <v>0</v>
      </c>
      <c r="BD77" s="86">
        <v>0</v>
      </c>
      <c r="BE77" s="93">
        <v>252.04303727999999</v>
      </c>
      <c r="BF77" s="94">
        <v>0.39594298280000001</v>
      </c>
      <c r="BG77" s="94">
        <v>8.7116457999999994E-2</v>
      </c>
      <c r="BH77" s="86">
        <v>0</v>
      </c>
      <c r="BI77" s="93">
        <v>238.47542317</v>
      </c>
      <c r="BJ77" s="94">
        <v>6.0204141471000003</v>
      </c>
      <c r="BK77" s="93">
        <v>416.20666441999998</v>
      </c>
      <c r="BL77" s="94">
        <v>2.1556393117999999</v>
      </c>
      <c r="BM77" s="93">
        <v>266.11422825</v>
      </c>
      <c r="BN77" s="94">
        <v>1.0147119428</v>
      </c>
      <c r="BO77" s="93">
        <v>123.03889765</v>
      </c>
      <c r="BP77" s="94">
        <v>0.11643513060000001</v>
      </c>
      <c r="BQ77" s="93">
        <v>0</v>
      </c>
      <c r="BR77" s="88">
        <v>0</v>
      </c>
      <c r="BS77" s="37" t="s">
        <v>76</v>
      </c>
      <c r="BT77" s="13">
        <v>0</v>
      </c>
      <c r="BU77" s="93">
        <v>5.0841217133000001</v>
      </c>
      <c r="BV77" s="94">
        <v>1.5635869699999999E-2</v>
      </c>
      <c r="BW77" s="93">
        <v>0.1953775905</v>
      </c>
      <c r="BX77" s="94">
        <v>6.705201E-4</v>
      </c>
      <c r="BY77" s="7" t="s">
        <v>76</v>
      </c>
      <c r="BZ77" s="13">
        <v>0</v>
      </c>
      <c r="CA77" s="7" t="s">
        <v>76</v>
      </c>
      <c r="CB77" s="13">
        <v>0</v>
      </c>
      <c r="CC77" s="93">
        <v>155.05709035000001</v>
      </c>
      <c r="CD77" s="94">
        <v>0.31380421939999997</v>
      </c>
      <c r="CE77" s="93">
        <v>1.2978845238000001</v>
      </c>
      <c r="CF77" s="94">
        <v>5.3573637000000002E-3</v>
      </c>
      <c r="CG77" s="7" t="s">
        <v>76</v>
      </c>
      <c r="CH77" s="13">
        <v>0</v>
      </c>
      <c r="CI77" s="7" t="s">
        <v>76</v>
      </c>
      <c r="CJ77" s="13">
        <v>0</v>
      </c>
      <c r="CK77" s="7" t="s">
        <v>76</v>
      </c>
      <c r="CL77" s="13">
        <v>0</v>
      </c>
      <c r="CM77" s="7" t="s">
        <v>76</v>
      </c>
      <c r="CN77" s="13">
        <v>0</v>
      </c>
      <c r="CO77" s="93">
        <v>1.6304053892000001</v>
      </c>
      <c r="CP77" s="94">
        <v>5.4510113000000001E-3</v>
      </c>
      <c r="CQ77" s="93">
        <v>3.3355772999999998E-3</v>
      </c>
      <c r="CR77" s="94">
        <v>4.4559399999999999E-5</v>
      </c>
      <c r="CS77" s="93">
        <v>17.821543246000001</v>
      </c>
      <c r="CT77" s="94">
        <v>5.8068560900000003E-2</v>
      </c>
      <c r="CU77" s="93">
        <v>2.87874672E-2</v>
      </c>
      <c r="CV77" s="94">
        <v>1.4911850000000001E-4</v>
      </c>
      <c r="CW77" s="6" t="s">
        <v>76</v>
      </c>
      <c r="CX77" s="13">
        <v>0</v>
      </c>
      <c r="CY77" s="7" t="s">
        <v>76</v>
      </c>
      <c r="CZ77" s="15">
        <v>0</v>
      </c>
      <c r="DA77" s="93">
        <v>73.117061770999996</v>
      </c>
      <c r="DB77" s="94">
        <v>0.2989295414</v>
      </c>
      <c r="DC77" s="93">
        <v>0.15042816079999999</v>
      </c>
      <c r="DD77" s="94">
        <v>1.1156254E-3</v>
      </c>
      <c r="DE77" s="93">
        <v>117.98521877</v>
      </c>
      <c r="DF77" s="94">
        <v>0.1986885602</v>
      </c>
      <c r="DG77" s="93">
        <v>0.38605507729999999</v>
      </c>
      <c r="DH77" s="94">
        <v>2.8621217999999999E-3</v>
      </c>
      <c r="DI77" s="188">
        <v>3.11163377E-2</v>
      </c>
      <c r="DJ77" s="189">
        <v>5.0636178599999998E-2</v>
      </c>
      <c r="DK77" s="189">
        <v>6.0821305899999997E-2</v>
      </c>
      <c r="DL77" s="189">
        <v>6.6685080800000004E-2</v>
      </c>
      <c r="DM77" s="189">
        <v>6.9998745500000001E-2</v>
      </c>
      <c r="DN77" s="189">
        <v>7.2579407600000007E-2</v>
      </c>
      <c r="DO77" s="189">
        <v>7.4175785100000002E-2</v>
      </c>
      <c r="DP77" s="189">
        <v>7.5519942000000007E-2</v>
      </c>
      <c r="DQ77" s="189">
        <v>7.6462552500000003E-2</v>
      </c>
      <c r="DR77" s="190">
        <v>7.7244614000000003E-2</v>
      </c>
      <c r="DS77" s="112">
        <v>184.27190758</v>
      </c>
      <c r="DT77" s="13">
        <v>2.3560115599999998</v>
      </c>
      <c r="DU77" s="79">
        <v>141.82629109000001</v>
      </c>
      <c r="DV77" s="13">
        <v>1.7771633301</v>
      </c>
      <c r="DW77" s="79">
        <v>108.88089029</v>
      </c>
      <c r="DX77" s="13">
        <v>1.3451015262999999</v>
      </c>
      <c r="DY77" s="79">
        <v>83.914172534000002</v>
      </c>
      <c r="DZ77" s="13">
        <v>1.0266944012999999</v>
      </c>
      <c r="EA77" s="79">
        <v>65.222639025999996</v>
      </c>
      <c r="EB77" s="13">
        <v>0.79318157050000004</v>
      </c>
      <c r="EC77" s="79">
        <v>51.213537258000002</v>
      </c>
      <c r="ED77" s="13">
        <v>0.62021739070000004</v>
      </c>
      <c r="EE77" s="79">
        <v>40.689411460999999</v>
      </c>
      <c r="EF77" s="13">
        <v>0.49092665759999998</v>
      </c>
      <c r="EG77" s="79">
        <v>32.716622663000003</v>
      </c>
      <c r="EH77" s="13">
        <v>0.39317518010000002</v>
      </c>
      <c r="EI77" s="79">
        <v>26.614104783999998</v>
      </c>
      <c r="EJ77" s="13">
        <v>0.31798645679999998</v>
      </c>
      <c r="EK77" s="79">
        <v>21.877774349999999</v>
      </c>
      <c r="EL77" s="15">
        <v>0.2595131504</v>
      </c>
      <c r="EM77" s="79"/>
      <c r="EN77" s="13"/>
      <c r="EO77" s="79"/>
      <c r="EP77" s="13"/>
      <c r="EQ77" s="79"/>
      <c r="ER77" s="13"/>
      <c r="ES77" s="79"/>
      <c r="ET77" s="13"/>
      <c r="EU77" s="79"/>
      <c r="EV77" s="15"/>
    </row>
    <row r="78" spans="1:152" x14ac:dyDescent="0.2">
      <c r="A78" s="8">
        <v>40000</v>
      </c>
      <c r="B78" s="82">
        <v>5326</v>
      </c>
      <c r="C78" s="83">
        <v>4551.6009186000001</v>
      </c>
      <c r="D78" s="93">
        <v>37388.616136999997</v>
      </c>
      <c r="E78" s="93">
        <v>329.63937098000002</v>
      </c>
      <c r="F78" s="94">
        <v>0.17614827250000001</v>
      </c>
      <c r="G78" s="83">
        <v>284.14623126999999</v>
      </c>
      <c r="H78" s="94">
        <v>3.7979585699999999E-2</v>
      </c>
      <c r="I78" s="93">
        <v>329.63677801</v>
      </c>
      <c r="J78" s="94">
        <v>3.1246309608999998</v>
      </c>
      <c r="K78" s="93">
        <v>770.71938240999998</v>
      </c>
      <c r="L78" s="94">
        <v>4.1061066844000003</v>
      </c>
      <c r="M78" s="93">
        <v>7.9804584054000003</v>
      </c>
      <c r="N78" s="94">
        <v>2.5312268700000001E-2</v>
      </c>
      <c r="O78" s="37">
        <v>0</v>
      </c>
      <c r="P78" s="13">
        <v>0</v>
      </c>
      <c r="Q78" s="93">
        <v>168.07125517</v>
      </c>
      <c r="R78" s="94">
        <v>0.33384045579999999</v>
      </c>
      <c r="S78" s="37" t="s">
        <v>76</v>
      </c>
      <c r="T78" s="13">
        <v>0</v>
      </c>
      <c r="U78" s="37" t="s">
        <v>76</v>
      </c>
      <c r="V78" s="13">
        <v>0</v>
      </c>
      <c r="W78" s="93">
        <v>1.8788822819</v>
      </c>
      <c r="X78" s="94">
        <v>6.5976791999999996E-3</v>
      </c>
      <c r="Y78" s="93">
        <v>20.743190268999999</v>
      </c>
      <c r="Z78" s="94">
        <v>4.5614621000000001E-3</v>
      </c>
      <c r="AA78" s="37" t="s">
        <v>76</v>
      </c>
      <c r="AB78" s="13">
        <v>0</v>
      </c>
      <c r="AC78" s="93">
        <v>2.8113233999999998E-3</v>
      </c>
      <c r="AD78" s="94">
        <v>1.0228600000000001E-5</v>
      </c>
      <c r="AE78" s="37" t="s">
        <v>76</v>
      </c>
      <c r="AF78" s="13">
        <v>0</v>
      </c>
      <c r="AG78" s="37" t="s">
        <v>76</v>
      </c>
      <c r="AH78" s="13">
        <v>0</v>
      </c>
      <c r="AI78" s="93">
        <v>2.8113233999999998E-3</v>
      </c>
      <c r="AJ78" s="94">
        <v>1.0228600000000001E-5</v>
      </c>
      <c r="AK78" s="93">
        <v>362.62381829999998</v>
      </c>
      <c r="AL78" s="94">
        <v>1.9589063897000001</v>
      </c>
      <c r="AM78" s="37" t="s">
        <v>76</v>
      </c>
      <c r="AN78" s="13">
        <v>0</v>
      </c>
      <c r="AO78" s="37" t="s">
        <v>76</v>
      </c>
      <c r="AP78" s="13">
        <v>0</v>
      </c>
      <c r="AQ78" s="37" t="s">
        <v>76</v>
      </c>
      <c r="AR78" s="13">
        <v>0</v>
      </c>
      <c r="AS78" s="93">
        <v>92.763042752999993</v>
      </c>
      <c r="AT78" s="94">
        <v>0.8745645286</v>
      </c>
      <c r="AU78" s="93">
        <v>70.756775668000003</v>
      </c>
      <c r="AV78" s="94">
        <v>0.36027004359999998</v>
      </c>
      <c r="AW78" s="93">
        <v>50.234823147999997</v>
      </c>
      <c r="AX78" s="94">
        <v>0.19414943600000001</v>
      </c>
      <c r="AY78" s="93">
        <v>10.354434446000001</v>
      </c>
      <c r="AZ78" s="94">
        <v>4.7690479600000002E-2</v>
      </c>
      <c r="BA78" s="79">
        <v>10.167518074</v>
      </c>
      <c r="BB78" s="13">
        <v>0.118430128</v>
      </c>
      <c r="BC78" s="93">
        <v>0</v>
      </c>
      <c r="BD78" s="86">
        <v>0</v>
      </c>
      <c r="BE78" s="93">
        <v>266.18050119999998</v>
      </c>
      <c r="BF78" s="94">
        <v>0.41137414970000002</v>
      </c>
      <c r="BG78" s="94">
        <v>9.7761313399999994E-2</v>
      </c>
      <c r="BH78" s="86">
        <v>0</v>
      </c>
      <c r="BI78" s="93">
        <v>241.84410609</v>
      </c>
      <c r="BJ78" s="94">
        <v>6.0812352643000001</v>
      </c>
      <c r="BK78" s="93">
        <v>427.92132494999998</v>
      </c>
      <c r="BL78" s="94">
        <v>2.1777382331999999</v>
      </c>
      <c r="BM78" s="93">
        <v>271.99029443000001</v>
      </c>
      <c r="BN78" s="94">
        <v>1.0251710551</v>
      </c>
      <c r="BO78" s="93">
        <v>133.82708905999999</v>
      </c>
      <c r="BP78" s="94">
        <v>0.12082765719999999</v>
      </c>
      <c r="BQ78" s="93">
        <v>0</v>
      </c>
      <c r="BR78" s="88">
        <v>0</v>
      </c>
      <c r="BS78" s="37" t="s">
        <v>76</v>
      </c>
      <c r="BT78" s="13">
        <v>0</v>
      </c>
      <c r="BU78" s="93">
        <v>5.4662093985000002</v>
      </c>
      <c r="BV78" s="94">
        <v>1.6250885999999999E-2</v>
      </c>
      <c r="BW78" s="93">
        <v>0.20644093899999999</v>
      </c>
      <c r="BX78" s="94">
        <v>7.0166149999999997E-4</v>
      </c>
      <c r="BY78" s="7" t="s">
        <v>76</v>
      </c>
      <c r="BZ78" s="13">
        <v>0</v>
      </c>
      <c r="CA78" s="7" t="s">
        <v>76</v>
      </c>
      <c r="CB78" s="13">
        <v>0</v>
      </c>
      <c r="CC78" s="93">
        <v>160.23117084</v>
      </c>
      <c r="CD78" s="94">
        <v>0.31916333029999999</v>
      </c>
      <c r="CE78" s="93">
        <v>1.3486108869</v>
      </c>
      <c r="CF78" s="94">
        <v>5.5636805000000003E-3</v>
      </c>
      <c r="CG78" s="7" t="s">
        <v>76</v>
      </c>
      <c r="CH78" s="13">
        <v>0</v>
      </c>
      <c r="CI78" s="7" t="s">
        <v>76</v>
      </c>
      <c r="CJ78" s="13">
        <v>0</v>
      </c>
      <c r="CK78" s="7" t="s">
        <v>76</v>
      </c>
      <c r="CL78" s="13">
        <v>0</v>
      </c>
      <c r="CM78" s="7" t="s">
        <v>76</v>
      </c>
      <c r="CN78" s="13">
        <v>0</v>
      </c>
      <c r="CO78" s="93">
        <v>1.6896737986000001</v>
      </c>
      <c r="CP78" s="94">
        <v>5.5713665999999997E-3</v>
      </c>
      <c r="CQ78" s="93">
        <v>3.7522658000000001E-3</v>
      </c>
      <c r="CR78" s="94">
        <v>4.49091E-5</v>
      </c>
      <c r="CS78" s="93">
        <v>18.709795717999999</v>
      </c>
      <c r="CT78" s="94">
        <v>6.0437956399999999E-2</v>
      </c>
      <c r="CU78" s="93">
        <v>3.1044669E-2</v>
      </c>
      <c r="CV78" s="94">
        <v>1.572392E-4</v>
      </c>
      <c r="CW78" s="6" t="s">
        <v>76</v>
      </c>
      <c r="CX78" s="13">
        <v>0</v>
      </c>
      <c r="CY78" s="7" t="s">
        <v>76</v>
      </c>
      <c r="CZ78" s="15">
        <v>0</v>
      </c>
      <c r="DA78" s="93">
        <v>75.440674491999999</v>
      </c>
      <c r="DB78" s="94">
        <v>0.30513815919999998</v>
      </c>
      <c r="DC78" s="93">
        <v>0.1520295804</v>
      </c>
      <c r="DD78" s="94">
        <v>1.1546014E-3</v>
      </c>
      <c r="DE78" s="93">
        <v>123.04300249000001</v>
      </c>
      <c r="DF78" s="94">
        <v>0.2050571877</v>
      </c>
      <c r="DG78" s="93">
        <v>0.40614215529999997</v>
      </c>
      <c r="DH78" s="94">
        <v>2.9418177E-3</v>
      </c>
      <c r="DI78" s="188">
        <v>3.29854194E-2</v>
      </c>
      <c r="DJ78" s="189">
        <v>5.3971619700000001E-2</v>
      </c>
      <c r="DK78" s="189">
        <v>6.5253783100000004E-2</v>
      </c>
      <c r="DL78" s="189">
        <v>7.1893503499999997E-2</v>
      </c>
      <c r="DM78" s="189">
        <v>7.5790834000000001E-2</v>
      </c>
      <c r="DN78" s="189">
        <v>7.8843653799999996E-2</v>
      </c>
      <c r="DO78" s="189">
        <v>8.0780005700000004E-2</v>
      </c>
      <c r="DP78" s="189">
        <v>8.2422685100000004E-2</v>
      </c>
      <c r="DQ78" s="189">
        <v>8.3589020299999997E-2</v>
      </c>
      <c r="DR78" s="190">
        <v>8.4563038800000004E-2</v>
      </c>
      <c r="DS78" s="112">
        <v>187.63821697</v>
      </c>
      <c r="DT78" s="13">
        <v>2.3756986122999999</v>
      </c>
      <c r="DU78" s="79">
        <v>144.85875532</v>
      </c>
      <c r="DV78" s="13">
        <v>1.7957293722000001</v>
      </c>
      <c r="DW78" s="79">
        <v>111.60001465000001</v>
      </c>
      <c r="DX78" s="13">
        <v>1.3622588014999999</v>
      </c>
      <c r="DY78" s="79">
        <v>86.340460120000003</v>
      </c>
      <c r="DZ78" s="13">
        <v>1.0423246257000001</v>
      </c>
      <c r="EA78" s="79">
        <v>67.381739397000004</v>
      </c>
      <c r="EB78" s="13">
        <v>0.80730614369999998</v>
      </c>
      <c r="EC78" s="79">
        <v>53.130293535</v>
      </c>
      <c r="ED78" s="13">
        <v>0.63289809799999996</v>
      </c>
      <c r="EE78" s="79">
        <v>42.388580185999999</v>
      </c>
      <c r="EF78" s="13">
        <v>0.50226501280000002</v>
      </c>
      <c r="EG78" s="79">
        <v>34.219231028000003</v>
      </c>
      <c r="EH78" s="13">
        <v>0.40327458269999999</v>
      </c>
      <c r="EI78" s="79">
        <v>27.945490124999999</v>
      </c>
      <c r="EJ78" s="13">
        <v>0.32698997689999998</v>
      </c>
      <c r="EK78" s="79">
        <v>23.057265286</v>
      </c>
      <c r="EL78" s="15">
        <v>0.26754314579999999</v>
      </c>
      <c r="EM78" s="79"/>
      <c r="EN78" s="13"/>
      <c r="EO78" s="79"/>
      <c r="EP78" s="13"/>
      <c r="EQ78" s="79"/>
      <c r="ER78" s="13"/>
      <c r="ES78" s="79"/>
      <c r="ET78" s="13"/>
      <c r="EU78" s="79"/>
      <c r="EV78" s="15"/>
    </row>
    <row r="79" spans="1:152" x14ac:dyDescent="0.2">
      <c r="A79" s="8">
        <v>45000</v>
      </c>
      <c r="B79" s="82">
        <v>4106</v>
      </c>
      <c r="C79" s="83">
        <v>4644.6968825000004</v>
      </c>
      <c r="D79" s="93">
        <v>42414.111755999998</v>
      </c>
      <c r="E79" s="93">
        <v>346.96769690000002</v>
      </c>
      <c r="F79" s="94">
        <v>0.17937179189999999</v>
      </c>
      <c r="G79" s="83">
        <v>319.05832568</v>
      </c>
      <c r="H79" s="94">
        <v>4.0093862399999999E-2</v>
      </c>
      <c r="I79" s="93">
        <v>333.83735273999997</v>
      </c>
      <c r="J79" s="94">
        <v>3.1398176565</v>
      </c>
      <c r="K79" s="93">
        <v>788.74807577000001</v>
      </c>
      <c r="L79" s="94">
        <v>4.1470871018000004</v>
      </c>
      <c r="M79" s="93">
        <v>8.3974945939999994</v>
      </c>
      <c r="N79" s="94">
        <v>2.58908513E-2</v>
      </c>
      <c r="O79" s="37">
        <v>0</v>
      </c>
      <c r="P79" s="13">
        <v>0</v>
      </c>
      <c r="Q79" s="93">
        <v>172.64220069999999</v>
      </c>
      <c r="R79" s="94">
        <v>0.33766415119999998</v>
      </c>
      <c r="S79" s="37" t="s">
        <v>76</v>
      </c>
      <c r="T79" s="13">
        <v>0</v>
      </c>
      <c r="U79" s="37" t="s">
        <v>76</v>
      </c>
      <c r="V79" s="13">
        <v>0</v>
      </c>
      <c r="W79" s="93">
        <v>1.9339697329000001</v>
      </c>
      <c r="X79" s="94">
        <v>6.7256136999999999E-3</v>
      </c>
      <c r="Y79" s="93">
        <v>21.768887400000001</v>
      </c>
      <c r="Z79" s="94">
        <v>4.7042378999999999E-3</v>
      </c>
      <c r="AA79" s="37" t="s">
        <v>76</v>
      </c>
      <c r="AB79" s="13">
        <v>0</v>
      </c>
      <c r="AC79" s="93">
        <v>2.8013475999999998E-3</v>
      </c>
      <c r="AD79" s="94">
        <v>1.01912E-5</v>
      </c>
      <c r="AE79" s="37" t="s">
        <v>76</v>
      </c>
      <c r="AF79" s="13">
        <v>0</v>
      </c>
      <c r="AG79" s="37" t="s">
        <v>76</v>
      </c>
      <c r="AH79" s="13">
        <v>0</v>
      </c>
      <c r="AI79" s="93">
        <v>2.8013475999999998E-3</v>
      </c>
      <c r="AJ79" s="94">
        <v>1.01912E-5</v>
      </c>
      <c r="AK79" s="93">
        <v>365.2893148</v>
      </c>
      <c r="AL79" s="94">
        <v>1.9679208901</v>
      </c>
      <c r="AM79" s="37" t="s">
        <v>76</v>
      </c>
      <c r="AN79" s="13">
        <v>0</v>
      </c>
      <c r="AO79" s="37" t="s">
        <v>76</v>
      </c>
      <c r="AP79" s="13">
        <v>0</v>
      </c>
      <c r="AQ79" s="37" t="s">
        <v>76</v>
      </c>
      <c r="AR79" s="13">
        <v>0</v>
      </c>
      <c r="AS79" s="93">
        <v>95.282085257000006</v>
      </c>
      <c r="AT79" s="94">
        <v>0.88288394459999997</v>
      </c>
      <c r="AU79" s="93">
        <v>72.119833795999995</v>
      </c>
      <c r="AV79" s="94">
        <v>0.36500832919999998</v>
      </c>
      <c r="AW79" s="93">
        <v>51.214107304000002</v>
      </c>
      <c r="AX79" s="94">
        <v>0.1965109712</v>
      </c>
      <c r="AY79" s="93">
        <v>10.446040644</v>
      </c>
      <c r="AZ79" s="94">
        <v>4.80083678E-2</v>
      </c>
      <c r="BA79" s="79">
        <v>10.459685847999999</v>
      </c>
      <c r="BB79" s="13">
        <v>0.12048899020000001</v>
      </c>
      <c r="BC79" s="93">
        <v>0</v>
      </c>
      <c r="BD79" s="86">
        <v>0</v>
      </c>
      <c r="BE79" s="93">
        <v>278.1540248</v>
      </c>
      <c r="BF79" s="94">
        <v>0.42312500469999997</v>
      </c>
      <c r="BG79" s="94">
        <v>0.1080154034</v>
      </c>
      <c r="BH79" s="86">
        <v>0</v>
      </c>
      <c r="BI79" s="93">
        <v>244.36415145999999</v>
      </c>
      <c r="BJ79" s="94">
        <v>6.1288562856000004</v>
      </c>
      <c r="BK79" s="93">
        <v>438.52014373999998</v>
      </c>
      <c r="BL79" s="94">
        <v>2.1962807006</v>
      </c>
      <c r="BM79" s="93">
        <v>276.81678145000001</v>
      </c>
      <c r="BN79" s="94">
        <v>1.0323898342</v>
      </c>
      <c r="BO79" s="93">
        <v>144.98871939</v>
      </c>
      <c r="BP79" s="94">
        <v>0.1242496776</v>
      </c>
      <c r="BQ79" s="93">
        <v>0</v>
      </c>
      <c r="BR79" s="88">
        <v>0</v>
      </c>
      <c r="BS79" s="37" t="s">
        <v>76</v>
      </c>
      <c r="BT79" s="13">
        <v>0</v>
      </c>
      <c r="BU79" s="93">
        <v>5.7924712958000004</v>
      </c>
      <c r="BV79" s="94">
        <v>1.68991948E-2</v>
      </c>
      <c r="BW79" s="93">
        <v>0.2127639781</v>
      </c>
      <c r="BX79" s="94">
        <v>7.1661559999999997E-4</v>
      </c>
      <c r="BY79" s="7" t="s">
        <v>76</v>
      </c>
      <c r="BZ79" s="13">
        <v>0</v>
      </c>
      <c r="CA79" s="7" t="s">
        <v>76</v>
      </c>
      <c r="CB79" s="13">
        <v>0</v>
      </c>
      <c r="CC79" s="93">
        <v>164.49257875000001</v>
      </c>
      <c r="CD79" s="94">
        <v>0.32309427169999999</v>
      </c>
      <c r="CE79" s="93">
        <v>1.3877279291</v>
      </c>
      <c r="CF79" s="94">
        <v>5.7184795E-3</v>
      </c>
      <c r="CG79" s="7" t="s">
        <v>76</v>
      </c>
      <c r="CH79" s="13">
        <v>0</v>
      </c>
      <c r="CI79" s="7" t="s">
        <v>76</v>
      </c>
      <c r="CJ79" s="13">
        <v>0</v>
      </c>
      <c r="CK79" s="7" t="s">
        <v>76</v>
      </c>
      <c r="CL79" s="13">
        <v>0</v>
      </c>
      <c r="CM79" s="7" t="s">
        <v>76</v>
      </c>
      <c r="CN79" s="13">
        <v>0</v>
      </c>
      <c r="CO79" s="93">
        <v>1.7258824373999999</v>
      </c>
      <c r="CP79" s="94">
        <v>5.6766103E-3</v>
      </c>
      <c r="CQ79" s="93">
        <v>3.7387800000000001E-3</v>
      </c>
      <c r="CR79" s="94">
        <v>4.4741399999999998E-5</v>
      </c>
      <c r="CS79" s="93">
        <v>19.499095569000001</v>
      </c>
      <c r="CT79" s="94">
        <v>6.2646038400000006E-2</v>
      </c>
      <c r="CU79" s="93">
        <v>3.1705069000000002E-2</v>
      </c>
      <c r="CV79" s="94">
        <v>1.7441000000000001E-4</v>
      </c>
      <c r="CW79" s="6" t="s">
        <v>76</v>
      </c>
      <c r="CX79" s="13">
        <v>0</v>
      </c>
      <c r="CY79" s="7" t="s">
        <v>76</v>
      </c>
      <c r="CZ79" s="15">
        <v>0</v>
      </c>
      <c r="DA79" s="93">
        <v>77.413498188999995</v>
      </c>
      <c r="DB79" s="94">
        <v>0.31001566349999998</v>
      </c>
      <c r="DC79" s="93">
        <v>0.1524738152</v>
      </c>
      <c r="DD79" s="94">
        <v>1.1741747000000001E-3</v>
      </c>
      <c r="DE79" s="93">
        <v>127.22107054999999</v>
      </c>
      <c r="DF79" s="94">
        <v>0.21009491229999999</v>
      </c>
      <c r="DG79" s="93">
        <v>0.41634543709999999</v>
      </c>
      <c r="DH79" s="94">
        <v>2.9996391000000002E-3</v>
      </c>
      <c r="DI79" s="188">
        <v>3.4515094599999997E-2</v>
      </c>
      <c r="DJ79" s="189">
        <v>5.6738626700000003E-2</v>
      </c>
      <c r="DK79" s="189">
        <v>6.89673814E-2</v>
      </c>
      <c r="DL79" s="189">
        <v>7.6305221600000001E-2</v>
      </c>
      <c r="DM79" s="189">
        <v>8.0721449599999995E-2</v>
      </c>
      <c r="DN79" s="189">
        <v>8.4201642899999998E-2</v>
      </c>
      <c r="DO79" s="189">
        <v>8.6469224100000006E-2</v>
      </c>
      <c r="DP79" s="189">
        <v>8.8396825299999995E-2</v>
      </c>
      <c r="DQ79" s="189">
        <v>8.9795736599999995E-2</v>
      </c>
      <c r="DR79" s="190">
        <v>9.0976551700000005E-2</v>
      </c>
      <c r="DS79" s="112">
        <v>190.36545760000001</v>
      </c>
      <c r="DT79" s="13">
        <v>2.3903404617000001</v>
      </c>
      <c r="DU79" s="79">
        <v>147.30207741000001</v>
      </c>
      <c r="DV79" s="13">
        <v>1.8095577588</v>
      </c>
      <c r="DW79" s="79">
        <v>113.78179088</v>
      </c>
      <c r="DX79" s="13">
        <v>1.3750848721</v>
      </c>
      <c r="DY79" s="79">
        <v>88.287054299999994</v>
      </c>
      <c r="DZ79" s="13">
        <v>1.0540657378</v>
      </c>
      <c r="EA79" s="79">
        <v>69.116807569000002</v>
      </c>
      <c r="EB79" s="13">
        <v>0.81795614999999999</v>
      </c>
      <c r="EC79" s="79">
        <v>54.680698380999999</v>
      </c>
      <c r="ED79" s="13">
        <v>0.64248613080000005</v>
      </c>
      <c r="EE79" s="79">
        <v>43.769597226000002</v>
      </c>
      <c r="EF79" s="13">
        <v>0.51085654380000001</v>
      </c>
      <c r="EG79" s="79">
        <v>35.446900595000002</v>
      </c>
      <c r="EH79" s="13">
        <v>0.4109421533</v>
      </c>
      <c r="EI79" s="79">
        <v>29.038559042999999</v>
      </c>
      <c r="EJ79" s="13">
        <v>0.33382093460000001</v>
      </c>
      <c r="EK79" s="79">
        <v>24.030849125</v>
      </c>
      <c r="EL79" s="15">
        <v>0.2736231127</v>
      </c>
      <c r="EM79" s="79"/>
      <c r="EN79" s="13"/>
      <c r="EO79" s="79"/>
      <c r="EP79" s="13"/>
      <c r="EQ79" s="79"/>
      <c r="ER79" s="13"/>
      <c r="ES79" s="79"/>
      <c r="ET79" s="13"/>
      <c r="EU79" s="79"/>
      <c r="EV79" s="15"/>
    </row>
    <row r="80" spans="1:152" x14ac:dyDescent="0.2">
      <c r="A80" s="8">
        <v>50000</v>
      </c>
      <c r="B80" s="82">
        <v>3138</v>
      </c>
      <c r="C80" s="83">
        <v>4723.1243950999997</v>
      </c>
      <c r="D80" s="93">
        <v>47346.852008000002</v>
      </c>
      <c r="E80" s="93">
        <v>359.81984497000002</v>
      </c>
      <c r="F80" s="94">
        <v>0.1819328895</v>
      </c>
      <c r="G80" s="83">
        <v>350.14550482999999</v>
      </c>
      <c r="H80" s="94">
        <v>4.1969509799999999E-2</v>
      </c>
      <c r="I80" s="93">
        <v>337.92694604000002</v>
      </c>
      <c r="J80" s="94">
        <v>3.1533909324999998</v>
      </c>
      <c r="K80" s="93">
        <v>802.98877226000002</v>
      </c>
      <c r="L80" s="94">
        <v>4.1760431172999999</v>
      </c>
      <c r="M80" s="93">
        <v>8.7670861730999992</v>
      </c>
      <c r="N80" s="94">
        <v>2.6346936800000002E-2</v>
      </c>
      <c r="O80" s="37">
        <v>0</v>
      </c>
      <c r="P80" s="13">
        <v>0</v>
      </c>
      <c r="Q80" s="93">
        <v>176.42425660000001</v>
      </c>
      <c r="R80" s="94">
        <v>0.340825553</v>
      </c>
      <c r="S80" s="37" t="s">
        <v>76</v>
      </c>
      <c r="T80" s="13">
        <v>0</v>
      </c>
      <c r="U80" s="37" t="s">
        <v>76</v>
      </c>
      <c r="V80" s="13">
        <v>0</v>
      </c>
      <c r="W80" s="93">
        <v>2.0305774300000001</v>
      </c>
      <c r="X80" s="94">
        <v>6.9678040999999998E-3</v>
      </c>
      <c r="Y80" s="93">
        <v>22.684669282000002</v>
      </c>
      <c r="Z80" s="94">
        <v>4.9098225999999997E-3</v>
      </c>
      <c r="AA80" s="37" t="s">
        <v>76</v>
      </c>
      <c r="AB80" s="13">
        <v>0</v>
      </c>
      <c r="AC80" s="93">
        <v>2.7937130000000002E-3</v>
      </c>
      <c r="AD80" s="94">
        <v>1.01626E-5</v>
      </c>
      <c r="AE80" s="37" t="s">
        <v>76</v>
      </c>
      <c r="AF80" s="13">
        <v>0</v>
      </c>
      <c r="AG80" s="37" t="s">
        <v>76</v>
      </c>
      <c r="AH80" s="13">
        <v>0</v>
      </c>
      <c r="AI80" s="93">
        <v>2.7937130000000002E-3</v>
      </c>
      <c r="AJ80" s="94">
        <v>1.01626E-5</v>
      </c>
      <c r="AK80" s="93">
        <v>367.46995607000002</v>
      </c>
      <c r="AL80" s="94">
        <v>1.9754001164999999</v>
      </c>
      <c r="AM80" s="37" t="s">
        <v>76</v>
      </c>
      <c r="AN80" s="13">
        <v>0</v>
      </c>
      <c r="AO80" s="37" t="s">
        <v>76</v>
      </c>
      <c r="AP80" s="13">
        <v>0</v>
      </c>
      <c r="AQ80" s="37" t="s">
        <v>76</v>
      </c>
      <c r="AR80" s="13">
        <v>0</v>
      </c>
      <c r="AS80" s="93">
        <v>97.161525334999993</v>
      </c>
      <c r="AT80" s="94">
        <v>0.88957256360000003</v>
      </c>
      <c r="AU80" s="93">
        <v>73.213797584999995</v>
      </c>
      <c r="AV80" s="94">
        <v>0.36883686510000002</v>
      </c>
      <c r="AW80" s="93">
        <v>51.974728558000002</v>
      </c>
      <c r="AX80" s="94">
        <v>0.1983529728</v>
      </c>
      <c r="AY80" s="93">
        <v>10.533719821</v>
      </c>
      <c r="AZ80" s="94">
        <v>4.82923221E-2</v>
      </c>
      <c r="BA80" s="79">
        <v>10.705349205999999</v>
      </c>
      <c r="BB80" s="13">
        <v>0.1221915702</v>
      </c>
      <c r="BC80" s="93">
        <v>0</v>
      </c>
      <c r="BD80" s="86">
        <v>0</v>
      </c>
      <c r="BE80" s="93">
        <v>288.37166193000002</v>
      </c>
      <c r="BF80" s="94">
        <v>0.43329431940000002</v>
      </c>
      <c r="BG80" s="94">
        <v>0.118302958</v>
      </c>
      <c r="BH80" s="86">
        <v>0</v>
      </c>
      <c r="BI80" s="93">
        <v>246.56461641000001</v>
      </c>
      <c r="BJ80" s="94">
        <v>6.1667611138999998</v>
      </c>
      <c r="BK80" s="93">
        <v>447.86745913999999</v>
      </c>
      <c r="BL80" s="94">
        <v>2.2110026972000001</v>
      </c>
      <c r="BM80" s="93">
        <v>280.58912129999999</v>
      </c>
      <c r="BN80" s="94">
        <v>1.0380543152999999</v>
      </c>
      <c r="BO80" s="93">
        <v>155.14072666999999</v>
      </c>
      <c r="BP80" s="94">
        <v>0.12739662500000001</v>
      </c>
      <c r="BQ80" s="93">
        <v>0</v>
      </c>
      <c r="BR80" s="88">
        <v>0</v>
      </c>
      <c r="BS80" s="37" t="s">
        <v>76</v>
      </c>
      <c r="BT80" s="13">
        <v>0</v>
      </c>
      <c r="BU80" s="93">
        <v>6.0255482849000002</v>
      </c>
      <c r="BV80" s="94">
        <v>1.72690447E-2</v>
      </c>
      <c r="BW80" s="93">
        <v>0.2217966935</v>
      </c>
      <c r="BX80" s="94">
        <v>7.238759E-4</v>
      </c>
      <c r="BY80" s="7" t="s">
        <v>76</v>
      </c>
      <c r="BZ80" s="13">
        <v>0</v>
      </c>
      <c r="CA80" s="7" t="s">
        <v>76</v>
      </c>
      <c r="CB80" s="13">
        <v>0</v>
      </c>
      <c r="CC80" s="93">
        <v>168.02271497999999</v>
      </c>
      <c r="CD80" s="94">
        <v>0.32640030799999997</v>
      </c>
      <c r="CE80" s="93">
        <v>1.4358079145</v>
      </c>
      <c r="CF80" s="94">
        <v>5.8451528000000004E-3</v>
      </c>
      <c r="CG80" s="7" t="s">
        <v>76</v>
      </c>
      <c r="CH80" s="13">
        <v>0</v>
      </c>
      <c r="CI80" s="7" t="s">
        <v>76</v>
      </c>
      <c r="CJ80" s="13">
        <v>0</v>
      </c>
      <c r="CK80" s="7" t="s">
        <v>76</v>
      </c>
      <c r="CL80" s="13">
        <v>0</v>
      </c>
      <c r="CM80" s="7" t="s">
        <v>76</v>
      </c>
      <c r="CN80" s="13">
        <v>0</v>
      </c>
      <c r="CO80" s="93">
        <v>1.823019248</v>
      </c>
      <c r="CP80" s="94">
        <v>5.9446326999999998E-3</v>
      </c>
      <c r="CQ80" s="93">
        <v>3.7288877E-3</v>
      </c>
      <c r="CR80" s="94">
        <v>4.4615099999999999E-5</v>
      </c>
      <c r="CS80" s="93">
        <v>20.200358251000001</v>
      </c>
      <c r="CT80" s="94">
        <v>6.4390717900000005E-2</v>
      </c>
      <c r="CU80" s="93">
        <v>3.2899646599999999E-2</v>
      </c>
      <c r="CV80" s="94">
        <v>1.846738E-4</v>
      </c>
      <c r="CW80" s="6" t="s">
        <v>76</v>
      </c>
      <c r="CX80" s="13">
        <v>0</v>
      </c>
      <c r="CY80" s="7" t="s">
        <v>76</v>
      </c>
      <c r="CZ80" s="15">
        <v>0</v>
      </c>
      <c r="DA80" s="93">
        <v>78.860934115999996</v>
      </c>
      <c r="DB80" s="94">
        <v>0.313778583</v>
      </c>
      <c r="DC80" s="93">
        <v>0.15258406269999999</v>
      </c>
      <c r="DD80" s="94">
        <v>1.1871322999999999E-3</v>
      </c>
      <c r="DE80" s="93">
        <v>131.04871596999999</v>
      </c>
      <c r="DF80" s="94">
        <v>0.21450052550000001</v>
      </c>
      <c r="DG80" s="93">
        <v>0.42386525629999999</v>
      </c>
      <c r="DH80" s="94">
        <v>3.0455659E-3</v>
      </c>
      <c r="DI80" s="188">
        <v>3.5775879199999999E-2</v>
      </c>
      <c r="DJ80" s="189">
        <v>5.9026369699999998E-2</v>
      </c>
      <c r="DK80" s="189">
        <v>7.2055224799999998E-2</v>
      </c>
      <c r="DL80" s="189">
        <v>7.9983299699999996E-2</v>
      </c>
      <c r="DM80" s="189">
        <v>8.4854107499999998E-2</v>
      </c>
      <c r="DN80" s="189">
        <v>8.8715734500000004E-2</v>
      </c>
      <c r="DO80" s="189">
        <v>9.1263555900000001E-2</v>
      </c>
      <c r="DP80" s="189">
        <v>9.3434725100000005E-2</v>
      </c>
      <c r="DQ80" s="189">
        <v>9.5037421699999999E-2</v>
      </c>
      <c r="DR80" s="190">
        <v>9.6395676299999997E-2</v>
      </c>
      <c r="DS80" s="112">
        <v>193.06574843000001</v>
      </c>
      <c r="DT80" s="13">
        <v>2.4035082306</v>
      </c>
      <c r="DU80" s="79">
        <v>149.75830178000001</v>
      </c>
      <c r="DV80" s="13">
        <v>1.8220986241999999</v>
      </c>
      <c r="DW80" s="79">
        <v>116.0153921</v>
      </c>
      <c r="DX80" s="13">
        <v>1.3868354752000001</v>
      </c>
      <c r="DY80" s="79">
        <v>90.308610599999994</v>
      </c>
      <c r="DZ80" s="13">
        <v>1.0649363553</v>
      </c>
      <c r="EA80" s="79">
        <v>70.942856492000004</v>
      </c>
      <c r="EB80" s="13">
        <v>0.82792987419999997</v>
      </c>
      <c r="EC80" s="79">
        <v>56.327908041999997</v>
      </c>
      <c r="ED80" s="13">
        <v>0.65159229890000003</v>
      </c>
      <c r="EE80" s="79">
        <v>45.257485254999999</v>
      </c>
      <c r="EF80" s="13">
        <v>0.51917106359999998</v>
      </c>
      <c r="EG80" s="79">
        <v>36.788788564000001</v>
      </c>
      <c r="EH80" s="13">
        <v>0.41850509549999998</v>
      </c>
      <c r="EI80" s="79">
        <v>30.248872606999999</v>
      </c>
      <c r="EJ80" s="13">
        <v>0.34069991900000002</v>
      </c>
      <c r="EK80" s="79">
        <v>25.122979887</v>
      </c>
      <c r="EL80" s="15">
        <v>0.27988801400000002</v>
      </c>
      <c r="EM80" s="79"/>
      <c r="EN80" s="13"/>
      <c r="EO80" s="79"/>
      <c r="EP80" s="13"/>
      <c r="EQ80" s="79"/>
      <c r="ER80" s="13"/>
      <c r="ES80" s="79"/>
      <c r="ET80" s="13"/>
      <c r="EU80" s="79"/>
      <c r="EV80" s="15"/>
    </row>
    <row r="81" spans="1:152" x14ac:dyDescent="0.2">
      <c r="A81" s="8">
        <v>100000</v>
      </c>
      <c r="B81" s="82">
        <v>11850</v>
      </c>
      <c r="C81" s="83">
        <v>5142.4196417000003</v>
      </c>
      <c r="D81" s="93">
        <v>67755.895617000002</v>
      </c>
      <c r="E81" s="93">
        <v>431.38146055999999</v>
      </c>
      <c r="F81" s="94">
        <v>0.19387833409999999</v>
      </c>
      <c r="G81" s="83">
        <v>567.89905403</v>
      </c>
      <c r="H81" s="94">
        <v>5.0394201299999997E-2</v>
      </c>
      <c r="I81" s="93">
        <v>357.27503406</v>
      </c>
      <c r="J81" s="94">
        <v>3.2099926159000001</v>
      </c>
      <c r="K81" s="93">
        <v>881.86096372999998</v>
      </c>
      <c r="L81" s="94">
        <v>4.3107210515999999</v>
      </c>
      <c r="M81" s="93">
        <v>10.832479215999999</v>
      </c>
      <c r="N81" s="94">
        <v>2.86232456E-2</v>
      </c>
      <c r="O81" s="37">
        <v>0</v>
      </c>
      <c r="P81" s="13">
        <v>0</v>
      </c>
      <c r="Q81" s="93">
        <v>195.25362745999999</v>
      </c>
      <c r="R81" s="94">
        <v>0.3541144148</v>
      </c>
      <c r="S81" s="37" t="s">
        <v>76</v>
      </c>
      <c r="T81" s="13">
        <v>0</v>
      </c>
      <c r="U81" s="37" t="s">
        <v>76</v>
      </c>
      <c r="V81" s="13">
        <v>0</v>
      </c>
      <c r="W81" s="93">
        <v>2.5497828522999999</v>
      </c>
      <c r="X81" s="94">
        <v>7.8130336999999994E-3</v>
      </c>
      <c r="Y81" s="93">
        <v>27.151123417000001</v>
      </c>
      <c r="Z81" s="94">
        <v>5.8159683E-3</v>
      </c>
      <c r="AA81" s="37" t="s">
        <v>76</v>
      </c>
      <c r="AB81" s="13">
        <v>0</v>
      </c>
      <c r="AC81" s="93">
        <v>2.7646276000000002E-3</v>
      </c>
      <c r="AD81" s="94">
        <v>1.00528E-5</v>
      </c>
      <c r="AE81" s="37" t="s">
        <v>76</v>
      </c>
      <c r="AF81" s="13">
        <v>0</v>
      </c>
      <c r="AG81" s="37" t="s">
        <v>76</v>
      </c>
      <c r="AH81" s="13">
        <v>0</v>
      </c>
      <c r="AI81" s="93">
        <v>2.7646276000000002E-3</v>
      </c>
      <c r="AJ81" s="94">
        <v>1.00528E-5</v>
      </c>
      <c r="AK81" s="93">
        <v>377.93171196999998</v>
      </c>
      <c r="AL81" s="94">
        <v>2.0052645406999998</v>
      </c>
      <c r="AM81" s="37" t="s">
        <v>76</v>
      </c>
      <c r="AN81" s="13">
        <v>0</v>
      </c>
      <c r="AO81" s="37" t="s">
        <v>76</v>
      </c>
      <c r="AP81" s="13">
        <v>0</v>
      </c>
      <c r="AQ81" s="37" t="s">
        <v>76</v>
      </c>
      <c r="AR81" s="13">
        <v>0</v>
      </c>
      <c r="AS81" s="93">
        <v>108.07064499000001</v>
      </c>
      <c r="AT81" s="94">
        <v>0.91915225580000004</v>
      </c>
      <c r="AU81" s="93">
        <v>78.651676706000003</v>
      </c>
      <c r="AV81" s="94">
        <v>0.38753958430000002</v>
      </c>
      <c r="AW81" s="93">
        <v>55.679170444</v>
      </c>
      <c r="AX81" s="94">
        <v>0.20695954450000001</v>
      </c>
      <c r="AY81" s="93">
        <v>10.950083178</v>
      </c>
      <c r="AZ81" s="94">
        <v>4.9637202999999998E-2</v>
      </c>
      <c r="BA81" s="79">
        <v>12.022423084</v>
      </c>
      <c r="BB81" s="13">
        <v>0.13094283679999999</v>
      </c>
      <c r="BC81" s="93">
        <v>0</v>
      </c>
      <c r="BD81" s="86">
        <v>0</v>
      </c>
      <c r="BE81" s="93">
        <v>356.45693842999998</v>
      </c>
      <c r="BF81" s="94">
        <v>0.4909659649</v>
      </c>
      <c r="BG81" s="94">
        <v>0.1693429487</v>
      </c>
      <c r="BH81" s="86">
        <v>0</v>
      </c>
      <c r="BI81" s="93">
        <v>255.96039085999999</v>
      </c>
      <c r="BJ81" s="94">
        <v>6.3163651810000001</v>
      </c>
      <c r="BK81" s="93">
        <v>476.35520967999997</v>
      </c>
      <c r="BL81" s="94">
        <v>2.2618188403000001</v>
      </c>
      <c r="BM81" s="93">
        <v>297.15038949000001</v>
      </c>
      <c r="BN81" s="94">
        <v>1.0624927198</v>
      </c>
      <c r="BO81" s="93">
        <v>186.43661133000001</v>
      </c>
      <c r="BP81" s="94">
        <v>0.1369635391</v>
      </c>
      <c r="BQ81" s="93">
        <v>0</v>
      </c>
      <c r="BR81" s="88">
        <v>0</v>
      </c>
      <c r="BS81" s="37" t="s">
        <v>76</v>
      </c>
      <c r="BT81" s="13">
        <v>0</v>
      </c>
      <c r="BU81" s="93">
        <v>7.6399829955999996</v>
      </c>
      <c r="BV81" s="94">
        <v>1.98260335E-2</v>
      </c>
      <c r="BW81" s="93">
        <v>0.2453295764</v>
      </c>
      <c r="BX81" s="94">
        <v>8.1668729999999996E-4</v>
      </c>
      <c r="BY81" s="7" t="s">
        <v>76</v>
      </c>
      <c r="BZ81" s="13">
        <v>0</v>
      </c>
      <c r="CA81" s="7" t="s">
        <v>76</v>
      </c>
      <c r="CB81" s="13">
        <v>0</v>
      </c>
      <c r="CC81" s="93">
        <v>185.61445878000001</v>
      </c>
      <c r="CD81" s="94">
        <v>0.34103061969999998</v>
      </c>
      <c r="CE81" s="93">
        <v>1.6154392849999999</v>
      </c>
      <c r="CF81" s="94">
        <v>6.3793536999999997E-3</v>
      </c>
      <c r="CG81" s="7" t="s">
        <v>76</v>
      </c>
      <c r="CH81" s="13">
        <v>0</v>
      </c>
      <c r="CI81" s="7" t="s">
        <v>76</v>
      </c>
      <c r="CJ81" s="13">
        <v>0</v>
      </c>
      <c r="CK81" s="7" t="s">
        <v>76</v>
      </c>
      <c r="CL81" s="13">
        <v>0</v>
      </c>
      <c r="CM81" s="7" t="s">
        <v>76</v>
      </c>
      <c r="CN81" s="13">
        <v>0</v>
      </c>
      <c r="CO81" s="93">
        <v>2.2204887147000001</v>
      </c>
      <c r="CP81" s="94">
        <v>6.4996910000000001E-3</v>
      </c>
      <c r="CQ81" s="93">
        <v>4.2458981999999998E-3</v>
      </c>
      <c r="CR81" s="94">
        <v>4.8196299999999998E-5</v>
      </c>
      <c r="CS81" s="93">
        <v>23.399486832000001</v>
      </c>
      <c r="CT81" s="94">
        <v>7.2301396099999998E-2</v>
      </c>
      <c r="CU81" s="93">
        <v>4.1118562999999997E-2</v>
      </c>
      <c r="CV81" s="94">
        <v>2.4243530000000001E-4</v>
      </c>
      <c r="CW81" s="6" t="s">
        <v>76</v>
      </c>
      <c r="CX81" s="13">
        <v>0</v>
      </c>
      <c r="CY81" s="7" t="s">
        <v>76</v>
      </c>
      <c r="CZ81" s="15">
        <v>0</v>
      </c>
      <c r="DA81" s="93">
        <v>87.156804663000003</v>
      </c>
      <c r="DB81" s="94">
        <v>0.33230190580000002</v>
      </c>
      <c r="DC81" s="93">
        <v>0.16036811000000001</v>
      </c>
      <c r="DD81" s="94">
        <v>1.2816716000000001E-3</v>
      </c>
      <c r="DE81" s="93">
        <v>155.70029643999999</v>
      </c>
      <c r="DF81" s="94">
        <v>0.2411818359</v>
      </c>
      <c r="DG81" s="93">
        <v>0.55260716509999996</v>
      </c>
      <c r="DH81" s="94">
        <v>3.4231111E-3</v>
      </c>
      <c r="DI81" s="188">
        <v>4.1508586799999997E-2</v>
      </c>
      <c r="DJ81" s="189">
        <v>6.9724223399999993E-2</v>
      </c>
      <c r="DK81" s="189">
        <v>8.6884984600000006E-2</v>
      </c>
      <c r="DL81" s="189">
        <v>9.8276056200000003E-2</v>
      </c>
      <c r="DM81" s="189">
        <v>0.1059765522</v>
      </c>
      <c r="DN81" s="189">
        <v>0.1122921442</v>
      </c>
      <c r="DO81" s="189">
        <v>0.1168887622</v>
      </c>
      <c r="DP81" s="189">
        <v>0.1208823129</v>
      </c>
      <c r="DQ81" s="189">
        <v>0.1240483527</v>
      </c>
      <c r="DR81" s="190">
        <v>0.12677269159999999</v>
      </c>
      <c r="DS81" s="112">
        <v>205.76618327</v>
      </c>
      <c r="DT81" s="13">
        <v>2.4585803172</v>
      </c>
      <c r="DU81" s="79">
        <v>161.32519198</v>
      </c>
      <c r="DV81" s="13">
        <v>1.8747725664999999</v>
      </c>
      <c r="DW81" s="79">
        <v>126.62917852</v>
      </c>
      <c r="DX81" s="13">
        <v>1.4365700001999999</v>
      </c>
      <c r="DY81" s="79">
        <v>100.04559935</v>
      </c>
      <c r="DZ81" s="13">
        <v>1.1114316678</v>
      </c>
      <c r="EA81" s="79">
        <v>79.871694042000001</v>
      </c>
      <c r="EB81" s="13">
        <v>0.87107369800000001</v>
      </c>
      <c r="EC81" s="79">
        <v>64.512874436000004</v>
      </c>
      <c r="ED81" s="13">
        <v>0.69141433770000005</v>
      </c>
      <c r="EE81" s="79">
        <v>52.764053148999999</v>
      </c>
      <c r="EF81" s="13">
        <v>0.55583054919999997</v>
      </c>
      <c r="EG81" s="79">
        <v>43.682873794999999</v>
      </c>
      <c r="EH81" s="13">
        <v>0.45223312729999998</v>
      </c>
      <c r="EI81" s="79">
        <v>36.576277760000004</v>
      </c>
      <c r="EJ81" s="13">
        <v>0.3717070676</v>
      </c>
      <c r="EK81" s="79">
        <v>30.934366675</v>
      </c>
      <c r="EL81" s="15">
        <v>0.30841926120000002</v>
      </c>
      <c r="EM81" s="79"/>
      <c r="EN81" s="13"/>
      <c r="EO81" s="79"/>
      <c r="EP81" s="13"/>
      <c r="EQ81" s="79"/>
      <c r="ER81" s="13"/>
      <c r="ES81" s="79"/>
      <c r="ET81" s="13"/>
      <c r="EU81" s="79"/>
      <c r="EV81" s="15"/>
    </row>
    <row r="82" spans="1:152" x14ac:dyDescent="0.2">
      <c r="A82" s="8">
        <v>200000</v>
      </c>
      <c r="B82" s="82">
        <v>4362</v>
      </c>
      <c r="C82" s="83">
        <v>5421.3103864000004</v>
      </c>
      <c r="D82" s="93">
        <v>137131.33838</v>
      </c>
      <c r="E82" s="93">
        <v>475.76826711000001</v>
      </c>
      <c r="F82" s="94">
        <v>0.20081859599999999</v>
      </c>
      <c r="G82" s="83">
        <v>771.68105097</v>
      </c>
      <c r="H82" s="94">
        <v>5.5107962400000002E-2</v>
      </c>
      <c r="I82" s="93">
        <v>371.44587294000002</v>
      </c>
      <c r="J82" s="94">
        <v>3.2364066143999999</v>
      </c>
      <c r="K82" s="93">
        <v>947.01857887999995</v>
      </c>
      <c r="L82" s="94">
        <v>4.3806659156999999</v>
      </c>
      <c r="M82" s="93">
        <v>11.650515972999999</v>
      </c>
      <c r="N82" s="94">
        <v>2.9287457699999998E-2</v>
      </c>
      <c r="O82" s="37">
        <v>0</v>
      </c>
      <c r="P82" s="13">
        <v>0</v>
      </c>
      <c r="Q82" s="93">
        <v>208.61758372</v>
      </c>
      <c r="R82" s="94">
        <v>0.36109277429999997</v>
      </c>
      <c r="S82" s="37" t="s">
        <v>76</v>
      </c>
      <c r="T82" s="13">
        <v>0</v>
      </c>
      <c r="U82" s="37" t="s">
        <v>76</v>
      </c>
      <c r="V82" s="13">
        <v>0</v>
      </c>
      <c r="W82" s="93">
        <v>2.8433886844999998</v>
      </c>
      <c r="X82" s="94">
        <v>8.1569303999999999E-3</v>
      </c>
      <c r="Y82" s="93">
        <v>29.796325786000001</v>
      </c>
      <c r="Z82" s="94">
        <v>6.3901738999999997E-3</v>
      </c>
      <c r="AA82" s="37" t="s">
        <v>76</v>
      </c>
      <c r="AB82" s="13">
        <v>0</v>
      </c>
      <c r="AC82" s="93">
        <v>3.2498461999999999E-3</v>
      </c>
      <c r="AD82" s="94">
        <v>1.1281600000000001E-5</v>
      </c>
      <c r="AE82" s="37" t="s">
        <v>76</v>
      </c>
      <c r="AF82" s="13">
        <v>0</v>
      </c>
      <c r="AG82" s="37" t="s">
        <v>76</v>
      </c>
      <c r="AH82" s="13">
        <v>0</v>
      </c>
      <c r="AI82" s="93">
        <v>3.2498461999999999E-3</v>
      </c>
      <c r="AJ82" s="94">
        <v>1.1281600000000001E-5</v>
      </c>
      <c r="AK82" s="93">
        <v>385.50523453</v>
      </c>
      <c r="AL82" s="94">
        <v>2.0189283873999999</v>
      </c>
      <c r="AM82" s="37" t="s">
        <v>76</v>
      </c>
      <c r="AN82" s="13">
        <v>0</v>
      </c>
      <c r="AO82" s="37" t="s">
        <v>76</v>
      </c>
      <c r="AP82" s="13">
        <v>0</v>
      </c>
      <c r="AQ82" s="37" t="s">
        <v>76</v>
      </c>
      <c r="AR82" s="13">
        <v>0</v>
      </c>
      <c r="AS82" s="93">
        <v>116.28604823000001</v>
      </c>
      <c r="AT82" s="94">
        <v>0.93573605540000004</v>
      </c>
      <c r="AU82" s="93">
        <v>81.636846728999998</v>
      </c>
      <c r="AV82" s="94">
        <v>0.39657284640000001</v>
      </c>
      <c r="AW82" s="93">
        <v>57.447017959</v>
      </c>
      <c r="AX82" s="94">
        <v>0.21023997180000001</v>
      </c>
      <c r="AY82" s="93">
        <v>11.125652952999999</v>
      </c>
      <c r="AZ82" s="94">
        <v>5.0064673800000001E-2</v>
      </c>
      <c r="BA82" s="79">
        <v>13.064175817000001</v>
      </c>
      <c r="BB82" s="13">
        <v>0.13626820079999999</v>
      </c>
      <c r="BC82" s="93">
        <v>0</v>
      </c>
      <c r="BD82" s="86">
        <v>0</v>
      </c>
      <c r="BE82" s="93">
        <v>416.31070925</v>
      </c>
      <c r="BF82" s="94">
        <v>0.53353948120000005</v>
      </c>
      <c r="BG82" s="94">
        <v>0.21592825800000001</v>
      </c>
      <c r="BH82" s="86">
        <v>0</v>
      </c>
      <c r="BI82" s="93">
        <v>261.36192348999998</v>
      </c>
      <c r="BJ82" s="94">
        <v>6.3757136129000003</v>
      </c>
      <c r="BK82" s="93">
        <v>487.34611609000001</v>
      </c>
      <c r="BL82" s="94">
        <v>2.2792806858999999</v>
      </c>
      <c r="BM82" s="93">
        <v>303.77542872999999</v>
      </c>
      <c r="BN82" s="94">
        <v>1.0701776282</v>
      </c>
      <c r="BO82" s="93">
        <v>196.85041027</v>
      </c>
      <c r="BP82" s="94">
        <v>0.13990085099999999</v>
      </c>
      <c r="BQ82" s="93">
        <v>0</v>
      </c>
      <c r="BR82" s="88">
        <v>0</v>
      </c>
      <c r="BS82" s="37" t="s">
        <v>76</v>
      </c>
      <c r="BT82" s="13">
        <v>0</v>
      </c>
      <c r="BU82" s="93">
        <v>8.1814707223000003</v>
      </c>
      <c r="BV82" s="94">
        <v>2.0524032399999999E-2</v>
      </c>
      <c r="BW82" s="93">
        <v>0.27105421400000002</v>
      </c>
      <c r="BX82" s="94">
        <v>8.8949760000000004E-4</v>
      </c>
      <c r="BY82" s="7" t="s">
        <v>76</v>
      </c>
      <c r="BZ82" s="13">
        <v>0</v>
      </c>
      <c r="CA82" s="7" t="s">
        <v>76</v>
      </c>
      <c r="CB82" s="13">
        <v>0</v>
      </c>
      <c r="CC82" s="93">
        <v>198.24088309999999</v>
      </c>
      <c r="CD82" s="94">
        <v>0.3492652249</v>
      </c>
      <c r="CE82" s="93">
        <v>1.6939277622</v>
      </c>
      <c r="CF82" s="94">
        <v>6.7180223000000002E-3</v>
      </c>
      <c r="CG82" s="7" t="s">
        <v>76</v>
      </c>
      <c r="CH82" s="13">
        <v>0</v>
      </c>
      <c r="CI82" s="7" t="s">
        <v>76</v>
      </c>
      <c r="CJ82" s="13">
        <v>0</v>
      </c>
      <c r="CK82" s="7" t="s">
        <v>76</v>
      </c>
      <c r="CL82" s="13">
        <v>0</v>
      </c>
      <c r="CM82" s="7" t="s">
        <v>76</v>
      </c>
      <c r="CN82" s="13">
        <v>0</v>
      </c>
      <c r="CO82" s="93">
        <v>2.4704621541999998</v>
      </c>
      <c r="CP82" s="94">
        <v>6.8731677999999997E-3</v>
      </c>
      <c r="CQ82" s="93">
        <v>4.2313287999999998E-3</v>
      </c>
      <c r="CR82" s="94">
        <v>4.8023799999999999E-5</v>
      </c>
      <c r="CS82" s="93">
        <v>25.383472198</v>
      </c>
      <c r="CT82" s="94">
        <v>7.6051116700000004E-2</v>
      </c>
      <c r="CU82" s="93">
        <v>4.5638215000000003E-2</v>
      </c>
      <c r="CV82" s="94">
        <v>2.6015480000000002E-4</v>
      </c>
      <c r="CW82" s="6" t="s">
        <v>76</v>
      </c>
      <c r="CX82" s="13">
        <v>0</v>
      </c>
      <c r="CY82" s="7" t="s">
        <v>76</v>
      </c>
      <c r="CZ82" s="15">
        <v>0</v>
      </c>
      <c r="DA82" s="93">
        <v>93.413196846000005</v>
      </c>
      <c r="DB82" s="94">
        <v>0.34489156339999999</v>
      </c>
      <c r="DC82" s="93">
        <v>0.1682861273</v>
      </c>
      <c r="DD82" s="94">
        <v>1.3243103000000001E-3</v>
      </c>
      <c r="DE82" s="93">
        <v>178.65528717999999</v>
      </c>
      <c r="DF82" s="94">
        <v>0.26102086489999998</v>
      </c>
      <c r="DG82" s="93">
        <v>0.6690383634</v>
      </c>
      <c r="DH82" s="94">
        <v>3.8112328000000002E-3</v>
      </c>
      <c r="DI82" s="188">
        <v>4.4105678400000001E-2</v>
      </c>
      <c r="DJ82" s="189">
        <v>7.4772624900000001E-2</v>
      </c>
      <c r="DK82" s="189">
        <v>9.42504339E-2</v>
      </c>
      <c r="DL82" s="189">
        <v>0.1077918608</v>
      </c>
      <c r="DM82" s="189">
        <v>0.11746411969999999</v>
      </c>
      <c r="DN82" s="189">
        <v>0.12560669129999999</v>
      </c>
      <c r="DO82" s="189">
        <v>0.1318603226</v>
      </c>
      <c r="DP82" s="189">
        <v>0.1373998438</v>
      </c>
      <c r="DQ82" s="189">
        <v>0.1419746043</v>
      </c>
      <c r="DR82" s="190">
        <v>0.1460086521</v>
      </c>
      <c r="DS82" s="112">
        <v>215.13695831000001</v>
      </c>
      <c r="DT82" s="13">
        <v>2.4844574760000002</v>
      </c>
      <c r="DU82" s="79">
        <v>169.97846683</v>
      </c>
      <c r="DV82" s="13">
        <v>1.8998214727</v>
      </c>
      <c r="DW82" s="79">
        <v>134.64191170999999</v>
      </c>
      <c r="DX82" s="13">
        <v>1.4605272342</v>
      </c>
      <c r="DY82" s="79">
        <v>107.48120622</v>
      </c>
      <c r="DZ82" s="13">
        <v>1.1341689762</v>
      </c>
      <c r="EA82" s="79">
        <v>86.775959847999999</v>
      </c>
      <c r="EB82" s="13">
        <v>0.89254311109999995</v>
      </c>
      <c r="EC82" s="79">
        <v>70.947730882000002</v>
      </c>
      <c r="ED82" s="13">
        <v>0.71160446669999999</v>
      </c>
      <c r="EE82" s="79">
        <v>58.766457154000001</v>
      </c>
      <c r="EF82" s="13">
        <v>0.57478267869999999</v>
      </c>
      <c r="EG82" s="79">
        <v>49.294141561000004</v>
      </c>
      <c r="EH82" s="13">
        <v>0.47001491829999997</v>
      </c>
      <c r="EI82" s="79">
        <v>41.860294001</v>
      </c>
      <c r="EJ82" s="13">
        <v>0.38840190050000001</v>
      </c>
      <c r="EK82" s="79">
        <v>35.909847434</v>
      </c>
      <c r="EL82" s="15">
        <v>0.32405866970000002</v>
      </c>
      <c r="EM82" s="79"/>
      <c r="EN82" s="13"/>
      <c r="EO82" s="79"/>
      <c r="EP82" s="13"/>
      <c r="EQ82" s="79"/>
      <c r="ER82" s="13"/>
      <c r="ES82" s="79"/>
      <c r="ET82" s="13"/>
      <c r="EU82" s="79"/>
      <c r="EV82" s="15"/>
    </row>
    <row r="83" spans="1:152" x14ac:dyDescent="0.2">
      <c r="A83" s="8">
        <v>300000</v>
      </c>
      <c r="B83" s="82">
        <v>1011</v>
      </c>
      <c r="C83" s="83">
        <v>5520.5452070000001</v>
      </c>
      <c r="D83" s="93">
        <v>239092.56536000001</v>
      </c>
      <c r="E83" s="93">
        <v>492.74902470000001</v>
      </c>
      <c r="F83" s="94">
        <v>0.20304384210000001</v>
      </c>
      <c r="G83" s="83">
        <v>862.09723718999999</v>
      </c>
      <c r="H83" s="94">
        <v>5.68359768E-2</v>
      </c>
      <c r="I83" s="93">
        <v>378.37643106000002</v>
      </c>
      <c r="J83" s="94">
        <v>3.2456666166999999</v>
      </c>
      <c r="K83" s="93">
        <v>972.83793576999994</v>
      </c>
      <c r="L83" s="94">
        <v>4.4040305358999996</v>
      </c>
      <c r="M83" s="93">
        <v>11.775222405999999</v>
      </c>
      <c r="N83" s="94">
        <v>2.93684073E-2</v>
      </c>
      <c r="O83" s="37">
        <v>0</v>
      </c>
      <c r="P83" s="13">
        <v>0</v>
      </c>
      <c r="Q83" s="93">
        <v>213.26140332</v>
      </c>
      <c r="R83" s="94">
        <v>0.36305168760000001</v>
      </c>
      <c r="S83" s="37" t="s">
        <v>76</v>
      </c>
      <c r="T83" s="13">
        <v>0</v>
      </c>
      <c r="U83" s="37" t="s">
        <v>76</v>
      </c>
      <c r="V83" s="13">
        <v>0</v>
      </c>
      <c r="W83" s="93">
        <v>3.0022238554</v>
      </c>
      <c r="X83" s="94">
        <v>8.3503686999999993E-3</v>
      </c>
      <c r="Y83" s="93">
        <v>30.735666293000001</v>
      </c>
      <c r="Z83" s="94">
        <v>6.6430930000000001E-3</v>
      </c>
      <c r="AA83" s="37" t="s">
        <v>76</v>
      </c>
      <c r="AB83" s="13">
        <v>0</v>
      </c>
      <c r="AC83" s="93">
        <v>3.2466775000000001E-3</v>
      </c>
      <c r="AD83" s="94">
        <v>1.1270000000000001E-5</v>
      </c>
      <c r="AE83" s="37" t="s">
        <v>76</v>
      </c>
      <c r="AF83" s="13">
        <v>0</v>
      </c>
      <c r="AG83" s="37" t="s">
        <v>76</v>
      </c>
      <c r="AH83" s="13">
        <v>0</v>
      </c>
      <c r="AI83" s="93">
        <v>3.2466775000000001E-3</v>
      </c>
      <c r="AJ83" s="94">
        <v>1.1270000000000001E-5</v>
      </c>
      <c r="AK83" s="93">
        <v>388.91332870000002</v>
      </c>
      <c r="AL83" s="94">
        <v>2.0230619007000001</v>
      </c>
      <c r="AM83" s="37" t="s">
        <v>76</v>
      </c>
      <c r="AN83" s="13">
        <v>0</v>
      </c>
      <c r="AO83" s="37" t="s">
        <v>76</v>
      </c>
      <c r="AP83" s="13">
        <v>0</v>
      </c>
      <c r="AQ83" s="37" t="s">
        <v>76</v>
      </c>
      <c r="AR83" s="13">
        <v>0</v>
      </c>
      <c r="AS83" s="93">
        <v>119.58804945999999</v>
      </c>
      <c r="AT83" s="94">
        <v>0.94177885059999999</v>
      </c>
      <c r="AU83" s="93">
        <v>82.543229402999998</v>
      </c>
      <c r="AV83" s="94">
        <v>0.39919952609999998</v>
      </c>
      <c r="AW83" s="93">
        <v>57.910549832999997</v>
      </c>
      <c r="AX83" s="94">
        <v>0.21091928300000001</v>
      </c>
      <c r="AY83" s="93">
        <v>11.170988478</v>
      </c>
      <c r="AZ83" s="94">
        <v>5.0163342E-2</v>
      </c>
      <c r="BA83" s="79">
        <v>13.461691092000001</v>
      </c>
      <c r="BB83" s="13">
        <v>0.13811690109999999</v>
      </c>
      <c r="BC83" s="93">
        <v>0</v>
      </c>
      <c r="BD83" s="86">
        <v>0</v>
      </c>
      <c r="BE83" s="93">
        <v>442.90165499</v>
      </c>
      <c r="BF83" s="94">
        <v>0.54988502859999999</v>
      </c>
      <c r="BG83" s="94">
        <v>0.24355286139999999</v>
      </c>
      <c r="BH83" s="86">
        <v>0</v>
      </c>
      <c r="BI83" s="93">
        <v>262.42431276999997</v>
      </c>
      <c r="BJ83" s="94">
        <v>6.3894269114000002</v>
      </c>
      <c r="BK83" s="93">
        <v>490.80244734000001</v>
      </c>
      <c r="BL83" s="94">
        <v>2.2827578006000002</v>
      </c>
      <c r="BM83" s="93">
        <v>305.16105321999999</v>
      </c>
      <c r="BN83" s="94">
        <v>1.0714123040000001</v>
      </c>
      <c r="BO83" s="93">
        <v>199.49800223</v>
      </c>
      <c r="BP83" s="94">
        <v>0.1404877678</v>
      </c>
      <c r="BQ83" s="93">
        <v>0</v>
      </c>
      <c r="BR83" s="88">
        <v>0</v>
      </c>
      <c r="BS83" s="37" t="s">
        <v>76</v>
      </c>
      <c r="BT83" s="13">
        <v>0</v>
      </c>
      <c r="BU83" s="93">
        <v>8.2537015117999992</v>
      </c>
      <c r="BV83" s="94">
        <v>2.0599981E-2</v>
      </c>
      <c r="BW83" s="93">
        <v>0.27193409839999999</v>
      </c>
      <c r="BX83" s="94">
        <v>8.930524E-4</v>
      </c>
      <c r="BY83" s="7" t="s">
        <v>76</v>
      </c>
      <c r="BZ83" s="13">
        <v>0</v>
      </c>
      <c r="CA83" s="7" t="s">
        <v>76</v>
      </c>
      <c r="CB83" s="13">
        <v>0</v>
      </c>
      <c r="CC83" s="93">
        <v>202.62167901000001</v>
      </c>
      <c r="CD83" s="94">
        <v>0.35164116820000002</v>
      </c>
      <c r="CE83" s="93">
        <v>1.7253350032000001</v>
      </c>
      <c r="CF83" s="94">
        <v>6.8294895E-3</v>
      </c>
      <c r="CG83" s="7" t="s">
        <v>76</v>
      </c>
      <c r="CH83" s="13">
        <v>0</v>
      </c>
      <c r="CI83" s="7" t="s">
        <v>76</v>
      </c>
      <c r="CJ83" s="13">
        <v>0</v>
      </c>
      <c r="CK83" s="7" t="s">
        <v>76</v>
      </c>
      <c r="CL83" s="13">
        <v>0</v>
      </c>
      <c r="CM83" s="7" t="s">
        <v>76</v>
      </c>
      <c r="CN83" s="13">
        <v>0</v>
      </c>
      <c r="CO83" s="93">
        <v>2.5759189998999998</v>
      </c>
      <c r="CP83" s="94">
        <v>7.0372606000000002E-3</v>
      </c>
      <c r="CQ83" s="93">
        <v>4.2278439999999997E-3</v>
      </c>
      <c r="CR83" s="94">
        <v>4.7982200000000003E-5</v>
      </c>
      <c r="CS83" s="93">
        <v>25.853830294000002</v>
      </c>
      <c r="CT83" s="94">
        <v>7.6903820299999995E-2</v>
      </c>
      <c r="CU83" s="93">
        <v>4.6322163E-2</v>
      </c>
      <c r="CV83" s="94">
        <v>2.6837939999999999E-4</v>
      </c>
      <c r="CW83" s="6" t="s">
        <v>76</v>
      </c>
      <c r="CX83" s="13">
        <v>0</v>
      </c>
      <c r="CY83" s="7" t="s">
        <v>76</v>
      </c>
      <c r="CZ83" s="15">
        <v>0</v>
      </c>
      <c r="DA83" s="93">
        <v>95.825644080000004</v>
      </c>
      <c r="DB83" s="94">
        <v>0.34925619699999999</v>
      </c>
      <c r="DC83" s="93">
        <v>0.21619351040000001</v>
      </c>
      <c r="DD83" s="94">
        <v>1.3554840999999999E-3</v>
      </c>
      <c r="DE83" s="93">
        <v>187.93131206999999</v>
      </c>
      <c r="DF83" s="94">
        <v>0.26671518999999999</v>
      </c>
      <c r="DG83" s="93">
        <v>1.044591102</v>
      </c>
      <c r="DH83" s="94">
        <v>4.5674165000000001E-3</v>
      </c>
      <c r="DI83" s="188">
        <v>4.4750354200000002E-2</v>
      </c>
      <c r="DJ83" s="189">
        <v>7.6047497800000002E-2</v>
      </c>
      <c r="DK83" s="189">
        <v>9.6148277399999996E-2</v>
      </c>
      <c r="DL83" s="189">
        <v>0.1103042067</v>
      </c>
      <c r="DM83" s="189">
        <v>0.1205773015</v>
      </c>
      <c r="DN83" s="189">
        <v>0.1293050036</v>
      </c>
      <c r="DO83" s="189">
        <v>0.1361236069</v>
      </c>
      <c r="DP83" s="189">
        <v>0.1422090238</v>
      </c>
      <c r="DQ83" s="189">
        <v>0.1473184263</v>
      </c>
      <c r="DR83" s="190">
        <v>0.15187002769999999</v>
      </c>
      <c r="DS83" s="112">
        <v>219.80941730999999</v>
      </c>
      <c r="DT83" s="13">
        <v>2.4936102361999999</v>
      </c>
      <c r="DU83" s="79">
        <v>174.39360402</v>
      </c>
      <c r="DV83" s="13">
        <v>1.9087899784</v>
      </c>
      <c r="DW83" s="79">
        <v>138.83784367999999</v>
      </c>
      <c r="DX83" s="13">
        <v>1.4692400512999999</v>
      </c>
      <c r="DY83" s="79">
        <v>111.47215623</v>
      </c>
      <c r="DZ83" s="13">
        <v>1.1425803763</v>
      </c>
      <c r="EA83" s="79">
        <v>90.578529528000004</v>
      </c>
      <c r="EB83" s="13">
        <v>0.90063692149999997</v>
      </c>
      <c r="EC83" s="79">
        <v>74.567797220000003</v>
      </c>
      <c r="ED83" s="13">
        <v>0.71936610180000005</v>
      </c>
      <c r="EE83" s="79">
        <v>62.216534979000002</v>
      </c>
      <c r="EF83" s="13">
        <v>0.58221287489999995</v>
      </c>
      <c r="EG83" s="79">
        <v>52.580765696</v>
      </c>
      <c r="EH83" s="13">
        <v>0.4771216673</v>
      </c>
      <c r="EI83" s="79">
        <v>44.988649811000002</v>
      </c>
      <c r="EJ83" s="13">
        <v>0.39519101379999999</v>
      </c>
      <c r="EK83" s="79">
        <v>38.892312386</v>
      </c>
      <c r="EL83" s="15">
        <v>0.33054612350000001</v>
      </c>
      <c r="EM83" s="79"/>
      <c r="EN83" s="13"/>
      <c r="EO83" s="79"/>
      <c r="EP83" s="13"/>
      <c r="EQ83" s="79"/>
      <c r="ER83" s="13"/>
      <c r="ES83" s="79"/>
      <c r="ET83" s="13"/>
      <c r="EU83" s="79"/>
      <c r="EV83" s="15"/>
    </row>
    <row r="84" spans="1:152" x14ac:dyDescent="0.2">
      <c r="A84" s="8">
        <v>400000</v>
      </c>
      <c r="B84" s="82">
        <v>382</v>
      </c>
      <c r="C84" s="83">
        <v>5569.0907461999996</v>
      </c>
      <c r="D84" s="93">
        <v>341623.48064000002</v>
      </c>
      <c r="E84" s="93">
        <v>504.21228014000002</v>
      </c>
      <c r="F84" s="94">
        <v>0.20420667510000001</v>
      </c>
      <c r="G84" s="83">
        <v>918.58483777000004</v>
      </c>
      <c r="H84" s="94">
        <v>5.76281196E-2</v>
      </c>
      <c r="I84" s="93">
        <v>380.32358469000002</v>
      </c>
      <c r="J84" s="94">
        <v>3.2493362289999999</v>
      </c>
      <c r="K84" s="93">
        <v>984.35862484999996</v>
      </c>
      <c r="L84" s="94">
        <v>4.4145499714999996</v>
      </c>
      <c r="M84" s="93">
        <v>12.028234060000001</v>
      </c>
      <c r="N84" s="94">
        <v>2.9625579400000001E-2</v>
      </c>
      <c r="O84" s="37">
        <v>0</v>
      </c>
      <c r="P84" s="13">
        <v>0</v>
      </c>
      <c r="Q84" s="93">
        <v>215.01964670000001</v>
      </c>
      <c r="R84" s="94">
        <v>0.36375911700000002</v>
      </c>
      <c r="S84" s="37" t="s">
        <v>76</v>
      </c>
      <c r="T84" s="13">
        <v>0</v>
      </c>
      <c r="U84" s="37" t="s">
        <v>76</v>
      </c>
      <c r="V84" s="13">
        <v>0</v>
      </c>
      <c r="W84" s="93">
        <v>3.0552343368999999</v>
      </c>
      <c r="X84" s="94">
        <v>8.3971765000000007E-3</v>
      </c>
      <c r="Y84" s="93">
        <v>31.076410274000001</v>
      </c>
      <c r="Z84" s="94">
        <v>6.6932472000000003E-3</v>
      </c>
      <c r="AA84" s="37" t="s">
        <v>76</v>
      </c>
      <c r="AB84" s="13">
        <v>0</v>
      </c>
      <c r="AC84" s="93">
        <v>3.2453518999999999E-3</v>
      </c>
      <c r="AD84" s="94">
        <v>1.12652E-5</v>
      </c>
      <c r="AE84" s="37" t="s">
        <v>76</v>
      </c>
      <c r="AF84" s="13">
        <v>0</v>
      </c>
      <c r="AG84" s="37" t="s">
        <v>76</v>
      </c>
      <c r="AH84" s="13">
        <v>0</v>
      </c>
      <c r="AI84" s="93">
        <v>3.2453518999999999E-3</v>
      </c>
      <c r="AJ84" s="94">
        <v>1.12652E-5</v>
      </c>
      <c r="AK84" s="93">
        <v>390.08223119000002</v>
      </c>
      <c r="AL84" s="94">
        <v>2.0249049614999999</v>
      </c>
      <c r="AM84" s="37" t="s">
        <v>76</v>
      </c>
      <c r="AN84" s="13">
        <v>0</v>
      </c>
      <c r="AO84" s="37" t="s">
        <v>76</v>
      </c>
      <c r="AP84" s="13">
        <v>0</v>
      </c>
      <c r="AQ84" s="37" t="s">
        <v>76</v>
      </c>
      <c r="AR84" s="13">
        <v>0</v>
      </c>
      <c r="AS84" s="93">
        <v>121.36009711</v>
      </c>
      <c r="AT84" s="94">
        <v>0.94451979630000005</v>
      </c>
      <c r="AU84" s="93">
        <v>82.993880489000006</v>
      </c>
      <c r="AV84" s="94">
        <v>0.40035508619999999</v>
      </c>
      <c r="AW84" s="93">
        <v>58.039005230999997</v>
      </c>
      <c r="AX84" s="94">
        <v>0.2111603567</v>
      </c>
      <c r="AY84" s="93">
        <v>11.188675895999999</v>
      </c>
      <c r="AZ84" s="94">
        <v>5.0196736300000003E-2</v>
      </c>
      <c r="BA84" s="79">
        <v>13.766199362</v>
      </c>
      <c r="BB84" s="13">
        <v>0.1389979932</v>
      </c>
      <c r="BC84" s="93">
        <v>0</v>
      </c>
      <c r="BD84" s="86">
        <v>0</v>
      </c>
      <c r="BE84" s="93">
        <v>456.85340287000002</v>
      </c>
      <c r="BF84" s="94">
        <v>0.55848752189999995</v>
      </c>
      <c r="BG84" s="94">
        <v>0.27086287609999998</v>
      </c>
      <c r="BH84" s="86">
        <v>0</v>
      </c>
      <c r="BI84" s="93">
        <v>263.17876447999998</v>
      </c>
      <c r="BJ84" s="94">
        <v>6.3944242887999998</v>
      </c>
      <c r="BK84" s="93">
        <v>492.01709251</v>
      </c>
      <c r="BL84" s="94">
        <v>2.2842957521999998</v>
      </c>
      <c r="BM84" s="93">
        <v>306.72825159000001</v>
      </c>
      <c r="BN84" s="94">
        <v>1.071923274</v>
      </c>
      <c r="BO84" s="93">
        <v>200.63937709999999</v>
      </c>
      <c r="BP84" s="94">
        <v>0.14076065260000001</v>
      </c>
      <c r="BQ84" s="93">
        <v>0</v>
      </c>
      <c r="BR84" s="88">
        <v>0</v>
      </c>
      <c r="BS84" s="37" t="s">
        <v>76</v>
      </c>
      <c r="BT84" s="13">
        <v>0</v>
      </c>
      <c r="BU84" s="93">
        <v>8.4721540267000002</v>
      </c>
      <c r="BV84" s="94">
        <v>2.08806149E-2</v>
      </c>
      <c r="BW84" s="93">
        <v>0.27224664630000001</v>
      </c>
      <c r="BX84" s="94">
        <v>8.9641700000000005E-4</v>
      </c>
      <c r="BY84" s="7" t="s">
        <v>76</v>
      </c>
      <c r="BZ84" s="13">
        <v>0</v>
      </c>
      <c r="CA84" s="7" t="s">
        <v>76</v>
      </c>
      <c r="CB84" s="13">
        <v>0</v>
      </c>
      <c r="CC84" s="93">
        <v>204.28409210999999</v>
      </c>
      <c r="CD84" s="94">
        <v>0.35254943090000002</v>
      </c>
      <c r="CE84" s="93">
        <v>1.7329710068999999</v>
      </c>
      <c r="CF84" s="94">
        <v>6.8629750999999999E-3</v>
      </c>
      <c r="CG84" s="7" t="s">
        <v>76</v>
      </c>
      <c r="CH84" s="13">
        <v>0</v>
      </c>
      <c r="CI84" s="7" t="s">
        <v>76</v>
      </c>
      <c r="CJ84" s="13">
        <v>0</v>
      </c>
      <c r="CK84" s="7" t="s">
        <v>76</v>
      </c>
      <c r="CL84" s="13">
        <v>0</v>
      </c>
      <c r="CM84" s="7" t="s">
        <v>76</v>
      </c>
      <c r="CN84" s="13">
        <v>0</v>
      </c>
      <c r="CO84" s="93">
        <v>2.6275166786000002</v>
      </c>
      <c r="CP84" s="94">
        <v>7.0969379000000001E-3</v>
      </c>
      <c r="CQ84" s="93">
        <v>4.2265588999999999E-3</v>
      </c>
      <c r="CR84" s="94">
        <v>4.7967099999999997E-5</v>
      </c>
      <c r="CS84" s="93">
        <v>26.014640224000001</v>
      </c>
      <c r="CT84" s="94">
        <v>7.7226737399999995E-2</v>
      </c>
      <c r="CU84" s="93">
        <v>4.8076514000000001E-2</v>
      </c>
      <c r="CV84" s="94">
        <v>2.7460069999999997E-4</v>
      </c>
      <c r="CW84" s="6" t="s">
        <v>76</v>
      </c>
      <c r="CX84" s="13">
        <v>0</v>
      </c>
      <c r="CY84" s="7" t="s">
        <v>76</v>
      </c>
      <c r="CZ84" s="15">
        <v>0</v>
      </c>
      <c r="DA84" s="93">
        <v>97.262506232000007</v>
      </c>
      <c r="DB84" s="94">
        <v>0.35129209430000002</v>
      </c>
      <c r="DC84" s="93">
        <v>0.2161338626</v>
      </c>
      <c r="DD84" s="94">
        <v>1.3554511E-3</v>
      </c>
      <c r="DE84" s="93">
        <v>190.96508227999999</v>
      </c>
      <c r="DF84" s="94">
        <v>0.26884736469999998</v>
      </c>
      <c r="DG84" s="93">
        <v>1.2019040495</v>
      </c>
      <c r="DH84" s="94">
        <v>4.8883497E-3</v>
      </c>
      <c r="DI84" s="188">
        <v>4.5010243999999998E-2</v>
      </c>
      <c r="DJ84" s="189">
        <v>7.6566772599999999E-2</v>
      </c>
      <c r="DK84" s="189">
        <v>9.6926916399999993E-2</v>
      </c>
      <c r="DL84" s="189">
        <v>0.1113402384</v>
      </c>
      <c r="DM84" s="189">
        <v>0.12186673520000001</v>
      </c>
      <c r="DN84" s="189">
        <v>0.1308436657</v>
      </c>
      <c r="DO84" s="189">
        <v>0.13790536410000001</v>
      </c>
      <c r="DP84" s="189">
        <v>0.1442300816</v>
      </c>
      <c r="DQ84" s="189">
        <v>0.14957351320000001</v>
      </c>
      <c r="DR84" s="190">
        <v>0.15435758090000001</v>
      </c>
      <c r="DS84" s="112">
        <v>221.02465416999999</v>
      </c>
      <c r="DT84" s="13">
        <v>2.4972336250999998</v>
      </c>
      <c r="DU84" s="79">
        <v>175.46307267</v>
      </c>
      <c r="DV84" s="13">
        <v>1.9123448094</v>
      </c>
      <c r="DW84" s="79">
        <v>139.81602835999999</v>
      </c>
      <c r="DX84" s="13">
        <v>1.4727042458999999</v>
      </c>
      <c r="DY84" s="79">
        <v>112.37394589</v>
      </c>
      <c r="DZ84" s="13">
        <v>1.1459345487999999</v>
      </c>
      <c r="EA84" s="79">
        <v>91.421160998000005</v>
      </c>
      <c r="EB84" s="13">
        <v>0.90386683550000002</v>
      </c>
      <c r="EC84" s="79">
        <v>75.357186361999993</v>
      </c>
      <c r="ED84" s="13">
        <v>0.72246270310000005</v>
      </c>
      <c r="EE84" s="79">
        <v>62.959410732000002</v>
      </c>
      <c r="EF84" s="13">
        <v>0.58517997610000005</v>
      </c>
      <c r="EG84" s="79">
        <v>53.281001836000002</v>
      </c>
      <c r="EH84" s="13">
        <v>0.4799630922</v>
      </c>
      <c r="EI84" s="79">
        <v>45.649106258000003</v>
      </c>
      <c r="EJ84" s="13">
        <v>0.39790966459999999</v>
      </c>
      <c r="EK84" s="79">
        <v>39.514132259999997</v>
      </c>
      <c r="EL84" s="15">
        <v>0.3331434882</v>
      </c>
      <c r="EM84" s="79"/>
      <c r="EN84" s="13"/>
      <c r="EO84" s="79"/>
      <c r="EP84" s="13"/>
      <c r="EQ84" s="79"/>
      <c r="ER84" s="13"/>
      <c r="ES84" s="79"/>
      <c r="ET84" s="13"/>
      <c r="EU84" s="79"/>
      <c r="EV84" s="15"/>
    </row>
    <row r="85" spans="1:152" x14ac:dyDescent="0.2">
      <c r="A85" s="8">
        <v>500000</v>
      </c>
      <c r="B85" s="82">
        <v>195</v>
      </c>
      <c r="C85" s="83">
        <v>5595.1787135000004</v>
      </c>
      <c r="D85" s="93">
        <v>443609.67572</v>
      </c>
      <c r="E85" s="93">
        <v>510.37280815000003</v>
      </c>
      <c r="F85" s="94">
        <v>0.20475416260000001</v>
      </c>
      <c r="G85" s="83">
        <v>958.12577093000004</v>
      </c>
      <c r="H85" s="94">
        <v>5.80639856E-2</v>
      </c>
      <c r="I85" s="93">
        <v>381.48521318000002</v>
      </c>
      <c r="J85" s="94">
        <v>3.2518503576</v>
      </c>
      <c r="K85" s="93">
        <v>991.05633454999997</v>
      </c>
      <c r="L85" s="94">
        <v>4.4206772516999999</v>
      </c>
      <c r="M85" s="93">
        <v>12.055847773</v>
      </c>
      <c r="N85" s="94">
        <v>2.96511182E-2</v>
      </c>
      <c r="O85" s="37">
        <v>0</v>
      </c>
      <c r="P85" s="13">
        <v>0</v>
      </c>
      <c r="Q85" s="93">
        <v>216.07400257</v>
      </c>
      <c r="R85" s="94">
        <v>0.36413466779999998</v>
      </c>
      <c r="S85" s="37" t="s">
        <v>76</v>
      </c>
      <c r="T85" s="13">
        <v>0</v>
      </c>
      <c r="U85" s="37" t="s">
        <v>76</v>
      </c>
      <c r="V85" s="13">
        <v>0</v>
      </c>
      <c r="W85" s="93">
        <v>3.0873848155000001</v>
      </c>
      <c r="X85" s="94">
        <v>8.4412015999999999E-3</v>
      </c>
      <c r="Y85" s="93">
        <v>31.458550841000001</v>
      </c>
      <c r="Z85" s="94">
        <v>6.7302450999999998E-3</v>
      </c>
      <c r="AA85" s="37" t="s">
        <v>76</v>
      </c>
      <c r="AB85" s="13">
        <v>0</v>
      </c>
      <c r="AC85" s="93">
        <v>3.2447147999999999E-3</v>
      </c>
      <c r="AD85" s="94">
        <v>1.12629E-5</v>
      </c>
      <c r="AE85" s="37" t="s">
        <v>76</v>
      </c>
      <c r="AF85" s="13">
        <v>0</v>
      </c>
      <c r="AG85" s="37" t="s">
        <v>76</v>
      </c>
      <c r="AH85" s="13">
        <v>0</v>
      </c>
      <c r="AI85" s="93">
        <v>3.2447147999999999E-3</v>
      </c>
      <c r="AJ85" s="94">
        <v>1.12629E-5</v>
      </c>
      <c r="AK85" s="93">
        <v>390.786382</v>
      </c>
      <c r="AL85" s="94">
        <v>2.0257735100000001</v>
      </c>
      <c r="AM85" s="37" t="s">
        <v>76</v>
      </c>
      <c r="AN85" s="13">
        <v>0</v>
      </c>
      <c r="AO85" s="37" t="s">
        <v>76</v>
      </c>
      <c r="AP85" s="13">
        <v>0</v>
      </c>
      <c r="AQ85" s="37" t="s">
        <v>76</v>
      </c>
      <c r="AR85" s="13">
        <v>0</v>
      </c>
      <c r="AS85" s="93">
        <v>122.64133624999999</v>
      </c>
      <c r="AT85" s="94">
        <v>0.94609533059999995</v>
      </c>
      <c r="AU85" s="93">
        <v>83.243227230000002</v>
      </c>
      <c r="AV85" s="94">
        <v>0.40100906180000001</v>
      </c>
      <c r="AW85" s="93">
        <v>58.153109065000002</v>
      </c>
      <c r="AX85" s="94">
        <v>0.21129437979999999</v>
      </c>
      <c r="AY85" s="93">
        <v>11.19864469</v>
      </c>
      <c r="AZ85" s="94">
        <v>5.0219543300000002E-2</v>
      </c>
      <c r="BA85" s="79">
        <v>13.891473475</v>
      </c>
      <c r="BB85" s="13">
        <v>0.13949513869999999</v>
      </c>
      <c r="BC85" s="93">
        <v>0</v>
      </c>
      <c r="BD85" s="86">
        <v>0</v>
      </c>
      <c r="BE85" s="93">
        <v>464.99696699999998</v>
      </c>
      <c r="BF85" s="94">
        <v>0.56314582489999998</v>
      </c>
      <c r="BG85" s="94">
        <v>0.2848836958</v>
      </c>
      <c r="BH85" s="86">
        <v>0</v>
      </c>
      <c r="BI85" s="93">
        <v>263.60808143000003</v>
      </c>
      <c r="BJ85" s="94">
        <v>6.396885588</v>
      </c>
      <c r="BK85" s="93">
        <v>493.81398123000002</v>
      </c>
      <c r="BL85" s="94">
        <v>2.2849507107</v>
      </c>
      <c r="BM85" s="93">
        <v>306.98382096</v>
      </c>
      <c r="BN85" s="94">
        <v>1.0720318227000001</v>
      </c>
      <c r="BO85" s="93">
        <v>201.00167218999999</v>
      </c>
      <c r="BP85" s="94">
        <v>0.14084946800000001</v>
      </c>
      <c r="BQ85" s="93">
        <v>0</v>
      </c>
      <c r="BR85" s="88">
        <v>0</v>
      </c>
      <c r="BS85" s="37" t="s">
        <v>76</v>
      </c>
      <c r="BT85" s="13">
        <v>0</v>
      </c>
      <c r="BU85" s="93">
        <v>8.4924252359000008</v>
      </c>
      <c r="BV85" s="94">
        <v>2.09056894E-2</v>
      </c>
      <c r="BW85" s="93">
        <v>0.27254425879999999</v>
      </c>
      <c r="BX85" s="94">
        <v>8.9774280000000004E-4</v>
      </c>
      <c r="BY85" s="7" t="s">
        <v>76</v>
      </c>
      <c r="BZ85" s="13">
        <v>0</v>
      </c>
      <c r="CA85" s="7" t="s">
        <v>76</v>
      </c>
      <c r="CB85" s="13">
        <v>0</v>
      </c>
      <c r="CC85" s="93">
        <v>205.22482793</v>
      </c>
      <c r="CD85" s="94">
        <v>0.35303957819999998</v>
      </c>
      <c r="CE85" s="93">
        <v>1.7386702243000001</v>
      </c>
      <c r="CF85" s="94">
        <v>6.8784770999999996E-3</v>
      </c>
      <c r="CG85" s="7" t="s">
        <v>76</v>
      </c>
      <c r="CH85" s="13">
        <v>0</v>
      </c>
      <c r="CI85" s="7" t="s">
        <v>76</v>
      </c>
      <c r="CJ85" s="13">
        <v>0</v>
      </c>
      <c r="CK85" s="7" t="s">
        <v>76</v>
      </c>
      <c r="CL85" s="13">
        <v>0</v>
      </c>
      <c r="CM85" s="7" t="s">
        <v>76</v>
      </c>
      <c r="CN85" s="13">
        <v>0</v>
      </c>
      <c r="CO85" s="93">
        <v>2.6516441936000001</v>
      </c>
      <c r="CP85" s="94">
        <v>7.1378396000000002E-3</v>
      </c>
      <c r="CQ85" s="93">
        <v>4.2259300000000001E-3</v>
      </c>
      <c r="CR85" s="94">
        <v>4.7960100000000002E-5</v>
      </c>
      <c r="CS85" s="93">
        <v>26.230262093</v>
      </c>
      <c r="CT85" s="94">
        <v>7.7519119400000003E-2</v>
      </c>
      <c r="CU85" s="93">
        <v>4.9374738899999999E-2</v>
      </c>
      <c r="CV85" s="94">
        <v>2.7635289999999998E-4</v>
      </c>
      <c r="CW85" s="6" t="s">
        <v>76</v>
      </c>
      <c r="CX85" s="13">
        <v>0</v>
      </c>
      <c r="CY85" s="7" t="s">
        <v>76</v>
      </c>
      <c r="CZ85" s="15">
        <v>0</v>
      </c>
      <c r="DA85" s="93">
        <v>97.985704859999998</v>
      </c>
      <c r="DB85" s="94">
        <v>0.35239281550000001</v>
      </c>
      <c r="DC85" s="93">
        <v>0.2163709757</v>
      </c>
      <c r="DD85" s="94">
        <v>1.357797E-3</v>
      </c>
      <c r="DE85" s="93">
        <v>192.72557068</v>
      </c>
      <c r="DF85" s="94">
        <v>0.26988559610000001</v>
      </c>
      <c r="DG85" s="93">
        <v>1.2223290931999999</v>
      </c>
      <c r="DH85" s="94">
        <v>4.9130475999999996E-3</v>
      </c>
      <c r="DI85" s="188">
        <v>4.5144360100000003E-2</v>
      </c>
      <c r="DJ85" s="189">
        <v>7.6834280099999999E-2</v>
      </c>
      <c r="DK85" s="189">
        <v>9.7328305300000001E-2</v>
      </c>
      <c r="DL85" s="189">
        <v>0.1118731578</v>
      </c>
      <c r="DM85" s="189">
        <v>0.1225313379</v>
      </c>
      <c r="DN85" s="189">
        <v>0.13163766530000001</v>
      </c>
      <c r="DO85" s="189">
        <v>0.1388290891</v>
      </c>
      <c r="DP85" s="189">
        <v>0.14528365970000001</v>
      </c>
      <c r="DQ85" s="189">
        <v>0.15075673340000001</v>
      </c>
      <c r="DR85" s="190">
        <v>0.1556705411</v>
      </c>
      <c r="DS85" s="112">
        <v>221.74936646</v>
      </c>
      <c r="DT85" s="13">
        <v>2.4997273885000002</v>
      </c>
      <c r="DU85" s="79">
        <v>176.14108406</v>
      </c>
      <c r="DV85" s="13">
        <v>1.9148001186000001</v>
      </c>
      <c r="DW85" s="79">
        <v>140.45567179</v>
      </c>
      <c r="DX85" s="13">
        <v>1.4751116032</v>
      </c>
      <c r="DY85" s="79">
        <v>112.97580584000001</v>
      </c>
      <c r="DZ85" s="13">
        <v>1.1482806763</v>
      </c>
      <c r="EA85" s="79">
        <v>91.993656602000001</v>
      </c>
      <c r="EB85" s="13">
        <v>0.90614338530000005</v>
      </c>
      <c r="EC85" s="79">
        <v>75.901540448000006</v>
      </c>
      <c r="ED85" s="13">
        <v>0.72467063840000001</v>
      </c>
      <c r="EE85" s="79">
        <v>63.481798589999997</v>
      </c>
      <c r="EF85" s="13">
        <v>0.5873200905</v>
      </c>
      <c r="EG85" s="79">
        <v>53.781520307000001</v>
      </c>
      <c r="EH85" s="13">
        <v>0.48203199400000002</v>
      </c>
      <c r="EI85" s="79">
        <v>46.128637943000001</v>
      </c>
      <c r="EJ85" s="13">
        <v>0.39990540409999997</v>
      </c>
      <c r="EK85" s="79">
        <v>39.973756657000003</v>
      </c>
      <c r="EL85" s="15">
        <v>0.33506609059999998</v>
      </c>
      <c r="EM85" s="79"/>
      <c r="EN85" s="13"/>
      <c r="EO85" s="79"/>
      <c r="EP85" s="13"/>
      <c r="EQ85" s="79"/>
      <c r="ER85" s="13"/>
      <c r="ES85" s="79"/>
      <c r="ET85" s="13"/>
      <c r="EU85" s="79"/>
      <c r="EV85" s="15"/>
    </row>
    <row r="86" spans="1:152" x14ac:dyDescent="0.2">
      <c r="A86" s="8">
        <v>1000000</v>
      </c>
      <c r="B86" s="82">
        <v>189</v>
      </c>
      <c r="C86" s="83">
        <v>5640.0370309</v>
      </c>
      <c r="D86" s="93">
        <v>669174.40060000005</v>
      </c>
      <c r="E86" s="93">
        <v>515.97587051999994</v>
      </c>
      <c r="F86" s="94">
        <v>0.20522876709999999</v>
      </c>
      <c r="G86" s="83">
        <v>1020.9203666</v>
      </c>
      <c r="H86" s="94">
        <v>5.8611168999999998E-2</v>
      </c>
      <c r="I86" s="93">
        <v>383.04709350000002</v>
      </c>
      <c r="J86" s="94">
        <v>3.2548246502999998</v>
      </c>
      <c r="K86" s="93">
        <v>998.05268363000005</v>
      </c>
      <c r="L86" s="94">
        <v>4.4285460031000001</v>
      </c>
      <c r="M86" s="93">
        <v>12.137891009000001</v>
      </c>
      <c r="N86" s="94">
        <v>2.9667628599999999E-2</v>
      </c>
      <c r="O86" s="37">
        <v>0</v>
      </c>
      <c r="P86" s="13">
        <v>0</v>
      </c>
      <c r="Q86" s="93">
        <v>216.99966735999999</v>
      </c>
      <c r="R86" s="94">
        <v>0.36449084139999999</v>
      </c>
      <c r="S86" s="37" t="s">
        <v>76</v>
      </c>
      <c r="T86" s="13">
        <v>0</v>
      </c>
      <c r="U86" s="37" t="s">
        <v>76</v>
      </c>
      <c r="V86" s="13">
        <v>0</v>
      </c>
      <c r="W86" s="93">
        <v>3.1387317669999999</v>
      </c>
      <c r="X86" s="94">
        <v>8.4992512000000003E-3</v>
      </c>
      <c r="Y86" s="93">
        <v>31.810233234999998</v>
      </c>
      <c r="Z86" s="94">
        <v>6.8149672E-3</v>
      </c>
      <c r="AA86" s="37" t="s">
        <v>76</v>
      </c>
      <c r="AB86" s="13">
        <v>0</v>
      </c>
      <c r="AC86" s="93">
        <v>3.2441494000000001E-3</v>
      </c>
      <c r="AD86" s="94">
        <v>1.1260800000000001E-5</v>
      </c>
      <c r="AE86" s="37" t="s">
        <v>76</v>
      </c>
      <c r="AF86" s="13">
        <v>0</v>
      </c>
      <c r="AG86" s="37" t="s">
        <v>76</v>
      </c>
      <c r="AH86" s="13">
        <v>0</v>
      </c>
      <c r="AI86" s="93">
        <v>3.2441494000000001E-3</v>
      </c>
      <c r="AJ86" s="94">
        <v>1.1260800000000001E-5</v>
      </c>
      <c r="AK86" s="93">
        <v>391.76992177</v>
      </c>
      <c r="AL86" s="94">
        <v>2.0268543214000001</v>
      </c>
      <c r="AM86" s="37" t="s">
        <v>76</v>
      </c>
      <c r="AN86" s="13">
        <v>0</v>
      </c>
      <c r="AO86" s="37" t="s">
        <v>76</v>
      </c>
      <c r="AP86" s="13">
        <v>0</v>
      </c>
      <c r="AQ86" s="37" t="s">
        <v>76</v>
      </c>
      <c r="AR86" s="13">
        <v>0</v>
      </c>
      <c r="AS86" s="93">
        <v>124.06300946</v>
      </c>
      <c r="AT86" s="94">
        <v>0.94786804270000002</v>
      </c>
      <c r="AU86" s="93">
        <v>83.485560843000002</v>
      </c>
      <c r="AV86" s="94">
        <v>0.40186933879999998</v>
      </c>
      <c r="AW86" s="93">
        <v>58.221409614000002</v>
      </c>
      <c r="AX86" s="94">
        <v>0.2114150195</v>
      </c>
      <c r="AY86" s="93">
        <v>11.213307907000001</v>
      </c>
      <c r="AZ86" s="94">
        <v>5.0262994200000001E-2</v>
      </c>
      <c r="BA86" s="79">
        <v>14.050843321</v>
      </c>
      <c r="BB86" s="13">
        <v>0.14019132510000001</v>
      </c>
      <c r="BC86" s="93">
        <v>0</v>
      </c>
      <c r="BD86" s="86">
        <v>0</v>
      </c>
      <c r="BE86" s="93">
        <v>478.17213189</v>
      </c>
      <c r="BF86" s="94">
        <v>0.56871367930000005</v>
      </c>
      <c r="BG86" s="94">
        <v>0.3175451212</v>
      </c>
      <c r="BH86" s="86">
        <v>0</v>
      </c>
      <c r="BI86" s="93">
        <v>263.70940222000002</v>
      </c>
      <c r="BJ86" s="94">
        <v>6.3987421998</v>
      </c>
      <c r="BK86" s="93">
        <v>494.29699579999999</v>
      </c>
      <c r="BL86" s="94">
        <v>2.2855929621</v>
      </c>
      <c r="BM86" s="93">
        <v>308.95649146</v>
      </c>
      <c r="BN86" s="94">
        <v>1.0721029377</v>
      </c>
      <c r="BO86" s="93">
        <v>201.63224285000001</v>
      </c>
      <c r="BP86" s="94">
        <v>0.140929741</v>
      </c>
      <c r="BQ86" s="93">
        <v>0</v>
      </c>
      <c r="BR86" s="88">
        <v>0</v>
      </c>
      <c r="BS86" s="37" t="s">
        <v>76</v>
      </c>
      <c r="BT86" s="13">
        <v>0</v>
      </c>
      <c r="BU86" s="93">
        <v>8.5671884467999995</v>
      </c>
      <c r="BV86" s="94">
        <v>2.0925315199999999E-2</v>
      </c>
      <c r="BW86" s="93">
        <v>0.27281837399999997</v>
      </c>
      <c r="BX86" s="94">
        <v>8.9960929999999999E-4</v>
      </c>
      <c r="BY86" s="7" t="s">
        <v>76</v>
      </c>
      <c r="BZ86" s="13">
        <v>0</v>
      </c>
      <c r="CA86" s="7" t="s">
        <v>76</v>
      </c>
      <c r="CB86" s="13">
        <v>0</v>
      </c>
      <c r="CC86" s="93">
        <v>206.07118729000001</v>
      </c>
      <c r="CD86" s="94">
        <v>0.35349735739999999</v>
      </c>
      <c r="CE86" s="93">
        <v>1.7462889286000001</v>
      </c>
      <c r="CF86" s="94">
        <v>6.9086004000000001E-3</v>
      </c>
      <c r="CG86" s="7" t="s">
        <v>76</v>
      </c>
      <c r="CH86" s="13">
        <v>0</v>
      </c>
      <c r="CI86" s="7" t="s">
        <v>76</v>
      </c>
      <c r="CJ86" s="13">
        <v>0</v>
      </c>
      <c r="CK86" s="7" t="s">
        <v>76</v>
      </c>
      <c r="CL86" s="13">
        <v>0</v>
      </c>
      <c r="CM86" s="7" t="s">
        <v>76</v>
      </c>
      <c r="CN86" s="13">
        <v>0</v>
      </c>
      <c r="CO86" s="93">
        <v>2.6823009282000001</v>
      </c>
      <c r="CP86" s="94">
        <v>7.1752706000000003E-3</v>
      </c>
      <c r="CQ86" s="93">
        <v>4.4645192000000002E-3</v>
      </c>
      <c r="CR86" s="94">
        <v>4.9406700000000003E-5</v>
      </c>
      <c r="CS86" s="93">
        <v>26.446790697000001</v>
      </c>
      <c r="CT86" s="94">
        <v>7.7795897500000002E-2</v>
      </c>
      <c r="CU86" s="93">
        <v>4.9560156000000001E-2</v>
      </c>
      <c r="CV86" s="94">
        <v>2.7725189999999999E-4</v>
      </c>
      <c r="CW86" s="6" t="s">
        <v>76</v>
      </c>
      <c r="CX86" s="13">
        <v>0</v>
      </c>
      <c r="CY86" s="7" t="s">
        <v>76</v>
      </c>
      <c r="CZ86" s="15">
        <v>0</v>
      </c>
      <c r="DA86" s="93">
        <v>98.909594193999993</v>
      </c>
      <c r="DB86" s="94">
        <v>0.35380953970000001</v>
      </c>
      <c r="DC86" s="93">
        <v>0.21633940369999999</v>
      </c>
      <c r="DD86" s="94">
        <v>1.3595274000000001E-3</v>
      </c>
      <c r="DE86" s="93">
        <v>195.92607149</v>
      </c>
      <c r="DF86" s="94">
        <v>0.27116069949999999</v>
      </c>
      <c r="DG86" s="93">
        <v>1.2473167352000001</v>
      </c>
      <c r="DH86" s="94">
        <v>4.9315814999999997E-3</v>
      </c>
      <c r="DI86" s="188">
        <v>4.5276434400000003E-2</v>
      </c>
      <c r="DJ86" s="189">
        <v>7.7100157500000002E-2</v>
      </c>
      <c r="DK86" s="189">
        <v>9.7727889600000006E-2</v>
      </c>
      <c r="DL86" s="189">
        <v>0.1124061287</v>
      </c>
      <c r="DM86" s="189">
        <v>0.1231983212</v>
      </c>
      <c r="DN86" s="189">
        <v>0.1324389141</v>
      </c>
      <c r="DO86" s="189">
        <v>0.13976206669999999</v>
      </c>
      <c r="DP86" s="189">
        <v>0.14634848689999999</v>
      </c>
      <c r="DQ86" s="189">
        <v>0.15195272109999999</v>
      </c>
      <c r="DR86" s="190">
        <v>0.1569972795</v>
      </c>
      <c r="DS86" s="112">
        <v>222.78389189999999</v>
      </c>
      <c r="DT86" s="13">
        <v>2.5026832044999998</v>
      </c>
      <c r="DU86" s="79">
        <v>177.11720528000001</v>
      </c>
      <c r="DV86" s="13">
        <v>1.9177259907999999</v>
      </c>
      <c r="DW86" s="79">
        <v>141.38094964999999</v>
      </c>
      <c r="DX86" s="13">
        <v>1.4779949880000001</v>
      </c>
      <c r="DY86" s="79">
        <v>113.85618569</v>
      </c>
      <c r="DZ86" s="13">
        <v>1.1511104348000001</v>
      </c>
      <c r="EA86" s="79">
        <v>92.834080463000006</v>
      </c>
      <c r="EB86" s="13">
        <v>0.90891425459999997</v>
      </c>
      <c r="EC86" s="79">
        <v>76.703989643</v>
      </c>
      <c r="ED86" s="13">
        <v>0.7273787343</v>
      </c>
      <c r="EE86" s="79">
        <v>64.249696427999993</v>
      </c>
      <c r="EF86" s="13">
        <v>0.58996551620000004</v>
      </c>
      <c r="EG86" s="79">
        <v>54.516972064999997</v>
      </c>
      <c r="EH86" s="13">
        <v>0.4846117821</v>
      </c>
      <c r="EI86" s="79">
        <v>46.832913583</v>
      </c>
      <c r="EJ86" s="13">
        <v>0.40241814980000001</v>
      </c>
      <c r="EK86" s="79">
        <v>40.648773771000002</v>
      </c>
      <c r="EL86" s="15">
        <v>0.33751107790000001</v>
      </c>
      <c r="EM86" s="79"/>
      <c r="EN86" s="13"/>
      <c r="EO86" s="79"/>
      <c r="EP86" s="13"/>
      <c r="EQ86" s="79"/>
      <c r="ER86" s="13"/>
      <c r="ES86" s="79"/>
      <c r="ET86" s="13"/>
      <c r="EU86" s="79"/>
      <c r="EV86" s="15"/>
    </row>
    <row r="87" spans="1:152" x14ac:dyDescent="0.2">
      <c r="A87" s="8">
        <v>2000000</v>
      </c>
      <c r="B87" s="82">
        <v>45</v>
      </c>
      <c r="C87" s="83">
        <v>5655.1815508</v>
      </c>
      <c r="D87" s="93">
        <v>1299601.2945999999</v>
      </c>
      <c r="E87" s="93">
        <v>518.63856920000001</v>
      </c>
      <c r="F87" s="94">
        <v>0.2053930175</v>
      </c>
      <c r="G87" s="83">
        <v>1057.3204458</v>
      </c>
      <c r="H87" s="94">
        <v>5.8818382099999997E-2</v>
      </c>
      <c r="I87" s="93">
        <v>383.92405882000003</v>
      </c>
      <c r="J87" s="94">
        <v>3.2555954937</v>
      </c>
      <c r="K87" s="93">
        <v>1001.5910145</v>
      </c>
      <c r="L87" s="94">
        <v>4.4313059669000001</v>
      </c>
      <c r="M87" s="93">
        <v>12.142838816999999</v>
      </c>
      <c r="N87" s="94">
        <v>2.9667217700000002E-2</v>
      </c>
      <c r="O87" s="37">
        <v>0</v>
      </c>
      <c r="P87" s="13">
        <v>0</v>
      </c>
      <c r="Q87" s="93">
        <v>217.1683682</v>
      </c>
      <c r="R87" s="94">
        <v>0.36454012810000003</v>
      </c>
      <c r="S87" s="37" t="s">
        <v>76</v>
      </c>
      <c r="T87" s="13">
        <v>0</v>
      </c>
      <c r="U87" s="37" t="s">
        <v>76</v>
      </c>
      <c r="V87" s="13">
        <v>0</v>
      </c>
      <c r="W87" s="93">
        <v>3.1396894506000002</v>
      </c>
      <c r="X87" s="94">
        <v>8.5014266000000005E-3</v>
      </c>
      <c r="Y87" s="93">
        <v>31.833641698000001</v>
      </c>
      <c r="Z87" s="94">
        <v>6.8275882E-3</v>
      </c>
      <c r="AA87" s="37" t="s">
        <v>76</v>
      </c>
      <c r="AB87" s="13">
        <v>0</v>
      </c>
      <c r="AC87" s="93">
        <v>3.2438841999999999E-3</v>
      </c>
      <c r="AD87" s="94">
        <v>1.12599E-5</v>
      </c>
      <c r="AE87" s="37" t="s">
        <v>76</v>
      </c>
      <c r="AF87" s="13">
        <v>0</v>
      </c>
      <c r="AG87" s="37" t="s">
        <v>76</v>
      </c>
      <c r="AH87" s="13">
        <v>0</v>
      </c>
      <c r="AI87" s="93">
        <v>3.2438841999999999E-3</v>
      </c>
      <c r="AJ87" s="94">
        <v>1.12599E-5</v>
      </c>
      <c r="AK87" s="93">
        <v>392.01752209</v>
      </c>
      <c r="AL87" s="94">
        <v>2.0272220472</v>
      </c>
      <c r="AM87" s="37" t="s">
        <v>76</v>
      </c>
      <c r="AN87" s="13">
        <v>0</v>
      </c>
      <c r="AO87" s="37" t="s">
        <v>76</v>
      </c>
      <c r="AP87" s="13">
        <v>0</v>
      </c>
      <c r="AQ87" s="37" t="s">
        <v>76</v>
      </c>
      <c r="AR87" s="13">
        <v>0</v>
      </c>
      <c r="AS87" s="93">
        <v>124.44876846</v>
      </c>
      <c r="AT87" s="94">
        <v>0.94871765880000003</v>
      </c>
      <c r="AU87" s="93">
        <v>83.555292043999998</v>
      </c>
      <c r="AV87" s="94">
        <v>0.40209091949999998</v>
      </c>
      <c r="AW87" s="93">
        <v>58.258877431999998</v>
      </c>
      <c r="AX87" s="94">
        <v>0.21144992579999999</v>
      </c>
      <c r="AY87" s="93">
        <v>11.219696722</v>
      </c>
      <c r="AZ87" s="94">
        <v>5.02648412E-2</v>
      </c>
      <c r="BA87" s="79">
        <v>14.076717890999999</v>
      </c>
      <c r="BB87" s="13">
        <v>0.1403761526</v>
      </c>
      <c r="BC87" s="93">
        <v>0</v>
      </c>
      <c r="BD87" s="86">
        <v>0</v>
      </c>
      <c r="BE87" s="93">
        <v>480.50862783999997</v>
      </c>
      <c r="BF87" s="94">
        <v>0.57034955450000002</v>
      </c>
      <c r="BG87" s="94">
        <v>0.3353321762</v>
      </c>
      <c r="BH87" s="86">
        <v>0</v>
      </c>
      <c r="BI87" s="93">
        <v>263.73446941999998</v>
      </c>
      <c r="BJ87" s="94">
        <v>6.3991268964000003</v>
      </c>
      <c r="BK87" s="93">
        <v>494.41419064000002</v>
      </c>
      <c r="BL87" s="94">
        <v>2.2857403091999999</v>
      </c>
      <c r="BM87" s="93">
        <v>308.98932603999998</v>
      </c>
      <c r="BN87" s="94">
        <v>1.0721485905000001</v>
      </c>
      <c r="BO87" s="93">
        <v>201.66859529999999</v>
      </c>
      <c r="BP87" s="94">
        <v>0.14093401389999999</v>
      </c>
      <c r="BQ87" s="93">
        <v>0</v>
      </c>
      <c r="BR87" s="88">
        <v>0</v>
      </c>
      <c r="BS87" s="37" t="s">
        <v>76</v>
      </c>
      <c r="BT87" s="13">
        <v>0</v>
      </c>
      <c r="BU87" s="93">
        <v>8.5669889576999996</v>
      </c>
      <c r="BV87" s="94">
        <v>2.09250863E-2</v>
      </c>
      <c r="BW87" s="93">
        <v>0.27280589199999999</v>
      </c>
      <c r="BX87" s="94">
        <v>8.9957130000000005E-4</v>
      </c>
      <c r="BY87" s="7" t="s">
        <v>76</v>
      </c>
      <c r="BZ87" s="13">
        <v>0</v>
      </c>
      <c r="CA87" s="7" t="s">
        <v>76</v>
      </c>
      <c r="CB87" s="13">
        <v>0</v>
      </c>
      <c r="CC87" s="93">
        <v>206.20993745999999</v>
      </c>
      <c r="CD87" s="94">
        <v>0.35354749369999999</v>
      </c>
      <c r="CE87" s="93">
        <v>1.7474088898</v>
      </c>
      <c r="CF87" s="94">
        <v>6.9147041999999999E-3</v>
      </c>
      <c r="CG87" s="7" t="s">
        <v>76</v>
      </c>
      <c r="CH87" s="13">
        <v>0</v>
      </c>
      <c r="CI87" s="7" t="s">
        <v>76</v>
      </c>
      <c r="CJ87" s="13">
        <v>0</v>
      </c>
      <c r="CK87" s="7" t="s">
        <v>76</v>
      </c>
      <c r="CL87" s="13">
        <v>0</v>
      </c>
      <c r="CM87" s="7" t="s">
        <v>76</v>
      </c>
      <c r="CN87" s="13">
        <v>0</v>
      </c>
      <c r="CO87" s="93">
        <v>2.6821887721</v>
      </c>
      <c r="CP87" s="94">
        <v>7.1749717000000003E-3</v>
      </c>
      <c r="CQ87" s="93">
        <v>4.4643647E-3</v>
      </c>
      <c r="CR87" s="94">
        <v>4.9404899999999999E-5</v>
      </c>
      <c r="CS87" s="93">
        <v>26.458784582</v>
      </c>
      <c r="CT87" s="94">
        <v>7.7819976700000001E-2</v>
      </c>
      <c r="CU87" s="93">
        <v>4.9558935599999999E-2</v>
      </c>
      <c r="CV87" s="94">
        <v>2.7851230000000001E-4</v>
      </c>
      <c r="CW87" s="6" t="s">
        <v>76</v>
      </c>
      <c r="CX87" s="13">
        <v>0</v>
      </c>
      <c r="CY87" s="7" t="s">
        <v>76</v>
      </c>
      <c r="CZ87" s="15">
        <v>0</v>
      </c>
      <c r="DA87" s="93">
        <v>99.188876828999994</v>
      </c>
      <c r="DB87" s="94">
        <v>0.35412522340000002</v>
      </c>
      <c r="DC87" s="93">
        <v>0.21768283299999999</v>
      </c>
      <c r="DD87" s="94">
        <v>1.3609698999999999E-3</v>
      </c>
      <c r="DE87" s="93">
        <v>196.67029067999999</v>
      </c>
      <c r="DF87" s="94">
        <v>0.27136762419999999</v>
      </c>
      <c r="DG87" s="93">
        <v>1.2532543338</v>
      </c>
      <c r="DH87" s="94">
        <v>4.9467605999999999E-3</v>
      </c>
      <c r="DI87" s="188">
        <v>4.5308870100000002E-2</v>
      </c>
      <c r="DJ87" s="189">
        <v>7.7165573799999998E-2</v>
      </c>
      <c r="DK87" s="189">
        <v>9.7825859900000006E-2</v>
      </c>
      <c r="DL87" s="189">
        <v>0.1125368724</v>
      </c>
      <c r="DM87" s="189">
        <v>0.12336198900000001</v>
      </c>
      <c r="DN87" s="189">
        <v>0.13263556479999999</v>
      </c>
      <c r="DO87" s="189">
        <v>0.1399917768</v>
      </c>
      <c r="DP87" s="189">
        <v>0.14661128700000001</v>
      </c>
      <c r="DQ87" s="189">
        <v>0.15224865300000001</v>
      </c>
      <c r="DR87" s="190">
        <v>0.1573263661</v>
      </c>
      <c r="DS87" s="112">
        <v>223.39611156000001</v>
      </c>
      <c r="DT87" s="13">
        <v>2.5034509838000001</v>
      </c>
      <c r="DU87" s="79">
        <v>177.70402321</v>
      </c>
      <c r="DV87" s="13">
        <v>1.9184850825999999</v>
      </c>
      <c r="DW87" s="79">
        <v>141.94199173000001</v>
      </c>
      <c r="DX87" s="13">
        <v>1.4787399752999999</v>
      </c>
      <c r="DY87" s="79">
        <v>114.39292614999999</v>
      </c>
      <c r="DZ87" s="13">
        <v>1.1518405044</v>
      </c>
      <c r="EA87" s="79">
        <v>93.348078435999994</v>
      </c>
      <c r="EB87" s="13">
        <v>0.90962806600000001</v>
      </c>
      <c r="EC87" s="79">
        <v>77.195164820000002</v>
      </c>
      <c r="ED87" s="13">
        <v>0.72807483200000001</v>
      </c>
      <c r="EE87" s="79">
        <v>64.727062938000003</v>
      </c>
      <c r="EF87" s="13">
        <v>0.59064379879999995</v>
      </c>
      <c r="EG87" s="79">
        <v>54.980425803999999</v>
      </c>
      <c r="EH87" s="13">
        <v>0.48527102700000002</v>
      </c>
      <c r="EI87" s="79">
        <v>47.282376810000002</v>
      </c>
      <c r="EJ87" s="13">
        <v>0.40305748209999998</v>
      </c>
      <c r="EK87" s="79">
        <v>41.084316014999999</v>
      </c>
      <c r="EL87" s="15">
        <v>0.33813111810000002</v>
      </c>
      <c r="EM87" s="79"/>
      <c r="EN87" s="13"/>
      <c r="EO87" s="79"/>
      <c r="EP87" s="13"/>
      <c r="EQ87" s="79"/>
      <c r="ER87" s="13"/>
      <c r="ES87" s="79"/>
      <c r="ET87" s="13"/>
      <c r="EU87" s="79"/>
      <c r="EV87" s="15"/>
    </row>
    <row r="88" spans="1:152" x14ac:dyDescent="0.2">
      <c r="A88" s="20" t="s">
        <v>17</v>
      </c>
      <c r="B88" s="95">
        <v>7</v>
      </c>
      <c r="C88" s="84">
        <v>5659.7385065999997</v>
      </c>
      <c r="D88" s="96">
        <v>2883518.8231000002</v>
      </c>
      <c r="E88" s="96">
        <v>518.65442401999996</v>
      </c>
      <c r="F88" s="97">
        <v>0.2053940407</v>
      </c>
      <c r="G88" s="84">
        <v>1069.2161983000001</v>
      </c>
      <c r="H88" s="97">
        <v>5.8870715099999998E-2</v>
      </c>
      <c r="I88" s="96">
        <v>384.24061330000001</v>
      </c>
      <c r="J88" s="97">
        <v>3.2558663203</v>
      </c>
      <c r="K88" s="96">
        <v>1002.2159222</v>
      </c>
      <c r="L88" s="97">
        <v>4.4319470542000001</v>
      </c>
      <c r="M88" s="96">
        <v>12.142765576</v>
      </c>
      <c r="N88" s="97">
        <v>2.9667078699999998E-2</v>
      </c>
      <c r="O88" s="38">
        <v>0</v>
      </c>
      <c r="P88" s="14">
        <v>0</v>
      </c>
      <c r="Q88" s="96">
        <v>217.16968044000001</v>
      </c>
      <c r="R88" s="97">
        <v>0.36454028119999998</v>
      </c>
      <c r="S88" s="38" t="s">
        <v>76</v>
      </c>
      <c r="T88" s="14">
        <v>0</v>
      </c>
      <c r="U88" s="38" t="s">
        <v>76</v>
      </c>
      <c r="V88" s="14">
        <v>0</v>
      </c>
      <c r="W88" s="96">
        <v>3.1396720747</v>
      </c>
      <c r="X88" s="97">
        <v>8.5013907E-3</v>
      </c>
      <c r="Y88" s="96">
        <v>31.834006380000002</v>
      </c>
      <c r="Z88" s="97">
        <v>6.8275519999999998E-3</v>
      </c>
      <c r="AA88" s="38" t="s">
        <v>76</v>
      </c>
      <c r="AB88" s="14">
        <v>0</v>
      </c>
      <c r="AC88" s="96">
        <v>3.2438720000000001E-3</v>
      </c>
      <c r="AD88" s="97">
        <v>1.12598E-5</v>
      </c>
      <c r="AE88" s="38" t="s">
        <v>76</v>
      </c>
      <c r="AF88" s="14">
        <v>0</v>
      </c>
      <c r="AG88" s="38" t="s">
        <v>76</v>
      </c>
      <c r="AH88" s="14">
        <v>0</v>
      </c>
      <c r="AI88" s="96">
        <v>3.2438720000000001E-3</v>
      </c>
      <c r="AJ88" s="97">
        <v>1.12598E-5</v>
      </c>
      <c r="AK88" s="96">
        <v>392.02325360999998</v>
      </c>
      <c r="AL88" s="97">
        <v>2.0272308636999998</v>
      </c>
      <c r="AM88" s="38" t="s">
        <v>76</v>
      </c>
      <c r="AN88" s="14">
        <v>0</v>
      </c>
      <c r="AO88" s="38" t="s">
        <v>76</v>
      </c>
      <c r="AP88" s="14">
        <v>0</v>
      </c>
      <c r="AQ88" s="38" t="s">
        <v>76</v>
      </c>
      <c r="AR88" s="14">
        <v>0</v>
      </c>
      <c r="AS88" s="96">
        <v>124.98363209</v>
      </c>
      <c r="AT88" s="97">
        <v>0.94873272880000004</v>
      </c>
      <c r="AU88" s="96">
        <v>83.556371358000007</v>
      </c>
      <c r="AV88" s="97">
        <v>0.40209950589999999</v>
      </c>
      <c r="AW88" s="96">
        <v>58.258590531000003</v>
      </c>
      <c r="AX88" s="97">
        <v>0.2114489984</v>
      </c>
      <c r="AY88" s="96">
        <v>11.219659825000001</v>
      </c>
      <c r="AZ88" s="97">
        <v>5.0264672900000001E-2</v>
      </c>
      <c r="BA88" s="80">
        <v>14.078121002</v>
      </c>
      <c r="BB88" s="14">
        <v>0.1403858345</v>
      </c>
      <c r="BC88" s="96">
        <v>0</v>
      </c>
      <c r="BD88" s="87">
        <v>0</v>
      </c>
      <c r="BE88" s="96">
        <v>480.81569932999997</v>
      </c>
      <c r="BF88" s="97">
        <v>0.5707499747</v>
      </c>
      <c r="BG88" s="97">
        <v>0.34977466000000002</v>
      </c>
      <c r="BH88" s="87">
        <v>0</v>
      </c>
      <c r="BI88" s="96">
        <v>263.73384636999998</v>
      </c>
      <c r="BJ88" s="97">
        <v>6.3991107511000003</v>
      </c>
      <c r="BK88" s="96">
        <v>494.42418275</v>
      </c>
      <c r="BL88" s="97">
        <v>2.2857400049000001</v>
      </c>
      <c r="BM88" s="96">
        <v>308.9884563</v>
      </c>
      <c r="BN88" s="97">
        <v>1.0721452917000001</v>
      </c>
      <c r="BO88" s="96">
        <v>201.66758652999999</v>
      </c>
      <c r="BP88" s="97">
        <v>0.1409333794</v>
      </c>
      <c r="BQ88" s="96">
        <v>0</v>
      </c>
      <c r="BR88" s="89">
        <v>0</v>
      </c>
      <c r="BS88" s="38" t="s">
        <v>76</v>
      </c>
      <c r="BT88" s="14">
        <v>0</v>
      </c>
      <c r="BU88" s="96">
        <v>8.5669288288000001</v>
      </c>
      <c r="BV88" s="97">
        <v>2.0924962299999999E-2</v>
      </c>
      <c r="BW88" s="96">
        <v>0.27280185099999998</v>
      </c>
      <c r="BX88" s="97">
        <v>8.9955760000000004E-4</v>
      </c>
      <c r="BY88" s="104" t="s">
        <v>76</v>
      </c>
      <c r="BZ88" s="14">
        <v>0</v>
      </c>
      <c r="CA88" s="104" t="s">
        <v>76</v>
      </c>
      <c r="CB88" s="14">
        <v>0</v>
      </c>
      <c r="CC88" s="96">
        <v>206.21048449</v>
      </c>
      <c r="CD88" s="97">
        <v>0.35354702900000001</v>
      </c>
      <c r="CE88" s="96">
        <v>1.7473985175</v>
      </c>
      <c r="CF88" s="97">
        <v>6.9146625E-3</v>
      </c>
      <c r="CG88" s="104" t="s">
        <v>76</v>
      </c>
      <c r="CH88" s="14">
        <v>0</v>
      </c>
      <c r="CI88" s="104" t="s">
        <v>76</v>
      </c>
      <c r="CJ88" s="14">
        <v>0</v>
      </c>
      <c r="CK88" s="104" t="s">
        <v>76</v>
      </c>
      <c r="CL88" s="14">
        <v>0</v>
      </c>
      <c r="CM88" s="104" t="s">
        <v>76</v>
      </c>
      <c r="CN88" s="14">
        <v>0</v>
      </c>
      <c r="CO88" s="96">
        <v>2.6821727955000001</v>
      </c>
      <c r="CP88" s="97">
        <v>7.1749402000000004E-3</v>
      </c>
      <c r="CQ88" s="96">
        <v>4.4643473000000001E-3</v>
      </c>
      <c r="CR88" s="97">
        <v>4.9404699999999998E-5</v>
      </c>
      <c r="CS88" s="96">
        <v>26.458748444000001</v>
      </c>
      <c r="CT88" s="97">
        <v>7.7820131900000006E-2</v>
      </c>
      <c r="CU88" s="96">
        <v>4.9558619599999999E-2</v>
      </c>
      <c r="CV88" s="97">
        <v>2.7851040000000002E-4</v>
      </c>
      <c r="CW88" s="103" t="s">
        <v>76</v>
      </c>
      <c r="CX88" s="14">
        <v>0</v>
      </c>
      <c r="CY88" s="104" t="s">
        <v>76</v>
      </c>
      <c r="CZ88" s="16">
        <v>0</v>
      </c>
      <c r="DA88" s="96">
        <v>99.189920776999998</v>
      </c>
      <c r="DB88" s="97">
        <v>0.35412781910000002</v>
      </c>
      <c r="DC88" s="96">
        <v>0.21767922570000001</v>
      </c>
      <c r="DD88" s="97">
        <v>1.3609509E-3</v>
      </c>
      <c r="DE88" s="96">
        <v>196.69138604</v>
      </c>
      <c r="DF88" s="97">
        <v>0.27140004130000001</v>
      </c>
      <c r="DG88" s="96">
        <v>1.2534371733</v>
      </c>
      <c r="DH88" s="97">
        <v>4.9475934000000003E-3</v>
      </c>
      <c r="DI88" s="191">
        <v>4.5313249600000001E-2</v>
      </c>
      <c r="DJ88" s="192">
        <v>7.7174398599999999E-2</v>
      </c>
      <c r="DK88" s="192">
        <v>9.7839181400000003E-2</v>
      </c>
      <c r="DL88" s="192">
        <v>0.1125547192</v>
      </c>
      <c r="DM88" s="192">
        <v>0.12338438190000001</v>
      </c>
      <c r="DN88" s="192">
        <v>0.13266251139999999</v>
      </c>
      <c r="DO88" s="192">
        <v>0.14002328680000001</v>
      </c>
      <c r="DP88" s="192">
        <v>0.146647364</v>
      </c>
      <c r="DQ88" s="192">
        <v>0.15228930260000001</v>
      </c>
      <c r="DR88" s="193">
        <v>0.15737159119999999</v>
      </c>
      <c r="DS88" s="194">
        <v>223.62342710999999</v>
      </c>
      <c r="DT88" s="14">
        <v>2.5037207921000002</v>
      </c>
      <c r="DU88" s="80">
        <v>177.92760785999999</v>
      </c>
      <c r="DV88" s="14">
        <v>1.9187535911</v>
      </c>
      <c r="DW88" s="80">
        <v>142.16179704999999</v>
      </c>
      <c r="DX88" s="14">
        <v>1.4790064762999999</v>
      </c>
      <c r="DY88" s="80">
        <v>114.60891183</v>
      </c>
      <c r="DZ88" s="14">
        <v>1.1521044453</v>
      </c>
      <c r="EA88" s="80">
        <v>93.560212312000004</v>
      </c>
      <c r="EB88" s="14">
        <v>0.90988903249999997</v>
      </c>
      <c r="EC88" s="80">
        <v>77.403422516000006</v>
      </c>
      <c r="ED88" s="14">
        <v>0.72833252839999996</v>
      </c>
      <c r="EE88" s="80">
        <v>64.931426360000003</v>
      </c>
      <c r="EF88" s="14">
        <v>0.59089801190000002</v>
      </c>
      <c r="EG88" s="80">
        <v>55.180881954</v>
      </c>
      <c r="EH88" s="14">
        <v>0.4855216061</v>
      </c>
      <c r="EI88" s="80">
        <v>47.478916007999999</v>
      </c>
      <c r="EJ88" s="14">
        <v>0.4033043181</v>
      </c>
      <c r="EK88" s="80">
        <v>41.27693086</v>
      </c>
      <c r="EL88" s="16">
        <v>0.3383741301</v>
      </c>
      <c r="EM88" s="80"/>
      <c r="EN88" s="14"/>
      <c r="EO88" s="80"/>
      <c r="EP88" s="14"/>
      <c r="EQ88" s="80"/>
      <c r="ER88" s="14"/>
      <c r="ES88" s="80"/>
      <c r="ET88" s="14"/>
      <c r="EU88" s="80"/>
      <c r="EV88" s="16"/>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B1:H330"/>
  <sheetViews>
    <sheetView workbookViewId="0">
      <selection activeCell="F73" sqref="F73"/>
    </sheetView>
  </sheetViews>
  <sheetFormatPr baseColWidth="10" defaultColWidth="8.83203125" defaultRowHeight="15" x14ac:dyDescent="0.2"/>
  <cols>
    <col min="1" max="1" width="8.83203125" style="1"/>
    <col min="2" max="2" width="17.6640625" style="1" bestFit="1" customWidth="1"/>
    <col min="3" max="3" width="18.33203125" style="1" customWidth="1"/>
    <col min="4" max="4" width="9.83203125" style="1" customWidth="1"/>
    <col min="5" max="5" width="9.1640625" style="1" customWidth="1"/>
    <col min="6" max="7" width="19.83203125" style="1" customWidth="1"/>
    <col min="8" max="16384" width="8.83203125" style="1"/>
  </cols>
  <sheetData>
    <row r="1" spans="2:8" x14ac:dyDescent="0.2">
      <c r="B1" s="967" t="s">
        <v>121</v>
      </c>
      <c r="C1" s="969"/>
      <c r="F1" s="967" t="s">
        <v>122</v>
      </c>
      <c r="G1" s="969"/>
    </row>
    <row r="2" spans="2:8" x14ac:dyDescent="0.2">
      <c r="B2" s="4" t="s">
        <v>114</v>
      </c>
      <c r="C2" s="58"/>
      <c r="F2" s="4" t="s">
        <v>114</v>
      </c>
      <c r="G2" s="58"/>
    </row>
    <row r="3" spans="2:8" x14ac:dyDescent="0.2">
      <c r="B3" s="4" t="s">
        <v>112</v>
      </c>
      <c r="C3" s="58"/>
      <c r="F3" s="4" t="s">
        <v>112</v>
      </c>
      <c r="G3" s="58"/>
    </row>
    <row r="4" spans="2:8" x14ac:dyDescent="0.2">
      <c r="B4" s="4" t="s">
        <v>113</v>
      </c>
      <c r="C4" s="59"/>
      <c r="F4" s="4" t="s">
        <v>113</v>
      </c>
      <c r="G4" s="73"/>
    </row>
    <row r="5" spans="2:8" x14ac:dyDescent="0.2">
      <c r="B5" s="4" t="s">
        <v>115</v>
      </c>
      <c r="C5" s="58"/>
      <c r="F5" s="4" t="s">
        <v>115</v>
      </c>
      <c r="G5" s="60"/>
    </row>
    <row r="6" spans="2:8" x14ac:dyDescent="0.2">
      <c r="B6" s="4" t="s">
        <v>116</v>
      </c>
      <c r="C6" s="58"/>
      <c r="F6" s="4" t="s">
        <v>116</v>
      </c>
      <c r="G6" s="60"/>
    </row>
    <row r="7" spans="2:8" x14ac:dyDescent="0.2">
      <c r="B7" s="5" t="s">
        <v>117</v>
      </c>
      <c r="C7" s="61"/>
      <c r="F7" s="5" t="s">
        <v>117</v>
      </c>
      <c r="G7" s="61"/>
    </row>
    <row r="9" spans="2:8" x14ac:dyDescent="0.2">
      <c r="B9" s="66" t="s">
        <v>118</v>
      </c>
      <c r="C9" s="66" t="s">
        <v>120</v>
      </c>
      <c r="D9" s="63" t="s">
        <v>119</v>
      </c>
      <c r="F9" s="67" t="s">
        <v>118</v>
      </c>
      <c r="G9" s="63" t="s">
        <v>123</v>
      </c>
      <c r="H9" s="68" t="s">
        <v>119</v>
      </c>
    </row>
    <row r="10" spans="2:8" x14ac:dyDescent="0.2">
      <c r="B10" s="8"/>
      <c r="C10" s="69"/>
      <c r="D10" s="64"/>
      <c r="F10" s="8"/>
      <c r="G10" s="71"/>
      <c r="H10" s="74"/>
    </row>
    <row r="11" spans="2:8" x14ac:dyDescent="0.2">
      <c r="B11" s="8"/>
      <c r="C11" s="69"/>
      <c r="D11" s="64"/>
      <c r="F11" s="8"/>
      <c r="G11" s="71"/>
      <c r="H11" s="74"/>
    </row>
    <row r="12" spans="2:8" x14ac:dyDescent="0.2">
      <c r="B12" s="8"/>
      <c r="C12" s="69"/>
      <c r="D12" s="64"/>
      <c r="F12" s="8"/>
      <c r="G12" s="71"/>
      <c r="H12" s="74"/>
    </row>
    <row r="13" spans="2:8" x14ac:dyDescent="0.2">
      <c r="B13" s="8"/>
      <c r="C13" s="69"/>
      <c r="D13" s="64"/>
      <c r="F13" s="8"/>
      <c r="G13" s="71"/>
      <c r="H13" s="74"/>
    </row>
    <row r="14" spans="2:8" x14ac:dyDescent="0.2">
      <c r="B14" s="8"/>
      <c r="C14" s="69"/>
      <c r="D14" s="64"/>
      <c r="F14" s="8"/>
      <c r="G14" s="71"/>
      <c r="H14" s="74"/>
    </row>
    <row r="15" spans="2:8" x14ac:dyDescent="0.2">
      <c r="B15" s="8"/>
      <c r="C15" s="69"/>
      <c r="D15" s="64"/>
      <c r="F15" s="8"/>
      <c r="G15" s="71"/>
      <c r="H15" s="74"/>
    </row>
    <row r="16" spans="2:8" x14ac:dyDescent="0.2">
      <c r="B16" s="8"/>
      <c r="C16" s="69"/>
      <c r="D16" s="64"/>
      <c r="F16" s="8"/>
      <c r="G16" s="71"/>
      <c r="H16" s="74"/>
    </row>
    <row r="17" spans="2:8" x14ac:dyDescent="0.2">
      <c r="B17" s="8"/>
      <c r="C17" s="69"/>
      <c r="D17" s="64"/>
      <c r="F17" s="8"/>
      <c r="G17" s="71"/>
      <c r="H17" s="74"/>
    </row>
    <row r="18" spans="2:8" x14ac:dyDescent="0.2">
      <c r="B18" s="8"/>
      <c r="C18" s="69"/>
      <c r="D18" s="64"/>
      <c r="F18" s="8"/>
      <c r="G18" s="71"/>
      <c r="H18" s="74"/>
    </row>
    <row r="19" spans="2:8" x14ac:dyDescent="0.2">
      <c r="B19" s="8"/>
      <c r="C19" s="69"/>
      <c r="D19" s="64"/>
      <c r="F19" s="8"/>
      <c r="G19" s="71"/>
      <c r="H19" s="74"/>
    </row>
    <row r="20" spans="2:8" x14ac:dyDescent="0.2">
      <c r="B20" s="8"/>
      <c r="C20" s="69"/>
      <c r="D20" s="64"/>
      <c r="F20" s="8"/>
      <c r="G20" s="71"/>
      <c r="H20" s="74"/>
    </row>
    <row r="21" spans="2:8" x14ac:dyDescent="0.2">
      <c r="B21" s="8"/>
      <c r="C21" s="69"/>
      <c r="D21" s="64"/>
      <c r="F21" s="8"/>
      <c r="G21" s="71"/>
      <c r="H21" s="74"/>
    </row>
    <row r="22" spans="2:8" x14ac:dyDescent="0.2">
      <c r="B22" s="8"/>
      <c r="C22" s="69"/>
      <c r="D22" s="64"/>
      <c r="F22" s="8"/>
      <c r="G22" s="71"/>
      <c r="H22" s="74"/>
    </row>
    <row r="23" spans="2:8" x14ac:dyDescent="0.2">
      <c r="B23" s="8"/>
      <c r="C23" s="69"/>
      <c r="D23" s="64"/>
      <c r="F23" s="8"/>
      <c r="G23" s="71"/>
      <c r="H23" s="74"/>
    </row>
    <row r="24" spans="2:8" x14ac:dyDescent="0.2">
      <c r="B24" s="8"/>
      <c r="C24" s="69"/>
      <c r="D24" s="64"/>
      <c r="F24" s="8"/>
      <c r="G24" s="71"/>
      <c r="H24" s="74"/>
    </row>
    <row r="25" spans="2:8" x14ac:dyDescent="0.2">
      <c r="B25" s="8"/>
      <c r="C25" s="69"/>
      <c r="D25" s="64"/>
      <c r="F25" s="8"/>
      <c r="G25" s="71"/>
      <c r="H25" s="74"/>
    </row>
    <row r="26" spans="2:8" x14ac:dyDescent="0.2">
      <c r="B26" s="8"/>
      <c r="C26" s="69"/>
      <c r="D26" s="64"/>
      <c r="F26" s="8"/>
      <c r="G26" s="71"/>
      <c r="H26" s="74"/>
    </row>
    <row r="27" spans="2:8" x14ac:dyDescent="0.2">
      <c r="B27" s="8"/>
      <c r="C27" s="69"/>
      <c r="D27" s="64"/>
      <c r="F27" s="8"/>
      <c r="G27" s="71"/>
      <c r="H27" s="74"/>
    </row>
    <row r="28" spans="2:8" x14ac:dyDescent="0.2">
      <c r="B28" s="8"/>
      <c r="C28" s="69"/>
      <c r="D28" s="64"/>
      <c r="F28" s="8"/>
      <c r="G28" s="71"/>
      <c r="H28" s="74"/>
    </row>
    <row r="29" spans="2:8" x14ac:dyDescent="0.2">
      <c r="B29" s="8"/>
      <c r="C29" s="69"/>
      <c r="D29" s="64"/>
      <c r="F29" s="8"/>
      <c r="G29" s="71"/>
      <c r="H29" s="74"/>
    </row>
    <row r="30" spans="2:8" x14ac:dyDescent="0.2">
      <c r="B30" s="8"/>
      <c r="C30" s="69"/>
      <c r="D30" s="64"/>
      <c r="F30" s="8"/>
      <c r="G30" s="71"/>
      <c r="H30" s="74"/>
    </row>
    <row r="31" spans="2:8" x14ac:dyDescent="0.2">
      <c r="B31" s="8"/>
      <c r="C31" s="69"/>
      <c r="D31" s="64"/>
      <c r="F31" s="8"/>
      <c r="G31" s="71"/>
      <c r="H31" s="74"/>
    </row>
    <row r="32" spans="2:8" x14ac:dyDescent="0.2">
      <c r="B32" s="8"/>
      <c r="C32" s="69"/>
      <c r="D32" s="64"/>
      <c r="F32" s="8"/>
      <c r="G32" s="71"/>
      <c r="H32" s="74"/>
    </row>
    <row r="33" spans="2:8" x14ac:dyDescent="0.2">
      <c r="B33" s="8"/>
      <c r="C33" s="69"/>
      <c r="D33" s="64"/>
      <c r="F33" s="8"/>
      <c r="G33" s="71"/>
      <c r="H33" s="74"/>
    </row>
    <row r="34" spans="2:8" x14ac:dyDescent="0.2">
      <c r="B34" s="8"/>
      <c r="C34" s="69"/>
      <c r="D34" s="64"/>
      <c r="F34" s="8"/>
      <c r="G34" s="71"/>
      <c r="H34" s="74"/>
    </row>
    <row r="35" spans="2:8" x14ac:dyDescent="0.2">
      <c r="B35" s="8"/>
      <c r="C35" s="69"/>
      <c r="D35" s="64"/>
      <c r="F35" s="8"/>
      <c r="G35" s="71"/>
      <c r="H35" s="74"/>
    </row>
    <row r="36" spans="2:8" x14ac:dyDescent="0.2">
      <c r="B36" s="8"/>
      <c r="C36" s="69"/>
      <c r="D36" s="64"/>
      <c r="F36" s="8"/>
      <c r="G36" s="71"/>
      <c r="H36" s="74"/>
    </row>
    <row r="37" spans="2:8" x14ac:dyDescent="0.2">
      <c r="B37" s="8"/>
      <c r="C37" s="69"/>
      <c r="D37" s="64"/>
      <c r="F37" s="8"/>
      <c r="G37" s="71"/>
      <c r="H37" s="74"/>
    </row>
    <row r="38" spans="2:8" x14ac:dyDescent="0.2">
      <c r="B38" s="8"/>
      <c r="C38" s="69"/>
      <c r="D38" s="64"/>
      <c r="F38" s="8"/>
      <c r="G38" s="71"/>
      <c r="H38" s="74"/>
    </row>
    <row r="39" spans="2:8" x14ac:dyDescent="0.2">
      <c r="B39" s="8"/>
      <c r="C39" s="69"/>
      <c r="D39" s="64"/>
      <c r="F39" s="8"/>
      <c r="G39" s="71"/>
      <c r="H39" s="74"/>
    </row>
    <row r="40" spans="2:8" x14ac:dyDescent="0.2">
      <c r="B40" s="8"/>
      <c r="C40" s="69"/>
      <c r="D40" s="64"/>
      <c r="F40" s="8"/>
      <c r="G40" s="71"/>
      <c r="H40" s="74"/>
    </row>
    <row r="41" spans="2:8" x14ac:dyDescent="0.2">
      <c r="B41" s="8"/>
      <c r="C41" s="69"/>
      <c r="D41" s="64"/>
      <c r="F41" s="8"/>
      <c r="G41" s="71"/>
      <c r="H41" s="74"/>
    </row>
    <row r="42" spans="2:8" x14ac:dyDescent="0.2">
      <c r="B42" s="8"/>
      <c r="C42" s="69"/>
      <c r="D42" s="64"/>
      <c r="F42" s="8"/>
      <c r="G42" s="71"/>
      <c r="H42" s="74"/>
    </row>
    <row r="43" spans="2:8" x14ac:dyDescent="0.2">
      <c r="B43" s="8"/>
      <c r="C43" s="69"/>
      <c r="D43" s="64"/>
      <c r="F43" s="8"/>
      <c r="G43" s="71"/>
      <c r="H43" s="74"/>
    </row>
    <row r="44" spans="2:8" x14ac:dyDescent="0.2">
      <c r="B44" s="8"/>
      <c r="C44" s="69"/>
      <c r="D44" s="64"/>
      <c r="F44" s="8"/>
      <c r="G44" s="71"/>
      <c r="H44" s="74"/>
    </row>
    <row r="45" spans="2:8" x14ac:dyDescent="0.2">
      <c r="B45" s="8"/>
      <c r="C45" s="69"/>
      <c r="D45" s="64"/>
      <c r="F45" s="8"/>
      <c r="G45" s="71"/>
      <c r="H45" s="74"/>
    </row>
    <row r="46" spans="2:8" x14ac:dyDescent="0.2">
      <c r="B46" s="8"/>
      <c r="C46" s="69"/>
      <c r="D46" s="64"/>
      <c r="F46" s="8"/>
      <c r="G46" s="71"/>
      <c r="H46" s="74"/>
    </row>
    <row r="47" spans="2:8" x14ac:dyDescent="0.2">
      <c r="B47" s="8"/>
      <c r="C47" s="69"/>
      <c r="D47" s="64"/>
      <c r="F47" s="8"/>
      <c r="G47" s="71"/>
      <c r="H47" s="74"/>
    </row>
    <row r="48" spans="2:8" x14ac:dyDescent="0.2">
      <c r="B48" s="8"/>
      <c r="C48" s="69"/>
      <c r="D48" s="64"/>
      <c r="F48" s="8"/>
      <c r="G48" s="71"/>
      <c r="H48" s="74"/>
    </row>
    <row r="49" spans="2:8" x14ac:dyDescent="0.2">
      <c r="B49" s="8"/>
      <c r="C49" s="69"/>
      <c r="D49" s="64"/>
      <c r="F49" s="8"/>
      <c r="G49" s="71"/>
      <c r="H49" s="74"/>
    </row>
    <row r="50" spans="2:8" x14ac:dyDescent="0.2">
      <c r="B50" s="8"/>
      <c r="C50" s="69"/>
      <c r="D50" s="64"/>
      <c r="F50" s="8"/>
      <c r="G50" s="71"/>
      <c r="H50" s="74"/>
    </row>
    <row r="51" spans="2:8" x14ac:dyDescent="0.2">
      <c r="B51" s="8"/>
      <c r="C51" s="69"/>
      <c r="D51" s="64"/>
      <c r="F51" s="8"/>
      <c r="G51" s="71"/>
      <c r="H51" s="74"/>
    </row>
    <row r="52" spans="2:8" x14ac:dyDescent="0.2">
      <c r="B52" s="8"/>
      <c r="C52" s="69"/>
      <c r="D52" s="64"/>
      <c r="F52" s="8"/>
      <c r="G52" s="71"/>
      <c r="H52" s="74"/>
    </row>
    <row r="53" spans="2:8" x14ac:dyDescent="0.2">
      <c r="B53" s="8"/>
      <c r="C53" s="69"/>
      <c r="D53" s="64"/>
      <c r="F53" s="8"/>
      <c r="G53" s="71"/>
      <c r="H53" s="74"/>
    </row>
    <row r="54" spans="2:8" x14ac:dyDescent="0.2">
      <c r="B54" s="8"/>
      <c r="C54" s="69"/>
      <c r="D54" s="64"/>
      <c r="F54" s="8"/>
      <c r="G54" s="71"/>
      <c r="H54" s="74"/>
    </row>
    <row r="55" spans="2:8" x14ac:dyDescent="0.2">
      <c r="B55" s="8"/>
      <c r="C55" s="69"/>
      <c r="D55" s="64"/>
      <c r="F55" s="8"/>
      <c r="G55" s="71"/>
      <c r="H55" s="74"/>
    </row>
    <row r="56" spans="2:8" x14ac:dyDescent="0.2">
      <c r="B56" s="8"/>
      <c r="C56" s="69"/>
      <c r="D56" s="64"/>
      <c r="F56" s="8"/>
      <c r="G56" s="71"/>
      <c r="H56" s="74"/>
    </row>
    <row r="57" spans="2:8" x14ac:dyDescent="0.2">
      <c r="B57" s="8"/>
      <c r="C57" s="69"/>
      <c r="D57" s="64"/>
      <c r="F57" s="8"/>
      <c r="G57" s="71"/>
      <c r="H57" s="74"/>
    </row>
    <row r="58" spans="2:8" x14ac:dyDescent="0.2">
      <c r="B58" s="8"/>
      <c r="C58" s="69"/>
      <c r="D58" s="64"/>
      <c r="F58" s="8"/>
      <c r="G58" s="71"/>
      <c r="H58" s="74"/>
    </row>
    <row r="59" spans="2:8" x14ac:dyDescent="0.2">
      <c r="B59" s="8"/>
      <c r="C59" s="69"/>
      <c r="D59" s="64"/>
      <c r="F59" s="8"/>
      <c r="G59" s="71"/>
      <c r="H59" s="74"/>
    </row>
    <row r="60" spans="2:8" x14ac:dyDescent="0.2">
      <c r="B60" s="8"/>
      <c r="C60" s="69"/>
      <c r="D60" s="64"/>
      <c r="F60" s="8"/>
      <c r="G60" s="71"/>
      <c r="H60" s="74"/>
    </row>
    <row r="61" spans="2:8" x14ac:dyDescent="0.2">
      <c r="B61" s="8"/>
      <c r="C61" s="69"/>
      <c r="D61" s="64"/>
      <c r="F61" s="8"/>
      <c r="G61" s="71"/>
      <c r="H61" s="74"/>
    </row>
    <row r="62" spans="2:8" x14ac:dyDescent="0.2">
      <c r="B62" s="8"/>
      <c r="C62" s="69"/>
      <c r="D62" s="64"/>
      <c r="F62" s="8"/>
      <c r="G62" s="71"/>
      <c r="H62" s="74"/>
    </row>
    <row r="63" spans="2:8" x14ac:dyDescent="0.2">
      <c r="B63" s="8"/>
      <c r="C63" s="69"/>
      <c r="D63" s="64"/>
      <c r="F63" s="8"/>
      <c r="G63" s="71"/>
      <c r="H63" s="74"/>
    </row>
    <row r="64" spans="2:8" x14ac:dyDescent="0.2">
      <c r="B64" s="8"/>
      <c r="C64" s="69"/>
      <c r="D64" s="64"/>
      <c r="F64" s="8"/>
      <c r="G64" s="71"/>
      <c r="H64" s="74"/>
    </row>
    <row r="65" spans="2:8" x14ac:dyDescent="0.2">
      <c r="B65" s="8"/>
      <c r="C65" s="69"/>
      <c r="D65" s="64"/>
      <c r="F65" s="8"/>
      <c r="G65" s="71"/>
      <c r="H65" s="74"/>
    </row>
    <row r="66" spans="2:8" x14ac:dyDescent="0.2">
      <c r="B66" s="8"/>
      <c r="C66" s="69"/>
      <c r="D66" s="64"/>
      <c r="F66" s="8"/>
      <c r="G66" s="71"/>
      <c r="H66" s="74"/>
    </row>
    <row r="67" spans="2:8" x14ac:dyDescent="0.2">
      <c r="B67" s="8"/>
      <c r="C67" s="69"/>
      <c r="D67" s="64"/>
      <c r="F67" s="8"/>
      <c r="G67" s="71"/>
      <c r="H67" s="74"/>
    </row>
    <row r="68" spans="2:8" x14ac:dyDescent="0.2">
      <c r="B68" s="8"/>
      <c r="C68" s="69"/>
      <c r="D68" s="64"/>
      <c r="F68" s="8"/>
      <c r="G68" s="71"/>
      <c r="H68" s="74"/>
    </row>
    <row r="69" spans="2:8" x14ac:dyDescent="0.2">
      <c r="B69" s="8"/>
      <c r="C69" s="69"/>
      <c r="D69" s="64"/>
      <c r="F69" s="8"/>
      <c r="G69" s="71"/>
      <c r="H69" s="74"/>
    </row>
    <row r="70" spans="2:8" x14ac:dyDescent="0.2">
      <c r="B70" s="8"/>
      <c r="C70" s="69"/>
      <c r="D70" s="64"/>
      <c r="F70" s="8"/>
      <c r="G70" s="71"/>
      <c r="H70" s="74"/>
    </row>
    <row r="71" spans="2:8" x14ac:dyDescent="0.2">
      <c r="B71" s="8"/>
      <c r="C71" s="69"/>
      <c r="D71" s="64"/>
      <c r="F71" s="8"/>
      <c r="G71" s="71"/>
      <c r="H71" s="74"/>
    </row>
    <row r="72" spans="2:8" x14ac:dyDescent="0.2">
      <c r="B72" s="8"/>
      <c r="C72" s="69"/>
      <c r="D72" s="64"/>
      <c r="F72" s="8"/>
      <c r="G72" s="71"/>
      <c r="H72" s="74"/>
    </row>
    <row r="73" spans="2:8" x14ac:dyDescent="0.2">
      <c r="B73" s="8"/>
      <c r="C73" s="69"/>
      <c r="D73" s="64"/>
      <c r="F73" s="8"/>
      <c r="G73" s="71"/>
      <c r="H73" s="74"/>
    </row>
    <row r="74" spans="2:8" x14ac:dyDescent="0.2">
      <c r="B74" s="8"/>
      <c r="C74" s="69"/>
      <c r="D74" s="64"/>
      <c r="F74" s="8"/>
      <c r="G74" s="71"/>
      <c r="H74" s="74"/>
    </row>
    <row r="75" spans="2:8" x14ac:dyDescent="0.2">
      <c r="B75" s="8"/>
      <c r="C75" s="69"/>
      <c r="D75" s="64"/>
      <c r="F75" s="8"/>
      <c r="G75" s="71"/>
      <c r="H75" s="74"/>
    </row>
    <row r="76" spans="2:8" x14ac:dyDescent="0.2">
      <c r="B76" s="8"/>
      <c r="C76" s="69"/>
      <c r="D76" s="64"/>
      <c r="F76" s="8"/>
      <c r="G76" s="71"/>
      <c r="H76" s="74"/>
    </row>
    <row r="77" spans="2:8" x14ac:dyDescent="0.2">
      <c r="B77" s="8"/>
      <c r="C77" s="69"/>
      <c r="D77" s="64"/>
      <c r="F77" s="8"/>
      <c r="G77" s="71"/>
      <c r="H77" s="74"/>
    </row>
    <row r="78" spans="2:8" x14ac:dyDescent="0.2">
      <c r="B78" s="8"/>
      <c r="C78" s="69"/>
      <c r="D78" s="64"/>
      <c r="F78" s="8"/>
      <c r="G78" s="71"/>
      <c r="H78" s="74"/>
    </row>
    <row r="79" spans="2:8" x14ac:dyDescent="0.2">
      <c r="B79" s="8"/>
      <c r="C79" s="69"/>
      <c r="D79" s="64"/>
      <c r="F79" s="8"/>
      <c r="G79" s="71"/>
      <c r="H79" s="74"/>
    </row>
    <row r="80" spans="2:8" x14ac:dyDescent="0.2">
      <c r="B80" s="8"/>
      <c r="C80" s="69"/>
      <c r="D80" s="64"/>
      <c r="F80" s="8"/>
      <c r="G80" s="71"/>
      <c r="H80" s="74"/>
    </row>
    <row r="81" spans="2:8" x14ac:dyDescent="0.2">
      <c r="B81" s="8"/>
      <c r="C81" s="69"/>
      <c r="D81" s="64"/>
      <c r="F81" s="8"/>
      <c r="G81" s="71"/>
      <c r="H81" s="74"/>
    </row>
    <row r="82" spans="2:8" x14ac:dyDescent="0.2">
      <c r="B82" s="8"/>
      <c r="C82" s="69"/>
      <c r="D82" s="64"/>
      <c r="F82" s="8"/>
      <c r="G82" s="71"/>
      <c r="H82" s="74"/>
    </row>
    <row r="83" spans="2:8" x14ac:dyDescent="0.2">
      <c r="B83" s="8"/>
      <c r="C83" s="69"/>
      <c r="D83" s="64"/>
      <c r="F83" s="8"/>
      <c r="G83" s="71"/>
      <c r="H83" s="74"/>
    </row>
    <row r="84" spans="2:8" x14ac:dyDescent="0.2">
      <c r="B84" s="8"/>
      <c r="C84" s="69"/>
      <c r="D84" s="64"/>
      <c r="F84" s="8"/>
      <c r="G84" s="71"/>
      <c r="H84" s="74"/>
    </row>
    <row r="85" spans="2:8" x14ac:dyDescent="0.2">
      <c r="B85" s="8"/>
      <c r="C85" s="69"/>
      <c r="D85" s="64"/>
      <c r="F85" s="8"/>
      <c r="G85" s="71"/>
      <c r="H85" s="74"/>
    </row>
    <row r="86" spans="2:8" x14ac:dyDescent="0.2">
      <c r="B86" s="8"/>
      <c r="C86" s="69"/>
      <c r="D86" s="64"/>
      <c r="F86" s="8"/>
      <c r="G86" s="71"/>
      <c r="H86" s="74"/>
    </row>
    <row r="87" spans="2:8" x14ac:dyDescent="0.2">
      <c r="B87" s="8"/>
      <c r="C87" s="69"/>
      <c r="D87" s="64"/>
      <c r="F87" s="8"/>
      <c r="G87" s="71"/>
      <c r="H87" s="74"/>
    </row>
    <row r="88" spans="2:8" x14ac:dyDescent="0.2">
      <c r="B88" s="8"/>
      <c r="C88" s="69"/>
      <c r="D88" s="64"/>
      <c r="F88" s="8"/>
      <c r="G88" s="71"/>
      <c r="H88" s="74"/>
    </row>
    <row r="89" spans="2:8" x14ac:dyDescent="0.2">
      <c r="B89" s="8"/>
      <c r="C89" s="69"/>
      <c r="D89" s="64"/>
      <c r="F89" s="8"/>
      <c r="G89" s="71"/>
      <c r="H89" s="74"/>
    </row>
    <row r="90" spans="2:8" x14ac:dyDescent="0.2">
      <c r="B90" s="8"/>
      <c r="C90" s="69"/>
      <c r="D90" s="64"/>
      <c r="F90" s="8"/>
      <c r="G90" s="71"/>
      <c r="H90" s="74"/>
    </row>
    <row r="91" spans="2:8" x14ac:dyDescent="0.2">
      <c r="B91" s="8"/>
      <c r="C91" s="69"/>
      <c r="D91" s="64"/>
      <c r="F91" s="8"/>
      <c r="G91" s="71"/>
      <c r="H91" s="74"/>
    </row>
    <row r="92" spans="2:8" x14ac:dyDescent="0.2">
      <c r="B92" s="8"/>
      <c r="C92" s="69"/>
      <c r="D92" s="64"/>
      <c r="F92" s="8"/>
      <c r="G92" s="71"/>
      <c r="H92" s="74"/>
    </row>
    <row r="93" spans="2:8" x14ac:dyDescent="0.2">
      <c r="B93" s="8"/>
      <c r="C93" s="69"/>
      <c r="D93" s="64"/>
      <c r="F93" s="8"/>
      <c r="G93" s="71"/>
      <c r="H93" s="74"/>
    </row>
    <row r="94" spans="2:8" x14ac:dyDescent="0.2">
      <c r="B94" s="8"/>
      <c r="C94" s="69"/>
      <c r="D94" s="64"/>
      <c r="F94" s="8"/>
      <c r="G94" s="71"/>
      <c r="H94" s="74"/>
    </row>
    <row r="95" spans="2:8" x14ac:dyDescent="0.2">
      <c r="B95" s="8"/>
      <c r="C95" s="69"/>
      <c r="D95" s="64"/>
      <c r="F95" s="8"/>
      <c r="G95" s="71"/>
      <c r="H95" s="74"/>
    </row>
    <row r="96" spans="2:8" x14ac:dyDescent="0.2">
      <c r="B96" s="8"/>
      <c r="C96" s="69"/>
      <c r="D96" s="64"/>
      <c r="F96" s="8"/>
      <c r="G96" s="71"/>
      <c r="H96" s="74"/>
    </row>
    <row r="97" spans="2:8" x14ac:dyDescent="0.2">
      <c r="B97" s="8"/>
      <c r="C97" s="69"/>
      <c r="D97" s="64"/>
      <c r="F97" s="8"/>
      <c r="G97" s="71"/>
      <c r="H97" s="74"/>
    </row>
    <row r="98" spans="2:8" x14ac:dyDescent="0.2">
      <c r="B98" s="8"/>
      <c r="C98" s="69"/>
      <c r="D98" s="64"/>
      <c r="F98" s="8"/>
      <c r="G98" s="71"/>
      <c r="H98" s="74"/>
    </row>
    <row r="99" spans="2:8" x14ac:dyDescent="0.2">
      <c r="B99" s="8"/>
      <c r="C99" s="69"/>
      <c r="D99" s="64"/>
      <c r="F99" s="8"/>
      <c r="G99" s="71"/>
      <c r="H99" s="74"/>
    </row>
    <row r="100" spans="2:8" x14ac:dyDescent="0.2">
      <c r="B100" s="8"/>
      <c r="C100" s="69"/>
      <c r="D100" s="64"/>
      <c r="F100" s="8"/>
      <c r="G100" s="71"/>
      <c r="H100" s="74"/>
    </row>
    <row r="101" spans="2:8" x14ac:dyDescent="0.2">
      <c r="B101" s="8"/>
      <c r="C101" s="69"/>
      <c r="D101" s="64"/>
      <c r="F101" s="8"/>
      <c r="G101" s="71"/>
      <c r="H101" s="74"/>
    </row>
    <row r="102" spans="2:8" x14ac:dyDescent="0.2">
      <c r="B102" s="8"/>
      <c r="C102" s="69"/>
      <c r="D102" s="64"/>
      <c r="F102" s="8"/>
      <c r="G102" s="71"/>
      <c r="H102" s="74"/>
    </row>
    <row r="103" spans="2:8" x14ac:dyDescent="0.2">
      <c r="B103" s="8"/>
      <c r="C103" s="69"/>
      <c r="D103" s="64"/>
      <c r="F103" s="8"/>
      <c r="G103" s="71"/>
      <c r="H103" s="74"/>
    </row>
    <row r="104" spans="2:8" x14ac:dyDescent="0.2">
      <c r="B104" s="8"/>
      <c r="C104" s="69"/>
      <c r="D104" s="64"/>
      <c r="F104" s="8"/>
      <c r="G104" s="71"/>
      <c r="H104" s="74"/>
    </row>
    <row r="105" spans="2:8" x14ac:dyDescent="0.2">
      <c r="B105" s="8"/>
      <c r="C105" s="69"/>
      <c r="D105" s="64"/>
      <c r="F105" s="8"/>
      <c r="G105" s="71"/>
      <c r="H105" s="74"/>
    </row>
    <row r="106" spans="2:8" x14ac:dyDescent="0.2">
      <c r="B106" s="8"/>
      <c r="C106" s="69"/>
      <c r="D106" s="64"/>
      <c r="F106" s="8"/>
      <c r="G106" s="71"/>
      <c r="H106" s="74"/>
    </row>
    <row r="107" spans="2:8" x14ac:dyDescent="0.2">
      <c r="B107" s="8"/>
      <c r="C107" s="69"/>
      <c r="D107" s="64"/>
      <c r="F107" s="8"/>
      <c r="G107" s="71"/>
      <c r="H107" s="74"/>
    </row>
    <row r="108" spans="2:8" x14ac:dyDescent="0.2">
      <c r="B108" s="8"/>
      <c r="C108" s="69"/>
      <c r="D108" s="64"/>
      <c r="F108" s="8"/>
      <c r="G108" s="71"/>
      <c r="H108" s="74"/>
    </row>
    <row r="109" spans="2:8" x14ac:dyDescent="0.2">
      <c r="B109" s="8"/>
      <c r="C109" s="69"/>
      <c r="D109" s="64"/>
      <c r="F109" s="8"/>
      <c r="G109" s="71"/>
      <c r="H109" s="74"/>
    </row>
    <row r="110" spans="2:8" x14ac:dyDescent="0.2">
      <c r="B110" s="8"/>
      <c r="C110" s="69"/>
      <c r="D110" s="64"/>
      <c r="F110" s="8"/>
      <c r="G110" s="71"/>
      <c r="H110" s="74"/>
    </row>
    <row r="111" spans="2:8" x14ac:dyDescent="0.2">
      <c r="B111" s="8"/>
      <c r="C111" s="69"/>
      <c r="D111" s="64"/>
      <c r="F111" s="8"/>
      <c r="G111" s="71"/>
      <c r="H111" s="74"/>
    </row>
    <row r="112" spans="2:8" x14ac:dyDescent="0.2">
      <c r="B112" s="8"/>
      <c r="C112" s="69"/>
      <c r="D112" s="64"/>
      <c r="F112" s="8"/>
      <c r="G112" s="71"/>
      <c r="H112" s="74"/>
    </row>
    <row r="113" spans="2:8" x14ac:dyDescent="0.2">
      <c r="B113" s="8"/>
      <c r="C113" s="69"/>
      <c r="D113" s="64"/>
      <c r="F113" s="8"/>
      <c r="G113" s="71"/>
      <c r="H113" s="74"/>
    </row>
    <row r="114" spans="2:8" x14ac:dyDescent="0.2">
      <c r="B114" s="8"/>
      <c r="C114" s="69"/>
      <c r="D114" s="64"/>
      <c r="F114" s="8"/>
      <c r="G114" s="71"/>
      <c r="H114" s="74"/>
    </row>
    <row r="115" spans="2:8" x14ac:dyDescent="0.2">
      <c r="B115" s="8"/>
      <c r="C115" s="69"/>
      <c r="D115" s="64"/>
      <c r="F115" s="8"/>
      <c r="G115" s="71"/>
      <c r="H115" s="74"/>
    </row>
    <row r="116" spans="2:8" x14ac:dyDescent="0.2">
      <c r="B116" s="8"/>
      <c r="C116" s="69"/>
      <c r="D116" s="64"/>
      <c r="F116" s="8"/>
      <c r="G116" s="71"/>
      <c r="H116" s="74"/>
    </row>
    <row r="117" spans="2:8" x14ac:dyDescent="0.2">
      <c r="B117" s="8"/>
      <c r="C117" s="69"/>
      <c r="D117" s="64"/>
      <c r="F117" s="8"/>
      <c r="G117" s="71"/>
      <c r="H117" s="74"/>
    </row>
    <row r="118" spans="2:8" x14ac:dyDescent="0.2">
      <c r="B118" s="8"/>
      <c r="C118" s="69"/>
      <c r="D118" s="64"/>
      <c r="F118" s="8"/>
      <c r="G118" s="71"/>
      <c r="H118" s="74"/>
    </row>
    <row r="119" spans="2:8" x14ac:dyDescent="0.2">
      <c r="B119" s="8"/>
      <c r="C119" s="69"/>
      <c r="D119" s="64"/>
      <c r="F119" s="8"/>
      <c r="G119" s="71"/>
      <c r="H119" s="74"/>
    </row>
    <row r="120" spans="2:8" x14ac:dyDescent="0.2">
      <c r="B120" s="8"/>
      <c r="C120" s="69"/>
      <c r="D120" s="64"/>
      <c r="F120" s="8"/>
      <c r="G120" s="71"/>
      <c r="H120" s="74"/>
    </row>
    <row r="121" spans="2:8" x14ac:dyDescent="0.2">
      <c r="B121" s="8"/>
      <c r="C121" s="69"/>
      <c r="D121" s="64"/>
      <c r="F121" s="8"/>
      <c r="G121" s="71"/>
      <c r="H121" s="74"/>
    </row>
    <row r="122" spans="2:8" x14ac:dyDescent="0.2">
      <c r="B122" s="8"/>
      <c r="C122" s="69"/>
      <c r="D122" s="64"/>
      <c r="F122" s="8"/>
      <c r="G122" s="71"/>
      <c r="H122" s="74"/>
    </row>
    <row r="123" spans="2:8" x14ac:dyDescent="0.2">
      <c r="B123" s="8"/>
      <c r="C123" s="69"/>
      <c r="D123" s="64"/>
      <c r="F123" s="8"/>
      <c r="G123" s="71"/>
      <c r="H123" s="74"/>
    </row>
    <row r="124" spans="2:8" x14ac:dyDescent="0.2">
      <c r="B124" s="8"/>
      <c r="C124" s="69"/>
      <c r="D124" s="64"/>
      <c r="F124" s="8"/>
      <c r="G124" s="71"/>
      <c r="H124" s="74"/>
    </row>
    <row r="125" spans="2:8" x14ac:dyDescent="0.2">
      <c r="B125" s="8"/>
      <c r="C125" s="69"/>
      <c r="D125" s="64"/>
      <c r="F125" s="8"/>
      <c r="G125" s="71"/>
      <c r="H125" s="74"/>
    </row>
    <row r="126" spans="2:8" x14ac:dyDescent="0.2">
      <c r="B126" s="8"/>
      <c r="C126" s="69"/>
      <c r="D126" s="64"/>
      <c r="F126" s="8"/>
      <c r="G126" s="71"/>
      <c r="H126" s="74"/>
    </row>
    <row r="127" spans="2:8" x14ac:dyDescent="0.2">
      <c r="B127" s="8"/>
      <c r="C127" s="69"/>
      <c r="D127" s="64"/>
      <c r="F127" s="8"/>
      <c r="G127" s="71"/>
      <c r="H127" s="74"/>
    </row>
    <row r="128" spans="2:8" x14ac:dyDescent="0.2">
      <c r="B128" s="8"/>
      <c r="C128" s="69"/>
      <c r="D128" s="64"/>
      <c r="F128" s="8"/>
      <c r="G128" s="71"/>
      <c r="H128" s="74"/>
    </row>
    <row r="129" spans="2:8" x14ac:dyDescent="0.2">
      <c r="B129" s="8"/>
      <c r="C129" s="69"/>
      <c r="D129" s="64"/>
      <c r="F129" s="8"/>
      <c r="G129" s="71"/>
      <c r="H129" s="74"/>
    </row>
    <row r="130" spans="2:8" x14ac:dyDescent="0.2">
      <c r="B130" s="8"/>
      <c r="C130" s="69"/>
      <c r="D130" s="64"/>
      <c r="F130" s="8"/>
      <c r="G130" s="71"/>
      <c r="H130" s="74"/>
    </row>
    <row r="131" spans="2:8" x14ac:dyDescent="0.2">
      <c r="B131" s="8"/>
      <c r="C131" s="69"/>
      <c r="D131" s="64"/>
      <c r="F131" s="8"/>
      <c r="G131" s="71"/>
      <c r="H131" s="74"/>
    </row>
    <row r="132" spans="2:8" x14ac:dyDescent="0.2">
      <c r="B132" s="8"/>
      <c r="C132" s="69"/>
      <c r="D132" s="64"/>
      <c r="F132" s="8"/>
      <c r="G132" s="71"/>
      <c r="H132" s="74"/>
    </row>
    <row r="133" spans="2:8" x14ac:dyDescent="0.2">
      <c r="B133" s="8"/>
      <c r="C133" s="69"/>
      <c r="D133" s="64"/>
      <c r="F133" s="8"/>
      <c r="G133" s="71"/>
      <c r="H133" s="74"/>
    </row>
    <row r="134" spans="2:8" x14ac:dyDescent="0.2">
      <c r="B134" s="8"/>
      <c r="C134" s="69"/>
      <c r="D134" s="64"/>
      <c r="F134" s="8"/>
      <c r="G134" s="71"/>
      <c r="H134" s="74"/>
    </row>
    <row r="135" spans="2:8" x14ac:dyDescent="0.2">
      <c r="B135" s="8"/>
      <c r="C135" s="69"/>
      <c r="D135" s="64"/>
      <c r="F135" s="8"/>
      <c r="G135" s="71"/>
      <c r="H135" s="74"/>
    </row>
    <row r="136" spans="2:8" x14ac:dyDescent="0.2">
      <c r="B136" s="8"/>
      <c r="C136" s="69"/>
      <c r="D136" s="64"/>
      <c r="F136" s="8"/>
      <c r="G136" s="71"/>
      <c r="H136" s="74"/>
    </row>
    <row r="137" spans="2:8" x14ac:dyDescent="0.2">
      <c r="B137" s="8"/>
      <c r="C137" s="69"/>
      <c r="D137" s="64"/>
      <c r="F137" s="8"/>
      <c r="G137" s="71"/>
      <c r="H137" s="74"/>
    </row>
    <row r="138" spans="2:8" x14ac:dyDescent="0.2">
      <c r="B138" s="8"/>
      <c r="C138" s="69"/>
      <c r="D138" s="64"/>
      <c r="F138" s="8"/>
      <c r="G138" s="71"/>
      <c r="H138" s="74"/>
    </row>
    <row r="139" spans="2:8" x14ac:dyDescent="0.2">
      <c r="B139" s="8"/>
      <c r="C139" s="69"/>
      <c r="D139" s="64"/>
      <c r="F139" s="8"/>
      <c r="G139" s="71"/>
      <c r="H139" s="74"/>
    </row>
    <row r="140" spans="2:8" x14ac:dyDescent="0.2">
      <c r="B140" s="8"/>
      <c r="C140" s="69"/>
      <c r="D140" s="64"/>
      <c r="F140" s="8"/>
      <c r="G140" s="71"/>
      <c r="H140" s="74"/>
    </row>
    <row r="141" spans="2:8" x14ac:dyDescent="0.2">
      <c r="B141" s="8"/>
      <c r="C141" s="69"/>
      <c r="D141" s="64"/>
      <c r="F141" s="8"/>
      <c r="G141" s="71"/>
      <c r="H141" s="74"/>
    </row>
    <row r="142" spans="2:8" x14ac:dyDescent="0.2">
      <c r="B142" s="8"/>
      <c r="C142" s="69"/>
      <c r="D142" s="64"/>
      <c r="F142" s="8"/>
      <c r="G142" s="71"/>
      <c r="H142" s="74"/>
    </row>
    <row r="143" spans="2:8" x14ac:dyDescent="0.2">
      <c r="B143" s="8"/>
      <c r="C143" s="69"/>
      <c r="D143" s="64"/>
      <c r="F143" s="8"/>
      <c r="G143" s="71"/>
      <c r="H143" s="74"/>
    </row>
    <row r="144" spans="2:8" x14ac:dyDescent="0.2">
      <c r="B144" s="8"/>
      <c r="C144" s="69"/>
      <c r="D144" s="64"/>
      <c r="F144" s="8"/>
      <c r="G144" s="71"/>
      <c r="H144" s="74"/>
    </row>
    <row r="145" spans="2:8" x14ac:dyDescent="0.2">
      <c r="B145" s="8"/>
      <c r="C145" s="69"/>
      <c r="D145" s="64"/>
      <c r="F145" s="8"/>
      <c r="G145" s="71"/>
      <c r="H145" s="74"/>
    </row>
    <row r="146" spans="2:8" x14ac:dyDescent="0.2">
      <c r="B146" s="8"/>
      <c r="C146" s="69"/>
      <c r="D146" s="64"/>
      <c r="F146" s="8"/>
      <c r="G146" s="71"/>
      <c r="H146" s="74"/>
    </row>
    <row r="147" spans="2:8" x14ac:dyDescent="0.2">
      <c r="B147" s="8"/>
      <c r="C147" s="69"/>
      <c r="D147" s="64"/>
      <c r="F147" s="8"/>
      <c r="G147" s="71"/>
      <c r="H147" s="74"/>
    </row>
    <row r="148" spans="2:8" x14ac:dyDescent="0.2">
      <c r="B148" s="8"/>
      <c r="C148" s="69"/>
      <c r="D148" s="64"/>
      <c r="F148" s="8"/>
      <c r="G148" s="71"/>
      <c r="H148" s="74"/>
    </row>
    <row r="149" spans="2:8" x14ac:dyDescent="0.2">
      <c r="B149" s="8"/>
      <c r="C149" s="69"/>
      <c r="D149" s="64"/>
      <c r="F149" s="8"/>
      <c r="G149" s="71"/>
      <c r="H149" s="74"/>
    </row>
    <row r="150" spans="2:8" x14ac:dyDescent="0.2">
      <c r="B150" s="8"/>
      <c r="C150" s="69"/>
      <c r="D150" s="64"/>
      <c r="F150" s="8"/>
      <c r="G150" s="71"/>
      <c r="H150" s="74"/>
    </row>
    <row r="151" spans="2:8" x14ac:dyDescent="0.2">
      <c r="B151" s="8"/>
      <c r="C151" s="69"/>
      <c r="D151" s="64"/>
      <c r="F151" s="8"/>
      <c r="G151" s="71"/>
      <c r="H151" s="74"/>
    </row>
    <row r="152" spans="2:8" x14ac:dyDescent="0.2">
      <c r="B152" s="8"/>
      <c r="C152" s="69"/>
      <c r="D152" s="64"/>
      <c r="F152" s="8"/>
      <c r="G152" s="71"/>
      <c r="H152" s="74"/>
    </row>
    <row r="153" spans="2:8" x14ac:dyDescent="0.2">
      <c r="B153" s="8"/>
      <c r="C153" s="69"/>
      <c r="D153" s="64"/>
      <c r="F153" s="8"/>
      <c r="G153" s="71"/>
      <c r="H153" s="74"/>
    </row>
    <row r="154" spans="2:8" x14ac:dyDescent="0.2">
      <c r="B154" s="8"/>
      <c r="C154" s="69"/>
      <c r="D154" s="64"/>
      <c r="F154" s="8"/>
      <c r="G154" s="71"/>
      <c r="H154" s="74"/>
    </row>
    <row r="155" spans="2:8" x14ac:dyDescent="0.2">
      <c r="B155" s="8"/>
      <c r="C155" s="69"/>
      <c r="D155" s="64"/>
      <c r="F155" s="8"/>
      <c r="G155" s="71"/>
      <c r="H155" s="74"/>
    </row>
    <row r="156" spans="2:8" x14ac:dyDescent="0.2">
      <c r="B156" s="8"/>
      <c r="C156" s="69"/>
      <c r="D156" s="64"/>
      <c r="F156" s="8"/>
      <c r="G156" s="71"/>
      <c r="H156" s="74"/>
    </row>
    <row r="157" spans="2:8" x14ac:dyDescent="0.2">
      <c r="B157" s="8"/>
      <c r="C157" s="69"/>
      <c r="D157" s="64"/>
      <c r="F157" s="8"/>
      <c r="G157" s="71"/>
      <c r="H157" s="74"/>
    </row>
    <row r="158" spans="2:8" x14ac:dyDescent="0.2">
      <c r="B158" s="8"/>
      <c r="C158" s="69"/>
      <c r="D158" s="64"/>
      <c r="F158" s="8"/>
      <c r="G158" s="71"/>
      <c r="H158" s="74"/>
    </row>
    <row r="159" spans="2:8" x14ac:dyDescent="0.2">
      <c r="B159" s="8"/>
      <c r="C159" s="69"/>
      <c r="D159" s="64"/>
      <c r="F159" s="8"/>
      <c r="G159" s="71"/>
      <c r="H159" s="74"/>
    </row>
    <row r="160" spans="2:8" x14ac:dyDescent="0.2">
      <c r="B160" s="8"/>
      <c r="C160" s="69"/>
      <c r="D160" s="64"/>
      <c r="F160" s="8"/>
      <c r="G160" s="71"/>
      <c r="H160" s="74"/>
    </row>
    <row r="161" spans="2:8" x14ac:dyDescent="0.2">
      <c r="B161" s="8"/>
      <c r="C161" s="69"/>
      <c r="D161" s="64"/>
      <c r="F161" s="8"/>
      <c r="G161" s="71"/>
      <c r="H161" s="74"/>
    </row>
    <row r="162" spans="2:8" x14ac:dyDescent="0.2">
      <c r="B162" s="8"/>
      <c r="C162" s="69"/>
      <c r="D162" s="64"/>
      <c r="F162" s="8"/>
      <c r="G162" s="71"/>
      <c r="H162" s="74"/>
    </row>
    <row r="163" spans="2:8" x14ac:dyDescent="0.2">
      <c r="B163" s="8"/>
      <c r="C163" s="69"/>
      <c r="D163" s="64"/>
      <c r="F163" s="8"/>
      <c r="G163" s="71"/>
      <c r="H163" s="74"/>
    </row>
    <row r="164" spans="2:8" x14ac:dyDescent="0.2">
      <c r="B164" s="8"/>
      <c r="C164" s="69"/>
      <c r="D164" s="64"/>
      <c r="F164" s="8"/>
      <c r="G164" s="71"/>
      <c r="H164" s="74"/>
    </row>
    <row r="165" spans="2:8" x14ac:dyDescent="0.2">
      <c r="B165" s="8"/>
      <c r="C165" s="69"/>
      <c r="D165" s="64"/>
      <c r="F165" s="8"/>
      <c r="G165" s="71"/>
      <c r="H165" s="74"/>
    </row>
    <row r="166" spans="2:8" x14ac:dyDescent="0.2">
      <c r="B166" s="8"/>
      <c r="C166" s="69"/>
      <c r="D166" s="64"/>
      <c r="F166" s="8"/>
      <c r="G166" s="71"/>
      <c r="H166" s="74"/>
    </row>
    <row r="167" spans="2:8" x14ac:dyDescent="0.2">
      <c r="B167" s="8"/>
      <c r="C167" s="69"/>
      <c r="D167" s="64"/>
      <c r="F167" s="8"/>
      <c r="G167" s="71"/>
      <c r="H167" s="74"/>
    </row>
    <row r="168" spans="2:8" x14ac:dyDescent="0.2">
      <c r="B168" s="8"/>
      <c r="C168" s="69"/>
      <c r="D168" s="64"/>
      <c r="F168" s="8"/>
      <c r="G168" s="71"/>
      <c r="H168" s="74"/>
    </row>
    <row r="169" spans="2:8" x14ac:dyDescent="0.2">
      <c r="B169" s="8"/>
      <c r="C169" s="69"/>
      <c r="D169" s="64"/>
      <c r="F169" s="8"/>
      <c r="G169" s="71"/>
      <c r="H169" s="74"/>
    </row>
    <row r="170" spans="2:8" x14ac:dyDescent="0.2">
      <c r="B170" s="8"/>
      <c r="C170" s="69"/>
      <c r="D170" s="64"/>
      <c r="F170" s="8"/>
      <c r="G170" s="71"/>
      <c r="H170" s="74"/>
    </row>
    <row r="171" spans="2:8" x14ac:dyDescent="0.2">
      <c r="B171" s="8"/>
      <c r="C171" s="69"/>
      <c r="D171" s="64"/>
      <c r="F171" s="8"/>
      <c r="G171" s="71"/>
      <c r="H171" s="74"/>
    </row>
    <row r="172" spans="2:8" x14ac:dyDescent="0.2">
      <c r="B172" s="8"/>
      <c r="C172" s="69"/>
      <c r="D172" s="64"/>
      <c r="F172" s="8"/>
      <c r="G172" s="71"/>
      <c r="H172" s="74"/>
    </row>
    <row r="173" spans="2:8" x14ac:dyDescent="0.2">
      <c r="B173" s="8"/>
      <c r="C173" s="69"/>
      <c r="D173" s="64"/>
      <c r="F173" s="8"/>
      <c r="G173" s="71"/>
      <c r="H173" s="74"/>
    </row>
    <row r="174" spans="2:8" x14ac:dyDescent="0.2">
      <c r="B174" s="8"/>
      <c r="C174" s="69"/>
      <c r="D174" s="64"/>
      <c r="F174" s="8"/>
      <c r="G174" s="71"/>
      <c r="H174" s="74"/>
    </row>
    <row r="175" spans="2:8" x14ac:dyDescent="0.2">
      <c r="B175" s="8"/>
      <c r="C175" s="69"/>
      <c r="D175" s="64"/>
      <c r="F175" s="8"/>
      <c r="G175" s="71"/>
      <c r="H175" s="74"/>
    </row>
    <row r="176" spans="2:8" x14ac:dyDescent="0.2">
      <c r="B176" s="8"/>
      <c r="C176" s="69"/>
      <c r="D176" s="64"/>
      <c r="F176" s="8"/>
      <c r="G176" s="71"/>
      <c r="H176" s="74"/>
    </row>
    <row r="177" spans="2:8" x14ac:dyDescent="0.2">
      <c r="B177" s="8"/>
      <c r="C177" s="69"/>
      <c r="D177" s="64"/>
      <c r="F177" s="8"/>
      <c r="G177" s="71"/>
      <c r="H177" s="74"/>
    </row>
    <row r="178" spans="2:8" x14ac:dyDescent="0.2">
      <c r="B178" s="8"/>
      <c r="C178" s="69"/>
      <c r="D178" s="64"/>
      <c r="F178" s="8"/>
      <c r="G178" s="71"/>
      <c r="H178" s="74"/>
    </row>
    <row r="179" spans="2:8" x14ac:dyDescent="0.2">
      <c r="B179" s="8"/>
      <c r="C179" s="69"/>
      <c r="D179" s="64"/>
      <c r="F179" s="8"/>
      <c r="G179" s="71"/>
      <c r="H179" s="74"/>
    </row>
    <row r="180" spans="2:8" x14ac:dyDescent="0.2">
      <c r="B180" s="8"/>
      <c r="C180" s="69"/>
      <c r="D180" s="64"/>
      <c r="F180" s="8"/>
      <c r="G180" s="71"/>
      <c r="H180" s="74"/>
    </row>
    <row r="181" spans="2:8" x14ac:dyDescent="0.2">
      <c r="B181" s="8"/>
      <c r="C181" s="69"/>
      <c r="D181" s="64"/>
      <c r="F181" s="8"/>
      <c r="G181" s="71"/>
      <c r="H181" s="74"/>
    </row>
    <row r="182" spans="2:8" x14ac:dyDescent="0.2">
      <c r="B182" s="8"/>
      <c r="C182" s="69"/>
      <c r="D182" s="64"/>
      <c r="F182" s="8"/>
      <c r="G182" s="71"/>
      <c r="H182" s="74"/>
    </row>
    <row r="183" spans="2:8" x14ac:dyDescent="0.2">
      <c r="B183" s="8"/>
      <c r="C183" s="69"/>
      <c r="D183" s="64"/>
      <c r="F183" s="8"/>
      <c r="G183" s="71"/>
      <c r="H183" s="74"/>
    </row>
    <row r="184" spans="2:8" x14ac:dyDescent="0.2">
      <c r="B184" s="8"/>
      <c r="C184" s="69"/>
      <c r="D184" s="64"/>
      <c r="F184" s="8"/>
      <c r="G184" s="71"/>
      <c r="H184" s="74"/>
    </row>
    <row r="185" spans="2:8" x14ac:dyDescent="0.2">
      <c r="B185" s="8"/>
      <c r="C185" s="69"/>
      <c r="D185" s="64"/>
      <c r="F185" s="8"/>
      <c r="G185" s="71"/>
      <c r="H185" s="74"/>
    </row>
    <row r="186" spans="2:8" x14ac:dyDescent="0.2">
      <c r="B186" s="8"/>
      <c r="C186" s="69"/>
      <c r="D186" s="64"/>
      <c r="F186" s="8"/>
      <c r="G186" s="71"/>
      <c r="H186" s="74"/>
    </row>
    <row r="187" spans="2:8" x14ac:dyDescent="0.2">
      <c r="B187" s="8"/>
      <c r="C187" s="69"/>
      <c r="D187" s="64"/>
      <c r="F187" s="8"/>
      <c r="G187" s="71"/>
      <c r="H187" s="74"/>
    </row>
    <row r="188" spans="2:8" x14ac:dyDescent="0.2">
      <c r="B188" s="8"/>
      <c r="C188" s="69"/>
      <c r="D188" s="64"/>
      <c r="F188" s="8"/>
      <c r="G188" s="71"/>
      <c r="H188" s="74"/>
    </row>
    <row r="189" spans="2:8" x14ac:dyDescent="0.2">
      <c r="B189" s="8"/>
      <c r="C189" s="69"/>
      <c r="D189" s="64"/>
      <c r="F189" s="8"/>
      <c r="G189" s="71"/>
      <c r="H189" s="74"/>
    </row>
    <row r="190" spans="2:8" x14ac:dyDescent="0.2">
      <c r="B190" s="8"/>
      <c r="C190" s="69"/>
      <c r="D190" s="64"/>
      <c r="F190" s="8"/>
      <c r="G190" s="71"/>
      <c r="H190" s="74"/>
    </row>
    <row r="191" spans="2:8" x14ac:dyDescent="0.2">
      <c r="B191" s="8"/>
      <c r="C191" s="69"/>
      <c r="D191" s="64"/>
      <c r="F191" s="8"/>
      <c r="G191" s="71"/>
      <c r="H191" s="74"/>
    </row>
    <row r="192" spans="2:8" x14ac:dyDescent="0.2">
      <c r="B192" s="8"/>
      <c r="C192" s="69"/>
      <c r="D192" s="64"/>
      <c r="F192" s="8"/>
      <c r="G192" s="71"/>
      <c r="H192" s="74"/>
    </row>
    <row r="193" spans="2:8" x14ac:dyDescent="0.2">
      <c r="B193" s="8"/>
      <c r="C193" s="69"/>
      <c r="D193" s="64"/>
      <c r="F193" s="8"/>
      <c r="G193" s="71"/>
      <c r="H193" s="74"/>
    </row>
    <row r="194" spans="2:8" x14ac:dyDescent="0.2">
      <c r="B194" s="8"/>
      <c r="C194" s="69"/>
      <c r="D194" s="64"/>
      <c r="F194" s="8"/>
      <c r="G194" s="71"/>
      <c r="H194" s="74"/>
    </row>
    <row r="195" spans="2:8" x14ac:dyDescent="0.2">
      <c r="B195" s="8"/>
      <c r="C195" s="69"/>
      <c r="D195" s="64"/>
      <c r="F195" s="8"/>
      <c r="G195" s="71"/>
      <c r="H195" s="74"/>
    </row>
    <row r="196" spans="2:8" x14ac:dyDescent="0.2">
      <c r="B196" s="8"/>
      <c r="C196" s="69"/>
      <c r="D196" s="64"/>
      <c r="F196" s="8"/>
      <c r="G196" s="71"/>
      <c r="H196" s="74"/>
    </row>
    <row r="197" spans="2:8" x14ac:dyDescent="0.2">
      <c r="B197" s="8"/>
      <c r="C197" s="69"/>
      <c r="D197" s="64"/>
      <c r="F197" s="8"/>
      <c r="G197" s="71"/>
      <c r="H197" s="74"/>
    </row>
    <row r="198" spans="2:8" x14ac:dyDescent="0.2">
      <c r="B198" s="8"/>
      <c r="C198" s="69"/>
      <c r="D198" s="64"/>
      <c r="F198" s="8"/>
      <c r="G198" s="71"/>
      <c r="H198" s="74"/>
    </row>
    <row r="199" spans="2:8" x14ac:dyDescent="0.2">
      <c r="B199" s="8"/>
      <c r="C199" s="69"/>
      <c r="D199" s="64"/>
      <c r="F199" s="8"/>
      <c r="G199" s="71"/>
      <c r="H199" s="74"/>
    </row>
    <row r="200" spans="2:8" x14ac:dyDescent="0.2">
      <c r="B200" s="8"/>
      <c r="C200" s="69"/>
      <c r="D200" s="64"/>
      <c r="F200" s="8"/>
      <c r="G200" s="71"/>
      <c r="H200" s="74"/>
    </row>
    <row r="201" spans="2:8" x14ac:dyDescent="0.2">
      <c r="B201" s="8"/>
      <c r="C201" s="69"/>
      <c r="D201" s="64"/>
      <c r="F201" s="8"/>
      <c r="G201" s="71"/>
      <c r="H201" s="74"/>
    </row>
    <row r="202" spans="2:8" x14ac:dyDescent="0.2">
      <c r="B202" s="8"/>
      <c r="C202" s="69"/>
      <c r="D202" s="64"/>
      <c r="F202" s="8"/>
      <c r="G202" s="71"/>
      <c r="H202" s="74"/>
    </row>
    <row r="203" spans="2:8" x14ac:dyDescent="0.2">
      <c r="B203" s="8"/>
      <c r="C203" s="69"/>
      <c r="D203" s="64"/>
      <c r="F203" s="8"/>
      <c r="G203" s="71"/>
      <c r="H203" s="74"/>
    </row>
    <row r="204" spans="2:8" x14ac:dyDescent="0.2">
      <c r="B204" s="8"/>
      <c r="C204" s="69"/>
      <c r="D204" s="64"/>
      <c r="F204" s="8"/>
      <c r="G204" s="71"/>
      <c r="H204" s="74"/>
    </row>
    <row r="205" spans="2:8" x14ac:dyDescent="0.2">
      <c r="B205" s="8"/>
      <c r="C205" s="69"/>
      <c r="D205" s="64"/>
      <c r="F205" s="8"/>
      <c r="G205" s="71"/>
      <c r="H205" s="74"/>
    </row>
    <row r="206" spans="2:8" x14ac:dyDescent="0.2">
      <c r="B206" s="8"/>
      <c r="C206" s="69"/>
      <c r="D206" s="64"/>
      <c r="F206" s="8"/>
      <c r="G206" s="71"/>
      <c r="H206" s="74"/>
    </row>
    <row r="207" spans="2:8" x14ac:dyDescent="0.2">
      <c r="B207" s="8"/>
      <c r="C207" s="69"/>
      <c r="D207" s="64"/>
      <c r="F207" s="8"/>
      <c r="G207" s="71"/>
      <c r="H207" s="74"/>
    </row>
    <row r="208" spans="2:8" x14ac:dyDescent="0.2">
      <c r="B208" s="8"/>
      <c r="C208" s="69"/>
      <c r="D208" s="64"/>
      <c r="F208" s="8"/>
      <c r="G208" s="71"/>
      <c r="H208" s="74"/>
    </row>
    <row r="209" spans="2:8" x14ac:dyDescent="0.2">
      <c r="B209" s="8"/>
      <c r="C209" s="69"/>
      <c r="D209" s="64"/>
      <c r="F209" s="8"/>
      <c r="G209" s="71"/>
      <c r="H209" s="74"/>
    </row>
    <row r="210" spans="2:8" x14ac:dyDescent="0.2">
      <c r="B210" s="8"/>
      <c r="C210" s="69"/>
      <c r="D210" s="64"/>
      <c r="F210" s="8"/>
      <c r="G210" s="71"/>
      <c r="H210" s="74"/>
    </row>
    <row r="211" spans="2:8" x14ac:dyDescent="0.2">
      <c r="B211" s="8"/>
      <c r="C211" s="69"/>
      <c r="D211" s="64"/>
      <c r="F211" s="8"/>
      <c r="G211" s="71"/>
      <c r="H211" s="74"/>
    </row>
    <row r="212" spans="2:8" x14ac:dyDescent="0.2">
      <c r="B212" s="8"/>
      <c r="C212" s="69"/>
      <c r="D212" s="64"/>
      <c r="F212" s="8"/>
      <c r="G212" s="71"/>
      <c r="H212" s="74"/>
    </row>
    <row r="213" spans="2:8" x14ac:dyDescent="0.2">
      <c r="B213" s="8"/>
      <c r="C213" s="69"/>
      <c r="D213" s="64"/>
      <c r="F213" s="8"/>
      <c r="G213" s="71"/>
      <c r="H213" s="74"/>
    </row>
    <row r="214" spans="2:8" x14ac:dyDescent="0.2">
      <c r="B214" s="8"/>
      <c r="C214" s="69"/>
      <c r="D214" s="64"/>
      <c r="F214" s="8"/>
      <c r="G214" s="71"/>
      <c r="H214" s="74"/>
    </row>
    <row r="215" spans="2:8" x14ac:dyDescent="0.2">
      <c r="B215" s="8"/>
      <c r="C215" s="69"/>
      <c r="D215" s="64"/>
      <c r="F215" s="8"/>
      <c r="G215" s="71"/>
      <c r="H215" s="74"/>
    </row>
    <row r="216" spans="2:8" x14ac:dyDescent="0.2">
      <c r="B216" s="8"/>
      <c r="C216" s="69"/>
      <c r="D216" s="64"/>
      <c r="F216" s="8"/>
      <c r="G216" s="71"/>
      <c r="H216" s="74"/>
    </row>
    <row r="217" spans="2:8" x14ac:dyDescent="0.2">
      <c r="B217" s="8"/>
      <c r="C217" s="69"/>
      <c r="D217" s="64"/>
      <c r="F217" s="8"/>
      <c r="G217" s="71"/>
      <c r="H217" s="74"/>
    </row>
    <row r="218" spans="2:8" x14ac:dyDescent="0.2">
      <c r="B218" s="8"/>
      <c r="C218" s="69"/>
      <c r="D218" s="64"/>
      <c r="F218" s="8"/>
      <c r="G218" s="71"/>
      <c r="H218" s="74"/>
    </row>
    <row r="219" spans="2:8" x14ac:dyDescent="0.2">
      <c r="B219" s="8"/>
      <c r="C219" s="69"/>
      <c r="D219" s="64"/>
      <c r="F219" s="8"/>
      <c r="G219" s="71"/>
      <c r="H219" s="74"/>
    </row>
    <row r="220" spans="2:8" x14ac:dyDescent="0.2">
      <c r="B220" s="8"/>
      <c r="C220" s="69"/>
      <c r="D220" s="64"/>
      <c r="F220" s="8"/>
      <c r="G220" s="71"/>
      <c r="H220" s="74"/>
    </row>
    <row r="221" spans="2:8" x14ac:dyDescent="0.2">
      <c r="B221" s="8"/>
      <c r="C221" s="69"/>
      <c r="D221" s="64"/>
      <c r="F221" s="8"/>
      <c r="G221" s="71"/>
      <c r="H221" s="74"/>
    </row>
    <row r="222" spans="2:8" x14ac:dyDescent="0.2">
      <c r="B222" s="8"/>
      <c r="C222" s="69"/>
      <c r="D222" s="64"/>
      <c r="F222" s="8"/>
      <c r="G222" s="71"/>
      <c r="H222" s="74"/>
    </row>
    <row r="223" spans="2:8" x14ac:dyDescent="0.2">
      <c r="B223" s="8"/>
      <c r="C223" s="69"/>
      <c r="D223" s="64"/>
      <c r="F223" s="8"/>
      <c r="G223" s="71"/>
      <c r="H223" s="74"/>
    </row>
    <row r="224" spans="2:8" x14ac:dyDescent="0.2">
      <c r="B224" s="8"/>
      <c r="C224" s="69"/>
      <c r="D224" s="64"/>
      <c r="F224" s="8"/>
      <c r="G224" s="71"/>
      <c r="H224" s="74"/>
    </row>
    <row r="225" spans="2:8" x14ac:dyDescent="0.2">
      <c r="B225" s="8"/>
      <c r="C225" s="69"/>
      <c r="D225" s="64"/>
      <c r="F225" s="8"/>
      <c r="G225" s="71"/>
      <c r="H225" s="74"/>
    </row>
    <row r="226" spans="2:8" x14ac:dyDescent="0.2">
      <c r="B226" s="8"/>
      <c r="C226" s="69"/>
      <c r="D226" s="64"/>
      <c r="F226" s="8"/>
      <c r="G226" s="71"/>
      <c r="H226" s="74"/>
    </row>
    <row r="227" spans="2:8" x14ac:dyDescent="0.2">
      <c r="B227" s="8"/>
      <c r="C227" s="69"/>
      <c r="D227" s="64"/>
      <c r="F227" s="8"/>
      <c r="G227" s="71"/>
      <c r="H227" s="74"/>
    </row>
    <row r="228" spans="2:8" x14ac:dyDescent="0.2">
      <c r="B228" s="8"/>
      <c r="C228" s="69"/>
      <c r="D228" s="64"/>
      <c r="F228" s="8"/>
      <c r="G228" s="71"/>
      <c r="H228" s="74"/>
    </row>
    <row r="229" spans="2:8" x14ac:dyDescent="0.2">
      <c r="B229" s="8"/>
      <c r="C229" s="69"/>
      <c r="D229" s="64"/>
      <c r="F229" s="8"/>
      <c r="G229" s="71"/>
      <c r="H229" s="74"/>
    </row>
    <row r="230" spans="2:8" x14ac:dyDescent="0.2">
      <c r="B230" s="8"/>
      <c r="C230" s="69"/>
      <c r="D230" s="64"/>
      <c r="F230" s="8"/>
      <c r="G230" s="71"/>
      <c r="H230" s="74"/>
    </row>
    <row r="231" spans="2:8" x14ac:dyDescent="0.2">
      <c r="B231" s="8"/>
      <c r="C231" s="69"/>
      <c r="D231" s="64"/>
      <c r="F231" s="8"/>
      <c r="G231" s="71"/>
      <c r="H231" s="74"/>
    </row>
    <row r="232" spans="2:8" x14ac:dyDescent="0.2">
      <c r="B232" s="8"/>
      <c r="C232" s="69"/>
      <c r="D232" s="64"/>
      <c r="F232" s="8"/>
      <c r="G232" s="71"/>
      <c r="H232" s="74"/>
    </row>
    <row r="233" spans="2:8" x14ac:dyDescent="0.2">
      <c r="B233" s="8"/>
      <c r="C233" s="69"/>
      <c r="D233" s="64"/>
      <c r="F233" s="8"/>
      <c r="G233" s="71"/>
      <c r="H233" s="74"/>
    </row>
    <row r="234" spans="2:8" x14ac:dyDescent="0.2">
      <c r="B234" s="8"/>
      <c r="C234" s="69"/>
      <c r="D234" s="64"/>
      <c r="F234" s="8"/>
      <c r="G234" s="71"/>
      <c r="H234" s="74"/>
    </row>
    <row r="235" spans="2:8" x14ac:dyDescent="0.2">
      <c r="B235" s="8"/>
      <c r="C235" s="69"/>
      <c r="D235" s="64"/>
      <c r="F235" s="8"/>
      <c r="G235" s="71"/>
      <c r="H235" s="74"/>
    </row>
    <row r="236" spans="2:8" x14ac:dyDescent="0.2">
      <c r="B236" s="8"/>
      <c r="C236" s="69"/>
      <c r="D236" s="64"/>
      <c r="F236" s="8"/>
      <c r="G236" s="71"/>
      <c r="H236" s="74"/>
    </row>
    <row r="237" spans="2:8" x14ac:dyDescent="0.2">
      <c r="B237" s="8"/>
      <c r="C237" s="69"/>
      <c r="D237" s="64"/>
      <c r="F237" s="8"/>
      <c r="G237" s="71"/>
      <c r="H237" s="74"/>
    </row>
    <row r="238" spans="2:8" x14ac:dyDescent="0.2">
      <c r="B238" s="8"/>
      <c r="C238" s="69"/>
      <c r="D238" s="64"/>
      <c r="F238" s="8"/>
      <c r="G238" s="71"/>
      <c r="H238" s="74"/>
    </row>
    <row r="239" spans="2:8" x14ac:dyDescent="0.2">
      <c r="B239" s="8"/>
      <c r="C239" s="69"/>
      <c r="D239" s="64"/>
      <c r="F239" s="8"/>
      <c r="G239" s="71"/>
      <c r="H239" s="74"/>
    </row>
    <row r="240" spans="2:8" x14ac:dyDescent="0.2">
      <c r="B240" s="8"/>
      <c r="C240" s="69"/>
      <c r="D240" s="64"/>
      <c r="F240" s="8"/>
      <c r="G240" s="71"/>
      <c r="H240" s="74"/>
    </row>
    <row r="241" spans="2:8" x14ac:dyDescent="0.2">
      <c r="B241" s="8"/>
      <c r="C241" s="69"/>
      <c r="D241" s="64"/>
      <c r="F241" s="8"/>
      <c r="G241" s="71"/>
      <c r="H241" s="74"/>
    </row>
    <row r="242" spans="2:8" x14ac:dyDescent="0.2">
      <c r="B242" s="8"/>
      <c r="C242" s="69"/>
      <c r="D242" s="64"/>
      <c r="F242" s="8"/>
      <c r="G242" s="71"/>
      <c r="H242" s="74"/>
    </row>
    <row r="243" spans="2:8" x14ac:dyDescent="0.2">
      <c r="B243" s="8"/>
      <c r="C243" s="69"/>
      <c r="D243" s="64"/>
      <c r="F243" s="8"/>
      <c r="G243" s="71"/>
      <c r="H243" s="74"/>
    </row>
    <row r="244" spans="2:8" x14ac:dyDescent="0.2">
      <c r="B244" s="8"/>
      <c r="C244" s="69"/>
      <c r="D244" s="64"/>
      <c r="F244" s="8"/>
      <c r="G244" s="71"/>
      <c r="H244" s="74"/>
    </row>
    <row r="245" spans="2:8" x14ac:dyDescent="0.2">
      <c r="B245" s="8"/>
      <c r="C245" s="69"/>
      <c r="D245" s="64"/>
      <c r="F245" s="8"/>
      <c r="G245" s="71"/>
      <c r="H245" s="74"/>
    </row>
    <row r="246" spans="2:8" x14ac:dyDescent="0.2">
      <c r="B246" s="8"/>
      <c r="C246" s="69"/>
      <c r="D246" s="64"/>
      <c r="F246" s="8"/>
      <c r="G246" s="71"/>
      <c r="H246" s="74"/>
    </row>
    <row r="247" spans="2:8" x14ac:dyDescent="0.2">
      <c r="B247" s="8"/>
      <c r="C247" s="69"/>
      <c r="D247" s="64"/>
      <c r="F247" s="8"/>
      <c r="G247" s="71"/>
      <c r="H247" s="74"/>
    </row>
    <row r="248" spans="2:8" x14ac:dyDescent="0.2">
      <c r="B248" s="8"/>
      <c r="C248" s="69"/>
      <c r="D248" s="64"/>
      <c r="F248" s="8"/>
      <c r="G248" s="71"/>
      <c r="H248" s="74"/>
    </row>
    <row r="249" spans="2:8" x14ac:dyDescent="0.2">
      <c r="B249" s="8"/>
      <c r="C249" s="69"/>
      <c r="D249" s="64"/>
      <c r="F249" s="8"/>
      <c r="G249" s="71"/>
      <c r="H249" s="74"/>
    </row>
    <row r="250" spans="2:8" x14ac:dyDescent="0.2">
      <c r="B250" s="8"/>
      <c r="C250" s="69"/>
      <c r="D250" s="64"/>
      <c r="F250" s="8"/>
      <c r="G250" s="71"/>
      <c r="H250" s="74"/>
    </row>
    <row r="251" spans="2:8" x14ac:dyDescent="0.2">
      <c r="B251" s="8"/>
      <c r="C251" s="69"/>
      <c r="D251" s="64"/>
      <c r="F251" s="8"/>
      <c r="G251" s="71"/>
      <c r="H251" s="74"/>
    </row>
    <row r="252" spans="2:8" x14ac:dyDescent="0.2">
      <c r="B252" s="8"/>
      <c r="C252" s="69"/>
      <c r="D252" s="64"/>
      <c r="F252" s="8"/>
      <c r="G252" s="71"/>
      <c r="H252" s="74"/>
    </row>
    <row r="253" spans="2:8" x14ac:dyDescent="0.2">
      <c r="B253" s="8"/>
      <c r="C253" s="69"/>
      <c r="D253" s="64"/>
      <c r="F253" s="8"/>
      <c r="G253" s="71"/>
      <c r="H253" s="74"/>
    </row>
    <row r="254" spans="2:8" x14ac:dyDescent="0.2">
      <c r="B254" s="8"/>
      <c r="C254" s="69"/>
      <c r="D254" s="64"/>
      <c r="F254" s="8"/>
      <c r="G254" s="71"/>
      <c r="H254" s="74"/>
    </row>
    <row r="255" spans="2:8" x14ac:dyDescent="0.2">
      <c r="B255" s="8"/>
      <c r="C255" s="69"/>
      <c r="D255" s="64"/>
      <c r="F255" s="8"/>
      <c r="G255" s="71"/>
      <c r="H255" s="74"/>
    </row>
    <row r="256" spans="2:8" x14ac:dyDescent="0.2">
      <c r="B256" s="8"/>
      <c r="C256" s="69"/>
      <c r="D256" s="64"/>
      <c r="F256" s="8"/>
      <c r="G256" s="71"/>
      <c r="H256" s="74"/>
    </row>
    <row r="257" spans="2:8" x14ac:dyDescent="0.2">
      <c r="B257" s="8"/>
      <c r="C257" s="69"/>
      <c r="D257" s="64"/>
      <c r="F257" s="8"/>
      <c r="G257" s="71"/>
      <c r="H257" s="74"/>
    </row>
    <row r="258" spans="2:8" x14ac:dyDescent="0.2">
      <c r="B258" s="8"/>
      <c r="C258" s="69"/>
      <c r="D258" s="64"/>
      <c r="F258" s="8"/>
      <c r="G258" s="71"/>
      <c r="H258" s="74"/>
    </row>
    <row r="259" spans="2:8" x14ac:dyDescent="0.2">
      <c r="B259" s="8"/>
      <c r="C259" s="69"/>
      <c r="D259" s="64"/>
      <c r="F259" s="8"/>
      <c r="G259" s="71"/>
      <c r="H259" s="74"/>
    </row>
    <row r="260" spans="2:8" x14ac:dyDescent="0.2">
      <c r="B260" s="8"/>
      <c r="C260" s="69"/>
      <c r="D260" s="64"/>
      <c r="F260" s="8"/>
      <c r="G260" s="71"/>
      <c r="H260" s="74"/>
    </row>
    <row r="261" spans="2:8" x14ac:dyDescent="0.2">
      <c r="B261" s="8"/>
      <c r="C261" s="69"/>
      <c r="D261" s="64"/>
      <c r="F261" s="8"/>
      <c r="G261" s="71"/>
      <c r="H261" s="74"/>
    </row>
    <row r="262" spans="2:8" x14ac:dyDescent="0.2">
      <c r="B262" s="8"/>
      <c r="C262" s="69"/>
      <c r="D262" s="64"/>
      <c r="F262" s="8"/>
      <c r="G262" s="71"/>
      <c r="H262" s="74"/>
    </row>
    <row r="263" spans="2:8" x14ac:dyDescent="0.2">
      <c r="B263" s="8"/>
      <c r="C263" s="69"/>
      <c r="D263" s="64"/>
      <c r="F263" s="8"/>
      <c r="G263" s="71"/>
      <c r="H263" s="74"/>
    </row>
    <row r="264" spans="2:8" x14ac:dyDescent="0.2">
      <c r="B264" s="8"/>
      <c r="C264" s="69"/>
      <c r="D264" s="64"/>
      <c r="F264" s="8"/>
      <c r="G264" s="71"/>
      <c r="H264" s="74"/>
    </row>
    <row r="265" spans="2:8" x14ac:dyDescent="0.2">
      <c r="B265" s="8"/>
      <c r="C265" s="69"/>
      <c r="D265" s="64"/>
      <c r="F265" s="8"/>
      <c r="G265" s="71"/>
      <c r="H265" s="74"/>
    </row>
    <row r="266" spans="2:8" x14ac:dyDescent="0.2">
      <c r="B266" s="8"/>
      <c r="C266" s="69"/>
      <c r="D266" s="64"/>
      <c r="F266" s="8"/>
      <c r="G266" s="71"/>
      <c r="H266" s="74"/>
    </row>
    <row r="267" spans="2:8" x14ac:dyDescent="0.2">
      <c r="B267" s="8"/>
      <c r="C267" s="69"/>
      <c r="D267" s="64"/>
      <c r="F267" s="8"/>
      <c r="G267" s="71"/>
      <c r="H267" s="74"/>
    </row>
    <row r="268" spans="2:8" x14ac:dyDescent="0.2">
      <c r="B268" s="8"/>
      <c r="C268" s="69"/>
      <c r="D268" s="64"/>
      <c r="F268" s="8"/>
      <c r="G268" s="71"/>
      <c r="H268" s="74"/>
    </row>
    <row r="269" spans="2:8" x14ac:dyDescent="0.2">
      <c r="B269" s="8"/>
      <c r="C269" s="69"/>
      <c r="D269" s="64"/>
      <c r="F269" s="8"/>
      <c r="G269" s="71"/>
      <c r="H269" s="74"/>
    </row>
    <row r="270" spans="2:8" x14ac:dyDescent="0.2">
      <c r="B270" s="8"/>
      <c r="C270" s="69"/>
      <c r="D270" s="64"/>
      <c r="F270" s="8"/>
      <c r="G270" s="71"/>
      <c r="H270" s="74"/>
    </row>
    <row r="271" spans="2:8" x14ac:dyDescent="0.2">
      <c r="B271" s="8"/>
      <c r="C271" s="69"/>
      <c r="D271" s="64"/>
      <c r="F271" s="8"/>
      <c r="G271" s="71"/>
      <c r="H271" s="74"/>
    </row>
    <row r="272" spans="2:8" x14ac:dyDescent="0.2">
      <c r="B272" s="8"/>
      <c r="C272" s="69"/>
      <c r="D272" s="64"/>
      <c r="F272" s="8"/>
      <c r="G272" s="71"/>
      <c r="H272" s="74"/>
    </row>
    <row r="273" spans="2:8" x14ac:dyDescent="0.2">
      <c r="B273" s="8"/>
      <c r="C273" s="69"/>
      <c r="D273" s="64"/>
      <c r="F273" s="8"/>
      <c r="G273" s="71"/>
      <c r="H273" s="74"/>
    </row>
    <row r="274" spans="2:8" x14ac:dyDescent="0.2">
      <c r="B274" s="8"/>
      <c r="C274" s="69"/>
      <c r="D274" s="64"/>
      <c r="F274" s="8"/>
      <c r="G274" s="71"/>
      <c r="H274" s="74"/>
    </row>
    <row r="275" spans="2:8" x14ac:dyDescent="0.2">
      <c r="B275" s="8"/>
      <c r="C275" s="69"/>
      <c r="D275" s="64"/>
      <c r="F275" s="8"/>
      <c r="G275" s="71"/>
      <c r="H275" s="74"/>
    </row>
    <row r="276" spans="2:8" x14ac:dyDescent="0.2">
      <c r="B276" s="8"/>
      <c r="C276" s="69"/>
      <c r="D276" s="64"/>
      <c r="F276" s="8"/>
      <c r="G276" s="71"/>
      <c r="H276" s="74"/>
    </row>
    <row r="277" spans="2:8" x14ac:dyDescent="0.2">
      <c r="B277" s="8"/>
      <c r="C277" s="69"/>
      <c r="D277" s="64"/>
      <c r="F277" s="8"/>
      <c r="G277" s="71"/>
      <c r="H277" s="74"/>
    </row>
    <row r="278" spans="2:8" x14ac:dyDescent="0.2">
      <c r="B278" s="8"/>
      <c r="C278" s="69"/>
      <c r="D278" s="64"/>
      <c r="F278" s="8"/>
      <c r="G278" s="71"/>
      <c r="H278" s="74"/>
    </row>
    <row r="279" spans="2:8" x14ac:dyDescent="0.2">
      <c r="B279" s="8"/>
      <c r="C279" s="69"/>
      <c r="D279" s="64"/>
      <c r="F279" s="8"/>
      <c r="G279" s="71"/>
      <c r="H279" s="74"/>
    </row>
    <row r="280" spans="2:8" x14ac:dyDescent="0.2">
      <c r="B280" s="8"/>
      <c r="C280" s="69"/>
      <c r="D280" s="64"/>
      <c r="F280" s="8"/>
      <c r="G280" s="71"/>
      <c r="H280" s="74"/>
    </row>
    <row r="281" spans="2:8" x14ac:dyDescent="0.2">
      <c r="B281" s="8"/>
      <c r="C281" s="69"/>
      <c r="D281" s="64"/>
      <c r="F281" s="8"/>
      <c r="G281" s="71"/>
      <c r="H281" s="74"/>
    </row>
    <row r="282" spans="2:8" x14ac:dyDescent="0.2">
      <c r="B282" s="8"/>
      <c r="C282" s="69"/>
      <c r="D282" s="64"/>
      <c r="F282" s="8"/>
      <c r="G282" s="71"/>
      <c r="H282" s="74"/>
    </row>
    <row r="283" spans="2:8" x14ac:dyDescent="0.2">
      <c r="B283" s="8"/>
      <c r="C283" s="69"/>
      <c r="D283" s="64"/>
      <c r="F283" s="8"/>
      <c r="G283" s="71"/>
      <c r="H283" s="74"/>
    </row>
    <row r="284" spans="2:8" x14ac:dyDescent="0.2">
      <c r="B284" s="8"/>
      <c r="C284" s="69"/>
      <c r="D284" s="64"/>
      <c r="F284" s="8"/>
      <c r="G284" s="71"/>
      <c r="H284" s="74"/>
    </row>
    <row r="285" spans="2:8" x14ac:dyDescent="0.2">
      <c r="B285" s="8"/>
      <c r="C285" s="69"/>
      <c r="D285" s="64"/>
      <c r="F285" s="8"/>
      <c r="G285" s="71"/>
      <c r="H285" s="74"/>
    </row>
    <row r="286" spans="2:8" x14ac:dyDescent="0.2">
      <c r="B286" s="8"/>
      <c r="C286" s="69"/>
      <c r="D286" s="64"/>
      <c r="F286" s="8"/>
      <c r="G286" s="71"/>
      <c r="H286" s="74"/>
    </row>
    <row r="287" spans="2:8" x14ac:dyDescent="0.2">
      <c r="B287" s="8"/>
      <c r="C287" s="69"/>
      <c r="D287" s="64"/>
      <c r="F287" s="8"/>
      <c r="G287" s="71"/>
      <c r="H287" s="74"/>
    </row>
    <row r="288" spans="2:8" x14ac:dyDescent="0.2">
      <c r="B288" s="8"/>
      <c r="C288" s="69"/>
      <c r="D288" s="64"/>
      <c r="F288" s="8"/>
      <c r="G288" s="71"/>
      <c r="H288" s="74"/>
    </row>
    <row r="289" spans="2:8" x14ac:dyDescent="0.2">
      <c r="B289" s="8"/>
      <c r="C289" s="69"/>
      <c r="D289" s="64"/>
      <c r="F289" s="8"/>
      <c r="G289" s="71"/>
      <c r="H289" s="74"/>
    </row>
    <row r="290" spans="2:8" x14ac:dyDescent="0.2">
      <c r="B290" s="8"/>
      <c r="C290" s="69"/>
      <c r="D290" s="64"/>
      <c r="F290" s="8"/>
      <c r="G290" s="71"/>
      <c r="H290" s="74"/>
    </row>
    <row r="291" spans="2:8" x14ac:dyDescent="0.2">
      <c r="B291" s="8"/>
      <c r="C291" s="69"/>
      <c r="D291" s="64"/>
      <c r="F291" s="8"/>
      <c r="G291" s="71"/>
      <c r="H291" s="74"/>
    </row>
    <row r="292" spans="2:8" x14ac:dyDescent="0.2">
      <c r="B292" s="8"/>
      <c r="C292" s="69"/>
      <c r="D292" s="64"/>
      <c r="F292" s="8"/>
      <c r="G292" s="71"/>
      <c r="H292" s="74"/>
    </row>
    <row r="293" spans="2:8" x14ac:dyDescent="0.2">
      <c r="B293" s="8"/>
      <c r="C293" s="69"/>
      <c r="D293" s="64"/>
      <c r="F293" s="8"/>
      <c r="G293" s="71"/>
      <c r="H293" s="74"/>
    </row>
    <row r="294" spans="2:8" x14ac:dyDescent="0.2">
      <c r="B294" s="8"/>
      <c r="C294" s="69"/>
      <c r="D294" s="64"/>
      <c r="F294" s="8"/>
      <c r="G294" s="71"/>
      <c r="H294" s="74"/>
    </row>
    <row r="295" spans="2:8" x14ac:dyDescent="0.2">
      <c r="B295" s="8"/>
      <c r="C295" s="69"/>
      <c r="D295" s="64"/>
      <c r="F295" s="8"/>
      <c r="G295" s="71"/>
      <c r="H295" s="74"/>
    </row>
    <row r="296" spans="2:8" x14ac:dyDescent="0.2">
      <c r="B296" s="8"/>
      <c r="C296" s="69"/>
      <c r="D296" s="64"/>
      <c r="F296" s="8"/>
      <c r="G296" s="71"/>
      <c r="H296" s="74"/>
    </row>
    <row r="297" spans="2:8" x14ac:dyDescent="0.2">
      <c r="B297" s="8"/>
      <c r="C297" s="69"/>
      <c r="D297" s="64"/>
      <c r="F297" s="8"/>
      <c r="G297" s="71"/>
      <c r="H297" s="74"/>
    </row>
    <row r="298" spans="2:8" x14ac:dyDescent="0.2">
      <c r="B298" s="8"/>
      <c r="C298" s="69"/>
      <c r="D298" s="64"/>
      <c r="F298" s="8"/>
      <c r="G298" s="71"/>
      <c r="H298" s="74"/>
    </row>
    <row r="299" spans="2:8" x14ac:dyDescent="0.2">
      <c r="B299" s="8"/>
      <c r="C299" s="69"/>
      <c r="D299" s="64"/>
      <c r="F299" s="8"/>
      <c r="G299" s="71"/>
      <c r="H299" s="74"/>
    </row>
    <row r="300" spans="2:8" x14ac:dyDescent="0.2">
      <c r="B300" s="8"/>
      <c r="C300" s="69"/>
      <c r="D300" s="64"/>
      <c r="F300" s="8"/>
      <c r="G300" s="71"/>
      <c r="H300" s="74"/>
    </row>
    <row r="301" spans="2:8" x14ac:dyDescent="0.2">
      <c r="B301" s="8"/>
      <c r="C301" s="69"/>
      <c r="D301" s="64"/>
      <c r="F301" s="8"/>
      <c r="G301" s="71"/>
      <c r="H301" s="74"/>
    </row>
    <row r="302" spans="2:8" x14ac:dyDescent="0.2">
      <c r="B302" s="8"/>
      <c r="C302" s="69"/>
      <c r="D302" s="64"/>
      <c r="F302" s="8"/>
      <c r="G302" s="71"/>
      <c r="H302" s="74"/>
    </row>
    <row r="303" spans="2:8" x14ac:dyDescent="0.2">
      <c r="B303" s="8"/>
      <c r="C303" s="69"/>
      <c r="D303" s="64"/>
      <c r="F303" s="8"/>
      <c r="G303" s="71"/>
      <c r="H303" s="74"/>
    </row>
    <row r="304" spans="2:8" x14ac:dyDescent="0.2">
      <c r="B304" s="8"/>
      <c r="C304" s="69"/>
      <c r="D304" s="64"/>
      <c r="F304" s="8"/>
      <c r="G304" s="71"/>
      <c r="H304" s="74"/>
    </row>
    <row r="305" spans="2:8" x14ac:dyDescent="0.2">
      <c r="B305" s="8"/>
      <c r="C305" s="69"/>
      <c r="D305" s="64"/>
      <c r="F305" s="8"/>
      <c r="G305" s="71"/>
      <c r="H305" s="74"/>
    </row>
    <row r="306" spans="2:8" x14ac:dyDescent="0.2">
      <c r="B306" s="8"/>
      <c r="C306" s="69"/>
      <c r="D306" s="64"/>
      <c r="F306" s="8"/>
      <c r="G306" s="71"/>
      <c r="H306" s="74"/>
    </row>
    <row r="307" spans="2:8" x14ac:dyDescent="0.2">
      <c r="B307" s="8"/>
      <c r="C307" s="69"/>
      <c r="D307" s="64"/>
      <c r="F307" s="8"/>
      <c r="G307" s="71"/>
      <c r="H307" s="74"/>
    </row>
    <row r="308" spans="2:8" x14ac:dyDescent="0.2">
      <c r="B308" s="8"/>
      <c r="C308" s="69"/>
      <c r="D308" s="64"/>
      <c r="F308" s="8"/>
      <c r="G308" s="71"/>
      <c r="H308" s="74"/>
    </row>
    <row r="309" spans="2:8" x14ac:dyDescent="0.2">
      <c r="B309" s="8"/>
      <c r="C309" s="69"/>
      <c r="D309" s="64"/>
      <c r="F309" s="8"/>
      <c r="G309" s="71"/>
      <c r="H309" s="74"/>
    </row>
    <row r="310" spans="2:8" x14ac:dyDescent="0.2">
      <c r="B310" s="8"/>
      <c r="C310" s="69"/>
      <c r="D310" s="64"/>
      <c r="F310" s="8"/>
      <c r="G310" s="71"/>
      <c r="H310" s="74"/>
    </row>
    <row r="311" spans="2:8" x14ac:dyDescent="0.2">
      <c r="B311" s="8"/>
      <c r="C311" s="69"/>
      <c r="D311" s="64"/>
      <c r="F311" s="8"/>
      <c r="G311" s="71"/>
      <c r="H311" s="74"/>
    </row>
    <row r="312" spans="2:8" x14ac:dyDescent="0.2">
      <c r="B312" s="8"/>
      <c r="C312" s="69"/>
      <c r="D312" s="64"/>
      <c r="F312" s="8"/>
      <c r="G312" s="71"/>
      <c r="H312" s="74"/>
    </row>
    <row r="313" spans="2:8" x14ac:dyDescent="0.2">
      <c r="B313" s="8"/>
      <c r="C313" s="69"/>
      <c r="D313" s="64"/>
      <c r="F313" s="8"/>
      <c r="G313" s="71"/>
      <c r="H313" s="74"/>
    </row>
    <row r="314" spans="2:8" x14ac:dyDescent="0.2">
      <c r="B314" s="8"/>
      <c r="C314" s="69"/>
      <c r="D314" s="64"/>
      <c r="F314" s="8"/>
      <c r="G314" s="71"/>
      <c r="H314" s="74"/>
    </row>
    <row r="315" spans="2:8" x14ac:dyDescent="0.2">
      <c r="B315" s="8"/>
      <c r="C315" s="69"/>
      <c r="D315" s="64"/>
      <c r="F315" s="8"/>
      <c r="G315" s="71"/>
      <c r="H315" s="74"/>
    </row>
    <row r="316" spans="2:8" x14ac:dyDescent="0.2">
      <c r="B316" s="8"/>
      <c r="C316" s="69"/>
      <c r="D316" s="64"/>
      <c r="F316" s="8"/>
      <c r="G316" s="71"/>
      <c r="H316" s="74"/>
    </row>
    <row r="317" spans="2:8" x14ac:dyDescent="0.2">
      <c r="B317" s="8"/>
      <c r="C317" s="69"/>
      <c r="D317" s="64"/>
      <c r="F317" s="8"/>
      <c r="G317" s="71"/>
      <c r="H317" s="74"/>
    </row>
    <row r="318" spans="2:8" x14ac:dyDescent="0.2">
      <c r="B318" s="8"/>
      <c r="C318" s="69"/>
      <c r="D318" s="64"/>
      <c r="F318" s="8"/>
      <c r="G318" s="71"/>
      <c r="H318" s="74"/>
    </row>
    <row r="319" spans="2:8" x14ac:dyDescent="0.2">
      <c r="B319" s="8"/>
      <c r="C319" s="69"/>
      <c r="D319" s="64"/>
      <c r="F319" s="8"/>
      <c r="G319" s="71"/>
      <c r="H319" s="74"/>
    </row>
    <row r="320" spans="2:8" x14ac:dyDescent="0.2">
      <c r="B320" s="8"/>
      <c r="C320" s="69"/>
      <c r="D320" s="64"/>
      <c r="F320" s="8"/>
      <c r="G320" s="71"/>
      <c r="H320" s="74"/>
    </row>
    <row r="321" spans="2:8" x14ac:dyDescent="0.2">
      <c r="B321" s="8"/>
      <c r="C321" s="69"/>
      <c r="D321" s="64"/>
      <c r="F321" s="8"/>
      <c r="G321" s="71"/>
      <c r="H321" s="74"/>
    </row>
    <row r="322" spans="2:8" x14ac:dyDescent="0.2">
      <c r="B322" s="8"/>
      <c r="C322" s="69"/>
      <c r="D322" s="64"/>
      <c r="F322" s="8"/>
      <c r="G322" s="71"/>
      <c r="H322" s="74"/>
    </row>
    <row r="323" spans="2:8" x14ac:dyDescent="0.2">
      <c r="B323" s="8"/>
      <c r="C323" s="69"/>
      <c r="D323" s="64"/>
      <c r="F323" s="8"/>
      <c r="G323" s="71"/>
      <c r="H323" s="74"/>
    </row>
    <row r="324" spans="2:8" x14ac:dyDescent="0.2">
      <c r="B324" s="8"/>
      <c r="C324" s="69"/>
      <c r="D324" s="64"/>
      <c r="F324" s="8"/>
      <c r="G324" s="71"/>
      <c r="H324" s="74"/>
    </row>
    <row r="325" spans="2:8" x14ac:dyDescent="0.2">
      <c r="B325" s="8"/>
      <c r="C325" s="69"/>
      <c r="D325" s="64"/>
      <c r="F325" s="8"/>
      <c r="G325" s="71"/>
      <c r="H325" s="74"/>
    </row>
    <row r="326" spans="2:8" x14ac:dyDescent="0.2">
      <c r="B326" s="8"/>
      <c r="C326" s="69"/>
      <c r="D326" s="64"/>
      <c r="F326" s="8"/>
      <c r="G326" s="71"/>
      <c r="H326" s="74"/>
    </row>
    <row r="327" spans="2:8" x14ac:dyDescent="0.2">
      <c r="B327" s="8"/>
      <c r="C327" s="69"/>
      <c r="D327" s="64"/>
      <c r="F327" s="8"/>
      <c r="G327" s="71"/>
      <c r="H327" s="74"/>
    </row>
    <row r="328" spans="2:8" x14ac:dyDescent="0.2">
      <c r="B328" s="8"/>
      <c r="C328" s="69"/>
      <c r="D328" s="64"/>
      <c r="F328" s="8"/>
      <c r="G328" s="71"/>
      <c r="H328" s="74"/>
    </row>
    <row r="329" spans="2:8" x14ac:dyDescent="0.2">
      <c r="B329" s="8"/>
      <c r="C329" s="69"/>
      <c r="D329" s="64"/>
      <c r="F329" s="8"/>
      <c r="G329" s="71"/>
      <c r="H329" s="74"/>
    </row>
    <row r="330" spans="2:8" x14ac:dyDescent="0.2">
      <c r="B330" s="62"/>
      <c r="C330" s="70"/>
      <c r="D330" s="65"/>
      <c r="F330" s="62"/>
      <c r="G330" s="72"/>
      <c r="H330" s="75"/>
    </row>
  </sheetData>
  <autoFilter ref="B9:H9"/>
  <mergeCells count="2">
    <mergeCell ref="B1:C1"/>
    <mergeCell ref="F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94</vt:i4>
      </vt:variant>
    </vt:vector>
  </HeadingPairs>
  <TitlesOfParts>
    <vt:vector size="94" baseType="lpstr">
      <vt:lpstr>Core_Control</vt:lpstr>
      <vt:lpstr>Add-In_Control</vt:lpstr>
      <vt:lpstr>Core Design</vt:lpstr>
      <vt:lpstr>Add-In Design</vt:lpstr>
      <vt:lpstr>Bind_Dashboard</vt:lpstr>
      <vt:lpstr>Projection &amp; Rate Setting</vt:lpstr>
      <vt:lpstr>EE_Modeler</vt:lpstr>
      <vt:lpstr>Chart_Data</vt:lpstr>
      <vt:lpstr>Contribution Calc</vt:lpstr>
      <vt:lpstr>PMPM Cost Breakdown</vt:lpstr>
      <vt:lpstr>Enrollment Table</vt:lpstr>
      <vt:lpstr>Rate Table</vt:lpstr>
      <vt:lpstr>Contributions Table</vt:lpstr>
      <vt:lpstr>2018 Data</vt:lpstr>
      <vt:lpstr>2019 Data</vt:lpstr>
      <vt:lpstr>Data Lists</vt:lpstr>
      <vt:lpstr>MV Calculator</vt:lpstr>
      <vt:lpstr>Add-In_List</vt:lpstr>
      <vt:lpstr>POS_Ratios</vt:lpstr>
      <vt:lpstr>POS_Cost</vt:lpstr>
      <vt:lpstr>All</vt:lpstr>
      <vt:lpstr>IP</vt:lpstr>
      <vt:lpstr>OP</vt:lpstr>
      <vt:lpstr>ASC</vt:lpstr>
      <vt:lpstr>Office</vt:lpstr>
      <vt:lpstr>HRA Balance Calc</vt:lpstr>
      <vt:lpstr>HRA Graphing Data</vt:lpstr>
      <vt:lpstr>Employer Summary</vt:lpstr>
      <vt:lpstr>Winners-Losers HRA</vt:lpstr>
      <vt:lpstr>Assumptions-Output Override</vt:lpstr>
      <vt:lpstr>Assumptions-Output Target</vt:lpstr>
      <vt:lpstr>Winners-Losers Charts</vt:lpstr>
      <vt:lpstr>Winners-Losers Values PMPM</vt:lpstr>
      <vt:lpstr>Net Impact Graphs</vt:lpstr>
      <vt:lpstr>Comparison of Plans</vt:lpstr>
      <vt:lpstr>Chronic Cost Model Summary</vt:lpstr>
      <vt:lpstr>PPP Detail</vt:lpstr>
      <vt:lpstr>PPP Detail Override</vt:lpstr>
      <vt:lpstr>Chronic Summary</vt:lpstr>
      <vt:lpstr>Discretionary Pivot</vt:lpstr>
      <vt:lpstr>Discretionary Detail</vt:lpstr>
      <vt:lpstr>NM Upgrade List</vt:lpstr>
      <vt:lpstr>Shoppable Detail</vt:lpstr>
      <vt:lpstr>Chronic Detail&gt;&gt;&gt;&gt;</vt:lpstr>
      <vt:lpstr>Cost Model -Chron Override All</vt:lpstr>
      <vt:lpstr>Cost Model -Asthma</vt:lpstr>
      <vt:lpstr>Cost Model -Asthma Override</vt:lpstr>
      <vt:lpstr>Cost Model  -Biploar Mood</vt:lpstr>
      <vt:lpstr>Cost Model  -Biploar Mood Ovrd</vt:lpstr>
      <vt:lpstr>Cost Model -Cardiac failure</vt:lpstr>
      <vt:lpstr>Cost Model -Cardiac failure Ovr</vt:lpstr>
      <vt:lpstr>Cost Model -Cardiomyopathy</vt:lpstr>
      <vt:lpstr>Cost Model -Cardiomyopathy Ovrd</vt:lpstr>
      <vt:lpstr>Cost Model-COPD</vt:lpstr>
      <vt:lpstr>Cost Model-COPD Override</vt:lpstr>
      <vt:lpstr>Cost Model -CKD</vt:lpstr>
      <vt:lpstr>Cost Model -CKD Override</vt:lpstr>
      <vt:lpstr>Cost Model -Diabetes insipidus</vt:lpstr>
      <vt:lpstr>Cost Model -Diabetes ins Ovrd</vt:lpstr>
      <vt:lpstr>Cost Model - Diabetes1</vt:lpstr>
      <vt:lpstr>Cost Model - Diabetes1 Override</vt:lpstr>
      <vt:lpstr>Cost Model -Epilepsy</vt:lpstr>
      <vt:lpstr>Cost Model -Epilepsy Override</vt:lpstr>
      <vt:lpstr>Cost Model - Glaucoma</vt:lpstr>
      <vt:lpstr>Cost Model - Glaucoma Override</vt:lpstr>
      <vt:lpstr>Cost Model - Haemophilia</vt:lpstr>
      <vt:lpstr>Cost Model - Haemophilia Ovrd</vt:lpstr>
      <vt:lpstr>Cost Model -HIV</vt:lpstr>
      <vt:lpstr>Cost Model -HIV Override</vt:lpstr>
      <vt:lpstr>Cost Model -Hyperlipidaemia HC</vt:lpstr>
      <vt:lpstr>Cost Model -Hyperlipidaemia Ovr</vt:lpstr>
      <vt:lpstr>Cost Model -Hypertension-HBP</vt:lpstr>
      <vt:lpstr>Cost Model -Hypertension-HBP Ov</vt:lpstr>
      <vt:lpstr>Cost Model - Hypothyroidism</vt:lpstr>
      <vt:lpstr>Cost Model - Hypothyroidism Ovr</vt:lpstr>
      <vt:lpstr>Cost Model -Multiple sclerosis</vt:lpstr>
      <vt:lpstr>Cost Model -Multiple scler Ovr</vt:lpstr>
      <vt:lpstr>Cost Model -Parkinson's disease</vt:lpstr>
      <vt:lpstr>Cost Model -Parkinson's dis Ovr</vt:lpstr>
      <vt:lpstr>Cost Model - Rheumatoid arthir</vt:lpstr>
      <vt:lpstr>Cost Model - Rheumatoid art Ovr</vt:lpstr>
      <vt:lpstr>Cost Model Schizophrenia</vt:lpstr>
      <vt:lpstr>Cost Model Schizophrenia Ovrd</vt:lpstr>
      <vt:lpstr>Cost Model -Lupus</vt:lpstr>
      <vt:lpstr>Cost Model -Lupus Override</vt:lpstr>
      <vt:lpstr>Cost Model -Clinical depression</vt:lpstr>
      <vt:lpstr>Cost Model -Clinical depres Ovr</vt:lpstr>
      <vt:lpstr>Sheet2</vt:lpstr>
      <vt:lpstr>User Guide</vt:lpstr>
      <vt:lpstr>Enrollment Restrictions</vt:lpstr>
      <vt:lpstr>MV Cont. Table - Medical</vt:lpstr>
      <vt:lpstr>MV Cont. Table - Rx Only</vt:lpstr>
      <vt:lpstr>MV Cont. Table - Combined</vt:lpstr>
      <vt:lpstr>Variation 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mchou</dc:creator>
  <cp:lastModifiedBy>Microsoft Office User</cp:lastModifiedBy>
  <cp:lastPrinted>2018-04-25T19:20:49Z</cp:lastPrinted>
  <dcterms:created xsi:type="dcterms:W3CDTF">2012-03-26T17:04:14Z</dcterms:created>
  <dcterms:modified xsi:type="dcterms:W3CDTF">2018-06-27T18:00:01Z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-933615805</vt:i4>
  </property>
  <property fmtid="{D5CDD505-2E9C-101B-9397-08002B2CF9AE}" pid="3" name="_NewReviewCycle">
    <vt:lpwstr/>
  </property>
  <property fmtid="{D5CDD505-2E9C-101B-9397-08002B2CF9AE}" pid="4" name="_EmailSubject">
    <vt:lpwstr>FMAC: MV Calculator with Updated User Guide</vt:lpwstr>
  </property>
  <property fmtid="{D5CDD505-2E9C-101B-9397-08002B2CF9AE}" pid="5" name="_AuthorEmail">
    <vt:lpwstr>Amanda.Schnitzer@cms.hhs.gov</vt:lpwstr>
  </property>
  <property fmtid="{D5CDD505-2E9C-101B-9397-08002B2CF9AE}" pid="6" name="_AuthorEmailDisplayName">
    <vt:lpwstr>Schnitzer, Amanda M. (CMS/CCIIO)</vt:lpwstr>
  </property>
  <property fmtid="{D5CDD505-2E9C-101B-9397-08002B2CF9AE}" pid="7" name="_ReviewingToolsShownOnce">
    <vt:lpwstr/>
  </property>
</Properties>
</file>